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worksheets/sheet1.xml" ContentType="application/vnd.openxmlformats-officedocument.spreadsheetml.worksheet+xml"/>
  <Override PartName="/xl/worksheets/sheet16.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charts/chart1.xml" ContentType="application/vnd.openxmlformats-officedocument.drawingml.chart+xml"/>
  <Override PartName="/xl/styles.xml" ContentType="application/vnd.openxmlformats-officedocument.spreadsheetml.styles+xml"/>
  <Override PartName="/xl/worksheets/sheet6.xml" ContentType="application/vnd.openxmlformats-officedocument.spreadsheetml.worksheet+xml"/>
  <Override PartName="/xl/drawings/drawing1.xml" ContentType="application/vnd.openxmlformats-officedocument.drawing+xml"/>
  <Override PartName="/xl/worksheets/sheet21.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17.xml" ContentType="application/vnd.openxmlformats-officedocument.spreadsheetml.worksheet+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custom.xml" ContentType="application/vnd.openxmlformats-officedocument.custom-propertie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customXml/itemProps3.xml" ContentType="application/vnd.openxmlformats-officedocument.customXmlProperties+xml"/>
  <Override PartName="/xl/comments5.xml" ContentType="application/vnd.openxmlformats-officedocument.spreadsheetml.comments+xml"/>
  <Override PartName="/xl/comments4.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comments7.xml" ContentType="application/vnd.openxmlformats-officedocument.spreadsheetml.comments+xml"/>
  <Override PartName="/xl/comments8.xml" ContentType="application/vnd.openxmlformats-officedocument.spreadsheetml.comment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cmcguire\Desktop\"/>
    </mc:Choice>
  </mc:AlternateContent>
  <bookViews>
    <workbookView xWindow="-15" yWindow="-15" windowWidth="11610" windowHeight="8445" firstSheet="2"/>
  </bookViews>
  <sheets>
    <sheet name="Summary" sheetId="126" r:id="rId1"/>
    <sheet name="Summary of Changes" sheetId="143" r:id="rId2"/>
    <sheet name="ROR" sheetId="110" r:id="rId3"/>
    <sheet name="Attrition 09.2014 to 2016" sheetId="120" r:id="rId4"/>
    <sheet name="Cost Trends" sheetId="122" r:id="rId5"/>
    <sheet name="Weighted Revenue Growth" sheetId="87" r:id="rId6"/>
    <sheet name="09.2014 Rev Model" sheetId="132" state="hidden" r:id="rId7"/>
    <sheet name="2016 Customers and Demand" sheetId="88" state="hidden" r:id="rId8"/>
    <sheet name="2016 Forecast Energy" sheetId="136" state="hidden" r:id="rId9"/>
    <sheet name="12.2014 CB Power Supply" sheetId="135" state="hidden" r:id="rId10"/>
    <sheet name="456 Revenue" sheetId="140" state="hidden" r:id="rId11"/>
    <sheet name="incremental load expense" sheetId="103" state="hidden" r:id="rId12"/>
    <sheet name="CS2-Colstrip 2016 Incrmntl Exp" sheetId="141" state="hidden" r:id="rId13"/>
    <sheet name="PF Power Supply 09.2014 load" sheetId="78" state="hidden" r:id="rId14"/>
    <sheet name="PF Power Supply 2016 load" sheetId="139" state="hidden" r:id="rId15"/>
    <sheet name="Reg Amorts" sheetId="129" state="hidden" r:id="rId16"/>
    <sheet name="DSM" sheetId="91" state="hidden" r:id="rId17"/>
    <sheet name="ResX" sheetId="94" state="hidden" r:id="rId18"/>
    <sheet name="CBR Hist" sheetId="133" state="hidden" r:id="rId19"/>
    <sheet name="PS Consolidated" sheetId="134" state="hidden" r:id="rId20"/>
    <sheet name="Other Rev" sheetId="130" state="hidden" r:id="rId21"/>
    <sheet name="Sheet1" sheetId="138" state="hidden" r:id="rId22"/>
  </sheets>
  <externalReferences>
    <externalReference r:id="rId23"/>
    <externalReference r:id="rId24"/>
    <externalReference r:id="rId25"/>
    <externalReference r:id="rId26"/>
    <externalReference r:id="rId27"/>
    <externalReference r:id="rId28"/>
  </externalReferences>
  <definedNames>
    <definedName name="_xlnm._FilterDatabase" localSheetId="7" hidden="1">'2016 Customers and Demand'!$A$2:$H$59</definedName>
    <definedName name="Actuals_Mo">[1]Tables!$B$19</definedName>
    <definedName name="Base1_Billing2" localSheetId="6">'09.2014 Rev Model'!$N$8</definedName>
    <definedName name="Base1_Billing2" localSheetId="9">#REF!</definedName>
    <definedName name="Base1_Billing2" localSheetId="18">#REF!</definedName>
    <definedName name="Base1_Billing2" localSheetId="14">#REF!</definedName>
    <definedName name="Base1_Billing2" localSheetId="19">#REF!</definedName>
    <definedName name="Base1_Billing2">#REF!</definedName>
    <definedName name="BaseRev60_EntryLookup">INDEX('[2]Rev Summary'!$F$1176:$F$1177,2):'[2]Rev Summary'!$F$1221</definedName>
    <definedName name="Basic">'[2]Rev Summary'!$I$1279:$I$1322</definedName>
    <definedName name="BilledRev60_EntryLookup">INDEX('[2]Rev Summary'!$F$70:$F$71,2):'[2]Rev Summary'!$F$115</definedName>
    <definedName name="CalRev60_EntryLookup">INDEX('[2]Rev Summary'!$F$373:$F$374,2):'[2]Rev Summary'!$F$418</definedName>
    <definedName name="ClassEntry">'[2]Rev Summary'!$D$2</definedName>
    <definedName name="ClassEntryNo">'[2]Rev Summary'!$D$3</definedName>
    <definedName name="CopyClasses">'[2]Rev Summary'!$F$1279:INDEX('[2]Rev Summary'!$F$1279:$F$1323,COUNTA('[2]Rev Summary'!$F$1279:$F$1323))</definedName>
    <definedName name="CustMos">'[1]Cust Load'!$D$3</definedName>
    <definedName name="DSMFlag">'[2]Exp Summary'!$E$30</definedName>
    <definedName name="EndMo">[1]Tables!$B$16</definedName>
    <definedName name="ERM" localSheetId="6">'[3]Rate Design'!$D$45</definedName>
    <definedName name="ERM">'[4]Rate Design'!$D$45</definedName>
    <definedName name="GRCRev60_EntryLookup">INDEX('[2]Rev Summary'!$F$1075:$F$1076,2):'[2]Rev Summary'!$F$1120</definedName>
    <definedName name="GrossUnbillAccrRev60_EntryLookup">INDEX('[2]Rev Summary'!$F$873:$F$874,2):'[2]Rev Summary'!$F$918</definedName>
    <definedName name="GrossUnbillRevRev60_EntryLookup">INDEX('[2]Rev Summary'!$F$974:$F$975,2):'[2]Rev Summary'!$F$1019</definedName>
    <definedName name="ID" localSheetId="14">#REF!</definedName>
    <definedName name="ID">#REF!</definedName>
    <definedName name="ID_001b" localSheetId="9">#REF!</definedName>
    <definedName name="ID_001b" localSheetId="18">#REF!</definedName>
    <definedName name="ID_001b" localSheetId="14">#REF!</definedName>
    <definedName name="ID_001b" localSheetId="19">#REF!</definedName>
    <definedName name="ID_001b">#REF!</definedName>
    <definedName name="ID_011b" localSheetId="9">#REF!</definedName>
    <definedName name="ID_011b" localSheetId="18">#REF!</definedName>
    <definedName name="ID_011b" localSheetId="14">#REF!</definedName>
    <definedName name="ID_011b" localSheetId="19">#REF!</definedName>
    <definedName name="ID_011b">#REF!</definedName>
    <definedName name="ID_012b" localSheetId="9">#REF!</definedName>
    <definedName name="ID_012b" localSheetId="18">#REF!</definedName>
    <definedName name="ID_012b" localSheetId="14">#REF!</definedName>
    <definedName name="ID_012b" localSheetId="19">#REF!</definedName>
    <definedName name="ID_012b">#REF!</definedName>
    <definedName name="ID_021b" localSheetId="9">#REF!</definedName>
    <definedName name="ID_021b" localSheetId="18">#REF!</definedName>
    <definedName name="ID_021b" localSheetId="14">#REF!</definedName>
    <definedName name="ID_021b" localSheetId="19">#REF!</definedName>
    <definedName name="ID_021b">#REF!</definedName>
    <definedName name="ID_Gas" localSheetId="9">'[5]DEBT CALC'!#REF!</definedName>
    <definedName name="ID_Gas" localSheetId="3">'[5]DEBT CALC'!#REF!</definedName>
    <definedName name="ID_Gas" localSheetId="18">'[5]DEBT CALC'!#REF!</definedName>
    <definedName name="ID_Gas" localSheetId="4">'[5]DEBT CALC'!#REF!</definedName>
    <definedName name="ID_Gas" localSheetId="14">'[5]DEBT CALC'!#REF!</definedName>
    <definedName name="ID_Gas" localSheetId="19">'[5]DEBT CALC'!#REF!</definedName>
    <definedName name="ID_Gas">'[5]DEBT CALC'!#REF!</definedName>
    <definedName name="ID04X">[2]Rates!$O$121:$V$121</definedName>
    <definedName name="IDPPRider">[2]Rates!$O$124:$V$124</definedName>
    <definedName name="IDResEx">[2]Rates!$O$125:$V$125</definedName>
    <definedName name="IDSurch">[2]Rates!$O$122:$V$122</definedName>
    <definedName name="ManualSched">'[2]Rev Summary'!$B$36</definedName>
    <definedName name="Month1">[2]Setup!$B$3</definedName>
    <definedName name="NetUnbillRev60_EntryLookup">INDEX('[2]Rev Summary'!$F$272:$F$273,2):'[2]Rev Summary'!$F$317</definedName>
    <definedName name="PPRev60_EntryLookup">INDEX('[2]Rev Summary'!$F$671:$F$672,2):'[2]Rev Summary'!$F$716</definedName>
    <definedName name="_xlnm.Print_Area" localSheetId="6">'09.2014 Rev Model'!$A$1:$I$295</definedName>
    <definedName name="_xlnm.Print_Area" localSheetId="9">'12.2014 CB Power Supply'!$A$1:$H$48</definedName>
    <definedName name="_xlnm.Print_Area" localSheetId="7">'2016 Customers and Demand'!$A$1:$H$59</definedName>
    <definedName name="_xlnm.Print_Area" localSheetId="8">'2016 Forecast Energy'!$A$1:$H$40</definedName>
    <definedName name="_xlnm.Print_Area" localSheetId="3">'Attrition 09.2014 to 2016'!$A$1:$S$92</definedName>
    <definedName name="_xlnm.Print_Area" localSheetId="18">'CBR Hist'!$A$1:$U$79</definedName>
    <definedName name="_xlnm.Print_Area" localSheetId="4">'Cost Trends'!$A$1:$U$245</definedName>
    <definedName name="_xlnm.Print_Area" localSheetId="11">'incremental load expense'!$A$1:$J$53</definedName>
    <definedName name="_xlnm.Print_Area" localSheetId="14">'PF Power Supply 2016 load'!$A$1:$H$46</definedName>
    <definedName name="_xlnm.Print_Area" localSheetId="2">ROR!$A$1:$L$26</definedName>
    <definedName name="_xlnm.Print_Area" localSheetId="0">Summary!$A$1:$J$35</definedName>
    <definedName name="Print_for_Checking" localSheetId="9">'[5]ADJ SUMMARY'!#REF!:'[5]ADJ SUMMARY'!#REF!</definedName>
    <definedName name="Print_for_Checking" localSheetId="3">'[5]ADJ SUMMARY'!#REF!:'[5]ADJ SUMMARY'!#REF!</definedName>
    <definedName name="Print_for_Checking" localSheetId="18">'[5]ADJ SUMMARY'!#REF!:'[5]ADJ SUMMARY'!#REF!</definedName>
    <definedName name="Print_for_Checking" localSheetId="4">'[5]ADJ SUMMARY'!#REF!:'[5]ADJ SUMMARY'!#REF!</definedName>
    <definedName name="Print_for_Checking" localSheetId="14">'[5]ADJ SUMMARY'!#REF!:'[5]ADJ SUMMARY'!#REF!</definedName>
    <definedName name="Print_for_Checking" localSheetId="19">'[5]ADJ SUMMARY'!#REF!:'[5]ADJ SUMMARY'!#REF!</definedName>
    <definedName name="Print_for_Checking">'[5]ADJ SUMMARY'!#REF!:'[5]ADJ SUMMARY'!#REF!</definedName>
    <definedName name="_xlnm.Print_Titles" localSheetId="18">'CBR Hist'!$A:$D,'CBR Hist'!$1:$9</definedName>
    <definedName name="_xlnm.Print_Titles" localSheetId="4">'Cost Trends'!$2:$2</definedName>
    <definedName name="PrintHeader" localSheetId="6">'09.2014 Rev Model'!$P$6</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[6]Macro1!$A$92</definedName>
    <definedName name="ResExchRev60_EntryLookup">INDEX('[2]Rev Summary'!$F$772:$F$773,2):'[2]Rev Summary'!$F$817</definedName>
    <definedName name="RevMos">[1]Rev!$C$2</definedName>
    <definedName name="RH">CHOOSE([1]Rev!$B$5, [1]!Rates_WA[#Headers], [1]!Rates_ID[#Headers])</definedName>
    <definedName name="RH_2">CHOOSE('[1]Manual Rev'!$C1, [1]!Rates_WA[#Headers], [1]!Rates_ID[#Headers])</definedName>
    <definedName name="Sch">CHOOSE([1]Rev!$B$5, [1]!Rates_WA[St-Sch], [1]!Rates_ID[St-Sch])</definedName>
    <definedName name="Sch_2">CHOOSE('[1]Manual Rev'!$C1, [1]!Rates_WA[St-Sch], [1]!Rates_ID[St-Sch])</definedName>
    <definedName name="Sched">'[2]Rev Summary'!$E$2</definedName>
    <definedName name="SL_RateIncr" localSheetId="6">'[3]St Lts'!$AD$1</definedName>
    <definedName name="SL_RateIncr">'[4]St Lts'!$AD$1</definedName>
    <definedName name="StartMo">[1]Tables!$B$13</definedName>
    <definedName name="Summary" localSheetId="9">#REF!</definedName>
    <definedName name="Summary" localSheetId="3">#REF!</definedName>
    <definedName name="Summary" localSheetId="18">#REF!</definedName>
    <definedName name="Summary" localSheetId="4">#REF!</definedName>
    <definedName name="Summary" localSheetId="14">#REF!</definedName>
    <definedName name="Summary" localSheetId="19">#REF!</definedName>
    <definedName name="Summary">#REF!</definedName>
    <definedName name="SurchRev60_EntryLookup">INDEX('[2]Rev Summary'!$F$474:$F$475,2):'[2]Rev Summary'!$F$519</definedName>
    <definedName name="TableName">"Dummy"</definedName>
    <definedName name="TaxCreditRev60_EntryLookup">INDEX('[2]Rev Summary'!$F$572:$F$621,2):'[2]Rev Summary'!$F$617</definedName>
    <definedName name="TaxRev60_EntryLookup">INDEX('[2]Rev Summary'!$F$171:$F$216,2):'[2]Rev Summary'!$F$216</definedName>
    <definedName name="Utility">[2]Setup!$B$1</definedName>
    <definedName name="vl_tbl_SchedClass">[1]!tbl_SchedAll[StClSch]</definedName>
    <definedName name="WA_001b" localSheetId="9">#REF!</definedName>
    <definedName name="WA_001b" localSheetId="18">#REF!</definedName>
    <definedName name="WA_001b" localSheetId="14">#REF!</definedName>
    <definedName name="WA_001b" localSheetId="19">#REF!</definedName>
    <definedName name="WA_001b">#REF!</definedName>
    <definedName name="WA_011b" localSheetId="9">#REF!</definedName>
    <definedName name="WA_011b" localSheetId="18">#REF!</definedName>
    <definedName name="WA_011b" localSheetId="14">#REF!</definedName>
    <definedName name="WA_011b" localSheetId="19">#REF!</definedName>
    <definedName name="WA_011b">#REF!</definedName>
    <definedName name="WA_012b" localSheetId="9">#REF!</definedName>
    <definedName name="WA_012b" localSheetId="18">#REF!</definedName>
    <definedName name="WA_012b" localSheetId="14">#REF!</definedName>
    <definedName name="WA_012b" localSheetId="19">#REF!</definedName>
    <definedName name="WA_012b">#REF!</definedName>
    <definedName name="WA_021b" localSheetId="9">#REF!</definedName>
    <definedName name="WA_021b" localSheetId="18">#REF!</definedName>
    <definedName name="WA_021b" localSheetId="14">#REF!</definedName>
    <definedName name="WA_021b" localSheetId="19">#REF!</definedName>
    <definedName name="WA_021b">#REF!</definedName>
    <definedName name="WA_Gas" localSheetId="9">'[5]DEBT CALC'!#REF!</definedName>
    <definedName name="WA_Gas" localSheetId="3">'[5]DEBT CALC'!#REF!</definedName>
    <definedName name="WA_Gas" localSheetId="18">'[5]DEBT CALC'!#REF!</definedName>
    <definedName name="WA_Gas" localSheetId="4">'[5]DEBT CALC'!#REF!</definedName>
    <definedName name="WA_Gas" localSheetId="12">'[5]DEBT CALC'!#REF!</definedName>
    <definedName name="WA_Gas" localSheetId="14">'[5]DEBT CALC'!#REF!</definedName>
    <definedName name="WA_Gas" localSheetId="19">'[5]DEBT CALC'!#REF!</definedName>
    <definedName name="WA_Gas">'[5]DEBT CALC'!#REF!</definedName>
    <definedName name="WA04X">[2]Rates!$D$121:$K$121</definedName>
    <definedName name="WAPPRider">[2]Rates!$D$124:$K$124</definedName>
    <definedName name="WAResEx">[2]Rates!$D$125:$K$125</definedName>
    <definedName name="WASurch">[2]Rates!$D$122:$K$122</definedName>
    <definedName name="Year1">[2]Setup!$B$2</definedName>
    <definedName name="Z_6E1B8C45_B07F_11D2_B0DC_0000832CDFF0_.wvu.Cols" localSheetId="18" hidden="1">'CBR Hist'!#REF!,'CBR Hist'!$E:$E</definedName>
    <definedName name="Z_6E1B8C45_B07F_11D2_B0DC_0000832CDFF0_.wvu.PrintArea" localSheetId="18" hidden="1">'CBR Hist'!$E:$E</definedName>
    <definedName name="Z_6E1B8C45_B07F_11D2_B0DC_0000832CDFF0_.wvu.PrintTitles" localSheetId="18" hidden="1">'CBR Hist'!$A:$D,'CBR Hist'!$1:$9</definedName>
    <definedName name="Z_A15D1962_B049_11D2_8670_0000832CEEE8_.wvu.Cols" localSheetId="18" hidden="1">'CBR Hist'!$E:$E</definedName>
  </definedNames>
  <calcPr calcId="152511"/>
</workbook>
</file>

<file path=xl/calcChain.xml><?xml version="1.0" encoding="utf-8"?>
<calcChain xmlns="http://schemas.openxmlformats.org/spreadsheetml/2006/main">
  <c r="D5" i="143" l="1"/>
  <c r="G219" i="122" l="1"/>
  <c r="G212" i="122"/>
  <c r="J216" i="122" l="1"/>
  <c r="O23" i="133" l="1"/>
  <c r="G210" i="122" l="1"/>
  <c r="D4" i="141"/>
  <c r="R38" i="120"/>
  <c r="R28" i="120"/>
  <c r="F47" i="135"/>
  <c r="D5" i="141" s="1"/>
  <c r="F46" i="135"/>
  <c r="F46" i="78"/>
  <c r="F5" i="141" s="1"/>
  <c r="F45" i="78"/>
  <c r="F4" i="141" s="1"/>
  <c r="G4" i="141" s="1"/>
  <c r="F45" i="139"/>
  <c r="F44" i="139"/>
  <c r="E219" i="122"/>
  <c r="G5" i="141" l="1"/>
  <c r="F6" i="141"/>
  <c r="D6" i="141"/>
  <c r="F10" i="141" l="1"/>
  <c r="G6" i="141"/>
  <c r="G220" i="122" l="1"/>
  <c r="N176" i="122" s="1"/>
  <c r="N196" i="122" s="1"/>
  <c r="K58" i="120" s="1"/>
  <c r="G221" i="122"/>
  <c r="J215" i="122"/>
  <c r="K216" i="122" s="1"/>
  <c r="D14" i="135" l="1"/>
  <c r="J25" i="140"/>
  <c r="D31" i="135"/>
  <c r="D30" i="135"/>
  <c r="D17" i="135"/>
  <c r="T54" i="134"/>
  <c r="S16" i="130" l="1"/>
  <c r="R9" i="130"/>
  <c r="R31" i="129"/>
  <c r="S93" i="129"/>
  <c r="S92" i="129"/>
  <c r="U24" i="94"/>
  <c r="S31" i="129"/>
  <c r="S38" i="129"/>
  <c r="R12" i="129"/>
  <c r="R11" i="129"/>
  <c r="S12" i="129"/>
  <c r="S11" i="129"/>
  <c r="F22" i="139"/>
  <c r="F26" i="139"/>
  <c r="D26" i="139"/>
  <c r="D11" i="139"/>
  <c r="J27" i="140"/>
  <c r="J28" i="140"/>
  <c r="J29" i="140"/>
  <c r="J26" i="140"/>
  <c r="J24" i="140"/>
  <c r="J34" i="140" s="1"/>
  <c r="I31" i="140"/>
  <c r="I32" i="140"/>
  <c r="I30" i="140"/>
  <c r="I18" i="140"/>
  <c r="I19" i="140"/>
  <c r="I20" i="140"/>
  <c r="I21" i="140"/>
  <c r="I22" i="140"/>
  <c r="I23" i="140"/>
  <c r="I17" i="140"/>
  <c r="I34" i="140" s="1"/>
  <c r="H7" i="120" l="1"/>
  <c r="N186" i="122" l="1"/>
  <c r="K16" i="120" l="1"/>
  <c r="D8" i="141"/>
  <c r="D10" i="141" s="1"/>
  <c r="H10" i="141" s="1"/>
  <c r="R16" i="120" s="1"/>
  <c r="R21" i="120" s="1"/>
  <c r="R39" i="120" s="1"/>
  <c r="R41" i="120" s="1"/>
  <c r="D14" i="139"/>
  <c r="R49" i="120" l="1"/>
  <c r="R54" i="120"/>
  <c r="T10" i="122" l="1"/>
  <c r="T11" i="122"/>
  <c r="T12" i="122"/>
  <c r="T14" i="122"/>
  <c r="T136" i="122" s="1"/>
  <c r="T19" i="122"/>
  <c r="T92" i="122" s="1"/>
  <c r="T20" i="122"/>
  <c r="T23" i="122"/>
  <c r="T27" i="122"/>
  <c r="T94" i="122" s="1"/>
  <c r="T28" i="122"/>
  <c r="T108" i="122" s="1"/>
  <c r="T29" i="122"/>
  <c r="T32" i="122"/>
  <c r="T95" i="122" s="1"/>
  <c r="T33" i="122"/>
  <c r="T96" i="122" s="1"/>
  <c r="T34" i="122"/>
  <c r="T97" i="122" s="1"/>
  <c r="T37" i="122"/>
  <c r="T98" i="122" s="1"/>
  <c r="T38" i="122"/>
  <c r="T109" i="122" s="1"/>
  <c r="T39" i="122"/>
  <c r="T46" i="122"/>
  <c r="T47" i="122"/>
  <c r="T48" i="122"/>
  <c r="T49" i="122"/>
  <c r="T50" i="122"/>
  <c r="T59" i="122"/>
  <c r="T90" i="122"/>
  <c r="T93" i="122"/>
  <c r="T101" i="122"/>
  <c r="T102" i="122"/>
  <c r="T115" i="122"/>
  <c r="T121" i="122"/>
  <c r="T122" i="122"/>
  <c r="T124" i="122"/>
  <c r="T125" i="122"/>
  <c r="T138" i="122"/>
  <c r="T13" i="122" l="1"/>
  <c r="T15" i="122" s="1"/>
  <c r="T123" i="122"/>
  <c r="T126" i="122" s="1"/>
  <c r="T120" i="122"/>
  <c r="T30" i="122"/>
  <c r="T99" i="122"/>
  <c r="T40" i="122"/>
  <c r="D14" i="78"/>
  <c r="S20" i="129"/>
  <c r="S34" i="129"/>
  <c r="S42" i="129" s="1"/>
  <c r="S52" i="129"/>
  <c r="S53" i="129"/>
  <c r="T63" i="122" s="1"/>
  <c r="S54" i="129"/>
  <c r="T64" i="122" s="1"/>
  <c r="S55" i="129"/>
  <c r="T65" i="122" s="1"/>
  <c r="S56" i="129"/>
  <c r="T66" i="122" s="1"/>
  <c r="S59" i="129"/>
  <c r="T69" i="122" s="1"/>
  <c r="S60" i="129"/>
  <c r="T70" i="122" s="1"/>
  <c r="S61" i="129"/>
  <c r="T71" i="122" s="1"/>
  <c r="S62" i="129"/>
  <c r="T72" i="122" s="1"/>
  <c r="S63" i="129"/>
  <c r="T73" i="122" s="1"/>
  <c r="S67" i="129"/>
  <c r="T77" i="122" s="1"/>
  <c r="S69" i="129"/>
  <c r="S70" i="129"/>
  <c r="T80" i="122" s="1"/>
  <c r="S74" i="129"/>
  <c r="S91" i="129"/>
  <c r="S102" i="129" s="1"/>
  <c r="T79" i="122" s="1"/>
  <c r="S107" i="129"/>
  <c r="S13" i="130"/>
  <c r="S7" i="130"/>
  <c r="S14" i="130"/>
  <c r="T16" i="133"/>
  <c r="T18" i="133" s="1"/>
  <c r="T27" i="133"/>
  <c r="T33" i="133"/>
  <c r="T43" i="133"/>
  <c r="T63" i="133"/>
  <c r="T70" i="133"/>
  <c r="K215" i="122"/>
  <c r="K214" i="122"/>
  <c r="K213" i="122"/>
  <c r="K212" i="122"/>
  <c r="K211" i="122"/>
  <c r="K210" i="122"/>
  <c r="K209" i="122"/>
  <c r="D165" i="132"/>
  <c r="C165" i="132" s="1"/>
  <c r="C174" i="132"/>
  <c r="C175" i="132"/>
  <c r="D187" i="132"/>
  <c r="D188" i="132"/>
  <c r="D191" i="132"/>
  <c r="D198" i="132"/>
  <c r="L215" i="122" l="1"/>
  <c r="T71" i="133"/>
  <c r="T74" i="133" s="1"/>
  <c r="T78" i="133" s="1"/>
  <c r="T82" i="122" s="1"/>
  <c r="T132" i="122" s="1"/>
  <c r="S57" i="129"/>
  <c r="T62" i="122"/>
  <c r="T67" i="122" s="1"/>
  <c r="T74" i="122"/>
  <c r="S64" i="129"/>
  <c r="S47" i="129"/>
  <c r="T22" i="122"/>
  <c r="S44" i="129"/>
  <c r="T44" i="133"/>
  <c r="T46" i="133" s="1"/>
  <c r="T54" i="133" s="1"/>
  <c r="T79" i="133" s="1"/>
  <c r="D195" i="132"/>
  <c r="D189" i="132"/>
  <c r="G213" i="122"/>
  <c r="S65" i="129" l="1"/>
  <c r="S68" i="129" s="1"/>
  <c r="S72" i="129" s="1"/>
  <c r="T75" i="122"/>
  <c r="T78" i="122" s="1"/>
  <c r="T114" i="122"/>
  <c r="T116" i="122" s="1"/>
  <c r="T21" i="122"/>
  <c r="T129" i="122" l="1"/>
  <c r="T83" i="122"/>
  <c r="T107" i="122"/>
  <c r="T110" i="122" s="1"/>
  <c r="T24" i="122"/>
  <c r="T41" i="122" s="1"/>
  <c r="T43" i="122" s="1"/>
  <c r="T51" i="122" s="1"/>
  <c r="F13" i="110"/>
  <c r="F26" i="135"/>
  <c r="F17" i="120" l="1"/>
  <c r="S21" i="134"/>
  <c r="F34" i="78"/>
  <c r="F33" i="78"/>
  <c r="D35" i="135"/>
  <c r="F34" i="135"/>
  <c r="F33" i="135"/>
  <c r="F34" i="139"/>
  <c r="F33" i="139"/>
  <c r="D35" i="139"/>
  <c r="D35" i="78"/>
  <c r="F15" i="139" l="1"/>
  <c r="F14" i="139"/>
  <c r="F15" i="78"/>
  <c r="J24" i="103" l="1"/>
  <c r="I40" i="103"/>
  <c r="I30" i="103"/>
  <c r="H40" i="103"/>
  <c r="H30" i="103"/>
  <c r="G40" i="103"/>
  <c r="G30" i="103"/>
  <c r="F32" i="139" l="1"/>
  <c r="F30" i="139"/>
  <c r="F29" i="139"/>
  <c r="F28" i="139"/>
  <c r="F25" i="139"/>
  <c r="F24" i="139"/>
  <c r="F23" i="139"/>
  <c r="D19" i="139"/>
  <c r="D37" i="139" s="1"/>
  <c r="F18" i="139"/>
  <c r="F17" i="139"/>
  <c r="F13" i="139"/>
  <c r="F12" i="139"/>
  <c r="F11" i="139"/>
  <c r="G57" i="88"/>
  <c r="G56" i="88"/>
  <c r="G31" i="88"/>
  <c r="G29" i="88"/>
  <c r="G28" i="88"/>
  <c r="D38" i="136"/>
  <c r="D30" i="136"/>
  <c r="D28" i="136"/>
  <c r="D27" i="136"/>
  <c r="F35" i="139" l="1"/>
  <c r="H20" i="103"/>
  <c r="F19" i="139"/>
  <c r="H12" i="103"/>
  <c r="H13" i="103" s="1"/>
  <c r="D40" i="136"/>
  <c r="F277" i="132"/>
  <c r="B295" i="132"/>
  <c r="F244" i="132"/>
  <c r="B263" i="132" s="1"/>
  <c r="F225" i="132"/>
  <c r="B262" i="132" s="1"/>
  <c r="H19" i="103" l="1"/>
  <c r="H24" i="103" s="1"/>
  <c r="H41" i="103" s="1"/>
  <c r="H14" i="103"/>
  <c r="H15" i="103" s="1"/>
  <c r="F37" i="139"/>
  <c r="F39" i="139" s="1"/>
  <c r="F41" i="139" s="1"/>
  <c r="H35" i="120"/>
  <c r="H27" i="120"/>
  <c r="H30" i="120"/>
  <c r="F15" i="135"/>
  <c r="H43" i="103" l="1"/>
  <c r="H46" i="103" s="1"/>
  <c r="H51" i="103" s="1"/>
  <c r="F39" i="110"/>
  <c r="E28" i="120" l="1"/>
  <c r="R16" i="130"/>
  <c r="R13" i="130"/>
  <c r="G138" i="122" l="1"/>
  <c r="R17" i="130" l="1"/>
  <c r="R19" i="130" s="1"/>
  <c r="S137" i="122" s="1"/>
  <c r="S138" i="122"/>
  <c r="Q16" i="130"/>
  <c r="R138" i="122" s="1"/>
  <c r="R14" i="130"/>
  <c r="R21" i="130" l="1"/>
  <c r="R10" i="130"/>
  <c r="R29" i="134"/>
  <c r="R23" i="130" l="1"/>
  <c r="S90" i="122" l="1"/>
  <c r="S100" i="122"/>
  <c r="S101" i="122"/>
  <c r="S102" i="122"/>
  <c r="S115" i="122"/>
  <c r="S124" i="122"/>
  <c r="S125" i="122"/>
  <c r="R102" i="129"/>
  <c r="R93" i="129"/>
  <c r="R92" i="129"/>
  <c r="R91" i="129"/>
  <c r="Q91" i="129"/>
  <c r="R74" i="129"/>
  <c r="R52" i="129"/>
  <c r="S62" i="122" s="1"/>
  <c r="R53" i="129"/>
  <c r="S63" i="122" s="1"/>
  <c r="R54" i="129"/>
  <c r="S64" i="122" s="1"/>
  <c r="R55" i="129"/>
  <c r="R56" i="129"/>
  <c r="R59" i="129"/>
  <c r="S69" i="122" s="1"/>
  <c r="R60" i="129"/>
  <c r="S70" i="122" s="1"/>
  <c r="R61" i="129"/>
  <c r="S71" i="122" s="1"/>
  <c r="R62" i="129"/>
  <c r="R63" i="129"/>
  <c r="S73" i="122" s="1"/>
  <c r="R67" i="129"/>
  <c r="S77" i="122" s="1"/>
  <c r="R69" i="129"/>
  <c r="R107" i="129" s="1"/>
  <c r="R70" i="129"/>
  <c r="S80" i="122" s="1"/>
  <c r="R34" i="129"/>
  <c r="R42" i="129" s="1"/>
  <c r="R35" i="129"/>
  <c r="R20" i="129"/>
  <c r="S59" i="122"/>
  <c r="S65" i="122"/>
  <c r="S66" i="122"/>
  <c r="S11" i="122"/>
  <c r="S10" i="122"/>
  <c r="S12" i="122"/>
  <c r="S14" i="122"/>
  <c r="S136" i="122" s="1"/>
  <c r="S19" i="122"/>
  <c r="S92" i="122" s="1"/>
  <c r="S20" i="122"/>
  <c r="S93" i="122" s="1"/>
  <c r="S23" i="122"/>
  <c r="S120" i="122" s="1"/>
  <c r="S27" i="122"/>
  <c r="S94" i="122" s="1"/>
  <c r="S28" i="122"/>
  <c r="S108" i="122" s="1"/>
  <c r="S29" i="122"/>
  <c r="S121" i="122" s="1"/>
  <c r="S32" i="122"/>
  <c r="S95" i="122" s="1"/>
  <c r="S33" i="122"/>
  <c r="S96" i="122" s="1"/>
  <c r="S34" i="122"/>
  <c r="S97" i="122" s="1"/>
  <c r="S37" i="122"/>
  <c r="S38" i="122"/>
  <c r="S109" i="122" s="1"/>
  <c r="S39" i="122"/>
  <c r="S122" i="122" s="1"/>
  <c r="S46" i="122"/>
  <c r="S47" i="122"/>
  <c r="S48" i="122"/>
  <c r="S49" i="122"/>
  <c r="S50" i="122"/>
  <c r="S70" i="133"/>
  <c r="S63" i="133"/>
  <c r="S43" i="133"/>
  <c r="S33" i="133"/>
  <c r="S27" i="133"/>
  <c r="S16" i="133"/>
  <c r="S18" i="133" s="1"/>
  <c r="S22" i="122" l="1"/>
  <c r="S21" i="122" s="1"/>
  <c r="S24" i="122" s="1"/>
  <c r="R44" i="129"/>
  <c r="R47" i="129"/>
  <c r="S71" i="133"/>
  <c r="S74" i="133" s="1"/>
  <c r="S78" i="133" s="1"/>
  <c r="S82" i="122" s="1"/>
  <c r="S132" i="122" s="1"/>
  <c r="S40" i="122"/>
  <c r="S123" i="122"/>
  <c r="S126" i="122" s="1"/>
  <c r="R64" i="129"/>
  <c r="R57" i="129"/>
  <c r="S98" i="122"/>
  <c r="S99" i="122" s="1"/>
  <c r="S103" i="122" s="1"/>
  <c r="S30" i="122"/>
  <c r="S72" i="122"/>
  <c r="S74" i="122" s="1"/>
  <c r="S139" i="122"/>
  <c r="S67" i="122"/>
  <c r="S13" i="122"/>
  <c r="S15" i="122" s="1"/>
  <c r="S44" i="133"/>
  <c r="S46" i="133" s="1"/>
  <c r="S54" i="133" s="1"/>
  <c r="T172" i="122" l="1"/>
  <c r="T192" i="122" s="1"/>
  <c r="T154" i="122"/>
  <c r="T127" i="122"/>
  <c r="T178" i="122"/>
  <c r="T198" i="122" s="1"/>
  <c r="T133" i="122"/>
  <c r="T158" i="122"/>
  <c r="S114" i="122"/>
  <c r="S116" i="122" s="1"/>
  <c r="S107" i="122"/>
  <c r="S110" i="122" s="1"/>
  <c r="R65" i="129"/>
  <c r="R68" i="129" s="1"/>
  <c r="R72" i="129" s="1"/>
  <c r="S75" i="122"/>
  <c r="S78" i="122" s="1"/>
  <c r="S129" i="122" s="1"/>
  <c r="S41" i="122"/>
  <c r="S43" i="122" s="1"/>
  <c r="S51" i="122" s="1"/>
  <c r="S79" i="122"/>
  <c r="S79" i="133"/>
  <c r="B44" i="120"/>
  <c r="T174" i="122" l="1"/>
  <c r="T194" i="122" s="1"/>
  <c r="T130" i="122"/>
  <c r="T156" i="122"/>
  <c r="T152" i="122"/>
  <c r="T111" i="122"/>
  <c r="T168" i="122"/>
  <c r="T188" i="122" s="1"/>
  <c r="S83" i="122"/>
  <c r="F18" i="87" l="1"/>
  <c r="F17" i="87"/>
  <c r="F16" i="87"/>
  <c r="F15" i="87"/>
  <c r="F14" i="87"/>
  <c r="F13" i="87"/>
  <c r="G59" i="122" l="1"/>
  <c r="H59" i="122"/>
  <c r="I59" i="122"/>
  <c r="J59" i="122"/>
  <c r="K59" i="122"/>
  <c r="L59" i="122"/>
  <c r="M59" i="122"/>
  <c r="N59" i="122"/>
  <c r="O59" i="122"/>
  <c r="P59" i="122"/>
  <c r="Q59" i="122"/>
  <c r="R59" i="122"/>
  <c r="F59" i="122"/>
  <c r="A58" i="122"/>
  <c r="A88" i="122" s="1"/>
  <c r="A56" i="122"/>
  <c r="A55" i="122"/>
  <c r="E55" i="122"/>
  <c r="F137" i="122"/>
  <c r="G90" i="122"/>
  <c r="H90" i="122"/>
  <c r="I90" i="122"/>
  <c r="J90" i="122"/>
  <c r="K90" i="122"/>
  <c r="L90" i="122"/>
  <c r="M90" i="122"/>
  <c r="N90" i="122"/>
  <c r="O90" i="122"/>
  <c r="P90" i="122"/>
  <c r="Q90" i="122"/>
  <c r="R90" i="122"/>
  <c r="F90" i="122"/>
  <c r="G115" i="122"/>
  <c r="H115" i="122"/>
  <c r="I115" i="122"/>
  <c r="K115" i="122"/>
  <c r="M115" i="122"/>
  <c r="N115" i="122"/>
  <c r="O115" i="122"/>
  <c r="P115" i="122"/>
  <c r="R115" i="122"/>
  <c r="F115" i="122"/>
  <c r="F74" i="129" l="1"/>
  <c r="G74" i="129"/>
  <c r="H74" i="129"/>
  <c r="I74" i="129"/>
  <c r="J74" i="129"/>
  <c r="K74" i="129"/>
  <c r="L74" i="129"/>
  <c r="M74" i="129"/>
  <c r="N74" i="129"/>
  <c r="O74" i="129"/>
  <c r="P74" i="129"/>
  <c r="Q74" i="129"/>
  <c r="E74" i="129"/>
  <c r="D29" i="103" l="1"/>
  <c r="H39" i="94"/>
  <c r="H34" i="91"/>
  <c r="H31" i="91" l="1"/>
  <c r="H31" i="94"/>
  <c r="D32" i="103"/>
  <c r="D37" i="103"/>
  <c r="H39" i="91"/>
  <c r="H34" i="94"/>
  <c r="L18" i="110"/>
  <c r="L20" i="110" s="1"/>
  <c r="H12" i="91" l="1"/>
  <c r="L22" i="110"/>
  <c r="L24" i="110" s="1"/>
  <c r="H12" i="94"/>
  <c r="S87" i="120" l="1"/>
  <c r="H23" i="126"/>
  <c r="R10" i="122"/>
  <c r="R11" i="122"/>
  <c r="F32" i="135" l="1"/>
  <c r="S27" i="134" s="1"/>
  <c r="F23" i="135"/>
  <c r="S18" i="134" s="1"/>
  <c r="F24" i="135"/>
  <c r="S19" i="134" s="1"/>
  <c r="F25" i="135"/>
  <c r="S20" i="134" s="1"/>
  <c r="F27" i="135"/>
  <c r="S22" i="134" s="1"/>
  <c r="F28" i="135"/>
  <c r="S23" i="134" s="1"/>
  <c r="F29" i="135"/>
  <c r="S24" i="134" s="1"/>
  <c r="F22" i="135"/>
  <c r="S17" i="134" s="1"/>
  <c r="F18" i="135"/>
  <c r="S13" i="134" s="1"/>
  <c r="F13" i="135"/>
  <c r="S11" i="134" s="1"/>
  <c r="F14" i="135"/>
  <c r="F17" i="135"/>
  <c r="S12" i="134" s="1"/>
  <c r="F12" i="135"/>
  <c r="S10" i="134" s="1"/>
  <c r="F11" i="135"/>
  <c r="F9" i="120" l="1"/>
  <c r="S9" i="134"/>
  <c r="S6" i="130" s="1"/>
  <c r="S9" i="130"/>
  <c r="S14" i="134"/>
  <c r="F11" i="120"/>
  <c r="R14" i="134"/>
  <c r="R31" i="134" s="1"/>
  <c r="R33" i="134" s="1"/>
  <c r="I16" i="130"/>
  <c r="J138" i="122" s="1"/>
  <c r="S17" i="130" l="1"/>
  <c r="S10" i="130"/>
  <c r="R35" i="134"/>
  <c r="R54" i="134"/>
  <c r="P16" i="130"/>
  <c r="Q138" i="122" s="1"/>
  <c r="J16" i="130"/>
  <c r="K138" i="122" s="1"/>
  <c r="K16" i="130"/>
  <c r="L138" i="122" s="1"/>
  <c r="L16" i="130"/>
  <c r="M138" i="122" s="1"/>
  <c r="M16" i="130"/>
  <c r="N138" i="122" s="1"/>
  <c r="N16" i="130"/>
  <c r="O138" i="122" s="1"/>
  <c r="O16" i="130"/>
  <c r="P138" i="122" s="1"/>
  <c r="S19" i="130" l="1"/>
  <c r="T137" i="122" s="1"/>
  <c r="T139" i="122" s="1"/>
  <c r="S21" i="130"/>
  <c r="S23" i="130" s="1"/>
  <c r="E17" i="130"/>
  <c r="E19" i="130" s="1"/>
  <c r="F138" i="122" s="1"/>
  <c r="Q9" i="130"/>
  <c r="T140" i="122" l="1"/>
  <c r="T160" i="122"/>
  <c r="T180" i="122"/>
  <c r="T200" i="122" s="1"/>
  <c r="F12" i="78"/>
  <c r="F14" i="78" l="1"/>
  <c r="F30" i="135"/>
  <c r="S25" i="134" s="1"/>
  <c r="F31" i="135" l="1"/>
  <c r="S26" i="134" s="1"/>
  <c r="S29" i="134" s="1"/>
  <c r="D19" i="135"/>
  <c r="O72" i="120"/>
  <c r="R72" i="120"/>
  <c r="J72" i="120"/>
  <c r="J75" i="120" s="1"/>
  <c r="K72" i="120"/>
  <c r="L72" i="120"/>
  <c r="L75" i="120" s="1"/>
  <c r="F70" i="120"/>
  <c r="F63" i="120"/>
  <c r="T100" i="122" l="1"/>
  <c r="T103" i="122" s="1"/>
  <c r="T150" i="122" s="1"/>
  <c r="S31" i="134"/>
  <c r="S33" i="134" s="1"/>
  <c r="S54" i="134" s="1"/>
  <c r="T164" i="122"/>
  <c r="T184" i="122" s="1"/>
  <c r="F72" i="120"/>
  <c r="F75" i="120" s="1"/>
  <c r="F79" i="120" s="1"/>
  <c r="I74" i="120"/>
  <c r="I7" i="120"/>
  <c r="N7" i="120" s="1"/>
  <c r="I66" i="120"/>
  <c r="I11" i="120"/>
  <c r="N11" i="120" s="1"/>
  <c r="I32" i="120"/>
  <c r="I37" i="120"/>
  <c r="I61" i="120"/>
  <c r="I69" i="120"/>
  <c r="I76" i="120"/>
  <c r="I17" i="120"/>
  <c r="I36" i="120"/>
  <c r="E212" i="122" s="1"/>
  <c r="I18" i="120"/>
  <c r="E210" i="122" s="1"/>
  <c r="I24" i="120"/>
  <c r="I35" i="120"/>
  <c r="I52" i="120"/>
  <c r="I67" i="120"/>
  <c r="G21" i="120"/>
  <c r="I30" i="120"/>
  <c r="I51" i="120"/>
  <c r="I62" i="120"/>
  <c r="I8" i="120"/>
  <c r="N8" i="120" s="1"/>
  <c r="I59" i="120"/>
  <c r="I9" i="120"/>
  <c r="I25" i="120"/>
  <c r="E211" i="122" s="1"/>
  <c r="I31" i="120"/>
  <c r="I58" i="120"/>
  <c r="I60" i="120"/>
  <c r="I68" i="120"/>
  <c r="I77" i="120"/>
  <c r="I20" i="120"/>
  <c r="I27" i="120"/>
  <c r="G28" i="120"/>
  <c r="G38" i="120"/>
  <c r="G10" i="120"/>
  <c r="G12" i="120" s="1"/>
  <c r="I65" i="120"/>
  <c r="I19" i="120"/>
  <c r="G63" i="120"/>
  <c r="G70" i="120"/>
  <c r="H63" i="120"/>
  <c r="H70" i="120"/>
  <c r="F19" i="135"/>
  <c r="F35" i="135"/>
  <c r="D37" i="135"/>
  <c r="D11" i="110"/>
  <c r="F11" i="110" s="1"/>
  <c r="E213" i="122" l="1"/>
  <c r="T104" i="122"/>
  <c r="S35" i="134"/>
  <c r="D15" i="110"/>
  <c r="F15" i="110"/>
  <c r="F16" i="120"/>
  <c r="N10" i="120"/>
  <c r="N12" i="120" s="1"/>
  <c r="H27" i="126"/>
  <c r="G72" i="120"/>
  <c r="I10" i="120"/>
  <c r="G39" i="120"/>
  <c r="G41" i="120" s="1"/>
  <c r="G49" i="120" s="1"/>
  <c r="H72" i="120"/>
  <c r="H75" i="120" s="1"/>
  <c r="H79" i="120" s="1"/>
  <c r="F37" i="135"/>
  <c r="G214" i="122" l="1"/>
  <c r="G215" i="122"/>
  <c r="N170" i="122"/>
  <c r="N190" i="122" s="1"/>
  <c r="K18" i="120" s="1"/>
  <c r="K36" i="120" s="1"/>
  <c r="I16" i="120"/>
  <c r="F21" i="120"/>
  <c r="G75" i="120"/>
  <c r="G79" i="120" s="1"/>
  <c r="F39" i="135"/>
  <c r="F41" i="135" s="1"/>
  <c r="I47" i="120"/>
  <c r="J47" i="120"/>
  <c r="K47" i="120"/>
  <c r="L47" i="120"/>
  <c r="M47" i="120"/>
  <c r="N47" i="120"/>
  <c r="O47" i="120"/>
  <c r="P47" i="120"/>
  <c r="Q47" i="120"/>
  <c r="R47" i="120"/>
  <c r="S47" i="120"/>
  <c r="F47" i="120"/>
  <c r="G47" i="120"/>
  <c r="H47" i="120"/>
  <c r="E47" i="120"/>
  <c r="F46" i="120"/>
  <c r="G46" i="120"/>
  <c r="H46" i="120"/>
  <c r="I46" i="120"/>
  <c r="J46" i="120"/>
  <c r="K46" i="120"/>
  <c r="L46" i="120"/>
  <c r="M46" i="120"/>
  <c r="N46" i="120"/>
  <c r="O46" i="120"/>
  <c r="P46" i="120"/>
  <c r="Q46" i="120"/>
  <c r="R46" i="120"/>
  <c r="E46" i="120"/>
  <c r="E84" i="120" l="1"/>
  <c r="S84" i="120" s="1"/>
  <c r="H15" i="126"/>
  <c r="F13" i="130"/>
  <c r="G13" i="130"/>
  <c r="H13" i="130"/>
  <c r="I13" i="130"/>
  <c r="J13" i="130"/>
  <c r="K13" i="130"/>
  <c r="L13" i="130"/>
  <c r="M13" i="130"/>
  <c r="N13" i="130"/>
  <c r="O13" i="130"/>
  <c r="P13" i="130"/>
  <c r="Q13" i="130"/>
  <c r="F14" i="130"/>
  <c r="F21" i="130" s="1"/>
  <c r="G14" i="130"/>
  <c r="H14" i="130"/>
  <c r="I14" i="130"/>
  <c r="J14" i="130"/>
  <c r="K14" i="130"/>
  <c r="L14" i="130"/>
  <c r="M14" i="130"/>
  <c r="N14" i="130"/>
  <c r="O14" i="130"/>
  <c r="P14" i="130"/>
  <c r="Q14" i="130"/>
  <c r="E14" i="130"/>
  <c r="E21" i="130" s="1"/>
  <c r="E23" i="130" s="1"/>
  <c r="E13" i="130"/>
  <c r="F29" i="134"/>
  <c r="G100" i="122" s="1"/>
  <c r="G29" i="134"/>
  <c r="H100" i="122" s="1"/>
  <c r="H29" i="134"/>
  <c r="I100" i="122" s="1"/>
  <c r="I29" i="134"/>
  <c r="J100" i="122" s="1"/>
  <c r="J29" i="134"/>
  <c r="K100" i="122" s="1"/>
  <c r="K29" i="134"/>
  <c r="L100" i="122" s="1"/>
  <c r="L29" i="134"/>
  <c r="M100" i="122" s="1"/>
  <c r="M29" i="134"/>
  <c r="N100" i="122" s="1"/>
  <c r="N29" i="134"/>
  <c r="O100" i="122" s="1"/>
  <c r="O29" i="134"/>
  <c r="P100" i="122" s="1"/>
  <c r="P29" i="134"/>
  <c r="Q100" i="122" s="1"/>
  <c r="Q29" i="134"/>
  <c r="R100" i="122" s="1"/>
  <c r="F14" i="134" l="1"/>
  <c r="F31" i="134" s="1"/>
  <c r="G14" i="134"/>
  <c r="G31" i="134" s="1"/>
  <c r="H14" i="134"/>
  <c r="H31" i="134" s="1"/>
  <c r="I14" i="134"/>
  <c r="I31" i="134" s="1"/>
  <c r="J14" i="134"/>
  <c r="J31" i="134" s="1"/>
  <c r="K14" i="134"/>
  <c r="K31" i="134" s="1"/>
  <c r="L14" i="134"/>
  <c r="L31" i="134" s="1"/>
  <c r="M14" i="134"/>
  <c r="M31" i="134" s="1"/>
  <c r="N14" i="134"/>
  <c r="N31" i="134" s="1"/>
  <c r="O14" i="134"/>
  <c r="O31" i="134" s="1"/>
  <c r="P14" i="134"/>
  <c r="P31" i="134" s="1"/>
  <c r="Q14" i="134"/>
  <c r="Q31" i="134" s="1"/>
  <c r="E14" i="134"/>
  <c r="E29" i="134"/>
  <c r="F100" i="122" s="1"/>
  <c r="M33" i="134" l="1"/>
  <c r="P33" i="134"/>
  <c r="L33" i="134"/>
  <c r="H33" i="134"/>
  <c r="H35" i="134" s="1"/>
  <c r="I33" i="134"/>
  <c r="I35" i="134" s="1"/>
  <c r="N33" i="134"/>
  <c r="J33" i="134"/>
  <c r="J54" i="134" s="1"/>
  <c r="F33" i="134"/>
  <c r="F35" i="134" s="1"/>
  <c r="O33" i="134"/>
  <c r="K33" i="134"/>
  <c r="G33" i="134"/>
  <c r="G35" i="134" s="1"/>
  <c r="Q33" i="134"/>
  <c r="E31" i="134"/>
  <c r="E33" i="134" s="1"/>
  <c r="E70" i="120"/>
  <c r="E63" i="120"/>
  <c r="Q12" i="129"/>
  <c r="Q11" i="129"/>
  <c r="P11" i="129"/>
  <c r="P12" i="129"/>
  <c r="F11" i="129"/>
  <c r="G11" i="129"/>
  <c r="H11" i="129"/>
  <c r="I11" i="129"/>
  <c r="J11" i="129"/>
  <c r="K11" i="129"/>
  <c r="L11" i="129"/>
  <c r="M11" i="129"/>
  <c r="N11" i="129"/>
  <c r="O11" i="129"/>
  <c r="E11" i="129"/>
  <c r="G82" i="122"/>
  <c r="G132" i="122" s="1"/>
  <c r="H82" i="122"/>
  <c r="H132" i="122" s="1"/>
  <c r="I82" i="122"/>
  <c r="I132" i="122" s="1"/>
  <c r="J82" i="122"/>
  <c r="J132" i="122" s="1"/>
  <c r="K82" i="122"/>
  <c r="K132" i="122" s="1"/>
  <c r="L82" i="122"/>
  <c r="L132" i="122" s="1"/>
  <c r="M82" i="122"/>
  <c r="M132" i="122" s="1"/>
  <c r="N82" i="122"/>
  <c r="N132" i="122" s="1"/>
  <c r="O82" i="122"/>
  <c r="O132" i="122" s="1"/>
  <c r="P82" i="122"/>
  <c r="P132" i="122" s="1"/>
  <c r="Q82" i="122"/>
  <c r="Q132" i="122" s="1"/>
  <c r="R82" i="122"/>
  <c r="R132" i="122" s="1"/>
  <c r="S178" i="122" s="1"/>
  <c r="S198" i="122" s="1"/>
  <c r="F82" i="122"/>
  <c r="F132" i="122" s="1"/>
  <c r="F69" i="129"/>
  <c r="G69" i="129"/>
  <c r="H69" i="129"/>
  <c r="I69" i="129"/>
  <c r="J69" i="129"/>
  <c r="K69" i="129"/>
  <c r="L69" i="129"/>
  <c r="M69" i="129"/>
  <c r="N69" i="129"/>
  <c r="O69" i="129"/>
  <c r="P69" i="129"/>
  <c r="P107" i="129" s="1"/>
  <c r="Q69" i="129"/>
  <c r="Q107" i="129" s="1"/>
  <c r="F70" i="129"/>
  <c r="G70" i="129"/>
  <c r="H70" i="129"/>
  <c r="I70" i="129"/>
  <c r="J70" i="129"/>
  <c r="K70" i="129"/>
  <c r="L70" i="129"/>
  <c r="M70" i="129"/>
  <c r="N70" i="129"/>
  <c r="O70" i="129"/>
  <c r="P70" i="129"/>
  <c r="Q70" i="129"/>
  <c r="E70" i="129"/>
  <c r="Q59" i="129"/>
  <c r="R69" i="122" s="1"/>
  <c r="Q60" i="129"/>
  <c r="R70" i="122" s="1"/>
  <c r="Q61" i="129"/>
  <c r="R71" i="122" s="1"/>
  <c r="Q62" i="129"/>
  <c r="R72" i="122" s="1"/>
  <c r="Q63" i="129"/>
  <c r="R73" i="122" s="1"/>
  <c r="P60" i="129"/>
  <c r="Q70" i="122" s="1"/>
  <c r="P61" i="129"/>
  <c r="Q71" i="122" s="1"/>
  <c r="P62" i="129"/>
  <c r="Q72" i="122" s="1"/>
  <c r="P63" i="129"/>
  <c r="Q73" i="122" s="1"/>
  <c r="P59" i="129"/>
  <c r="Q69" i="122" s="1"/>
  <c r="P52" i="129"/>
  <c r="Q52" i="129"/>
  <c r="P53" i="129"/>
  <c r="Q53" i="129"/>
  <c r="P54" i="129"/>
  <c r="Q54" i="129"/>
  <c r="P55" i="129"/>
  <c r="Q55" i="129"/>
  <c r="P56" i="129"/>
  <c r="Q56" i="129"/>
  <c r="P67" i="129"/>
  <c r="Q77" i="122" s="1"/>
  <c r="Q67" i="129"/>
  <c r="R77" i="122" s="1"/>
  <c r="F52" i="129"/>
  <c r="G52" i="129"/>
  <c r="H52" i="129"/>
  <c r="I52" i="129"/>
  <c r="J52" i="129"/>
  <c r="K52" i="129"/>
  <c r="L52" i="129"/>
  <c r="M52" i="129"/>
  <c r="N52" i="129"/>
  <c r="O52" i="129"/>
  <c r="F53" i="129"/>
  <c r="G53" i="129"/>
  <c r="H53" i="129"/>
  <c r="I53" i="129"/>
  <c r="J53" i="129"/>
  <c r="K53" i="129"/>
  <c r="L53" i="129"/>
  <c r="M53" i="129"/>
  <c r="N53" i="129"/>
  <c r="O53" i="129"/>
  <c r="F54" i="129"/>
  <c r="G54" i="129"/>
  <c r="H54" i="129"/>
  <c r="I54" i="129"/>
  <c r="J54" i="129"/>
  <c r="K54" i="129"/>
  <c r="L54" i="129"/>
  <c r="M54" i="129"/>
  <c r="N54" i="129"/>
  <c r="O54" i="129"/>
  <c r="F55" i="129"/>
  <c r="G55" i="129"/>
  <c r="H55" i="129"/>
  <c r="I55" i="129"/>
  <c r="J55" i="129"/>
  <c r="K55" i="129"/>
  <c r="L55" i="129"/>
  <c r="M55" i="129"/>
  <c r="N55" i="129"/>
  <c r="O55" i="129"/>
  <c r="F56" i="129"/>
  <c r="G56" i="129"/>
  <c r="H56" i="129"/>
  <c r="I56" i="129"/>
  <c r="J56" i="129"/>
  <c r="K56" i="129"/>
  <c r="L56" i="129"/>
  <c r="M56" i="129"/>
  <c r="N56" i="129"/>
  <c r="O56" i="129"/>
  <c r="F64" i="129"/>
  <c r="G64" i="129"/>
  <c r="H64" i="129"/>
  <c r="I64" i="129"/>
  <c r="J64" i="129"/>
  <c r="K64" i="129"/>
  <c r="L64" i="129"/>
  <c r="M64" i="129"/>
  <c r="N64" i="129"/>
  <c r="O64" i="129"/>
  <c r="F67" i="129"/>
  <c r="G67" i="129"/>
  <c r="H67" i="129"/>
  <c r="I67" i="129"/>
  <c r="J67" i="129"/>
  <c r="K67" i="129"/>
  <c r="L67" i="129"/>
  <c r="M67" i="129"/>
  <c r="N67" i="129"/>
  <c r="O67" i="129"/>
  <c r="E69" i="129"/>
  <c r="E67" i="129"/>
  <c r="E64" i="129"/>
  <c r="E53" i="129"/>
  <c r="E54" i="129"/>
  <c r="E55" i="129"/>
  <c r="E56" i="129"/>
  <c r="E52" i="129"/>
  <c r="G10" i="122"/>
  <c r="H10" i="122"/>
  <c r="I10" i="122"/>
  <c r="J10" i="122"/>
  <c r="K10" i="122"/>
  <c r="L10" i="122"/>
  <c r="M10" i="122"/>
  <c r="N10" i="122"/>
  <c r="O10" i="122"/>
  <c r="P10" i="122"/>
  <c r="Q10" i="122"/>
  <c r="G11" i="122"/>
  <c r="H11" i="122"/>
  <c r="I11" i="122"/>
  <c r="J11" i="122"/>
  <c r="K11" i="122"/>
  <c r="L11" i="122"/>
  <c r="M11" i="122"/>
  <c r="N11" i="122"/>
  <c r="O11" i="122"/>
  <c r="P11" i="122"/>
  <c r="Q11" i="122"/>
  <c r="G12" i="122"/>
  <c r="H12" i="122"/>
  <c r="I12" i="122"/>
  <c r="J12" i="122"/>
  <c r="K12" i="122"/>
  <c r="L12" i="122"/>
  <c r="M12" i="122"/>
  <c r="N12" i="122"/>
  <c r="O12" i="122"/>
  <c r="P12" i="122"/>
  <c r="Q12" i="122"/>
  <c r="R12" i="122"/>
  <c r="R13" i="122" s="1"/>
  <c r="G14" i="122"/>
  <c r="G136" i="122" s="1"/>
  <c r="H14" i="122"/>
  <c r="H136" i="122" s="1"/>
  <c r="I14" i="122"/>
  <c r="I136" i="122" s="1"/>
  <c r="J14" i="122"/>
  <c r="J136" i="122" s="1"/>
  <c r="K14" i="122"/>
  <c r="K136" i="122" s="1"/>
  <c r="L14" i="122"/>
  <c r="L136" i="122" s="1"/>
  <c r="M14" i="122"/>
  <c r="M136" i="122" s="1"/>
  <c r="N14" i="122"/>
  <c r="N136" i="122" s="1"/>
  <c r="O14" i="122"/>
  <c r="O136" i="122" s="1"/>
  <c r="P14" i="122"/>
  <c r="P136" i="122" s="1"/>
  <c r="Q14" i="122"/>
  <c r="Q136" i="122" s="1"/>
  <c r="R14" i="122"/>
  <c r="R136" i="122" s="1"/>
  <c r="G19" i="122"/>
  <c r="G92" i="122" s="1"/>
  <c r="H19" i="122"/>
  <c r="H92" i="122" s="1"/>
  <c r="I19" i="122"/>
  <c r="I92" i="122" s="1"/>
  <c r="J19" i="122"/>
  <c r="J92" i="122" s="1"/>
  <c r="K19" i="122"/>
  <c r="K92" i="122" s="1"/>
  <c r="L19" i="122"/>
  <c r="L92" i="122" s="1"/>
  <c r="M19" i="122"/>
  <c r="M92" i="122" s="1"/>
  <c r="N19" i="122"/>
  <c r="N92" i="122" s="1"/>
  <c r="O19" i="122"/>
  <c r="O92" i="122" s="1"/>
  <c r="P19" i="122"/>
  <c r="P92" i="122" s="1"/>
  <c r="Q19" i="122"/>
  <c r="Q92" i="122" s="1"/>
  <c r="R19" i="122"/>
  <c r="R92" i="122" s="1"/>
  <c r="G20" i="122"/>
  <c r="G93" i="122" s="1"/>
  <c r="H20" i="122"/>
  <c r="H93" i="122" s="1"/>
  <c r="I20" i="122"/>
  <c r="I93" i="122" s="1"/>
  <c r="J20" i="122"/>
  <c r="J93" i="122" s="1"/>
  <c r="K20" i="122"/>
  <c r="K93" i="122" s="1"/>
  <c r="L20" i="122"/>
  <c r="L93" i="122" s="1"/>
  <c r="M20" i="122"/>
  <c r="M93" i="122" s="1"/>
  <c r="N20" i="122"/>
  <c r="N93" i="122" s="1"/>
  <c r="O20" i="122"/>
  <c r="O93" i="122" s="1"/>
  <c r="P20" i="122"/>
  <c r="P93" i="122" s="1"/>
  <c r="Q20" i="122"/>
  <c r="Q93" i="122" s="1"/>
  <c r="R20" i="122"/>
  <c r="R93" i="122" s="1"/>
  <c r="G23" i="122"/>
  <c r="G120" i="122" s="1"/>
  <c r="H23" i="122"/>
  <c r="H120" i="122" s="1"/>
  <c r="I23" i="122"/>
  <c r="I120" i="122" s="1"/>
  <c r="J23" i="122"/>
  <c r="J120" i="122" s="1"/>
  <c r="K23" i="122"/>
  <c r="K120" i="122" s="1"/>
  <c r="L23" i="122"/>
  <c r="L120" i="122" s="1"/>
  <c r="M23" i="122"/>
  <c r="M120" i="122" s="1"/>
  <c r="N23" i="122"/>
  <c r="N120" i="122" s="1"/>
  <c r="O23" i="122"/>
  <c r="O120" i="122" s="1"/>
  <c r="P23" i="122"/>
  <c r="P120" i="122" s="1"/>
  <c r="Q23" i="122"/>
  <c r="Q120" i="122" s="1"/>
  <c r="R23" i="122"/>
  <c r="R120" i="122" s="1"/>
  <c r="G27" i="122"/>
  <c r="G94" i="122" s="1"/>
  <c r="H27" i="122"/>
  <c r="H94" i="122" s="1"/>
  <c r="I27" i="122"/>
  <c r="I94" i="122" s="1"/>
  <c r="J27" i="122"/>
  <c r="J94" i="122" s="1"/>
  <c r="K27" i="122"/>
  <c r="K94" i="122" s="1"/>
  <c r="L27" i="122"/>
  <c r="L94" i="122" s="1"/>
  <c r="M27" i="122"/>
  <c r="M94" i="122" s="1"/>
  <c r="N27" i="122"/>
  <c r="N94" i="122" s="1"/>
  <c r="O27" i="122"/>
  <c r="O94" i="122" s="1"/>
  <c r="P27" i="122"/>
  <c r="P94" i="122" s="1"/>
  <c r="Q27" i="122"/>
  <c r="Q94" i="122" s="1"/>
  <c r="R27" i="122"/>
  <c r="R94" i="122" s="1"/>
  <c r="G28" i="122"/>
  <c r="G108" i="122" s="1"/>
  <c r="H28" i="122"/>
  <c r="H108" i="122" s="1"/>
  <c r="I28" i="122"/>
  <c r="I108" i="122" s="1"/>
  <c r="J28" i="122"/>
  <c r="J108" i="122" s="1"/>
  <c r="K28" i="122"/>
  <c r="K108" i="122" s="1"/>
  <c r="L28" i="122"/>
  <c r="L108" i="122" s="1"/>
  <c r="M28" i="122"/>
  <c r="M108" i="122" s="1"/>
  <c r="N28" i="122"/>
  <c r="N108" i="122" s="1"/>
  <c r="O28" i="122"/>
  <c r="O108" i="122" s="1"/>
  <c r="P28" i="122"/>
  <c r="P108" i="122" s="1"/>
  <c r="Q28" i="122"/>
  <c r="Q108" i="122" s="1"/>
  <c r="R28" i="122"/>
  <c r="R108" i="122" s="1"/>
  <c r="G29" i="122"/>
  <c r="G121" i="122" s="1"/>
  <c r="H29" i="122"/>
  <c r="H121" i="122" s="1"/>
  <c r="I29" i="122"/>
  <c r="I121" i="122" s="1"/>
  <c r="J29" i="122"/>
  <c r="J121" i="122" s="1"/>
  <c r="K29" i="122"/>
  <c r="K121" i="122" s="1"/>
  <c r="L29" i="122"/>
  <c r="L121" i="122" s="1"/>
  <c r="M29" i="122"/>
  <c r="M121" i="122" s="1"/>
  <c r="N29" i="122"/>
  <c r="N121" i="122" s="1"/>
  <c r="O29" i="122"/>
  <c r="O121" i="122" s="1"/>
  <c r="P29" i="122"/>
  <c r="P121" i="122" s="1"/>
  <c r="Q29" i="122"/>
  <c r="Q121" i="122" s="1"/>
  <c r="R29" i="122"/>
  <c r="R121" i="122" s="1"/>
  <c r="G32" i="122"/>
  <c r="G95" i="122" s="1"/>
  <c r="H32" i="122"/>
  <c r="H95" i="122" s="1"/>
  <c r="I32" i="122"/>
  <c r="I95" i="122" s="1"/>
  <c r="J32" i="122"/>
  <c r="J95" i="122" s="1"/>
  <c r="K32" i="122"/>
  <c r="K95" i="122" s="1"/>
  <c r="L32" i="122"/>
  <c r="L95" i="122" s="1"/>
  <c r="M32" i="122"/>
  <c r="M95" i="122" s="1"/>
  <c r="N32" i="122"/>
  <c r="N95" i="122" s="1"/>
  <c r="O32" i="122"/>
  <c r="O95" i="122" s="1"/>
  <c r="P32" i="122"/>
  <c r="P95" i="122" s="1"/>
  <c r="Q32" i="122"/>
  <c r="Q95" i="122" s="1"/>
  <c r="R32" i="122"/>
  <c r="R95" i="122" s="1"/>
  <c r="G33" i="122"/>
  <c r="G96" i="122" s="1"/>
  <c r="H33" i="122"/>
  <c r="H96" i="122" s="1"/>
  <c r="I33" i="122"/>
  <c r="I96" i="122" s="1"/>
  <c r="J33" i="122"/>
  <c r="J96" i="122" s="1"/>
  <c r="K33" i="122"/>
  <c r="K96" i="122" s="1"/>
  <c r="L33" i="122"/>
  <c r="L96" i="122" s="1"/>
  <c r="M33" i="122"/>
  <c r="M96" i="122" s="1"/>
  <c r="N33" i="122"/>
  <c r="N96" i="122" s="1"/>
  <c r="O33" i="122"/>
  <c r="O96" i="122" s="1"/>
  <c r="P33" i="122"/>
  <c r="P96" i="122" s="1"/>
  <c r="Q33" i="122"/>
  <c r="Q96" i="122" s="1"/>
  <c r="R33" i="122"/>
  <c r="R96" i="122" s="1"/>
  <c r="G34" i="122"/>
  <c r="G97" i="122" s="1"/>
  <c r="H34" i="122"/>
  <c r="H97" i="122" s="1"/>
  <c r="I34" i="122"/>
  <c r="I97" i="122" s="1"/>
  <c r="J34" i="122"/>
  <c r="J97" i="122" s="1"/>
  <c r="K34" i="122"/>
  <c r="K97" i="122" s="1"/>
  <c r="L34" i="122"/>
  <c r="L97" i="122" s="1"/>
  <c r="M34" i="122"/>
  <c r="M97" i="122" s="1"/>
  <c r="N34" i="122"/>
  <c r="N97" i="122" s="1"/>
  <c r="O34" i="122"/>
  <c r="O97" i="122" s="1"/>
  <c r="P34" i="122"/>
  <c r="P97" i="122" s="1"/>
  <c r="Q34" i="122"/>
  <c r="Q97" i="122" s="1"/>
  <c r="R34" i="122"/>
  <c r="R97" i="122" s="1"/>
  <c r="G37" i="122"/>
  <c r="G98" i="122" s="1"/>
  <c r="H37" i="122"/>
  <c r="H98" i="122" s="1"/>
  <c r="I37" i="122"/>
  <c r="I98" i="122" s="1"/>
  <c r="J37" i="122"/>
  <c r="J98" i="122" s="1"/>
  <c r="K37" i="122"/>
  <c r="K98" i="122" s="1"/>
  <c r="L37" i="122"/>
  <c r="L98" i="122" s="1"/>
  <c r="M37" i="122"/>
  <c r="M98" i="122" s="1"/>
  <c r="N37" i="122"/>
  <c r="N98" i="122" s="1"/>
  <c r="O37" i="122"/>
  <c r="O98" i="122" s="1"/>
  <c r="P37" i="122"/>
  <c r="P98" i="122" s="1"/>
  <c r="Q37" i="122"/>
  <c r="Q98" i="122" s="1"/>
  <c r="R37" i="122"/>
  <c r="R98" i="122" s="1"/>
  <c r="G38" i="122"/>
  <c r="G109" i="122" s="1"/>
  <c r="H38" i="122"/>
  <c r="H109" i="122" s="1"/>
  <c r="I38" i="122"/>
  <c r="I109" i="122" s="1"/>
  <c r="J38" i="122"/>
  <c r="J109" i="122" s="1"/>
  <c r="K38" i="122"/>
  <c r="K109" i="122" s="1"/>
  <c r="L38" i="122"/>
  <c r="L109" i="122" s="1"/>
  <c r="M38" i="122"/>
  <c r="M109" i="122" s="1"/>
  <c r="N38" i="122"/>
  <c r="N109" i="122" s="1"/>
  <c r="O38" i="122"/>
  <c r="O109" i="122" s="1"/>
  <c r="P38" i="122"/>
  <c r="P109" i="122" s="1"/>
  <c r="Q38" i="122"/>
  <c r="Q109" i="122" s="1"/>
  <c r="R38" i="122"/>
  <c r="R109" i="122" s="1"/>
  <c r="G39" i="122"/>
  <c r="G122" i="122" s="1"/>
  <c r="H39" i="122"/>
  <c r="H122" i="122" s="1"/>
  <c r="I39" i="122"/>
  <c r="I122" i="122" s="1"/>
  <c r="J39" i="122"/>
  <c r="J122" i="122" s="1"/>
  <c r="K39" i="122"/>
  <c r="K122" i="122" s="1"/>
  <c r="L39" i="122"/>
  <c r="L122" i="122" s="1"/>
  <c r="M39" i="122"/>
  <c r="M122" i="122" s="1"/>
  <c r="N39" i="122"/>
  <c r="N122" i="122" s="1"/>
  <c r="O39" i="122"/>
  <c r="O122" i="122" s="1"/>
  <c r="P39" i="122"/>
  <c r="P122" i="122" s="1"/>
  <c r="Q39" i="122"/>
  <c r="Q122" i="122" s="1"/>
  <c r="R39" i="122"/>
  <c r="R122" i="122" s="1"/>
  <c r="G40" i="122"/>
  <c r="H40" i="122"/>
  <c r="I40" i="122"/>
  <c r="J40" i="122"/>
  <c r="K40" i="122"/>
  <c r="L40" i="122"/>
  <c r="M40" i="122"/>
  <c r="N40" i="122"/>
  <c r="O40" i="122"/>
  <c r="P40" i="122"/>
  <c r="Q40" i="122"/>
  <c r="G46" i="122"/>
  <c r="H46" i="122"/>
  <c r="I46" i="122"/>
  <c r="J46" i="122"/>
  <c r="K46" i="122"/>
  <c r="L46" i="122"/>
  <c r="M46" i="122"/>
  <c r="N46" i="122"/>
  <c r="O46" i="122"/>
  <c r="P46" i="122"/>
  <c r="Q46" i="122"/>
  <c r="R46" i="122"/>
  <c r="G47" i="122"/>
  <c r="H47" i="122"/>
  <c r="I47" i="122"/>
  <c r="J47" i="122"/>
  <c r="K47" i="122"/>
  <c r="L47" i="122"/>
  <c r="M47" i="122"/>
  <c r="N47" i="122"/>
  <c r="O47" i="122"/>
  <c r="P47" i="122"/>
  <c r="Q47" i="122"/>
  <c r="R47" i="122"/>
  <c r="G48" i="122"/>
  <c r="H48" i="122"/>
  <c r="I48" i="122"/>
  <c r="J48" i="122"/>
  <c r="K48" i="122"/>
  <c r="L48" i="122"/>
  <c r="M48" i="122"/>
  <c r="N48" i="122"/>
  <c r="O48" i="122"/>
  <c r="P48" i="122"/>
  <c r="Q48" i="122"/>
  <c r="R48" i="122"/>
  <c r="G49" i="122"/>
  <c r="H49" i="122"/>
  <c r="I49" i="122"/>
  <c r="J49" i="122"/>
  <c r="K49" i="122"/>
  <c r="L49" i="122"/>
  <c r="M49" i="122"/>
  <c r="N49" i="122"/>
  <c r="O49" i="122"/>
  <c r="P49" i="122"/>
  <c r="Q49" i="122"/>
  <c r="R49" i="122"/>
  <c r="G50" i="122"/>
  <c r="H50" i="122"/>
  <c r="I50" i="122"/>
  <c r="J50" i="122"/>
  <c r="K50" i="122"/>
  <c r="L50" i="122"/>
  <c r="M50" i="122"/>
  <c r="N50" i="122"/>
  <c r="O50" i="122"/>
  <c r="P50" i="122"/>
  <c r="Q50" i="122"/>
  <c r="R50" i="122"/>
  <c r="F47" i="122"/>
  <c r="F48" i="122"/>
  <c r="F49" i="122"/>
  <c r="F50" i="122"/>
  <c r="F46" i="122"/>
  <c r="F38" i="122"/>
  <c r="F109" i="122" s="1"/>
  <c r="F39" i="122"/>
  <c r="F122" i="122" s="1"/>
  <c r="F37" i="122"/>
  <c r="F98" i="122" s="1"/>
  <c r="F34" i="122"/>
  <c r="F97" i="122" s="1"/>
  <c r="F33" i="122"/>
  <c r="F96" i="122" s="1"/>
  <c r="F32" i="122"/>
  <c r="F95" i="122" s="1"/>
  <c r="F28" i="122"/>
  <c r="F108" i="122" s="1"/>
  <c r="F29" i="122"/>
  <c r="F121" i="122" s="1"/>
  <c r="F27" i="122"/>
  <c r="F94" i="122" s="1"/>
  <c r="F23" i="122"/>
  <c r="F120" i="122" s="1"/>
  <c r="F20" i="122"/>
  <c r="F93" i="122" s="1"/>
  <c r="F19" i="122"/>
  <c r="F92" i="122" s="1"/>
  <c r="F12" i="122"/>
  <c r="F14" i="122"/>
  <c r="F136" i="122" s="1"/>
  <c r="F139" i="122" s="1"/>
  <c r="F11" i="122"/>
  <c r="F10" i="122"/>
  <c r="R79" i="133"/>
  <c r="O79" i="133"/>
  <c r="N79" i="133"/>
  <c r="K79" i="133"/>
  <c r="J79" i="133"/>
  <c r="G79" i="133"/>
  <c r="F79" i="133"/>
  <c r="Q79" i="133"/>
  <c r="P79" i="133"/>
  <c r="M79" i="133"/>
  <c r="L79" i="133"/>
  <c r="I79" i="133"/>
  <c r="H79" i="133"/>
  <c r="F22" i="87"/>
  <c r="F21" i="87"/>
  <c r="F20" i="87"/>
  <c r="G32" i="132"/>
  <c r="G33" i="132"/>
  <c r="R178" i="122" l="1"/>
  <c r="R198" i="122" s="1"/>
  <c r="N178" i="122"/>
  <c r="N198" i="122" s="1"/>
  <c r="J178" i="122"/>
  <c r="J198" i="122" s="1"/>
  <c r="O178" i="122"/>
  <c r="O198" i="122" s="1"/>
  <c r="K178" i="122"/>
  <c r="K198" i="122" s="1"/>
  <c r="P178" i="122"/>
  <c r="P198" i="122" s="1"/>
  <c r="L178" i="122"/>
  <c r="L198" i="122" s="1"/>
  <c r="H178" i="122"/>
  <c r="H198" i="122" s="1"/>
  <c r="Q178" i="122"/>
  <c r="Q198" i="122" s="1"/>
  <c r="M178" i="122"/>
  <c r="M198" i="122" s="1"/>
  <c r="I178" i="122"/>
  <c r="I198" i="122" s="1"/>
  <c r="Q35" i="134"/>
  <c r="Q54" i="134"/>
  <c r="M35" i="134"/>
  <c r="M54" i="134"/>
  <c r="O35" i="134"/>
  <c r="O54" i="134"/>
  <c r="N35" i="134"/>
  <c r="N54" i="134"/>
  <c r="P35" i="134"/>
  <c r="P54" i="134"/>
  <c r="K35" i="134"/>
  <c r="K54" i="134"/>
  <c r="L35" i="134"/>
  <c r="L54" i="134"/>
  <c r="J35" i="134"/>
  <c r="N57" i="129"/>
  <c r="F57" i="129"/>
  <c r="F65" i="129" s="1"/>
  <c r="F68" i="129" s="1"/>
  <c r="F72" i="129" s="1"/>
  <c r="S133" i="122"/>
  <c r="S158" i="122"/>
  <c r="E35" i="134"/>
  <c r="E57" i="129"/>
  <c r="J57" i="129"/>
  <c r="J65" i="129" s="1"/>
  <c r="J68" i="129" s="1"/>
  <c r="J72" i="129" s="1"/>
  <c r="I57" i="129"/>
  <c r="I65" i="129" s="1"/>
  <c r="I68" i="129" s="1"/>
  <c r="I72" i="129" s="1"/>
  <c r="Q74" i="122"/>
  <c r="M57" i="129"/>
  <c r="M65" i="129" s="1"/>
  <c r="M68" i="129" s="1"/>
  <c r="M72" i="129" s="1"/>
  <c r="N65" i="129"/>
  <c r="N68" i="129" s="1"/>
  <c r="R74" i="122"/>
  <c r="I30" i="122"/>
  <c r="N30" i="122"/>
  <c r="G30" i="122"/>
  <c r="R40" i="122"/>
  <c r="J30" i="122"/>
  <c r="P158" i="122"/>
  <c r="H158" i="122"/>
  <c r="Q158" i="122"/>
  <c r="M158" i="122"/>
  <c r="I158" i="122"/>
  <c r="O158" i="122"/>
  <c r="K158" i="122"/>
  <c r="R30" i="122"/>
  <c r="M30" i="122"/>
  <c r="L158" i="122"/>
  <c r="N158" i="122"/>
  <c r="J158" i="122"/>
  <c r="P123" i="122"/>
  <c r="P30" i="122"/>
  <c r="Q30" i="122"/>
  <c r="L30" i="122"/>
  <c r="R158" i="122"/>
  <c r="O30" i="122"/>
  <c r="K30" i="122"/>
  <c r="H30" i="122"/>
  <c r="G13" i="122"/>
  <c r="G15" i="122" s="1"/>
  <c r="O13" i="122"/>
  <c r="O15" i="122" s="1"/>
  <c r="F123" i="122"/>
  <c r="R133" i="122"/>
  <c r="N133" i="122"/>
  <c r="J133" i="122"/>
  <c r="Q133" i="122"/>
  <c r="M133" i="122"/>
  <c r="I133" i="122"/>
  <c r="K133" i="122"/>
  <c r="G133" i="122"/>
  <c r="P133" i="122"/>
  <c r="L133" i="122"/>
  <c r="H133" i="122"/>
  <c r="O133" i="122"/>
  <c r="M123" i="122"/>
  <c r="R123" i="122"/>
  <c r="J123" i="122"/>
  <c r="J126" i="122" s="1"/>
  <c r="K172" i="122" s="1"/>
  <c r="K192" i="122" s="1"/>
  <c r="O123" i="122"/>
  <c r="K123" i="122"/>
  <c r="G123" i="122"/>
  <c r="Q123" i="122"/>
  <c r="I123" i="122"/>
  <c r="N123" i="122"/>
  <c r="L123" i="122"/>
  <c r="L126" i="122" s="1"/>
  <c r="M172" i="122" s="1"/>
  <c r="M192" i="122" s="1"/>
  <c r="H123" i="122"/>
  <c r="N99" i="122"/>
  <c r="K99" i="122"/>
  <c r="Q99" i="122"/>
  <c r="M99" i="122"/>
  <c r="I99" i="122"/>
  <c r="R99" i="122"/>
  <c r="J99" i="122"/>
  <c r="F99" i="122"/>
  <c r="O99" i="122"/>
  <c r="G99" i="122"/>
  <c r="P99" i="122"/>
  <c r="L99" i="122"/>
  <c r="L103" i="122" s="1"/>
  <c r="M164" i="122" s="1"/>
  <c r="M184" i="122" s="1"/>
  <c r="H99" i="122"/>
  <c r="F30" i="122"/>
  <c r="K13" i="122"/>
  <c r="K15" i="122" s="1"/>
  <c r="F40" i="122"/>
  <c r="J13" i="122"/>
  <c r="J15" i="122" s="1"/>
  <c r="M13" i="122"/>
  <c r="M15" i="122" s="1"/>
  <c r="N13" i="122"/>
  <c r="N15" i="122" s="1"/>
  <c r="Q13" i="122"/>
  <c r="Q15" i="122" s="1"/>
  <c r="I13" i="122"/>
  <c r="I15" i="122" s="1"/>
  <c r="O57" i="129"/>
  <c r="O65" i="129" s="1"/>
  <c r="O68" i="129" s="1"/>
  <c r="O72" i="129" s="1"/>
  <c r="K57" i="129"/>
  <c r="K65" i="129" s="1"/>
  <c r="K68" i="129" s="1"/>
  <c r="K72" i="129" s="1"/>
  <c r="G57" i="129"/>
  <c r="G65" i="129" s="1"/>
  <c r="G68" i="129" s="1"/>
  <c r="G72" i="129" s="1"/>
  <c r="Q57" i="129"/>
  <c r="Q64" i="129"/>
  <c r="F13" i="122"/>
  <c r="F15" i="122" s="1"/>
  <c r="P13" i="122"/>
  <c r="P15" i="122" s="1"/>
  <c r="L13" i="122"/>
  <c r="L15" i="122" s="1"/>
  <c r="H13" i="122"/>
  <c r="H15" i="122" s="1"/>
  <c r="L57" i="129"/>
  <c r="L65" i="129" s="1"/>
  <c r="L68" i="129" s="1"/>
  <c r="L72" i="129" s="1"/>
  <c r="H57" i="129"/>
  <c r="H65" i="129" s="1"/>
  <c r="H68" i="129" s="1"/>
  <c r="H72" i="129" s="1"/>
  <c r="P64" i="129"/>
  <c r="P57" i="129"/>
  <c r="E72" i="120"/>
  <c r="E75" i="120" s="1"/>
  <c r="E79" i="120" s="1"/>
  <c r="R15" i="122"/>
  <c r="N72" i="129"/>
  <c r="B264" i="132"/>
  <c r="C210" i="132"/>
  <c r="B209" i="132"/>
  <c r="F198" i="132"/>
  <c r="E198" i="132"/>
  <c r="C198" i="132" s="1"/>
  <c r="F191" i="132"/>
  <c r="E191" i="132"/>
  <c r="I177" i="132"/>
  <c r="I180" i="132" s="1"/>
  <c r="F173" i="132"/>
  <c r="C173" i="132" s="1"/>
  <c r="C145" i="132"/>
  <c r="I142" i="132"/>
  <c r="C138" i="132"/>
  <c r="H187" i="132"/>
  <c r="F187" i="132"/>
  <c r="E187" i="132"/>
  <c r="D142" i="132"/>
  <c r="I128" i="132"/>
  <c r="G128" i="132"/>
  <c r="I124" i="132"/>
  <c r="I127" i="132" s="1"/>
  <c r="C121" i="132"/>
  <c r="C120" i="132"/>
  <c r="H172" i="132"/>
  <c r="F172" i="132"/>
  <c r="C116" i="132"/>
  <c r="C112" i="132"/>
  <c r="B95" i="132"/>
  <c r="C187" i="132" l="1"/>
  <c r="C191" i="132"/>
  <c r="Q65" i="129"/>
  <c r="Q68" i="129" s="1"/>
  <c r="Q72" i="129" s="1"/>
  <c r="P65" i="129"/>
  <c r="P68" i="129" s="1"/>
  <c r="P72" i="129" s="1"/>
  <c r="I130" i="132"/>
  <c r="I150" i="132" s="1"/>
  <c r="I152" i="132" s="1"/>
  <c r="H142" i="132"/>
  <c r="C119" i="132"/>
  <c r="H195" i="132"/>
  <c r="F195" i="132"/>
  <c r="E195" i="132"/>
  <c r="F142" i="132"/>
  <c r="E172" i="132"/>
  <c r="C172" i="132" s="1"/>
  <c r="C134" i="132"/>
  <c r="E142" i="132"/>
  <c r="C122" i="132"/>
  <c r="C195" i="132" l="1"/>
  <c r="I205" i="132"/>
  <c r="H18" i="87"/>
  <c r="C142" i="132"/>
  <c r="L56" i="132"/>
  <c r="L55" i="132"/>
  <c r="I41" i="132"/>
  <c r="I181" i="132" s="1"/>
  <c r="I183" i="132" s="1"/>
  <c r="I203" i="132" s="1"/>
  <c r="I204" i="132" s="1"/>
  <c r="I207" i="132" s="1"/>
  <c r="I208" i="132" s="1"/>
  <c r="G41" i="132"/>
  <c r="G181" i="132" s="1"/>
  <c r="I38" i="132"/>
  <c r="H38" i="132"/>
  <c r="G38" i="132"/>
  <c r="F38" i="132"/>
  <c r="E38" i="132"/>
  <c r="D38" i="132"/>
  <c r="H35" i="132"/>
  <c r="G35" i="132"/>
  <c r="F35" i="132"/>
  <c r="E35" i="132"/>
  <c r="D35" i="132"/>
  <c r="I34" i="132"/>
  <c r="H34" i="132"/>
  <c r="G34" i="132"/>
  <c r="F34" i="132"/>
  <c r="E34" i="132"/>
  <c r="D34" i="132"/>
  <c r="D169" i="132" s="1"/>
  <c r="C169" i="132" s="1"/>
  <c r="I33" i="132"/>
  <c r="H33" i="132"/>
  <c r="F33" i="132"/>
  <c r="E33" i="132"/>
  <c r="I32" i="132"/>
  <c r="I31" i="132"/>
  <c r="E22" i="87"/>
  <c r="G22" i="87" s="1"/>
  <c r="E20" i="87"/>
  <c r="G20" i="87" s="1"/>
  <c r="E11" i="87"/>
  <c r="E9" i="87"/>
  <c r="E8" i="87"/>
  <c r="E7" i="87"/>
  <c r="I21" i="132"/>
  <c r="I44" i="132" s="1"/>
  <c r="H21" i="132"/>
  <c r="H44" i="132" s="1"/>
  <c r="G21" i="132"/>
  <c r="G44" i="132" s="1"/>
  <c r="F21" i="132"/>
  <c r="F44" i="132" s="1"/>
  <c r="E21" i="132"/>
  <c r="E44" i="132" s="1"/>
  <c r="D21" i="132"/>
  <c r="D44" i="132" s="1"/>
  <c r="F41" i="132"/>
  <c r="E41" i="132"/>
  <c r="I14" i="132"/>
  <c r="I17" i="132" s="1"/>
  <c r="I20" i="132" s="1"/>
  <c r="I23" i="132" s="1"/>
  <c r="E18" i="87" s="1"/>
  <c r="N10" i="132"/>
  <c r="L57" i="132" s="1"/>
  <c r="N9" i="132"/>
  <c r="E32" i="132"/>
  <c r="G31" i="132"/>
  <c r="E31" i="132"/>
  <c r="B2" i="132"/>
  <c r="C38" i="132" l="1"/>
  <c r="D178" i="132"/>
  <c r="P6" i="132"/>
  <c r="B163" i="132"/>
  <c r="B183" i="132"/>
  <c r="B203" i="132"/>
  <c r="G37" i="132"/>
  <c r="G40" i="132" s="1"/>
  <c r="G43" i="132" s="1"/>
  <c r="G46" i="132" s="1"/>
  <c r="D14" i="132"/>
  <c r="D17" i="132" s="1"/>
  <c r="D48" i="132"/>
  <c r="D164" i="132" s="1"/>
  <c r="G48" i="132"/>
  <c r="E10" i="87"/>
  <c r="F50" i="132"/>
  <c r="E21" i="87"/>
  <c r="G21" i="87" s="1"/>
  <c r="C44" i="132"/>
  <c r="F14" i="132"/>
  <c r="F17" i="132" s="1"/>
  <c r="F20" i="132" s="1"/>
  <c r="F23" i="132" s="1"/>
  <c r="E15" i="87" s="1"/>
  <c r="H48" i="132"/>
  <c r="D250" i="132"/>
  <c r="L59" i="132"/>
  <c r="L58" i="132"/>
  <c r="D249" i="132"/>
  <c r="E37" i="132"/>
  <c r="E40" i="132" s="1"/>
  <c r="E43" i="132" s="1"/>
  <c r="E46" i="132" s="1"/>
  <c r="B110" i="132"/>
  <c r="B130" i="132"/>
  <c r="E14" i="132"/>
  <c r="E17" i="132" s="1"/>
  <c r="E20" i="132" s="1"/>
  <c r="E23" i="132" s="1"/>
  <c r="E14" i="87" s="1"/>
  <c r="C18" i="132"/>
  <c r="C21" i="132"/>
  <c r="H14" i="132"/>
  <c r="H17" i="132" s="1"/>
  <c r="H20" i="132" s="1"/>
  <c r="H23" i="132" s="1"/>
  <c r="E17" i="87" s="1"/>
  <c r="I35" i="132"/>
  <c r="I37" i="132" s="1"/>
  <c r="I40" i="132" s="1"/>
  <c r="I43" i="132" s="1"/>
  <c r="I46" i="132" s="1"/>
  <c r="F48" i="132"/>
  <c r="D274" i="132"/>
  <c r="D241" i="132"/>
  <c r="D222" i="132"/>
  <c r="D221" i="132"/>
  <c r="D275" i="132"/>
  <c r="D223" i="132"/>
  <c r="F31" i="132"/>
  <c r="D32" i="132"/>
  <c r="D167" i="132" s="1"/>
  <c r="H32" i="132"/>
  <c r="G50" i="132"/>
  <c r="G14" i="132"/>
  <c r="G17" i="132" s="1"/>
  <c r="G20" i="132" s="1"/>
  <c r="G23" i="132" s="1"/>
  <c r="E16" i="87" s="1"/>
  <c r="D31" i="132"/>
  <c r="D166" i="132" s="1"/>
  <c r="H31" i="132"/>
  <c r="F32" i="132"/>
  <c r="D33" i="132"/>
  <c r="D168" i="132" s="1"/>
  <c r="D41" i="132"/>
  <c r="D181" i="132" s="1"/>
  <c r="H41" i="132"/>
  <c r="E48" i="132"/>
  <c r="E50" i="132"/>
  <c r="D242" i="132"/>
  <c r="D177" i="132" l="1"/>
  <c r="D180" i="132" s="1"/>
  <c r="G118" i="132"/>
  <c r="H22" i="87" s="1"/>
  <c r="F118" i="132"/>
  <c r="H21" i="87" s="1"/>
  <c r="E118" i="132"/>
  <c r="H20" i="87" s="1"/>
  <c r="G117" i="132"/>
  <c r="H10" i="87" s="1"/>
  <c r="F117" i="132"/>
  <c r="H9" i="87" s="1"/>
  <c r="G115" i="132"/>
  <c r="C223" i="132"/>
  <c r="E223" i="132" s="1"/>
  <c r="D115" i="132"/>
  <c r="H114" i="132"/>
  <c r="G125" i="132"/>
  <c r="G114" i="132"/>
  <c r="C275" i="132"/>
  <c r="E275" i="132" s="1"/>
  <c r="F114" i="132"/>
  <c r="C242" i="132"/>
  <c r="E242" i="132" s="1"/>
  <c r="E114" i="132"/>
  <c r="C222" i="132"/>
  <c r="E222" i="132" s="1"/>
  <c r="D114" i="132"/>
  <c r="H113" i="132"/>
  <c r="G113" i="132"/>
  <c r="C274" i="132"/>
  <c r="E274" i="132" s="1"/>
  <c r="E277" i="132" s="1"/>
  <c r="F113" i="132"/>
  <c r="C241" i="132"/>
  <c r="E241" i="132" s="1"/>
  <c r="E244" i="132" s="1"/>
  <c r="E113" i="132"/>
  <c r="C221" i="132"/>
  <c r="E221" i="132" s="1"/>
  <c r="D113" i="132"/>
  <c r="H111" i="132"/>
  <c r="H11" i="87" s="1"/>
  <c r="E111" i="132"/>
  <c r="D111" i="132"/>
  <c r="H7" i="87" s="1"/>
  <c r="F171" i="132"/>
  <c r="G170" i="132"/>
  <c r="G168" i="132"/>
  <c r="C168" i="132" s="1"/>
  <c r="C232" i="132"/>
  <c r="G178" i="132"/>
  <c r="G167" i="132"/>
  <c r="C283" i="132"/>
  <c r="C250" i="132"/>
  <c r="E250" i="132" s="1"/>
  <c r="E167" i="132"/>
  <c r="C167" i="132" s="1"/>
  <c r="C231" i="132"/>
  <c r="G166" i="132"/>
  <c r="C282" i="132"/>
  <c r="C249" i="132"/>
  <c r="E249" i="132" s="1"/>
  <c r="E166" i="132"/>
  <c r="C166" i="132" s="1"/>
  <c r="C230" i="132"/>
  <c r="H164" i="132"/>
  <c r="C164" i="132" s="1"/>
  <c r="D37" i="132"/>
  <c r="D232" i="132"/>
  <c r="F252" i="132"/>
  <c r="F249" i="132" s="1"/>
  <c r="H249" i="132" s="1"/>
  <c r="C41" i="132"/>
  <c r="H166" i="132"/>
  <c r="H37" i="132"/>
  <c r="H40" i="132" s="1"/>
  <c r="H43" i="132" s="1"/>
  <c r="H46" i="132" s="1"/>
  <c r="D231" i="132"/>
  <c r="D20" i="132"/>
  <c r="C17" i="132"/>
  <c r="E171" i="132"/>
  <c r="H167" i="132"/>
  <c r="F170" i="132"/>
  <c r="C170" i="132" s="1"/>
  <c r="D283" i="132"/>
  <c r="D282" i="132"/>
  <c r="F274" i="132"/>
  <c r="F275" i="132" s="1"/>
  <c r="D277" i="132"/>
  <c r="F166" i="132"/>
  <c r="F37" i="132"/>
  <c r="F40" i="132" s="1"/>
  <c r="F43" i="132" s="1"/>
  <c r="F46" i="132" s="1"/>
  <c r="F234" i="132"/>
  <c r="D252" i="132"/>
  <c r="F167" i="132"/>
  <c r="G171" i="132"/>
  <c r="C14" i="132"/>
  <c r="D225" i="132"/>
  <c r="D230" i="132"/>
  <c r="F221" i="132"/>
  <c r="D244" i="132"/>
  <c r="F241" i="132"/>
  <c r="F285" i="132"/>
  <c r="E164" i="132"/>
  <c r="D183" i="132" l="1"/>
  <c r="C171" i="132"/>
  <c r="C177" i="132" s="1"/>
  <c r="E124" i="132"/>
  <c r="H8" i="87"/>
  <c r="C113" i="132"/>
  <c r="C114" i="132"/>
  <c r="F124" i="132"/>
  <c r="C117" i="132"/>
  <c r="H124" i="132"/>
  <c r="F177" i="132"/>
  <c r="G177" i="132"/>
  <c r="G180" i="132" s="1"/>
  <c r="G183" i="132" s="1"/>
  <c r="G203" i="132" s="1"/>
  <c r="G204" i="132" s="1"/>
  <c r="G124" i="132"/>
  <c r="G127" i="132" s="1"/>
  <c r="G130" i="132" s="1"/>
  <c r="G150" i="132" s="1"/>
  <c r="G152" i="132" s="1"/>
  <c r="G205" i="132" s="1"/>
  <c r="C118" i="132"/>
  <c r="E177" i="132"/>
  <c r="H177" i="132"/>
  <c r="C115" i="132"/>
  <c r="G275" i="132"/>
  <c r="G221" i="132"/>
  <c r="G274" i="132"/>
  <c r="G241" i="132"/>
  <c r="E252" i="132"/>
  <c r="E253" i="132" s="1"/>
  <c r="E225" i="132"/>
  <c r="E226" i="132" s="1"/>
  <c r="F230" i="132"/>
  <c r="G230" i="132" s="1"/>
  <c r="D234" i="132"/>
  <c r="I249" i="132"/>
  <c r="D285" i="132"/>
  <c r="F282" i="132"/>
  <c r="G282" i="132" s="1"/>
  <c r="C20" i="132"/>
  <c r="D23" i="132"/>
  <c r="E13" i="87" s="1"/>
  <c r="F222" i="132"/>
  <c r="F242" i="132"/>
  <c r="H242" i="132" s="1"/>
  <c r="I242" i="132" s="1"/>
  <c r="E231" i="132"/>
  <c r="E245" i="132"/>
  <c r="C37" i="132"/>
  <c r="D40" i="132"/>
  <c r="H241" i="132"/>
  <c r="F250" i="132"/>
  <c r="E230" i="132"/>
  <c r="E283" i="132"/>
  <c r="C111" i="132"/>
  <c r="D124" i="132"/>
  <c r="H221" i="132"/>
  <c r="G249" i="132"/>
  <c r="H274" i="132"/>
  <c r="H275" i="132"/>
  <c r="E282" i="132"/>
  <c r="E232" i="132"/>
  <c r="E278" i="132"/>
  <c r="D203" i="132" l="1"/>
  <c r="H16" i="87"/>
  <c r="I244" i="132"/>
  <c r="F283" i="132"/>
  <c r="G283" i="132" s="1"/>
  <c r="G285" i="132" s="1"/>
  <c r="G286" i="132" s="1"/>
  <c r="F231" i="132"/>
  <c r="G231" i="132" s="1"/>
  <c r="G277" i="132"/>
  <c r="G278" i="132" s="1"/>
  <c r="G207" i="132"/>
  <c r="G208" i="132" s="1"/>
  <c r="I275" i="132"/>
  <c r="H283" i="132"/>
  <c r="I283" i="132" s="1"/>
  <c r="C40" i="132"/>
  <c r="D43" i="132"/>
  <c r="I221" i="132"/>
  <c r="H230" i="132"/>
  <c r="G250" i="132"/>
  <c r="G252" i="132" s="1"/>
  <c r="G253" i="132" s="1"/>
  <c r="H250" i="132"/>
  <c r="D300" i="132"/>
  <c r="C23" i="132"/>
  <c r="F188" i="132"/>
  <c r="F189" i="132" s="1"/>
  <c r="F178" i="132"/>
  <c r="F180" i="132" s="1"/>
  <c r="F181" i="132"/>
  <c r="E285" i="132"/>
  <c r="G242" i="132"/>
  <c r="G244" i="132" s="1"/>
  <c r="G245" i="132" s="1"/>
  <c r="H188" i="132"/>
  <c r="H189" i="132" s="1"/>
  <c r="H196" i="132" s="1"/>
  <c r="H202" i="132" s="1"/>
  <c r="H178" i="132"/>
  <c r="H180" i="132" s="1"/>
  <c r="H181" i="132"/>
  <c r="E188" i="132"/>
  <c r="E189" i="132" s="1"/>
  <c r="E181" i="132"/>
  <c r="C181" i="132" s="1"/>
  <c r="E178" i="132"/>
  <c r="E135" i="132"/>
  <c r="E136" i="132" s="1"/>
  <c r="E125" i="132"/>
  <c r="E127" i="132" s="1"/>
  <c r="E128" i="132"/>
  <c r="E234" i="132"/>
  <c r="E235" i="132" s="1"/>
  <c r="H282" i="132"/>
  <c r="H277" i="132"/>
  <c r="I274" i="132"/>
  <c r="I241" i="132"/>
  <c r="G222" i="132"/>
  <c r="F223" i="132"/>
  <c r="H222" i="132"/>
  <c r="H135" i="132"/>
  <c r="H136" i="132" s="1"/>
  <c r="H143" i="132" s="1"/>
  <c r="H149" i="132" s="1"/>
  <c r="H125" i="132"/>
  <c r="H127" i="132" s="1"/>
  <c r="H128" i="132"/>
  <c r="F135" i="132"/>
  <c r="F136" i="132" s="1"/>
  <c r="F125" i="132"/>
  <c r="F127" i="132" s="1"/>
  <c r="F128" i="132"/>
  <c r="C124" i="132"/>
  <c r="F232" i="132"/>
  <c r="G232" i="132" s="1"/>
  <c r="G234" i="132" s="1"/>
  <c r="G235" i="132" s="1"/>
  <c r="C189" i="132" l="1"/>
  <c r="E180" i="132"/>
  <c r="C180" i="132" s="1"/>
  <c r="C178" i="132"/>
  <c r="H183" i="132"/>
  <c r="H203" i="132" s="1"/>
  <c r="H204" i="132" s="1"/>
  <c r="G299" i="132"/>
  <c r="I277" i="132"/>
  <c r="I278" i="132" s="1"/>
  <c r="F146" i="132" s="1"/>
  <c r="F147" i="132" s="1"/>
  <c r="E183" i="132"/>
  <c r="E130" i="132"/>
  <c r="E150" i="132" s="1"/>
  <c r="F130" i="132"/>
  <c r="F150" i="132" s="1"/>
  <c r="F183" i="132"/>
  <c r="F203" i="132" s="1"/>
  <c r="I230" i="132"/>
  <c r="C43" i="132"/>
  <c r="D46" i="132"/>
  <c r="H130" i="132"/>
  <c r="H150" i="132" s="1"/>
  <c r="H152" i="132" s="1"/>
  <c r="I250" i="132"/>
  <c r="I252" i="132" s="1"/>
  <c r="H252" i="132"/>
  <c r="G223" i="132"/>
  <c r="G225" i="132" s="1"/>
  <c r="G226" i="132" s="1"/>
  <c r="H223" i="132"/>
  <c r="H285" i="132"/>
  <c r="I282" i="132"/>
  <c r="I285" i="132" s="1"/>
  <c r="I222" i="132"/>
  <c r="H231" i="132"/>
  <c r="I231" i="132" s="1"/>
  <c r="D135" i="132"/>
  <c r="D136" i="132" s="1"/>
  <c r="D125" i="132"/>
  <c r="D128" i="132"/>
  <c r="C128" i="132" s="1"/>
  <c r="H244" i="132"/>
  <c r="E203" i="132" l="1"/>
  <c r="C203" i="132" s="1"/>
  <c r="C183" i="132"/>
  <c r="H205" i="132"/>
  <c r="H207" i="132" s="1"/>
  <c r="H299" i="132" s="1"/>
  <c r="H17" i="87"/>
  <c r="C46" i="132"/>
  <c r="I253" i="132"/>
  <c r="E192" i="132" s="1"/>
  <c r="E193" i="132" s="1"/>
  <c r="F139" i="132"/>
  <c r="F140" i="132" s="1"/>
  <c r="F143" i="132" s="1"/>
  <c r="F149" i="132" s="1"/>
  <c r="F152" i="132" s="1"/>
  <c r="I245" i="132"/>
  <c r="E139" i="132" s="1"/>
  <c r="E140" i="132" s="1"/>
  <c r="E143" i="132" s="1"/>
  <c r="H232" i="132"/>
  <c r="I232" i="132" s="1"/>
  <c r="I234" i="132" s="1"/>
  <c r="I223" i="132"/>
  <c r="I225" i="132" s="1"/>
  <c r="C136" i="132"/>
  <c r="H225" i="132"/>
  <c r="C125" i="132"/>
  <c r="D127" i="132"/>
  <c r="I286" i="132"/>
  <c r="F205" i="132" l="1"/>
  <c r="H15" i="87"/>
  <c r="E196" i="132"/>
  <c r="E199" i="132"/>
  <c r="E200" i="132" s="1"/>
  <c r="E202" i="132" s="1"/>
  <c r="E204" i="132" s="1"/>
  <c r="H234" i="132"/>
  <c r="I235" i="132" s="1"/>
  <c r="H208" i="132"/>
  <c r="E146" i="132"/>
  <c r="E147" i="132" s="1"/>
  <c r="E149" i="132" s="1"/>
  <c r="E152" i="132" s="1"/>
  <c r="F199" i="132"/>
  <c r="F200" i="132" s="1"/>
  <c r="F192" i="132"/>
  <c r="F193" i="132" s="1"/>
  <c r="F196" i="132" s="1"/>
  <c r="D130" i="132"/>
  <c r="C127" i="132"/>
  <c r="I226" i="132"/>
  <c r="D199" i="132" l="1"/>
  <c r="D200" i="132" s="1"/>
  <c r="C200" i="132" s="1"/>
  <c r="D192" i="132"/>
  <c r="D193" i="132" s="1"/>
  <c r="D196" i="132" s="1"/>
  <c r="D202" i="132" s="1"/>
  <c r="D204" i="132" s="1"/>
  <c r="C193" i="132"/>
  <c r="C196" i="132" s="1"/>
  <c r="C202" i="132" s="1"/>
  <c r="C204" i="132" s="1"/>
  <c r="E205" i="132"/>
  <c r="E207" i="132" s="1"/>
  <c r="E299" i="132" s="1"/>
  <c r="H14" i="87"/>
  <c r="F202" i="132"/>
  <c r="F204" i="132" s="1"/>
  <c r="F207" i="132" s="1"/>
  <c r="F208" i="132" s="1"/>
  <c r="D150" i="132"/>
  <c r="C130" i="132"/>
  <c r="C150" i="132" s="1"/>
  <c r="D139" i="132"/>
  <c r="D140" i="132" s="1"/>
  <c r="D146" i="132"/>
  <c r="D147" i="132" s="1"/>
  <c r="E208" i="132" l="1"/>
  <c r="F299" i="132"/>
  <c r="C140" i="132"/>
  <c r="D143" i="132"/>
  <c r="D149" i="132" s="1"/>
  <c r="D152" i="132" s="1"/>
  <c r="C147" i="132"/>
  <c r="C143" i="132" l="1"/>
  <c r="C149" i="132" s="1"/>
  <c r="C152" i="132" s="1"/>
  <c r="D205" i="132"/>
  <c r="C205" i="132" s="1"/>
  <c r="H13" i="87"/>
  <c r="H25" i="87" s="1"/>
  <c r="D207" i="132" l="1"/>
  <c r="D208" i="132" l="1"/>
  <c r="C207" i="132"/>
  <c r="C208" i="132" s="1"/>
  <c r="D299" i="132"/>
  <c r="G59" i="88" l="1"/>
  <c r="H7" i="88"/>
  <c r="H8" i="88"/>
  <c r="H9" i="88"/>
  <c r="H10" i="88"/>
  <c r="H11" i="88"/>
  <c r="F10" i="87" s="1"/>
  <c r="G10" i="87" s="1"/>
  <c r="H12" i="88"/>
  <c r="H13" i="88"/>
  <c r="H14" i="88"/>
  <c r="H15" i="88"/>
  <c r="H16" i="88"/>
  <c r="H17" i="88"/>
  <c r="H18" i="88"/>
  <c r="H19" i="88"/>
  <c r="H20" i="88"/>
  <c r="H21" i="88"/>
  <c r="H22" i="88"/>
  <c r="H23" i="88"/>
  <c r="H24" i="88"/>
  <c r="H25" i="88"/>
  <c r="H6" i="88"/>
  <c r="F9" i="87" l="1"/>
  <c r="G9" i="87" s="1"/>
  <c r="F7" i="87"/>
  <c r="G7" i="87" s="1"/>
  <c r="H28" i="88"/>
  <c r="F11" i="87"/>
  <c r="G11" i="87" s="1"/>
  <c r="H29" i="88"/>
  <c r="F8" i="87"/>
  <c r="G8" i="87" s="1"/>
  <c r="H31" i="88"/>
  <c r="G18" i="87"/>
  <c r="G16" i="87"/>
  <c r="G13" i="87"/>
  <c r="G14" i="87"/>
  <c r="G15" i="87"/>
  <c r="G17" i="87" l="1"/>
  <c r="Q17" i="130" l="1"/>
  <c r="Q19" i="130" s="1"/>
  <c r="P17" i="130"/>
  <c r="O17" i="130"/>
  <c r="N17" i="130"/>
  <c r="M17" i="130"/>
  <c r="L17" i="130"/>
  <c r="K17" i="130"/>
  <c r="J17" i="130"/>
  <c r="I17" i="130"/>
  <c r="H17" i="130"/>
  <c r="H19" i="130" s="1"/>
  <c r="I137" i="122" s="1"/>
  <c r="G17" i="130"/>
  <c r="G19" i="130" s="1"/>
  <c r="H137" i="122" s="1"/>
  <c r="F17" i="130"/>
  <c r="H16" i="130"/>
  <c r="I138" i="122" s="1"/>
  <c r="G16" i="130"/>
  <c r="H138" i="122" s="1"/>
  <c r="Q10" i="130"/>
  <c r="P10" i="130"/>
  <c r="O10" i="130"/>
  <c r="N10" i="130"/>
  <c r="M10" i="130"/>
  <c r="L10" i="130"/>
  <c r="K10" i="130"/>
  <c r="J10" i="130"/>
  <c r="I10" i="130"/>
  <c r="H10" i="130"/>
  <c r="G10" i="130"/>
  <c r="F10" i="130"/>
  <c r="E10" i="130"/>
  <c r="R63" i="122"/>
  <c r="R65" i="122"/>
  <c r="Q65" i="122"/>
  <c r="Q63" i="122"/>
  <c r="N102" i="129"/>
  <c r="O79" i="122" s="1"/>
  <c r="G80" i="122"/>
  <c r="H80" i="122"/>
  <c r="I80" i="122"/>
  <c r="J80" i="122"/>
  <c r="K80" i="122"/>
  <c r="L80" i="122"/>
  <c r="M80" i="122"/>
  <c r="N80" i="122"/>
  <c r="O80" i="122"/>
  <c r="P80" i="122"/>
  <c r="F80" i="122"/>
  <c r="R80" i="122"/>
  <c r="N74" i="122"/>
  <c r="Q62" i="122"/>
  <c r="R62" i="122"/>
  <c r="Q64" i="122"/>
  <c r="R64" i="122"/>
  <c r="Q66" i="122"/>
  <c r="R66" i="122"/>
  <c r="G62" i="122"/>
  <c r="H62" i="122"/>
  <c r="I62" i="122"/>
  <c r="J62" i="122"/>
  <c r="K62" i="122"/>
  <c r="M62" i="122"/>
  <c r="N62" i="122"/>
  <c r="O62" i="122"/>
  <c r="P62" i="122"/>
  <c r="H63" i="122"/>
  <c r="I63" i="122"/>
  <c r="M63" i="122"/>
  <c r="N63" i="122"/>
  <c r="G64" i="122"/>
  <c r="H64" i="122"/>
  <c r="I64" i="122"/>
  <c r="J64" i="122"/>
  <c r="K64" i="122"/>
  <c r="M64" i="122"/>
  <c r="N64" i="122"/>
  <c r="O64" i="122"/>
  <c r="P64" i="122"/>
  <c r="P65" i="122"/>
  <c r="G66" i="122"/>
  <c r="H66" i="122"/>
  <c r="I66" i="122"/>
  <c r="J66" i="122"/>
  <c r="K66" i="122"/>
  <c r="M66" i="122"/>
  <c r="N66" i="122"/>
  <c r="O66" i="122"/>
  <c r="P66" i="122"/>
  <c r="I79" i="122"/>
  <c r="M79" i="122"/>
  <c r="H77" i="122"/>
  <c r="M77" i="122"/>
  <c r="P77" i="122"/>
  <c r="O73" i="129"/>
  <c r="J73" i="129"/>
  <c r="I73" i="129"/>
  <c r="G73" i="129"/>
  <c r="H73" i="129"/>
  <c r="L73" i="129"/>
  <c r="M73" i="129"/>
  <c r="N73" i="129"/>
  <c r="P73" i="129"/>
  <c r="Q73" i="129"/>
  <c r="F79" i="122"/>
  <c r="F66" i="122"/>
  <c r="F64" i="122"/>
  <c r="F62" i="122"/>
  <c r="L74" i="122"/>
  <c r="L64" i="122"/>
  <c r="L65" i="122"/>
  <c r="L66" i="122"/>
  <c r="L62" i="122"/>
  <c r="K73" i="129"/>
  <c r="E65" i="129"/>
  <c r="F103" i="129"/>
  <c r="G63" i="122" s="1"/>
  <c r="G103" i="129"/>
  <c r="H103" i="129"/>
  <c r="I103" i="129"/>
  <c r="J63" i="122" s="1"/>
  <c r="J103" i="129"/>
  <c r="K63" i="122" s="1"/>
  <c r="K103" i="129"/>
  <c r="L63" i="122" s="1"/>
  <c r="L103" i="129"/>
  <c r="M103" i="129"/>
  <c r="F104" i="129"/>
  <c r="G65" i="122" s="1"/>
  <c r="G104" i="129"/>
  <c r="H65" i="122" s="1"/>
  <c r="H104" i="129"/>
  <c r="I65" i="122" s="1"/>
  <c r="I104" i="129"/>
  <c r="J65" i="122" s="1"/>
  <c r="J104" i="129"/>
  <c r="K65" i="122" s="1"/>
  <c r="K104" i="129"/>
  <c r="L104" i="129"/>
  <c r="M65" i="122" s="1"/>
  <c r="M104" i="129"/>
  <c r="N65" i="122" s="1"/>
  <c r="N104" i="129"/>
  <c r="O65" i="122" s="1"/>
  <c r="O104" i="129"/>
  <c r="F105" i="129"/>
  <c r="G74" i="122" s="1"/>
  <c r="G105" i="129"/>
  <c r="H74" i="122" s="1"/>
  <c r="H105" i="129"/>
  <c r="I74" i="122" s="1"/>
  <c r="I105" i="129"/>
  <c r="J74" i="122" s="1"/>
  <c r="J105" i="129"/>
  <c r="K74" i="122" s="1"/>
  <c r="K105" i="129"/>
  <c r="L105" i="129"/>
  <c r="M74" i="122" s="1"/>
  <c r="M105" i="129"/>
  <c r="N105" i="129"/>
  <c r="O74" i="122" s="1"/>
  <c r="O105" i="129"/>
  <c r="P74" i="122" s="1"/>
  <c r="F106" i="129"/>
  <c r="G77" i="122" s="1"/>
  <c r="G106" i="129"/>
  <c r="H106" i="129"/>
  <c r="I77" i="122" s="1"/>
  <c r="I106" i="129"/>
  <c r="J77" i="122" s="1"/>
  <c r="J106" i="129"/>
  <c r="K77" i="122" s="1"/>
  <c r="K106" i="129"/>
  <c r="L77" i="122" s="1"/>
  <c r="L106" i="129"/>
  <c r="M106" i="129"/>
  <c r="N77" i="122" s="1"/>
  <c r="F107" i="129"/>
  <c r="G107" i="129"/>
  <c r="H107" i="129"/>
  <c r="I107" i="129"/>
  <c r="J107" i="129"/>
  <c r="K107" i="129"/>
  <c r="L107" i="129"/>
  <c r="M107" i="129"/>
  <c r="N107" i="129"/>
  <c r="O107" i="129"/>
  <c r="E106" i="129"/>
  <c r="F77" i="122" s="1"/>
  <c r="E105" i="129"/>
  <c r="F74" i="122" s="1"/>
  <c r="E104" i="129"/>
  <c r="F65" i="122" s="1"/>
  <c r="E103" i="129"/>
  <c r="F63" i="122" s="1"/>
  <c r="N93" i="129"/>
  <c r="N106" i="129" s="1"/>
  <c r="O77" i="122" s="1"/>
  <c r="N91" i="129"/>
  <c r="N103" i="129" s="1"/>
  <c r="O63" i="122" s="1"/>
  <c r="E107" i="129"/>
  <c r="M102" i="129"/>
  <c r="N79" i="122" s="1"/>
  <c r="L102" i="129"/>
  <c r="K102" i="129"/>
  <c r="L79" i="122" s="1"/>
  <c r="J102" i="129"/>
  <c r="K79" i="122" s="1"/>
  <c r="I102" i="129"/>
  <c r="J79" i="122" s="1"/>
  <c r="H102" i="129"/>
  <c r="G102" i="129"/>
  <c r="H79" i="122" s="1"/>
  <c r="F102" i="129"/>
  <c r="G79" i="122" s="1"/>
  <c r="E102" i="129"/>
  <c r="O93" i="129"/>
  <c r="O106" i="129" s="1"/>
  <c r="O91" i="129"/>
  <c r="O102" i="129" s="1"/>
  <c r="P79" i="122" s="1"/>
  <c r="Q93" i="129"/>
  <c r="Q92" i="129"/>
  <c r="P99" i="129"/>
  <c r="P93" i="129"/>
  <c r="P91" i="129"/>
  <c r="T24" i="94"/>
  <c r="Q115" i="122" s="1"/>
  <c r="J16" i="129"/>
  <c r="I16" i="129"/>
  <c r="H16" i="129"/>
  <c r="G16" i="129"/>
  <c r="F16" i="129"/>
  <c r="E16" i="129"/>
  <c r="Q16" i="129"/>
  <c r="Q20" i="129" s="1"/>
  <c r="Q23" i="129"/>
  <c r="P23" i="129"/>
  <c r="P16" i="129"/>
  <c r="O23" i="129"/>
  <c r="O16" i="129"/>
  <c r="N23" i="129"/>
  <c r="N16" i="129"/>
  <c r="M23" i="129"/>
  <c r="M42" i="129" s="1"/>
  <c r="N22" i="122" s="1"/>
  <c r="M16" i="129"/>
  <c r="L23" i="129"/>
  <c r="L16" i="129"/>
  <c r="K23" i="129"/>
  <c r="K16" i="129"/>
  <c r="J23" i="129"/>
  <c r="I23" i="129"/>
  <c r="H23" i="129"/>
  <c r="G23" i="129"/>
  <c r="F23" i="129"/>
  <c r="E23" i="129"/>
  <c r="J42" i="129"/>
  <c r="K22" i="122" s="1"/>
  <c r="L42" i="129"/>
  <c r="M22" i="122" s="1"/>
  <c r="Q35" i="129"/>
  <c r="Q34" i="129"/>
  <c r="Q31" i="129"/>
  <c r="P31" i="129"/>
  <c r="P42" i="129" s="1"/>
  <c r="P18" i="129"/>
  <c r="P20" i="129" s="1"/>
  <c r="O33" i="129"/>
  <c r="O18" i="129"/>
  <c r="O20" i="129" s="1"/>
  <c r="O31" i="129"/>
  <c r="N18" i="129"/>
  <c r="N20" i="129" s="1"/>
  <c r="N31" i="129"/>
  <c r="N42" i="129" s="1"/>
  <c r="O22" i="122" s="1"/>
  <c r="M18" i="129"/>
  <c r="M20" i="129" s="1"/>
  <c r="L17" i="129"/>
  <c r="L18" i="129"/>
  <c r="K28" i="129"/>
  <c r="K42" i="129" s="1"/>
  <c r="K18" i="129"/>
  <c r="K17" i="129"/>
  <c r="J18" i="129"/>
  <c r="J20" i="129" s="1"/>
  <c r="I28" i="129"/>
  <c r="I18" i="129"/>
  <c r="I22" i="129"/>
  <c r="I17" i="129"/>
  <c r="I20" i="129" s="1"/>
  <c r="H22" i="129"/>
  <c r="H42" i="129" s="1"/>
  <c r="I22" i="122" s="1"/>
  <c r="H18" i="129"/>
  <c r="H17" i="129"/>
  <c r="G26" i="129"/>
  <c r="G22" i="129"/>
  <c r="G42" i="129" s="1"/>
  <c r="H22" i="122" s="1"/>
  <c r="G18" i="129"/>
  <c r="G17" i="129"/>
  <c r="G20" i="129" s="1"/>
  <c r="F25" i="129"/>
  <c r="F26" i="129"/>
  <c r="F27" i="129"/>
  <c r="F22" i="129"/>
  <c r="F17" i="129"/>
  <c r="F18" i="129"/>
  <c r="E26" i="129"/>
  <c r="E22" i="129"/>
  <c r="E25" i="129"/>
  <c r="E24" i="129"/>
  <c r="E18" i="129"/>
  <c r="E17" i="129"/>
  <c r="U35" i="91"/>
  <c r="N114" i="122" l="1"/>
  <c r="N116" i="122" s="1"/>
  <c r="N21" i="122"/>
  <c r="I114" i="122"/>
  <c r="I116" i="122" s="1"/>
  <c r="I21" i="122"/>
  <c r="K47" i="129"/>
  <c r="L22" i="122"/>
  <c r="H21" i="122"/>
  <c r="H114" i="122"/>
  <c r="H116" i="122" s="1"/>
  <c r="K21" i="122"/>
  <c r="K114" i="122"/>
  <c r="K116" i="122" s="1"/>
  <c r="E20" i="129"/>
  <c r="F42" i="129"/>
  <c r="G22" i="122" s="1"/>
  <c r="H20" i="129"/>
  <c r="I42" i="129"/>
  <c r="J22" i="122" s="1"/>
  <c r="K20" i="129"/>
  <c r="K44" i="129" s="1"/>
  <c r="L20" i="129"/>
  <c r="L44" i="129" s="1"/>
  <c r="O42" i="129"/>
  <c r="P22" i="122" s="1"/>
  <c r="P47" i="129"/>
  <c r="Q22" i="122"/>
  <c r="O114" i="122"/>
  <c r="O116" i="122" s="1"/>
  <c r="O21" i="122"/>
  <c r="J44" i="129"/>
  <c r="E42" i="129"/>
  <c r="F22" i="122" s="1"/>
  <c r="F114" i="122" s="1"/>
  <c r="F116" i="122" s="1"/>
  <c r="M44" i="129"/>
  <c r="M21" i="122"/>
  <c r="M114" i="122"/>
  <c r="M116" i="122" s="1"/>
  <c r="R137" i="122"/>
  <c r="R139" i="122" s="1"/>
  <c r="S180" i="122" s="1"/>
  <c r="S200" i="122" s="1"/>
  <c r="L19" i="130"/>
  <c r="L21" i="130"/>
  <c r="L23" i="130" s="1"/>
  <c r="I139" i="122"/>
  <c r="J180" i="122" s="1"/>
  <c r="J200" i="122" s="1"/>
  <c r="H21" i="130"/>
  <c r="H23" i="130" s="1"/>
  <c r="I19" i="130"/>
  <c r="I21" i="130"/>
  <c r="I23" i="130" s="1"/>
  <c r="M19" i="130"/>
  <c r="M21" i="130"/>
  <c r="M23" i="130" s="1"/>
  <c r="H139" i="122"/>
  <c r="I180" i="122" s="1"/>
  <c r="I200" i="122" s="1"/>
  <c r="G21" i="130"/>
  <c r="G23" i="130" s="1"/>
  <c r="P19" i="130"/>
  <c r="P21" i="130"/>
  <c r="P23" i="130" s="1"/>
  <c r="K19" i="130"/>
  <c r="K21" i="130"/>
  <c r="K23" i="130" s="1"/>
  <c r="O19" i="130"/>
  <c r="O21" i="130"/>
  <c r="O23" i="130" s="1"/>
  <c r="F19" i="130"/>
  <c r="F23" i="130"/>
  <c r="J19" i="130"/>
  <c r="J21" i="130"/>
  <c r="J23" i="130" s="1"/>
  <c r="N19" i="130"/>
  <c r="N21" i="130"/>
  <c r="N23" i="130" s="1"/>
  <c r="Q21" i="130"/>
  <c r="Q23" i="130" s="1"/>
  <c r="E68" i="129"/>
  <c r="E72" i="129" s="1"/>
  <c r="E73" i="129" s="1"/>
  <c r="J67" i="122"/>
  <c r="F67" i="122"/>
  <c r="O67" i="122"/>
  <c r="N67" i="122"/>
  <c r="I67" i="122"/>
  <c r="K67" i="122"/>
  <c r="G67" i="122"/>
  <c r="Q67" i="122"/>
  <c r="Q75" i="122" s="1"/>
  <c r="Q78" i="122" s="1"/>
  <c r="M67" i="122"/>
  <c r="H67" i="122"/>
  <c r="R67" i="122"/>
  <c r="R75" i="122" s="1"/>
  <c r="R78" i="122" s="1"/>
  <c r="L67" i="122"/>
  <c r="F73" i="129"/>
  <c r="P102" i="129"/>
  <c r="Q102" i="129"/>
  <c r="O103" i="129"/>
  <c r="P63" i="122" s="1"/>
  <c r="P67" i="122" s="1"/>
  <c r="F20" i="129"/>
  <c r="Q42" i="129"/>
  <c r="J45" i="129"/>
  <c r="G47" i="129"/>
  <c r="H47" i="129"/>
  <c r="I44" i="129"/>
  <c r="I45" i="129" s="1"/>
  <c r="N44" i="129"/>
  <c r="N45" i="129" s="1"/>
  <c r="O44" i="129"/>
  <c r="O45" i="129" s="1"/>
  <c r="P44" i="129"/>
  <c r="F47" i="129"/>
  <c r="I47" i="129"/>
  <c r="N47" i="129"/>
  <c r="O47" i="129"/>
  <c r="G44" i="129"/>
  <c r="G45" i="129" s="1"/>
  <c r="H44" i="129"/>
  <c r="H45" i="129" s="1"/>
  <c r="L45" i="129"/>
  <c r="K45" i="129"/>
  <c r="P45" i="129"/>
  <c r="M47" i="129"/>
  <c r="M45" i="129"/>
  <c r="L47" i="129"/>
  <c r="J47" i="129"/>
  <c r="Q47" i="129" l="1"/>
  <c r="R22" i="122"/>
  <c r="G21" i="122"/>
  <c r="G114" i="122"/>
  <c r="G116" i="122" s="1"/>
  <c r="I107" i="122"/>
  <c r="I110" i="122" s="1"/>
  <c r="I24" i="122"/>
  <c r="I41" i="122" s="1"/>
  <c r="I43" i="122" s="1"/>
  <c r="I51" i="122" s="1"/>
  <c r="E47" i="129"/>
  <c r="E44" i="129"/>
  <c r="E45" i="129" s="1"/>
  <c r="K137" i="122"/>
  <c r="K139" i="122" s="1"/>
  <c r="P137" i="122"/>
  <c r="P139" i="122" s="1"/>
  <c r="Q137" i="122"/>
  <c r="Q139" i="122" s="1"/>
  <c r="N137" i="122"/>
  <c r="N139" i="122" s="1"/>
  <c r="Q114" i="122"/>
  <c r="Q116" i="122" s="1"/>
  <c r="Q21" i="122"/>
  <c r="H107" i="122"/>
  <c r="H110" i="122" s="1"/>
  <c r="H24" i="122"/>
  <c r="H41" i="122" s="1"/>
  <c r="H43" i="122" s="1"/>
  <c r="H51" i="122" s="1"/>
  <c r="F44" i="129"/>
  <c r="F45" i="129" s="1"/>
  <c r="M107" i="122"/>
  <c r="M110" i="122" s="1"/>
  <c r="M24" i="122"/>
  <c r="M41" i="122" s="1"/>
  <c r="M43" i="122" s="1"/>
  <c r="M51" i="122" s="1"/>
  <c r="Q44" i="129"/>
  <c r="Q45" i="129" s="1"/>
  <c r="J21" i="122"/>
  <c r="J114" i="122"/>
  <c r="J116" i="122" s="1"/>
  <c r="L114" i="122"/>
  <c r="L116" i="122" s="1"/>
  <c r="L21" i="122"/>
  <c r="N107" i="122"/>
  <c r="N110" i="122" s="1"/>
  <c r="N24" i="122"/>
  <c r="N41" i="122" s="1"/>
  <c r="N43" i="122" s="1"/>
  <c r="N51" i="122" s="1"/>
  <c r="P109" i="129"/>
  <c r="P110" i="129" s="1"/>
  <c r="Q80" i="122" s="1"/>
  <c r="Q79" i="122"/>
  <c r="Q83" i="122" s="1"/>
  <c r="O139" i="122"/>
  <c r="P180" i="122" s="1"/>
  <c r="P200" i="122" s="1"/>
  <c r="O137" i="122"/>
  <c r="G139" i="122"/>
  <c r="H180" i="122" s="1"/>
  <c r="H200" i="122" s="1"/>
  <c r="G137" i="122"/>
  <c r="L139" i="122"/>
  <c r="M180" i="122" s="1"/>
  <c r="M200" i="122" s="1"/>
  <c r="L137" i="122"/>
  <c r="J139" i="122"/>
  <c r="K180" i="122" s="1"/>
  <c r="K200" i="122" s="1"/>
  <c r="J137" i="122"/>
  <c r="M139" i="122"/>
  <c r="M160" i="122" s="1"/>
  <c r="M137" i="122"/>
  <c r="O107" i="122"/>
  <c r="O110" i="122" s="1"/>
  <c r="O24" i="122"/>
  <c r="O41" i="122" s="1"/>
  <c r="O43" i="122" s="1"/>
  <c r="O51" i="122" s="1"/>
  <c r="P114" i="122"/>
  <c r="P116" i="122" s="1"/>
  <c r="P21" i="122"/>
  <c r="K107" i="122"/>
  <c r="K110" i="122" s="1"/>
  <c r="K24" i="122"/>
  <c r="K41" i="122" s="1"/>
  <c r="K43" i="122" s="1"/>
  <c r="K51" i="122" s="1"/>
  <c r="S160" i="122"/>
  <c r="S140" i="122"/>
  <c r="G140" i="122"/>
  <c r="H140" i="122"/>
  <c r="M140" i="122"/>
  <c r="I160" i="122"/>
  <c r="I140" i="122"/>
  <c r="R79" i="122"/>
  <c r="R83" i="122" s="1"/>
  <c r="R129" i="122"/>
  <c r="S174" i="122" s="1"/>
  <c r="S194" i="122" s="1"/>
  <c r="F21" i="122"/>
  <c r="O180" i="122" l="1"/>
  <c r="O200" i="122" s="1"/>
  <c r="N140" i="122"/>
  <c r="N160" i="122"/>
  <c r="O140" i="122"/>
  <c r="R180" i="122"/>
  <c r="R200" i="122" s="1"/>
  <c r="Q140" i="122"/>
  <c r="R140" i="122"/>
  <c r="R160" i="122"/>
  <c r="Q160" i="122"/>
  <c r="Q180" i="122"/>
  <c r="Q200" i="122" s="1"/>
  <c r="P160" i="122"/>
  <c r="P140" i="122"/>
  <c r="L180" i="122"/>
  <c r="L200" i="122" s="1"/>
  <c r="K140" i="122"/>
  <c r="L160" i="122"/>
  <c r="K160" i="122"/>
  <c r="H160" i="122"/>
  <c r="O160" i="122"/>
  <c r="N180" i="122"/>
  <c r="N200" i="122" s="1"/>
  <c r="K11" i="120" s="1"/>
  <c r="J14" i="103" s="1"/>
  <c r="P24" i="122"/>
  <c r="P41" i="122" s="1"/>
  <c r="P43" i="122" s="1"/>
  <c r="P51" i="122" s="1"/>
  <c r="P107" i="122"/>
  <c r="P110" i="122" s="1"/>
  <c r="I168" i="122"/>
  <c r="I188" i="122" s="1"/>
  <c r="H152" i="122"/>
  <c r="G107" i="122"/>
  <c r="G110" i="122" s="1"/>
  <c r="H168" i="122" s="1"/>
  <c r="H188" i="122" s="1"/>
  <c r="G24" i="122"/>
  <c r="G41" i="122" s="1"/>
  <c r="G43" i="122" s="1"/>
  <c r="G51" i="122" s="1"/>
  <c r="L107" i="122"/>
  <c r="L110" i="122" s="1"/>
  <c r="L24" i="122"/>
  <c r="L41" i="122" s="1"/>
  <c r="L43" i="122" s="1"/>
  <c r="L51" i="122" s="1"/>
  <c r="N168" i="122"/>
  <c r="N188" i="122" s="1"/>
  <c r="M111" i="122"/>
  <c r="Q107" i="122"/>
  <c r="Q110" i="122" s="1"/>
  <c r="Q24" i="122"/>
  <c r="Q41" i="122" s="1"/>
  <c r="Q43" i="122" s="1"/>
  <c r="Q51" i="122" s="1"/>
  <c r="R114" i="122"/>
  <c r="R116" i="122" s="1"/>
  <c r="R21" i="122"/>
  <c r="L168" i="122"/>
  <c r="L188" i="122" s="1"/>
  <c r="O111" i="122"/>
  <c r="P168" i="122"/>
  <c r="P188" i="122" s="1"/>
  <c r="O152" i="122"/>
  <c r="J160" i="122"/>
  <c r="L140" i="122"/>
  <c r="J140" i="122"/>
  <c r="O168" i="122"/>
  <c r="O188" i="122" s="1"/>
  <c r="N152" i="122"/>
  <c r="N111" i="122"/>
  <c r="J107" i="122"/>
  <c r="J110" i="122" s="1"/>
  <c r="K152" i="122" s="1"/>
  <c r="J24" i="122"/>
  <c r="J41" i="122" s="1"/>
  <c r="J43" i="122" s="1"/>
  <c r="J51" i="122" s="1"/>
  <c r="I152" i="122"/>
  <c r="I111" i="122"/>
  <c r="J168" i="122"/>
  <c r="J188" i="122" s="1"/>
  <c r="S156" i="122"/>
  <c r="S130" i="122"/>
  <c r="F24" i="122"/>
  <c r="F41" i="122" s="1"/>
  <c r="F43" i="122" s="1"/>
  <c r="F51" i="122" s="1"/>
  <c r="F107" i="122"/>
  <c r="F110" i="122" s="1"/>
  <c r="U12" i="91"/>
  <c r="U15" i="91" s="1"/>
  <c r="U17" i="91" s="1"/>
  <c r="U12" i="94"/>
  <c r="U15" i="94" s="1"/>
  <c r="U17" i="94" s="1"/>
  <c r="U26" i="94"/>
  <c r="U26" i="91"/>
  <c r="R168" i="122" l="1"/>
  <c r="R188" i="122" s="1"/>
  <c r="Q152" i="122"/>
  <c r="Q111" i="122"/>
  <c r="R107" i="122"/>
  <c r="R110" i="122" s="1"/>
  <c r="R24" i="122"/>
  <c r="R41" i="122" s="1"/>
  <c r="R43" i="122" s="1"/>
  <c r="R51" i="122" s="1"/>
  <c r="M168" i="122"/>
  <c r="M188" i="122" s="1"/>
  <c r="L152" i="122"/>
  <c r="L111" i="122"/>
  <c r="K168" i="122"/>
  <c r="K188" i="122" s="1"/>
  <c r="J152" i="122"/>
  <c r="J111" i="122"/>
  <c r="M152" i="122"/>
  <c r="H111" i="122"/>
  <c r="K111" i="122"/>
  <c r="P111" i="122"/>
  <c r="P152" i="122"/>
  <c r="Q168" i="122"/>
  <c r="Q188" i="122" s="1"/>
  <c r="U39" i="94"/>
  <c r="G111" i="122"/>
  <c r="U42" i="94"/>
  <c r="U34" i="94"/>
  <c r="R102" i="122" s="1"/>
  <c r="U31" i="94"/>
  <c r="R125" i="122" s="1"/>
  <c r="U34" i="91"/>
  <c r="U39" i="91"/>
  <c r="U42" i="91" s="1"/>
  <c r="U31" i="91"/>
  <c r="R124" i="122" s="1"/>
  <c r="E87" i="120"/>
  <c r="E29" i="87"/>
  <c r="K22" i="87" s="1"/>
  <c r="P28" i="120"/>
  <c r="P38" i="120"/>
  <c r="M52" i="120"/>
  <c r="N52" i="120" s="1"/>
  <c r="S52" i="120" s="1"/>
  <c r="K75" i="122"/>
  <c r="N75" i="122"/>
  <c r="N78" i="122" s="1"/>
  <c r="M75" i="122"/>
  <c r="M78" i="122" s="1"/>
  <c r="H75" i="122"/>
  <c r="H78" i="122" s="1"/>
  <c r="G75" i="122"/>
  <c r="G78" i="122" s="1"/>
  <c r="F75" i="122"/>
  <c r="F78" i="122" s="1"/>
  <c r="S78" i="120"/>
  <c r="S64" i="120"/>
  <c r="O41" i="120"/>
  <c r="F38" i="120"/>
  <c r="F27" i="87"/>
  <c r="D37" i="110"/>
  <c r="F37" i="110" s="1"/>
  <c r="F50" i="120" s="1"/>
  <c r="T26" i="94"/>
  <c r="S26" i="94"/>
  <c r="R26" i="94"/>
  <c r="Q26" i="94"/>
  <c r="P26" i="94"/>
  <c r="O26" i="94"/>
  <c r="N26" i="94"/>
  <c r="M26" i="94"/>
  <c r="L26" i="94"/>
  <c r="K26" i="94"/>
  <c r="J26" i="94"/>
  <c r="I26" i="94"/>
  <c r="T12" i="94"/>
  <c r="T31" i="94" s="1"/>
  <c r="Q125" i="122" s="1"/>
  <c r="S12" i="94"/>
  <c r="R12" i="94"/>
  <c r="Q12" i="94"/>
  <c r="P12" i="94"/>
  <c r="O12" i="94"/>
  <c r="O15" i="94" s="1"/>
  <c r="O17" i="94" s="1"/>
  <c r="N12" i="94"/>
  <c r="N31" i="94" s="1"/>
  <c r="K125" i="122" s="1"/>
  <c r="M12" i="94"/>
  <c r="M34" i="94" s="1"/>
  <c r="L12" i="94"/>
  <c r="L31" i="94" s="1"/>
  <c r="K12" i="94"/>
  <c r="K39" i="94" s="1"/>
  <c r="J12" i="94"/>
  <c r="J31" i="94" s="1"/>
  <c r="I12" i="94"/>
  <c r="I34" i="94" s="1"/>
  <c r="R39" i="94"/>
  <c r="N15" i="94"/>
  <c r="N17" i="94" s="1"/>
  <c r="P15" i="94"/>
  <c r="P17" i="94"/>
  <c r="R15" i="94"/>
  <c r="R17" i="94" s="1"/>
  <c r="T32" i="94"/>
  <c r="M35" i="91"/>
  <c r="T26" i="91"/>
  <c r="S26" i="91"/>
  <c r="R26" i="91"/>
  <c r="Q26" i="91"/>
  <c r="P26" i="91"/>
  <c r="O26" i="91"/>
  <c r="N26" i="91"/>
  <c r="M26" i="91"/>
  <c r="L26" i="91"/>
  <c r="K26" i="91"/>
  <c r="J26" i="91"/>
  <c r="I26" i="91"/>
  <c r="T12" i="91"/>
  <c r="T39" i="91" s="1"/>
  <c r="T42" i="91" s="1"/>
  <c r="S12" i="91"/>
  <c r="S34" i="91" s="1"/>
  <c r="R12" i="91"/>
  <c r="R34" i="91" s="1"/>
  <c r="Q12" i="91"/>
  <c r="Q34" i="91" s="1"/>
  <c r="P12" i="91"/>
  <c r="P34" i="91" s="1"/>
  <c r="O12" i="91"/>
  <c r="N12" i="91"/>
  <c r="N34" i="91" s="1"/>
  <c r="M12" i="91"/>
  <c r="M34" i="91" s="1"/>
  <c r="L12" i="91"/>
  <c r="L34" i="91" s="1"/>
  <c r="K12" i="91"/>
  <c r="K15" i="91" s="1"/>
  <c r="K17" i="91" s="1"/>
  <c r="J12" i="91"/>
  <c r="J34" i="91" s="1"/>
  <c r="I12" i="91"/>
  <c r="I34" i="91" s="1"/>
  <c r="F32" i="78"/>
  <c r="F29" i="78"/>
  <c r="F28" i="78"/>
  <c r="F26" i="78"/>
  <c r="F25" i="78"/>
  <c r="F24" i="78"/>
  <c r="F23" i="78"/>
  <c r="F22" i="78"/>
  <c r="D19" i="78"/>
  <c r="F18" i="78"/>
  <c r="F17" i="78"/>
  <c r="F13" i="78"/>
  <c r="F11" i="78"/>
  <c r="F30" i="78"/>
  <c r="N39" i="91"/>
  <c r="N42" i="91"/>
  <c r="O39" i="91"/>
  <c r="O42" i="91" s="1"/>
  <c r="R39" i="91"/>
  <c r="R42" i="91"/>
  <c r="S39" i="91"/>
  <c r="S42" i="91" s="1"/>
  <c r="N15" i="91"/>
  <c r="N17" i="91" s="1"/>
  <c r="N45" i="91" s="1"/>
  <c r="O15" i="91"/>
  <c r="O17" i="91" s="1"/>
  <c r="P15" i="91"/>
  <c r="P17" i="91" s="1"/>
  <c r="R15" i="91"/>
  <c r="R17" i="91" s="1"/>
  <c r="S15" i="91"/>
  <c r="S17" i="91" s="1"/>
  <c r="T15" i="91"/>
  <c r="T17" i="91" s="1"/>
  <c r="N31" i="91"/>
  <c r="K124" i="122" s="1"/>
  <c r="K126" i="122" s="1"/>
  <c r="N32" i="91"/>
  <c r="N43" i="91" s="1"/>
  <c r="P31" i="91"/>
  <c r="M124" i="122" s="1"/>
  <c r="R31" i="91"/>
  <c r="O124" i="122" s="1"/>
  <c r="O126" i="122" s="1"/>
  <c r="S31" i="91"/>
  <c r="P124" i="122" s="1"/>
  <c r="T31" i="91"/>
  <c r="Q124" i="122" s="1"/>
  <c r="Q126" i="122" s="1"/>
  <c r="R42" i="94"/>
  <c r="N34" i="94"/>
  <c r="P34" i="94"/>
  <c r="P31" i="94"/>
  <c r="M125" i="122" s="1"/>
  <c r="R34" i="94"/>
  <c r="R31" i="94"/>
  <c r="O125" i="122" s="1"/>
  <c r="O31" i="94"/>
  <c r="O32" i="94" s="1"/>
  <c r="T34" i="91"/>
  <c r="P39" i="94"/>
  <c r="P42" i="94" s="1"/>
  <c r="T34" i="94"/>
  <c r="P32" i="91"/>
  <c r="Q15" i="94"/>
  <c r="Q17" i="94" s="1"/>
  <c r="Q39" i="94"/>
  <c r="Q42" i="94" s="1"/>
  <c r="M51" i="120"/>
  <c r="N51" i="120" s="1"/>
  <c r="S51" i="120" s="1"/>
  <c r="M17" i="120"/>
  <c r="N17" i="120" s="1"/>
  <c r="P32" i="94"/>
  <c r="T39" i="94"/>
  <c r="T42" i="94" s="1"/>
  <c r="F10" i="120"/>
  <c r="F29" i="87"/>
  <c r="H28" i="120"/>
  <c r="I75" i="122"/>
  <c r="I78" i="122" s="1"/>
  <c r="N32" i="94"/>
  <c r="H21" i="120"/>
  <c r="N53" i="91" l="1"/>
  <c r="N48" i="91"/>
  <c r="P43" i="94"/>
  <c r="P45" i="94" s="1"/>
  <c r="P48" i="94" s="1"/>
  <c r="S168" i="122"/>
  <c r="S188" i="122" s="1"/>
  <c r="S152" i="122"/>
  <c r="R152" i="122"/>
  <c r="R111" i="122"/>
  <c r="S111" i="122"/>
  <c r="R32" i="94"/>
  <c r="R43" i="94" s="1"/>
  <c r="R45" i="94" s="1"/>
  <c r="Q101" i="122"/>
  <c r="Q103" i="122" s="1"/>
  <c r="O34" i="94"/>
  <c r="M102" i="122"/>
  <c r="T32" i="91"/>
  <c r="T43" i="91" s="1"/>
  <c r="T45" i="91" s="1"/>
  <c r="T48" i="91" s="1"/>
  <c r="T53" i="91" s="1"/>
  <c r="Q31" i="91"/>
  <c r="L172" i="122"/>
  <c r="L192" i="122" s="1"/>
  <c r="K154" i="122"/>
  <c r="L127" i="122"/>
  <c r="L154" i="122"/>
  <c r="K127" i="122"/>
  <c r="Q15" i="91"/>
  <c r="Q17" i="91" s="1"/>
  <c r="P39" i="91"/>
  <c r="P42" i="91" s="1"/>
  <c r="K101" i="122"/>
  <c r="O101" i="122"/>
  <c r="R101" i="122"/>
  <c r="P43" i="91"/>
  <c r="P45" i="91" s="1"/>
  <c r="P48" i="91" s="1"/>
  <c r="P53" i="91" s="1"/>
  <c r="P172" i="122"/>
  <c r="P192" i="122" s="1"/>
  <c r="S15" i="94"/>
  <c r="S17" i="94" s="1"/>
  <c r="S31" i="94"/>
  <c r="O39" i="94"/>
  <c r="O42" i="94" s="1"/>
  <c r="O43" i="94" s="1"/>
  <c r="O45" i="94" s="1"/>
  <c r="N43" i="94"/>
  <c r="N45" i="94" s="1"/>
  <c r="R32" i="91"/>
  <c r="R43" i="91" s="1"/>
  <c r="R45" i="91" s="1"/>
  <c r="S34" i="94"/>
  <c r="R172" i="122"/>
  <c r="R192" i="122" s="1"/>
  <c r="M126" i="122"/>
  <c r="O34" i="91"/>
  <c r="O31" i="91"/>
  <c r="O32" i="91" s="1"/>
  <c r="P101" i="122"/>
  <c r="N39" i="94"/>
  <c r="N42" i="94" s="1"/>
  <c r="Q34" i="94"/>
  <c r="N102" i="122" s="1"/>
  <c r="Q31" i="94"/>
  <c r="N125" i="122" s="1"/>
  <c r="R126" i="122"/>
  <c r="S154" i="122" s="1"/>
  <c r="Q102" i="122"/>
  <c r="O102" i="122"/>
  <c r="Q39" i="91"/>
  <c r="Q42" i="91" s="1"/>
  <c r="M101" i="122"/>
  <c r="M103" i="122" s="1"/>
  <c r="R103" i="122"/>
  <c r="S164" i="122" s="1"/>
  <c r="S184" i="122" s="1"/>
  <c r="S172" i="122"/>
  <c r="S192" i="122" s="1"/>
  <c r="R127" i="122"/>
  <c r="S150" i="122"/>
  <c r="S104" i="122"/>
  <c r="P9" i="120"/>
  <c r="G12" i="103"/>
  <c r="P17" i="120"/>
  <c r="S17" i="120" s="1"/>
  <c r="G20" i="103"/>
  <c r="I20" i="103" s="1"/>
  <c r="E20" i="103" s="1"/>
  <c r="Q17" i="120" s="1"/>
  <c r="F35" i="78"/>
  <c r="M39" i="91"/>
  <c r="M42" i="91" s="1"/>
  <c r="H50" i="120"/>
  <c r="G50" i="120"/>
  <c r="H129" i="122"/>
  <c r="H83" i="122"/>
  <c r="G129" i="122"/>
  <c r="G83" i="122"/>
  <c r="F129" i="122"/>
  <c r="F83" i="122"/>
  <c r="N129" i="122"/>
  <c r="N83" i="122"/>
  <c r="I129" i="122"/>
  <c r="J174" i="122" s="1"/>
  <c r="J194" i="122" s="1"/>
  <c r="I83" i="122"/>
  <c r="M129" i="122"/>
  <c r="M83" i="122"/>
  <c r="J39" i="91"/>
  <c r="J42" i="91" s="1"/>
  <c r="I125" i="122"/>
  <c r="G125" i="122"/>
  <c r="L39" i="94"/>
  <c r="G29" i="87"/>
  <c r="M39" i="94"/>
  <c r="M42" i="94" s="1"/>
  <c r="D41" i="110"/>
  <c r="L34" i="94"/>
  <c r="F19" i="78"/>
  <c r="L15" i="94"/>
  <c r="L17" i="94" s="1"/>
  <c r="L32" i="94"/>
  <c r="K34" i="94"/>
  <c r="I15" i="91"/>
  <c r="I17" i="91" s="1"/>
  <c r="F41" i="110"/>
  <c r="J15" i="94"/>
  <c r="J17" i="94" s="1"/>
  <c r="J34" i="94"/>
  <c r="M31" i="91"/>
  <c r="M32" i="91" s="1"/>
  <c r="L15" i="91"/>
  <c r="L17" i="91" s="1"/>
  <c r="I31" i="91"/>
  <c r="F124" i="122" s="1"/>
  <c r="M15" i="91"/>
  <c r="M17" i="91" s="1"/>
  <c r="I39" i="91"/>
  <c r="I42" i="91" s="1"/>
  <c r="J32" i="94"/>
  <c r="L31" i="91"/>
  <c r="I124" i="122" s="1"/>
  <c r="L39" i="91"/>
  <c r="L42" i="91" s="1"/>
  <c r="K42" i="94"/>
  <c r="K15" i="94"/>
  <c r="K17" i="94" s="1"/>
  <c r="I31" i="94"/>
  <c r="F125" i="122" s="1"/>
  <c r="K31" i="94"/>
  <c r="H125" i="122" s="1"/>
  <c r="I39" i="94"/>
  <c r="F102" i="122" s="1"/>
  <c r="I15" i="94"/>
  <c r="I17" i="94" s="1"/>
  <c r="M15" i="94"/>
  <c r="M17" i="94" s="1"/>
  <c r="M31" i="94"/>
  <c r="M32" i="94" s="1"/>
  <c r="J39" i="94"/>
  <c r="K34" i="91"/>
  <c r="K31" i="91"/>
  <c r="J31" i="91"/>
  <c r="G124" i="122" s="1"/>
  <c r="J15" i="91"/>
  <c r="J17" i="91" s="1"/>
  <c r="K39" i="91"/>
  <c r="K42" i="91" s="1"/>
  <c r="F39" i="120"/>
  <c r="F12" i="120"/>
  <c r="K20" i="87"/>
  <c r="Q129" i="122"/>
  <c r="E27" i="87"/>
  <c r="G27" i="87" s="1"/>
  <c r="K78" i="122"/>
  <c r="T15" i="94"/>
  <c r="T17" i="94" s="1"/>
  <c r="U32" i="94"/>
  <c r="U43" i="94" s="1"/>
  <c r="U45" i="94" s="1"/>
  <c r="U48" i="94" s="1"/>
  <c r="U53" i="94" s="1"/>
  <c r="U32" i="91"/>
  <c r="U43" i="91" s="1"/>
  <c r="E10" i="120"/>
  <c r="E12" i="120" s="1"/>
  <c r="E21" i="120"/>
  <c r="E38" i="120"/>
  <c r="D37" i="78"/>
  <c r="F28" i="87"/>
  <c r="K21" i="87"/>
  <c r="E28" i="87"/>
  <c r="I63" i="120"/>
  <c r="I70" i="120"/>
  <c r="O48" i="94"/>
  <c r="O53" i="94" s="1"/>
  <c r="R48" i="91"/>
  <c r="R53" i="91" s="1"/>
  <c r="R48" i="94"/>
  <c r="R53" i="94" s="1"/>
  <c r="N48" i="94"/>
  <c r="N53" i="94" s="1"/>
  <c r="T43" i="94"/>
  <c r="T45" i="94" s="1"/>
  <c r="H10" i="120"/>
  <c r="H12" i="120" s="1"/>
  <c r="H38" i="120"/>
  <c r="H39" i="120" s="1"/>
  <c r="I38" i="120"/>
  <c r="S32" i="91"/>
  <c r="S43" i="91" s="1"/>
  <c r="S45" i="91" s="1"/>
  <c r="S39" i="94"/>
  <c r="N124" i="122" l="1"/>
  <c r="N126" i="122" s="1"/>
  <c r="Q32" i="91"/>
  <c r="Q43" i="91" s="1"/>
  <c r="Q45" i="91" s="1"/>
  <c r="R164" i="122"/>
  <c r="R184" i="122" s="1"/>
  <c r="P53" i="94"/>
  <c r="R150" i="122"/>
  <c r="S127" i="122"/>
  <c r="O43" i="91"/>
  <c r="O45" i="91" s="1"/>
  <c r="P102" i="122"/>
  <c r="R154" i="122"/>
  <c r="N164" i="122"/>
  <c r="N184" i="122" s="1"/>
  <c r="M150" i="122"/>
  <c r="M104" i="122"/>
  <c r="P103" i="122"/>
  <c r="P125" i="122"/>
  <c r="P126" i="122" s="1"/>
  <c r="S32" i="94"/>
  <c r="R104" i="122"/>
  <c r="N101" i="122"/>
  <c r="N103" i="122" s="1"/>
  <c r="M154" i="122"/>
  <c r="M127" i="122"/>
  <c r="N172" i="122"/>
  <c r="N192" i="122" s="1"/>
  <c r="K20" i="120" s="1"/>
  <c r="K102" i="122"/>
  <c r="K103" i="122" s="1"/>
  <c r="O103" i="122"/>
  <c r="N174" i="122"/>
  <c r="N194" i="122" s="1"/>
  <c r="O174" i="122"/>
  <c r="O194" i="122" s="1"/>
  <c r="H174" i="122"/>
  <c r="H194" i="122" s="1"/>
  <c r="I174" i="122"/>
  <c r="I194" i="122" s="1"/>
  <c r="R174" i="122"/>
  <c r="R194" i="122" s="1"/>
  <c r="P16" i="120"/>
  <c r="P21" i="120" s="1"/>
  <c r="P39" i="120" s="1"/>
  <c r="G13" i="103"/>
  <c r="G14" i="103" s="1"/>
  <c r="I12" i="103"/>
  <c r="G130" i="122"/>
  <c r="G19" i="103"/>
  <c r="I19" i="103" s="1"/>
  <c r="P11" i="120"/>
  <c r="M43" i="91"/>
  <c r="M45" i="91" s="1"/>
  <c r="M48" i="91" s="1"/>
  <c r="N156" i="122"/>
  <c r="H130" i="122"/>
  <c r="H156" i="122"/>
  <c r="I156" i="122"/>
  <c r="N130" i="122"/>
  <c r="K129" i="122"/>
  <c r="L174" i="122" s="1"/>
  <c r="L194" i="122" s="1"/>
  <c r="K83" i="122"/>
  <c r="I130" i="122"/>
  <c r="G101" i="122"/>
  <c r="F101" i="122"/>
  <c r="F103" i="122" s="1"/>
  <c r="M43" i="94"/>
  <c r="M45" i="94" s="1"/>
  <c r="M48" i="94" s="1"/>
  <c r="M53" i="94" s="1"/>
  <c r="J103" i="122"/>
  <c r="K164" i="122" s="1"/>
  <c r="K184" i="122" s="1"/>
  <c r="I126" i="122"/>
  <c r="J172" i="122" s="1"/>
  <c r="J192" i="122" s="1"/>
  <c r="R156" i="122"/>
  <c r="G126" i="122"/>
  <c r="H172" i="122" s="1"/>
  <c r="H192" i="122" s="1"/>
  <c r="H124" i="122"/>
  <c r="H126" i="122" s="1"/>
  <c r="I172" i="122" s="1"/>
  <c r="I192" i="122" s="1"/>
  <c r="G102" i="122"/>
  <c r="H102" i="122"/>
  <c r="I101" i="122"/>
  <c r="I102" i="122"/>
  <c r="F126" i="122"/>
  <c r="H101" i="122"/>
  <c r="R130" i="122"/>
  <c r="L42" i="94"/>
  <c r="L43" i="94" s="1"/>
  <c r="L45" i="94" s="1"/>
  <c r="L48" i="94" s="1"/>
  <c r="L53" i="94" s="1"/>
  <c r="G28" i="87"/>
  <c r="E85" i="120"/>
  <c r="I72" i="120"/>
  <c r="I75" i="120" s="1"/>
  <c r="L32" i="91"/>
  <c r="L43" i="91" s="1"/>
  <c r="I32" i="91"/>
  <c r="I43" i="91" s="1"/>
  <c r="K32" i="91"/>
  <c r="K43" i="91" s="1"/>
  <c r="K45" i="91" s="1"/>
  <c r="K48" i="91" s="1"/>
  <c r="K53" i="91" s="1"/>
  <c r="F37" i="78"/>
  <c r="P10" i="120"/>
  <c r="I42" i="94"/>
  <c r="J42" i="94"/>
  <c r="J43" i="94" s="1"/>
  <c r="J45" i="94" s="1"/>
  <c r="I32" i="94"/>
  <c r="K32" i="94"/>
  <c r="K43" i="94" s="1"/>
  <c r="K45" i="94" s="1"/>
  <c r="J32" i="91"/>
  <c r="J43" i="91" s="1"/>
  <c r="I28" i="120"/>
  <c r="F41" i="120"/>
  <c r="I10" i="87"/>
  <c r="J10" i="87" s="1"/>
  <c r="I9" i="87"/>
  <c r="J9" i="87" s="1"/>
  <c r="K8" i="87"/>
  <c r="K7" i="87"/>
  <c r="U45" i="91"/>
  <c r="U48" i="91" s="1"/>
  <c r="U53" i="91" s="1"/>
  <c r="I21" i="120"/>
  <c r="E39" i="120"/>
  <c r="E41" i="120" s="1"/>
  <c r="L75" i="122"/>
  <c r="L78" i="122" s="1"/>
  <c r="K15" i="87"/>
  <c r="K14" i="87"/>
  <c r="K18" i="87"/>
  <c r="K16" i="87"/>
  <c r="K17" i="87"/>
  <c r="K13" i="87"/>
  <c r="K11" i="87"/>
  <c r="Q32" i="94"/>
  <c r="Q43" i="94" s="1"/>
  <c r="Q45" i="94" s="1"/>
  <c r="S48" i="91"/>
  <c r="S53" i="91" s="1"/>
  <c r="S42" i="94"/>
  <c r="S43" i="94" s="1"/>
  <c r="S45" i="94" s="1"/>
  <c r="I22" i="87"/>
  <c r="I8" i="87"/>
  <c r="I18" i="87"/>
  <c r="I14" i="87"/>
  <c r="I11" i="87"/>
  <c r="I7" i="87"/>
  <c r="I20" i="87"/>
  <c r="I21" i="87"/>
  <c r="I16" i="87"/>
  <c r="I15" i="87"/>
  <c r="I13" i="87"/>
  <c r="I17" i="87"/>
  <c r="I12" i="120"/>
  <c r="T48" i="94"/>
  <c r="T53" i="94" s="1"/>
  <c r="O75" i="122"/>
  <c r="O78" i="122" s="1"/>
  <c r="H41" i="120"/>
  <c r="H49" i="120" s="1"/>
  <c r="Q48" i="91"/>
  <c r="Q53" i="91" s="1"/>
  <c r="L164" i="122" l="1"/>
  <c r="L184" i="122" s="1"/>
  <c r="L150" i="122"/>
  <c r="L104" i="122"/>
  <c r="O164" i="122"/>
  <c r="O184" i="122" s="1"/>
  <c r="N150" i="122"/>
  <c r="N104" i="122"/>
  <c r="Q164" i="122"/>
  <c r="Q184" i="122" s="1"/>
  <c r="P150" i="122"/>
  <c r="P104" i="122"/>
  <c r="O48" i="91"/>
  <c r="O53" i="91"/>
  <c r="Q150" i="122"/>
  <c r="O172" i="122"/>
  <c r="O192" i="122" s="1"/>
  <c r="N127" i="122"/>
  <c r="N154" i="122"/>
  <c r="O154" i="122"/>
  <c r="O127" i="122"/>
  <c r="P164" i="122"/>
  <c r="P184" i="122" s="1"/>
  <c r="O104" i="122"/>
  <c r="O150" i="122"/>
  <c r="Q172" i="122"/>
  <c r="Q192" i="122" s="1"/>
  <c r="P154" i="122"/>
  <c r="P127" i="122"/>
  <c r="Q127" i="122"/>
  <c r="Q154" i="122"/>
  <c r="Q104" i="122"/>
  <c r="E12" i="103"/>
  <c r="Q9" i="120" s="1"/>
  <c r="S9" i="120" s="1"/>
  <c r="I13" i="103"/>
  <c r="G24" i="103"/>
  <c r="G41" i="103" s="1"/>
  <c r="I14" i="103"/>
  <c r="G15" i="103"/>
  <c r="P12" i="120"/>
  <c r="P41" i="120" s="1"/>
  <c r="P49" i="120" s="1"/>
  <c r="P54" i="120" s="1"/>
  <c r="F49" i="120"/>
  <c r="F54" i="120" s="1"/>
  <c r="J154" i="122"/>
  <c r="K104" i="122"/>
  <c r="O129" i="122"/>
  <c r="P174" i="122" s="1"/>
  <c r="P194" i="122" s="1"/>
  <c r="O83" i="122"/>
  <c r="L129" i="122"/>
  <c r="L83" i="122"/>
  <c r="G103" i="122"/>
  <c r="H103" i="122"/>
  <c r="I164" i="122" s="1"/>
  <c r="I184" i="122" s="1"/>
  <c r="J127" i="122"/>
  <c r="I154" i="122"/>
  <c r="K150" i="122"/>
  <c r="G127" i="122"/>
  <c r="H127" i="122"/>
  <c r="H154" i="122"/>
  <c r="I103" i="122"/>
  <c r="J164" i="122" s="1"/>
  <c r="J184" i="122" s="1"/>
  <c r="I127" i="122"/>
  <c r="M53" i="91"/>
  <c r="I79" i="120"/>
  <c r="L45" i="91"/>
  <c r="L48" i="91" s="1"/>
  <c r="L53" i="91" s="1"/>
  <c r="I45" i="91"/>
  <c r="I48" i="91" s="1"/>
  <c r="I53" i="91" s="1"/>
  <c r="F39" i="78"/>
  <c r="F41" i="78" s="1"/>
  <c r="I39" i="120"/>
  <c r="I41" i="120" s="1"/>
  <c r="K48" i="94"/>
  <c r="K53" i="94" s="1"/>
  <c r="J48" i="94"/>
  <c r="J53" i="94" s="1"/>
  <c r="I43" i="94"/>
  <c r="I45" i="94" s="1"/>
  <c r="I48" i="94" s="1"/>
  <c r="I53" i="94" s="1"/>
  <c r="J45" i="91"/>
  <c r="J75" i="122"/>
  <c r="J78" i="122" s="1"/>
  <c r="P75" i="122"/>
  <c r="P78" i="122" s="1"/>
  <c r="L17" i="87"/>
  <c r="M17" i="87" s="1"/>
  <c r="J17" i="87"/>
  <c r="L15" i="87"/>
  <c r="M15" i="87" s="1"/>
  <c r="J15" i="87"/>
  <c r="J21" i="87"/>
  <c r="L21" i="87"/>
  <c r="M21" i="87" s="1"/>
  <c r="O11" i="87"/>
  <c r="L7" i="87"/>
  <c r="M7" i="87" s="1"/>
  <c r="I25" i="87"/>
  <c r="J7" i="87"/>
  <c r="L14" i="87"/>
  <c r="M14" i="87" s="1"/>
  <c r="J14" i="87"/>
  <c r="L8" i="87"/>
  <c r="M8" i="87" s="1"/>
  <c r="J8" i="87"/>
  <c r="S48" i="94"/>
  <c r="S53" i="94" s="1"/>
  <c r="Q48" i="94"/>
  <c r="Q53" i="94" s="1"/>
  <c r="O18" i="87"/>
  <c r="L13" i="87"/>
  <c r="M13" i="87" s="1"/>
  <c r="J13" i="87"/>
  <c r="L16" i="87"/>
  <c r="M16" i="87" s="1"/>
  <c r="J16" i="87"/>
  <c r="J20" i="87"/>
  <c r="L20" i="87"/>
  <c r="M20" i="87" s="1"/>
  <c r="O22" i="87"/>
  <c r="J11" i="87"/>
  <c r="L11" i="87"/>
  <c r="M11" i="87" s="1"/>
  <c r="J18" i="87"/>
  <c r="L18" i="87"/>
  <c r="M18" i="87" s="1"/>
  <c r="L22" i="87"/>
  <c r="M22" i="87" s="1"/>
  <c r="J22" i="87"/>
  <c r="H164" i="122" l="1"/>
  <c r="H184" i="122" s="1"/>
  <c r="L156" i="122"/>
  <c r="M174" i="122"/>
  <c r="M194" i="122" s="1"/>
  <c r="M130" i="122"/>
  <c r="L130" i="122"/>
  <c r="E19" i="103"/>
  <c r="Q16" i="120" s="1"/>
  <c r="I24" i="103"/>
  <c r="I41" i="103" s="1"/>
  <c r="G43" i="103"/>
  <c r="G46" i="103" s="1"/>
  <c r="G51" i="103" s="1"/>
  <c r="I15" i="103"/>
  <c r="E14" i="103"/>
  <c r="Q11" i="120" s="1"/>
  <c r="M156" i="122"/>
  <c r="P129" i="122"/>
  <c r="P83" i="122"/>
  <c r="O130" i="122"/>
  <c r="O156" i="122"/>
  <c r="J129" i="122"/>
  <c r="K174" i="122" s="1"/>
  <c r="K194" i="122" s="1"/>
  <c r="J83" i="122"/>
  <c r="H150" i="122"/>
  <c r="G104" i="122"/>
  <c r="H104" i="122"/>
  <c r="I150" i="122"/>
  <c r="J150" i="122"/>
  <c r="I104" i="122"/>
  <c r="J104" i="122"/>
  <c r="J48" i="91"/>
  <c r="J53" i="91" s="1"/>
  <c r="J25" i="87"/>
  <c r="S89" i="120" s="1"/>
  <c r="N22" i="87"/>
  <c r="P22" i="87" s="1"/>
  <c r="N18" i="87"/>
  <c r="P18" i="87" s="1"/>
  <c r="N11" i="87"/>
  <c r="P11" i="87" s="1"/>
  <c r="O24" i="87"/>
  <c r="Q21" i="120" l="1"/>
  <c r="P156" i="122"/>
  <c r="Q174" i="122"/>
  <c r="Q194" i="122" s="1"/>
  <c r="K59" i="120"/>
  <c r="M58" i="120"/>
  <c r="I43" i="103"/>
  <c r="I46" i="103" s="1"/>
  <c r="I51" i="103" s="1"/>
  <c r="E24" i="103"/>
  <c r="J130" i="122"/>
  <c r="J156" i="122"/>
  <c r="K130" i="122"/>
  <c r="Q156" i="122"/>
  <c r="K156" i="122"/>
  <c r="P130" i="122"/>
  <c r="Q130" i="122"/>
  <c r="G19" i="126"/>
  <c r="K7" i="120"/>
  <c r="J10" i="103" s="1"/>
  <c r="S11" i="120"/>
  <c r="P24" i="87"/>
  <c r="P25" i="87" s="1"/>
  <c r="E10" i="103" l="1"/>
  <c r="Q7" i="120" s="1"/>
  <c r="S7" i="120" s="1"/>
  <c r="J29" i="103"/>
  <c r="J32" i="103"/>
  <c r="E32" i="103" s="1"/>
  <c r="Q30" i="120" s="1"/>
  <c r="J37" i="103"/>
  <c r="K8" i="120"/>
  <c r="K37" i="120"/>
  <c r="M37" i="120" s="1"/>
  <c r="N37" i="120" s="1"/>
  <c r="S37" i="120" s="1"/>
  <c r="K27" i="120"/>
  <c r="E37" i="103" l="1"/>
  <c r="Q35" i="120" s="1"/>
  <c r="J40" i="103"/>
  <c r="J11" i="103"/>
  <c r="E29" i="103"/>
  <c r="Q27" i="120" s="1"/>
  <c r="J30" i="103"/>
  <c r="K25" i="120"/>
  <c r="K74" i="120"/>
  <c r="K75" i="120" s="1"/>
  <c r="K65" i="120"/>
  <c r="K69" i="120"/>
  <c r="K61" i="120"/>
  <c r="K68" i="120"/>
  <c r="M68" i="120" s="1"/>
  <c r="K66" i="120"/>
  <c r="K62" i="120"/>
  <c r="K60" i="120"/>
  <c r="K67" i="120"/>
  <c r="M27" i="120"/>
  <c r="N27" i="120" s="1"/>
  <c r="M20" i="120"/>
  <c r="N20" i="120" s="1"/>
  <c r="S20" i="120" s="1"/>
  <c r="M19" i="120"/>
  <c r="N19" i="120" s="1"/>
  <c r="S19" i="120" s="1"/>
  <c r="S27" i="120" l="1"/>
  <c r="J41" i="103"/>
  <c r="E11" i="103"/>
  <c r="Q8" i="120" s="1"/>
  <c r="S8" i="120" s="1"/>
  <c r="J13" i="103"/>
  <c r="J15" i="103" s="1"/>
  <c r="K30" i="120"/>
  <c r="M18" i="120"/>
  <c r="N18" i="120" s="1"/>
  <c r="S18" i="120" s="1"/>
  <c r="M25" i="120"/>
  <c r="N25" i="120" s="1"/>
  <c r="S25" i="120" s="1"/>
  <c r="M36" i="120"/>
  <c r="N36" i="120" s="1"/>
  <c r="S36" i="120" s="1"/>
  <c r="J43" i="103" l="1"/>
  <c r="J46" i="103" s="1"/>
  <c r="J51" i="103" s="1"/>
  <c r="E13" i="103"/>
  <c r="E15" i="103" s="1"/>
  <c r="U8" i="120"/>
  <c r="Q10" i="120"/>
  <c r="Q12" i="120" s="1"/>
  <c r="E30" i="103"/>
  <c r="E40" i="103"/>
  <c r="Q38" i="120"/>
  <c r="K35" i="120"/>
  <c r="K32" i="120"/>
  <c r="K31" i="120"/>
  <c r="K24" i="120"/>
  <c r="M24" i="120" s="1"/>
  <c r="S10" i="120" l="1"/>
  <c r="S12" i="120" s="1"/>
  <c r="Q28" i="120"/>
  <c r="Q39" i="120" s="1"/>
  <c r="Q41" i="120" s="1"/>
  <c r="Q49" i="120" s="1"/>
  <c r="Q54" i="120" s="1"/>
  <c r="E41" i="103"/>
  <c r="E43" i="103" s="1"/>
  <c r="E46" i="103" s="1"/>
  <c r="E51" i="103" s="1"/>
  <c r="M32" i="120"/>
  <c r="N32" i="120" s="1"/>
  <c r="S32" i="120" s="1"/>
  <c r="M31" i="120"/>
  <c r="N31" i="120" s="1"/>
  <c r="S31" i="120" s="1"/>
  <c r="M35" i="120"/>
  <c r="N35" i="120" s="1"/>
  <c r="M16" i="120"/>
  <c r="N16" i="120" s="1"/>
  <c r="S16" i="120" s="1"/>
  <c r="M30" i="120"/>
  <c r="N30" i="120" s="1"/>
  <c r="S30" i="120" s="1"/>
  <c r="M74" i="120"/>
  <c r="N74" i="120" s="1"/>
  <c r="M28" i="120"/>
  <c r="N24" i="120"/>
  <c r="S24" i="120" s="1"/>
  <c r="S28" i="120" s="1"/>
  <c r="M21" i="120" l="1"/>
  <c r="M38" i="120"/>
  <c r="N28" i="120"/>
  <c r="S35" i="120"/>
  <c r="S38" i="120" s="1"/>
  <c r="N38" i="120"/>
  <c r="M76" i="120"/>
  <c r="N76" i="120" s="1"/>
  <c r="S76" i="120" s="1"/>
  <c r="M77" i="120"/>
  <c r="N77" i="120" s="1"/>
  <c r="S77" i="120" s="1"/>
  <c r="S74" i="120"/>
  <c r="S21" i="120"/>
  <c r="N21" i="120"/>
  <c r="M62" i="120"/>
  <c r="N62" i="120" s="1"/>
  <c r="S62" i="120" s="1"/>
  <c r="S39" i="120" l="1"/>
  <c r="M39" i="120"/>
  <c r="M41" i="120" s="1"/>
  <c r="N39" i="120"/>
  <c r="N41" i="120" s="1"/>
  <c r="M61" i="120"/>
  <c r="N61" i="120" s="1"/>
  <c r="S61" i="120" s="1"/>
  <c r="M69" i="120"/>
  <c r="N69" i="120" s="1"/>
  <c r="S69" i="120" s="1"/>
  <c r="S41" i="120" l="1"/>
  <c r="M49" i="120"/>
  <c r="N68" i="120"/>
  <c r="S68" i="120" s="1"/>
  <c r="M60" i="120"/>
  <c r="N60" i="120" s="1"/>
  <c r="S60" i="120" s="1"/>
  <c r="M59" i="120" l="1"/>
  <c r="N59" i="120" s="1"/>
  <c r="S59" i="120" s="1"/>
  <c r="M67" i="120"/>
  <c r="N67" i="120" s="1"/>
  <c r="S67" i="120" s="1"/>
  <c r="M66" i="120" l="1"/>
  <c r="N66" i="120" s="1"/>
  <c r="S66" i="120" s="1"/>
  <c r="M65" i="120"/>
  <c r="N58" i="120"/>
  <c r="M63" i="120"/>
  <c r="N65" i="120" l="1"/>
  <c r="M70" i="120"/>
  <c r="M72" i="120" s="1"/>
  <c r="M75" i="120" s="1"/>
  <c r="S58" i="120"/>
  <c r="S63" i="120" s="1"/>
  <c r="N63" i="120"/>
  <c r="M79" i="120" l="1"/>
  <c r="M50" i="120" s="1"/>
  <c r="S65" i="120"/>
  <c r="S70" i="120" s="1"/>
  <c r="N70" i="120"/>
  <c r="N72" i="120" s="1"/>
  <c r="N75" i="120" s="1"/>
  <c r="S75" i="120" s="1"/>
  <c r="M54" i="120" l="1"/>
  <c r="S72" i="120"/>
  <c r="S79" i="120" s="1"/>
  <c r="N79" i="120"/>
  <c r="T79" i="120" l="1"/>
  <c r="T80" i="120" s="1"/>
  <c r="S85" i="120"/>
  <c r="F13" i="126"/>
  <c r="H13" i="126" s="1"/>
  <c r="H17" i="126" s="1"/>
  <c r="H54" i="120" l="1"/>
  <c r="G54" i="120" l="1"/>
  <c r="I49" i="120" l="1"/>
  <c r="N49" i="120" l="1"/>
  <c r="S49" i="120" s="1"/>
  <c r="E54" i="120" l="1"/>
  <c r="E81" i="120" s="1"/>
  <c r="I50" i="120"/>
  <c r="I54" i="120" l="1"/>
  <c r="N50" i="120"/>
  <c r="E86" i="120"/>
  <c r="E88" i="120" s="1"/>
  <c r="S50" i="120" l="1"/>
  <c r="S54" i="120" s="1"/>
  <c r="T54" i="120" s="1"/>
  <c r="N54" i="120"/>
  <c r="F19" i="126" l="1"/>
  <c r="H19" i="126" s="1"/>
  <c r="S81" i="120"/>
  <c r="S86" i="120"/>
  <c r="S88" i="120" s="1"/>
  <c r="S90" i="120" s="1"/>
  <c r="H21" i="126" l="1"/>
  <c r="H25" i="126" l="1"/>
  <c r="H29" i="126" s="1"/>
</calcChain>
</file>

<file path=xl/comments1.xml><?xml version="1.0" encoding="utf-8"?>
<comments xmlns="http://schemas.openxmlformats.org/spreadsheetml/2006/main">
  <authors>
    <author>gzhkw6</author>
  </authors>
  <commentList>
    <comment ref="R11" authorId="0" shapeId="0">
      <text>
        <r>
          <rPr>
            <b/>
            <sz val="8"/>
            <color indexed="81"/>
            <rFont val="Tahoma"/>
            <family val="2"/>
          </rPr>
          <t>gzhkw6:</t>
        </r>
        <r>
          <rPr>
            <sz val="8"/>
            <color indexed="81"/>
            <rFont val="Tahoma"/>
            <family val="2"/>
          </rPr>
          <t xml:space="preserve">
Commission Basis report erroneously picked up unbilled revenue on this line instead of interdepartmental.  Total is OK but both line 1 and 2 are misstated.
Restated correctly here to facilitate analysis</t>
        </r>
      </text>
    </comment>
    <comment ref="F77" authorId="0" shapeId="0">
      <text>
        <r>
          <rPr>
            <b/>
            <sz val="8"/>
            <color indexed="81"/>
            <rFont val="Tahoma"/>
            <family val="2"/>
          </rPr>
          <t>gzhkw6:</t>
        </r>
        <r>
          <rPr>
            <sz val="8"/>
            <color indexed="81"/>
            <rFont val="Tahoma"/>
            <family val="2"/>
          </rPr>
          <t xml:space="preserve">
Segregated Deferred Taxes and Deferred Debits and Credits as if it had been shown that way prior to 2011</t>
        </r>
      </text>
    </comment>
  </commentList>
</comments>
</file>

<file path=xl/comments2.xml><?xml version="1.0" encoding="utf-8"?>
<comments xmlns="http://schemas.openxmlformats.org/spreadsheetml/2006/main">
  <authors>
    <author>Joe Miller</author>
  </authors>
  <commentList>
    <comment ref="G14" authorId="0" shapeId="0">
      <text>
        <r>
          <rPr>
            <b/>
            <sz val="8"/>
            <color indexed="81"/>
            <rFont val="Tahoma"/>
            <family val="2"/>
          </rPr>
          <t>Joe Miller:</t>
        </r>
        <r>
          <rPr>
            <sz val="8"/>
            <color indexed="81"/>
            <rFont val="Tahoma"/>
            <family val="2"/>
          </rPr>
          <t xml:space="preserve">
Includes Unbilled</t>
        </r>
      </text>
    </comment>
  </commentList>
</comments>
</file>

<file path=xl/comments3.xml><?xml version="1.0" encoding="utf-8"?>
<comments xmlns="http://schemas.openxmlformats.org/spreadsheetml/2006/main">
  <authors>
    <author>Scott Reid</author>
  </authors>
  <commentList>
    <comment ref="A40" authorId="0" shapeId="0">
      <text>
        <r>
          <rPr>
            <sz val="11"/>
            <color indexed="81"/>
            <rFont val="Tahoma"/>
            <family val="2"/>
          </rPr>
          <t>Billed Demand is entered by Schedule, then allocated to Comm/Indust based on Billed Energy.</t>
        </r>
      </text>
    </comment>
  </commentList>
</comments>
</file>

<file path=xl/comments4.xml><?xml version="1.0" encoding="utf-8"?>
<comments xmlns="http://schemas.openxmlformats.org/spreadsheetml/2006/main">
  <authors>
    <author>gzhkw6</author>
  </authors>
  <commentList>
    <comment ref="D14" authorId="0" shapeId="0">
      <text>
        <r>
          <rPr>
            <b/>
            <sz val="9"/>
            <color indexed="81"/>
            <rFont val="Tahoma"/>
            <family val="2"/>
          </rPr>
          <t>tlk:</t>
        </r>
        <r>
          <rPr>
            <sz val="9"/>
            <color indexed="81"/>
            <rFont val="Tahoma"/>
            <family val="2"/>
          </rPr>
          <t xml:space="preserve">
Wheeling Revenue in 12.2014 Results of Operations - see 456 revenue tab</t>
        </r>
      </text>
    </comment>
  </commentList>
</comments>
</file>

<file path=xl/comments5.xml><?xml version="1.0" encoding="utf-8"?>
<comments xmlns="http://schemas.openxmlformats.org/spreadsheetml/2006/main">
  <authors>
    <author>gzhkw6</author>
  </authors>
  <commentList>
    <comment ref="D14" authorId="0" shapeId="0">
      <text>
        <r>
          <rPr>
            <b/>
            <sz val="9"/>
            <color indexed="81"/>
            <rFont val="Tahoma"/>
            <family val="2"/>
          </rPr>
          <t>tlk:
Wheeling Revenue in PF Transmission Adjustment PF column</t>
        </r>
      </text>
    </comment>
    <comment ref="D15" authorId="0" shapeId="0">
      <text>
        <r>
          <rPr>
            <b/>
            <sz val="9"/>
            <color indexed="81"/>
            <rFont val="Tahoma"/>
            <family val="2"/>
          </rPr>
          <t>tlk:</t>
        </r>
        <r>
          <rPr>
            <sz val="9"/>
            <color indexed="81"/>
            <rFont val="Tahoma"/>
            <family val="2"/>
          </rPr>
          <t xml:space="preserve">
from PF Transmission confidential workpapers
</t>
        </r>
      </text>
    </comment>
    <comment ref="D16" authorId="0" shapeId="0">
      <text>
        <r>
          <rPr>
            <b/>
            <sz val="9"/>
            <color indexed="81"/>
            <rFont val="Tahoma"/>
            <family val="2"/>
          </rPr>
          <t>tlk:</t>
        </r>
        <r>
          <rPr>
            <sz val="9"/>
            <color indexed="81"/>
            <rFont val="Tahoma"/>
            <family val="2"/>
          </rPr>
          <t xml:space="preserve">
from PF Transmission confidential workpapers
</t>
        </r>
      </text>
    </comment>
  </commentList>
</comments>
</file>

<file path=xl/comments6.xml><?xml version="1.0" encoding="utf-8"?>
<comments xmlns="http://schemas.openxmlformats.org/spreadsheetml/2006/main">
  <authors>
    <author>gzhkw6</author>
  </authors>
  <commentList>
    <comment ref="D14" authorId="0" shapeId="0">
      <text>
        <r>
          <rPr>
            <b/>
            <sz val="9"/>
            <color indexed="81"/>
            <rFont val="Tahoma"/>
            <family val="2"/>
          </rPr>
          <t>LMA:</t>
        </r>
        <r>
          <rPr>
            <sz val="9"/>
            <color indexed="81"/>
            <rFont val="Tahoma"/>
            <family val="2"/>
          </rPr>
          <t xml:space="preserve">
Wheeling Revenue PF Transmission Adjustment PF column</t>
        </r>
      </text>
    </comment>
    <comment ref="D15" authorId="0" shapeId="0">
      <text>
        <r>
          <rPr>
            <b/>
            <sz val="9"/>
            <color indexed="81"/>
            <rFont val="Tahoma"/>
            <family val="2"/>
          </rPr>
          <t>tlk:</t>
        </r>
        <r>
          <rPr>
            <sz val="9"/>
            <color indexed="81"/>
            <rFont val="Tahoma"/>
            <family val="2"/>
          </rPr>
          <t xml:space="preserve">
from PF Transmission confidential workpapers
</t>
        </r>
      </text>
    </comment>
    <comment ref="D16" authorId="0" shapeId="0">
      <text>
        <r>
          <rPr>
            <b/>
            <sz val="9"/>
            <color indexed="81"/>
            <rFont val="Tahoma"/>
            <family val="2"/>
          </rPr>
          <t>tlk:</t>
        </r>
        <r>
          <rPr>
            <sz val="9"/>
            <color indexed="81"/>
            <rFont val="Tahoma"/>
            <family val="2"/>
          </rPr>
          <t xml:space="preserve">
from PF Transmission confidential workpapers
</t>
        </r>
      </text>
    </comment>
  </commentList>
</comments>
</file>

<file path=xl/comments7.xml><?xml version="1.0" encoding="utf-8"?>
<comments xmlns="http://schemas.openxmlformats.org/spreadsheetml/2006/main">
  <authors>
    <author>gzhkw6</author>
    <author>Liz Andrews</author>
  </authors>
  <commentList>
    <comment ref="I18" authorId="0" shapeId="0">
      <text>
        <r>
          <rPr>
            <b/>
            <sz val="8"/>
            <color indexed="81"/>
            <rFont val="Tahoma"/>
            <family val="2"/>
          </rPr>
          <t>gzhkw6:</t>
        </r>
        <r>
          <rPr>
            <sz val="8"/>
            <color indexed="81"/>
            <rFont val="Tahoma"/>
            <family val="2"/>
          </rPr>
          <t xml:space="preserve">
includes100K for leased transportation vehicles amort that should have been general plant related</t>
        </r>
      </text>
    </comment>
    <comment ref="R28" authorId="1" shapeId="0">
      <text>
        <r>
          <rPr>
            <b/>
            <sz val="8"/>
            <color indexed="81"/>
            <rFont val="Tahoma"/>
            <family val="2"/>
          </rPr>
          <t>Liz Andrews:</t>
        </r>
        <r>
          <rPr>
            <sz val="8"/>
            <color indexed="81"/>
            <rFont val="Tahoma"/>
            <family val="2"/>
          </rPr>
          <t xml:space="preserve">
Removed in 12.2013 Commission Basis Report model</t>
        </r>
      </text>
    </comment>
    <comment ref="S28" authorId="1" shapeId="0">
      <text>
        <r>
          <rPr>
            <b/>
            <sz val="8"/>
            <color indexed="81"/>
            <rFont val="Tahoma"/>
            <family val="2"/>
          </rPr>
          <t>Liz Andrews:</t>
        </r>
        <r>
          <rPr>
            <sz val="8"/>
            <color indexed="81"/>
            <rFont val="Tahoma"/>
            <family val="2"/>
          </rPr>
          <t xml:space="preserve">
Removed in 12.2013 Commission Basis Report model</t>
        </r>
      </text>
    </comment>
    <comment ref="J30" authorId="0" shapeId="0">
      <text>
        <r>
          <rPr>
            <b/>
            <sz val="8"/>
            <color indexed="81"/>
            <rFont val="Tahoma"/>
            <family val="2"/>
          </rPr>
          <t>gzhkw6:</t>
        </r>
        <r>
          <rPr>
            <sz val="8"/>
            <color indexed="81"/>
            <rFont val="Tahoma"/>
            <family val="2"/>
          </rPr>
          <t xml:space="preserve">
Prior to 2006 the amortization of the write off was recorded in account 426, changed to 407 making manual CB adjustment no longer necessary</t>
        </r>
      </text>
    </comment>
    <comment ref="R33" authorId="1" shapeId="0">
      <text>
        <r>
          <rPr>
            <b/>
            <sz val="8"/>
            <color indexed="81"/>
            <rFont val="Tahoma"/>
            <family val="2"/>
          </rPr>
          <t>Liz Andrews:</t>
        </r>
        <r>
          <rPr>
            <sz val="8"/>
            <color indexed="81"/>
            <rFont val="Tahoma"/>
            <family val="2"/>
          </rPr>
          <t xml:space="preserve">
Removed in 12.2013 Commission Basis Report model</t>
        </r>
      </text>
    </comment>
    <comment ref="S33" authorId="1" shapeId="0">
      <text>
        <r>
          <rPr>
            <b/>
            <sz val="8"/>
            <color indexed="81"/>
            <rFont val="Tahoma"/>
            <family val="2"/>
          </rPr>
          <t>Liz Andrews:</t>
        </r>
        <r>
          <rPr>
            <sz val="8"/>
            <color indexed="81"/>
            <rFont val="Tahoma"/>
            <family val="2"/>
          </rPr>
          <t xml:space="preserve">
Removed in 12.2013 Commission Basis Report model</t>
        </r>
      </text>
    </comment>
    <comment ref="S38" authorId="0" shapeId="0">
      <text>
        <r>
          <rPr>
            <b/>
            <sz val="9"/>
            <color indexed="81"/>
            <rFont val="Tahoma"/>
            <family val="2"/>
          </rPr>
          <t>tlk:</t>
        </r>
        <r>
          <rPr>
            <sz val="9"/>
            <color indexed="81"/>
            <rFont val="Tahoma"/>
            <family val="2"/>
          </rPr>
          <t xml:space="preserve">
amortization eliminated in EAS</t>
        </r>
      </text>
    </comment>
    <comment ref="S39" authorId="0" shapeId="0">
      <text>
        <r>
          <rPr>
            <b/>
            <sz val="9"/>
            <color indexed="81"/>
            <rFont val="Tahoma"/>
            <family val="2"/>
          </rPr>
          <t>tlk:</t>
        </r>
        <r>
          <rPr>
            <sz val="9"/>
            <color indexed="81"/>
            <rFont val="Tahoma"/>
            <family val="2"/>
          </rPr>
          <t xml:space="preserve">
eliminated in EWPC
</t>
        </r>
      </text>
    </comment>
    <comment ref="G49" authorId="0" shapeId="0">
      <text>
        <r>
          <rPr>
            <b/>
            <sz val="8"/>
            <color indexed="81"/>
            <rFont val="Tahoma"/>
            <family val="2"/>
          </rPr>
          <t>gzhkw6:</t>
        </r>
        <r>
          <rPr>
            <sz val="8"/>
            <color indexed="81"/>
            <rFont val="Tahoma"/>
            <family val="2"/>
          </rPr>
          <t xml:space="preserve">
includes CS2 pro forma plant and small gen</t>
        </r>
      </text>
    </comment>
    <comment ref="H49" authorId="0" shapeId="0">
      <text>
        <r>
          <rPr>
            <b/>
            <sz val="8"/>
            <color indexed="81"/>
            <rFont val="Tahoma"/>
            <family val="2"/>
          </rPr>
          <t>gzhkw6:</t>
        </r>
        <r>
          <rPr>
            <sz val="8"/>
            <color indexed="81"/>
            <rFont val="Tahoma"/>
            <family val="2"/>
          </rPr>
          <t xml:space="preserve">
includes CS2 pro forma plant</t>
        </r>
      </text>
    </comment>
    <comment ref="I49" authorId="0" shapeId="0">
      <text>
        <r>
          <rPr>
            <b/>
            <sz val="8"/>
            <color indexed="81"/>
            <rFont val="Tahoma"/>
            <family val="2"/>
          </rPr>
          <t>gzhkw6:</t>
        </r>
        <r>
          <rPr>
            <sz val="8"/>
            <color indexed="81"/>
            <rFont val="Tahoma"/>
            <family val="2"/>
          </rPr>
          <t xml:space="preserve">
pro formed CS2</t>
        </r>
      </text>
    </comment>
  </commentList>
</comments>
</file>

<file path=xl/comments8.xml><?xml version="1.0" encoding="utf-8"?>
<comments xmlns="http://schemas.openxmlformats.org/spreadsheetml/2006/main">
  <authors>
    <author>gzhkw6</author>
  </authors>
  <commentList>
    <comment ref="I24" authorId="0" shapeId="0">
      <text>
        <r>
          <rPr>
            <b/>
            <sz val="8"/>
            <color indexed="81"/>
            <rFont val="Tahoma"/>
            <family val="2"/>
          </rPr>
          <t>gzhkw6:</t>
        </r>
        <r>
          <rPr>
            <sz val="8"/>
            <color indexed="81"/>
            <rFont val="Tahoma"/>
            <family val="2"/>
          </rPr>
          <t xml:space="preserve">
No Res X in 2000 but Centralia Gain was refunded</t>
        </r>
      </text>
    </comment>
    <comment ref="T24" authorId="0" shapeId="0">
      <text>
        <r>
          <rPr>
            <b/>
            <sz val="8"/>
            <color indexed="81"/>
            <rFont val="Tahoma"/>
            <family val="2"/>
          </rPr>
          <t>gzhkw6:</t>
        </r>
        <r>
          <rPr>
            <sz val="8"/>
            <color indexed="81"/>
            <rFont val="Tahoma"/>
            <family val="2"/>
          </rPr>
          <t xml:space="preserve">
Net with Buck a block revenue offset
</t>
        </r>
      </text>
    </comment>
  </commentList>
</comments>
</file>

<file path=xl/comments9.xml><?xml version="1.0" encoding="utf-8"?>
<comments xmlns="http://schemas.openxmlformats.org/spreadsheetml/2006/main">
  <authors>
    <author>gzhkw6</author>
  </authors>
  <commentList>
    <comment ref="E16" authorId="0" shapeId="0">
      <text>
        <r>
          <rPr>
            <b/>
            <sz val="9"/>
            <color indexed="81"/>
            <rFont val="Tahoma"/>
            <family val="2"/>
          </rPr>
          <t>gzhkw6:</t>
        </r>
        <r>
          <rPr>
            <sz val="9"/>
            <color indexed="81"/>
            <rFont val="Tahoma"/>
            <family val="2"/>
          </rPr>
          <t xml:space="preserve">
in ps wps 
11,802 * 66.29%</t>
        </r>
      </text>
    </comment>
    <comment ref="F16" authorId="0" shapeId="0">
      <text>
        <r>
          <rPr>
            <b/>
            <sz val="9"/>
            <color indexed="81"/>
            <rFont val="Tahoma"/>
            <family val="2"/>
          </rPr>
          <t>gzhkw6:</t>
        </r>
        <r>
          <rPr>
            <sz val="9"/>
            <color indexed="81"/>
            <rFont val="Tahoma"/>
            <family val="2"/>
          </rPr>
          <t xml:space="preserve">
in ps wps
14,659 * 67.48%
</t>
        </r>
      </text>
    </comment>
    <comment ref="G16" authorId="0" shapeId="0">
      <text>
        <r>
          <rPr>
            <b/>
            <sz val="9"/>
            <color indexed="81"/>
            <rFont val="Tahoma"/>
            <family val="2"/>
          </rPr>
          <t>gzhkw6:</t>
        </r>
        <r>
          <rPr>
            <sz val="9"/>
            <color indexed="81"/>
            <rFont val="Tahoma"/>
            <family val="2"/>
          </rPr>
          <t xml:space="preserve">
in ps wps</t>
        </r>
      </text>
    </comment>
    <comment ref="H16" authorId="0" shapeId="0">
      <text>
        <r>
          <rPr>
            <b/>
            <sz val="9"/>
            <color indexed="81"/>
            <rFont val="Tahoma"/>
            <family val="2"/>
          </rPr>
          <t>gzhkw6:</t>
        </r>
        <r>
          <rPr>
            <sz val="9"/>
            <color indexed="81"/>
            <rFont val="Tahoma"/>
            <family val="2"/>
          </rPr>
          <t xml:space="preserve">
2004 glm query
</t>
        </r>
      </text>
    </comment>
    <comment ref="I16" authorId="0" shapeId="0">
      <text>
        <r>
          <rPr>
            <b/>
            <sz val="9"/>
            <color indexed="81"/>
            <rFont val="Tahoma"/>
            <family val="2"/>
          </rPr>
          <t>gzhkw6:</t>
        </r>
        <r>
          <rPr>
            <sz val="9"/>
            <color indexed="81"/>
            <rFont val="Tahoma"/>
            <family val="2"/>
          </rPr>
          <t xml:space="preserve">
pf transmission per power supply adj wps
case same as CB </t>
        </r>
      </text>
    </comment>
    <comment ref="R16" authorId="0" shapeId="0">
      <text>
        <r>
          <rPr>
            <b/>
            <sz val="9"/>
            <color indexed="81"/>
            <rFont val="Tahoma"/>
            <family val="2"/>
          </rPr>
          <t>gzhkw6:</t>
        </r>
        <r>
          <rPr>
            <sz val="9"/>
            <color indexed="81"/>
            <rFont val="Tahoma"/>
            <family val="2"/>
          </rPr>
          <t xml:space="preserve">
2005 - 2012 RevTran Journal totals Allocated + WA direct</t>
        </r>
      </text>
    </comment>
  </commentList>
</comments>
</file>

<file path=xl/sharedStrings.xml><?xml version="1.0" encoding="utf-8"?>
<sst xmlns="http://schemas.openxmlformats.org/spreadsheetml/2006/main" count="1981" uniqueCount="783">
  <si>
    <t>REVENUES</t>
  </si>
  <si>
    <t>Other Revenue</t>
  </si>
  <si>
    <t>ELECTRIC</t>
  </si>
  <si>
    <t>Line</t>
  </si>
  <si>
    <t>DESCRIPTION</t>
  </si>
  <si>
    <t>Washington</t>
  </si>
  <si>
    <t>Avista Corporation</t>
  </si>
  <si>
    <t>WA Power Supply Net Costs</t>
  </si>
  <si>
    <t>Total</t>
  </si>
  <si>
    <t>P/T Allocation Percentages</t>
  </si>
  <si>
    <t>447 Sales for Resale</t>
  </si>
  <si>
    <t>453 Sales of Water and Water Power</t>
  </si>
  <si>
    <t>454 Misc Rents</t>
  </si>
  <si>
    <t>456 Other Electric Revenue</t>
  </si>
  <si>
    <t xml:space="preserve">   Total Revenue</t>
  </si>
  <si>
    <t>501 Thermal Fuel Expense</t>
  </si>
  <si>
    <t>546 Other Power Gen Supvsn &amp; Eng</t>
  </si>
  <si>
    <t>547 Other Fuel Expense</t>
  </si>
  <si>
    <t>536 Water for Power</t>
  </si>
  <si>
    <t>555 Purchased Power</t>
  </si>
  <si>
    <t>549 Misc Other Gen Expense</t>
  </si>
  <si>
    <t>550 Rents</t>
  </si>
  <si>
    <t>556 System Control &amp; Dispatch</t>
  </si>
  <si>
    <t>557 Other Expenses</t>
  </si>
  <si>
    <t>565 Trans. of Elec. by Others</t>
  </si>
  <si>
    <t xml:space="preserve">   Total Expense</t>
  </si>
  <si>
    <t>Net Income Before Income Taxes</t>
  </si>
  <si>
    <t>Federal Income Tax</t>
  </si>
  <si>
    <t>Net Income</t>
  </si>
  <si>
    <t>Total Washington</t>
  </si>
  <si>
    <t>Forecast</t>
  </si>
  <si>
    <t>Average</t>
  </si>
  <si>
    <t>WA</t>
  </si>
  <si>
    <t>WA001</t>
  </si>
  <si>
    <t>WA012</t>
  </si>
  <si>
    <t>WA022</t>
  </si>
  <si>
    <t>WA032</t>
  </si>
  <si>
    <t>WA011</t>
  </si>
  <si>
    <t>WA021</t>
  </si>
  <si>
    <t>WA025</t>
  </si>
  <si>
    <t>WA031</t>
  </si>
  <si>
    <t>WA028</t>
  </si>
  <si>
    <t>WA04X</t>
  </si>
  <si>
    <t>Total Customers by Rate Sched:</t>
  </si>
  <si>
    <t>Total Billed Energy Usage by State:</t>
  </si>
  <si>
    <t>Billed Demand Usage &gt; minimum (in Kw's)</t>
  </si>
  <si>
    <t>Total Demand Usage by Rate Sched:</t>
  </si>
  <si>
    <t>Total Demand Usage by State:</t>
  </si>
  <si>
    <t>Revenue</t>
  </si>
  <si>
    <t>Revenue Requirement</t>
  </si>
  <si>
    <t xml:space="preserve">RATE OF RETURN  </t>
  </si>
  <si>
    <t xml:space="preserve">TOTAL RATE BASE  </t>
  </si>
  <si>
    <t xml:space="preserve">DEFERRED TAXES  </t>
  </si>
  <si>
    <t xml:space="preserve">WORKING CAPITAL </t>
  </si>
  <si>
    <t xml:space="preserve">Total Plant in Service  </t>
  </si>
  <si>
    <t xml:space="preserve">General  </t>
  </si>
  <si>
    <t xml:space="preserve">Distribution  </t>
  </si>
  <si>
    <t xml:space="preserve">Transmission  </t>
  </si>
  <si>
    <t xml:space="preserve">Production  </t>
  </si>
  <si>
    <t xml:space="preserve">Intangible  </t>
  </si>
  <si>
    <t xml:space="preserve">PLANT IN SERVICE  </t>
  </si>
  <si>
    <t xml:space="preserve">RATE BASE  </t>
  </si>
  <si>
    <t xml:space="preserve">NET OPERATING INCOME  </t>
  </si>
  <si>
    <t>Amortized ITC - Noxon</t>
  </si>
  <si>
    <t xml:space="preserve">Deferred Income Taxes  </t>
  </si>
  <si>
    <t xml:space="preserve">FEDERAL INCOME TAX  </t>
  </si>
  <si>
    <t xml:space="preserve">OPERATING INCOME BEFORE FIT  </t>
  </si>
  <si>
    <t xml:space="preserve">Total Electric Expenses  </t>
  </si>
  <si>
    <t xml:space="preserve">Total Admin. &amp; General  </t>
  </si>
  <si>
    <t xml:space="preserve">Taxes  </t>
  </si>
  <si>
    <t xml:space="preserve">Operating Expenses  </t>
  </si>
  <si>
    <t xml:space="preserve">Administrative &amp; General  </t>
  </si>
  <si>
    <t xml:space="preserve">Sales Expenses  </t>
  </si>
  <si>
    <t xml:space="preserve">Customer Service &amp; Information  </t>
  </si>
  <si>
    <t xml:space="preserve">Customer Accounting  </t>
  </si>
  <si>
    <t xml:space="preserve">Total Distribution  </t>
  </si>
  <si>
    <t xml:space="preserve">Total Production &amp; Transmission  </t>
  </si>
  <si>
    <t xml:space="preserve">Purchased Power  </t>
  </si>
  <si>
    <t xml:space="preserve">Production and Transmission  </t>
  </si>
  <si>
    <t xml:space="preserve">EXPENSES  </t>
  </si>
  <si>
    <t xml:space="preserve">Total Electric Revenue  </t>
  </si>
  <si>
    <t xml:space="preserve">Other Revenue  </t>
  </si>
  <si>
    <t xml:space="preserve">Total Sales of Electricity  </t>
  </si>
  <si>
    <t xml:space="preserve">Sales for Resale  </t>
  </si>
  <si>
    <t xml:space="preserve">Interdepartmental Sales  </t>
  </si>
  <si>
    <t xml:space="preserve">Total General Business  </t>
  </si>
  <si>
    <t xml:space="preserve">REVENUES  </t>
  </si>
  <si>
    <t>TOTAL</t>
  </si>
  <si>
    <t>Supply</t>
  </si>
  <si>
    <t>Power</t>
  </si>
  <si>
    <t>No.</t>
  </si>
  <si>
    <t>Common</t>
  </si>
  <si>
    <t>Remove</t>
  </si>
  <si>
    <t xml:space="preserve">(000'S OF DOLLARS)  </t>
  </si>
  <si>
    <t xml:space="preserve">AVISTA UTILITIES  </t>
  </si>
  <si>
    <t>Revenue Conversion Factor</t>
  </si>
  <si>
    <t xml:space="preserve"> </t>
  </si>
  <si>
    <t>Capital</t>
  </si>
  <si>
    <t>System</t>
  </si>
  <si>
    <t>Rate</t>
  </si>
  <si>
    <t>Schedule</t>
  </si>
  <si>
    <t>RESIDENTIAL</t>
  </si>
  <si>
    <t>SCHEDULE 1</t>
  </si>
  <si>
    <t xml:space="preserve">GENERAL SVC. </t>
  </si>
  <si>
    <t>SCH. 11,12</t>
  </si>
  <si>
    <t>LG. GEN. SVC.</t>
  </si>
  <si>
    <t>SCH. 21,22</t>
  </si>
  <si>
    <t>EX LG GEN SVC</t>
  </si>
  <si>
    <t>SCHEDULE 25</t>
  </si>
  <si>
    <t>PUMPING</t>
  </si>
  <si>
    <t>SCH. 30, 31, 32</t>
  </si>
  <si>
    <t>ST &amp; AREA LTG</t>
  </si>
  <si>
    <t>SCH. 41-48</t>
  </si>
  <si>
    <t>Billing Determinant</t>
  </si>
  <si>
    <t>Volumes</t>
  </si>
  <si>
    <t>Demand</t>
  </si>
  <si>
    <t>Revenue Growth Factor</t>
  </si>
  <si>
    <t>AVISTA UTILITIES</t>
  </si>
  <si>
    <t>Working Capital</t>
  </si>
  <si>
    <t>Growth</t>
  </si>
  <si>
    <t>Basic Charge</t>
  </si>
  <si>
    <t>[A]</t>
  </si>
  <si>
    <t>[B]</t>
  </si>
  <si>
    <t>[D]</t>
  </si>
  <si>
    <t>[E] = [D] / SUM([D])</t>
  </si>
  <si>
    <t>Weight x Growth</t>
  </si>
  <si>
    <t>WA Power Supply Pro Forma Net Cost</t>
  </si>
  <si>
    <t>Amounts</t>
  </si>
  <si>
    <t>456 Other Electric Revenue-Direct WA</t>
  </si>
  <si>
    <t>557 Other Expenses-Direct WA</t>
  </si>
  <si>
    <t>Total Customers</t>
  </si>
  <si>
    <t>Total Volumes</t>
  </si>
  <si>
    <t>Total Demand</t>
  </si>
  <si>
    <t>Difference</t>
  </si>
  <si>
    <t xml:space="preserve">WASHINGTON ELECTRIC RESULTS  </t>
  </si>
  <si>
    <t xml:space="preserve">Adjustment Number </t>
  </si>
  <si>
    <t>Workpaper Reference</t>
  </si>
  <si>
    <t xml:space="preserve">Depreciation/Amortization  </t>
  </si>
  <si>
    <t>Regulatory Amortization</t>
  </si>
  <si>
    <t>Depreciation/Amortization</t>
  </si>
  <si>
    <t xml:space="preserve">Current Accrual </t>
  </si>
  <si>
    <t>Debt Interest</t>
  </si>
  <si>
    <t>ACCUMULATED DEPRECIATION/AMORT</t>
  </si>
  <si>
    <t>Total Accumulated Depreciation</t>
  </si>
  <si>
    <t xml:space="preserve">NET PLANT </t>
  </si>
  <si>
    <t>Net Plant After DFIT</t>
  </si>
  <si>
    <t xml:space="preserve">DEFERRED DEBITS AND CREDITS </t>
  </si>
  <si>
    <t>WORK PAPER</t>
  </si>
  <si>
    <t>REFERENCE</t>
  </si>
  <si>
    <t>Print Header for all printed pages on this worksheet:</t>
  </si>
  <si>
    <t>PRESENT BILL DETERMINANTS</t>
  </si>
  <si>
    <t>Calculate all revenue exhibits using  ____ rates:</t>
  </si>
  <si>
    <t>KILOWATT HOURS (KWHS)</t>
  </si>
  <si>
    <t>1)</t>
  </si>
  <si>
    <t>BASE TARIFF</t>
  </si>
  <si>
    <t>PDE-E-10</t>
  </si>
  <si>
    <t>BLOCK 1</t>
  </si>
  <si>
    <t>or</t>
  </si>
  <si>
    <t>BLOCK 2</t>
  </si>
  <si>
    <t>2)</t>
  </si>
  <si>
    <t>BILLING</t>
  </si>
  <si>
    <t>BLOCK 3</t>
  </si>
  <si>
    <t>BLOCK 4</t>
  </si>
  <si>
    <t>STREET &amp; AREA LIGHTS</t>
  </si>
  <si>
    <t>SUBTOTAL</t>
  </si>
  <si>
    <t>ADJUSTMENT TO ACTUAL</t>
  </si>
  <si>
    <t>TOTAL BEFORE ADJUSTMENT</t>
  </si>
  <si>
    <t>PDE-E-3</t>
  </si>
  <si>
    <t>WEATHER &amp; UNBILLED ADJ. KWHS</t>
  </si>
  <si>
    <t>TOTAL PROFORMA KWHS</t>
  </si>
  <si>
    <t>TOTAL BILLS</t>
  </si>
  <si>
    <t>MINIMUM BILLS</t>
  </si>
  <si>
    <t>EXCESS DEMAND</t>
  </si>
  <si>
    <t>PROPOSED BILL DETERMINANTS</t>
  </si>
  <si>
    <t>PRESENT RATES</t>
  </si>
  <si>
    <t>- range name where Present Rates table can be found</t>
  </si>
  <si>
    <t>PDE-E-22</t>
  </si>
  <si>
    <t>BASIC CHARGE</t>
  </si>
  <si>
    <t>- range name where Proposed Rates table can be found</t>
  </si>
  <si>
    <t>MONTHLY MINIMUM</t>
  </si>
  <si>
    <t>BLOCK 1 PER KWH</t>
  </si>
  <si>
    <t>BLOCK 2 PER KWH</t>
  </si>
  <si>
    <t>BLOCK 3 PER KWH</t>
  </si>
  <si>
    <t>BLOCK 4 PER KWH</t>
  </si>
  <si>
    <t>ADJUST TO ACTUAL PER KWH</t>
  </si>
  <si>
    <t>DEMAND BLOCK 1</t>
  </si>
  <si>
    <t>DEMAND BLOCK 2</t>
  </si>
  <si>
    <t>PROPOSED RATES</t>
  </si>
  <si>
    <t>PRESENT REVENUE</t>
  </si>
  <si>
    <t>POWER FACTOR ADJUSTMENT</t>
  </si>
  <si>
    <t>PRIMARY VOLTAGE DISCOUNT</t>
  </si>
  <si>
    <t>ANNUAL MINIMUM ADJUSTMENT</t>
  </si>
  <si>
    <t>PDE-E-11</t>
  </si>
  <si>
    <t>STREET &amp; AREA LIGHT REVENUE</t>
  </si>
  <si>
    <t>ADJUST TO ACTUAL</t>
  </si>
  <si>
    <t>ADJUSTMENT REVENUE</t>
  </si>
  <si>
    <t>UNBILLED REVENUE ADJUSTMENT</t>
  </si>
  <si>
    <t>UNBILLED LOAD KWHS</t>
  </si>
  <si>
    <t>PDE-E-5/6</t>
  </si>
  <si>
    <t>UNBILLED LOAD RATE</t>
  </si>
  <si>
    <t>UNBILLED LOAD REVENUE</t>
  </si>
  <si>
    <t>PDE-E-17</t>
  </si>
  <si>
    <t>WEATHER-SENSITIVE KWHS</t>
  </si>
  <si>
    <t>WEATHER-SENSITIVE RATE</t>
  </si>
  <si>
    <t>WEATHER-SENSITIVE REVENUE</t>
  </si>
  <si>
    <t>TOTAL UNBILLED KWH ADJUST</t>
  </si>
  <si>
    <t>TOTAL UNBILLED REVENUE ADJ</t>
  </si>
  <si>
    <t>WEATHER NORMALIZATION ADJ</t>
  </si>
  <si>
    <t>TOTAL ADJUSTMENT REVENUE</t>
  </si>
  <si>
    <t>TOTAL PRESENT REVENUE</t>
  </si>
  <si>
    <t>PROPOSED REVENUE</t>
  </si>
  <si>
    <t>TOTAL PROPOSED REVENUE</t>
  </si>
  <si>
    <t>TOTAL REVENUE INCREASE</t>
  </si>
  <si>
    <t>PERCENT REVENUE INCREASE</t>
  </si>
  <si>
    <t>BASELOAD</t>
  </si>
  <si>
    <t>WTHR-SENS.</t>
  </si>
  <si>
    <t>RATES</t>
  </si>
  <si>
    <t>KWHS</t>
  </si>
  <si>
    <t>REVENUE</t>
  </si>
  <si>
    <t>PRESENT BASELOAD AND WEATHER-SENSITIVE RATES</t>
  </si>
  <si>
    <t>0-600 KWHS</t>
  </si>
  <si>
    <t>601-1300 KWHS</t>
  </si>
  <si>
    <t>OVER 1300 KWHS</t>
  </si>
  <si>
    <t>AVERAGE RATE</t>
  </si>
  <si>
    <t>PROPOSED BASELOAD AND WEATHER-SENSITIVE RATES</t>
  </si>
  <si>
    <t>SCHEDULE 11</t>
  </si>
  <si>
    <t>0-3650 KWHS</t>
  </si>
  <si>
    <t>over 3650 KWHS</t>
  </si>
  <si>
    <t>SCHEDULE 21</t>
  </si>
  <si>
    <t>0-250000 KWHS</t>
  </si>
  <si>
    <t>OVER 250000 KWHS</t>
  </si>
  <si>
    <t>Revenue Model</t>
  </si>
  <si>
    <t>Net Plant</t>
  </si>
  <si>
    <t>TWELVE MONTHS ENDED DECEMBER 31, 2005 - 2011</t>
  </si>
  <si>
    <t>(Note 1)</t>
  </si>
  <si>
    <t>ResX</t>
  </si>
  <si>
    <t>DSM</t>
  </si>
  <si>
    <t>(Note 2)</t>
  </si>
  <si>
    <t>Note 1:  2011 Washington electric revenue conversion factor amounts.</t>
  </si>
  <si>
    <t>Other</t>
  </si>
  <si>
    <t>Plant in Service</t>
  </si>
  <si>
    <t>Subtotal: Production and Transmission</t>
  </si>
  <si>
    <t>Subtotal: Distribution</t>
  </si>
  <si>
    <t>Subtotal: Administrative and General</t>
  </si>
  <si>
    <t>Accumulated Depreciation and Amortization</t>
  </si>
  <si>
    <t>Deferred Taxes</t>
  </si>
  <si>
    <t>Deferred Debits and Credits</t>
  </si>
  <si>
    <t>CBR Line Number</t>
  </si>
  <si>
    <t>Determine Base Cost and Revenue to Escalate</t>
  </si>
  <si>
    <t>ATTRITION ADJUSTMENT RELATED TO RETAIL REVENUE GROWTH AND ASSOCIATED POWER SUPPLY COST</t>
  </si>
  <si>
    <t>and Power</t>
  </si>
  <si>
    <t>Supply Cost</t>
  </si>
  <si>
    <t>Subtotal: Sales of Electricity</t>
  </si>
  <si>
    <t>Subtotal: Plant in Service</t>
  </si>
  <si>
    <t>Escalate Non-Energy Cost</t>
  </si>
  <si>
    <t>[F] = [C] x [E]</t>
  </si>
  <si>
    <t>Seems high</t>
  </si>
  <si>
    <t>12 bills per customer per year</t>
  </si>
  <si>
    <t>Volume Weights</t>
  </si>
  <si>
    <t>Diff x Growth</t>
  </si>
  <si>
    <t>ID</t>
  </si>
  <si>
    <t>ID001</t>
  </si>
  <si>
    <t>ID012</t>
  </si>
  <si>
    <t>ID022</t>
  </si>
  <si>
    <t>ID032</t>
  </si>
  <si>
    <t>ID04X</t>
  </si>
  <si>
    <t>ID011</t>
  </si>
  <si>
    <t>ID021</t>
  </si>
  <si>
    <t>ID025</t>
  </si>
  <si>
    <t>ID031</t>
  </si>
  <si>
    <t>ID025P</t>
  </si>
  <si>
    <t>Total Calendar Energy Usage by Rate Sched:</t>
  </si>
  <si>
    <t>Total Calendar Energy Usage by State:</t>
  </si>
  <si>
    <t>Washington - Electric System</t>
  </si>
  <si>
    <t>Weighted</t>
  </si>
  <si>
    <t>Component</t>
  </si>
  <si>
    <t>Structure</t>
  </si>
  <si>
    <t>Cost</t>
  </si>
  <si>
    <t>Total Debt</t>
  </si>
  <si>
    <t>Proposed Rate of Return</t>
  </si>
  <si>
    <t>na</t>
  </si>
  <si>
    <t>ATTRITION ADJUSTED REVENUE REQUIREMENT</t>
  </si>
  <si>
    <t>Operating Income Deficiency</t>
  </si>
  <si>
    <t>Attrition Adjusted Revenue Requirement</t>
  </si>
  <si>
    <t>[C]</t>
  </si>
  <si>
    <t>[E]</t>
  </si>
  <si>
    <t>[F]</t>
  </si>
  <si>
    <t>[G]</t>
  </si>
  <si>
    <t>[H]</t>
  </si>
  <si>
    <t>[I]</t>
  </si>
  <si>
    <t>[J]</t>
  </si>
  <si>
    <t>Subtotal: Accumulated Depreciation and Amortization</t>
  </si>
  <si>
    <t>Net Plant After Deferred taxes</t>
  </si>
  <si>
    <t>Return on Plant in Service at Proposed Rate</t>
  </si>
  <si>
    <t>Net Plant After Deferred Income Taxes</t>
  </si>
  <si>
    <t>Normalized Cost Per Power Supply Adjustment</t>
  </si>
  <si>
    <t>TWELVE MONTHS ENDED DECEMBER 31, 2000 - 2012</t>
  </si>
  <si>
    <t>Note 2:  Adder Schedules were removed from the 2004 and 2006 case files which were provided for Commission Basis reporting those years.</t>
  </si>
  <si>
    <t>Note 3:  Adder Schedules were removed from the 2004 and 2006 case files which were provided for Commission Basis reporting those years.</t>
  </si>
  <si>
    <t>Levelized Settlement Exchange Power</t>
  </si>
  <si>
    <t>Note 2:  No ResX rate credit in 2000.  However, there was a refund of the Centralia Gain that affected both revenue and regulatory amortizations.</t>
  </si>
  <si>
    <t>P/T Depreciation/Amort as filed</t>
  </si>
  <si>
    <t>Regulatory Amortizations as filed</t>
  </si>
  <si>
    <t>403 Production Depreciation</t>
  </si>
  <si>
    <t>403 Transmission Depreciation</t>
  </si>
  <si>
    <t>404 Intangible Amortization</t>
  </si>
  <si>
    <t>405 Exchange Power Amortization</t>
  </si>
  <si>
    <t>406 Colstrip Common AFUDC</t>
  </si>
  <si>
    <t>407 Amort of CO2 credits</t>
  </si>
  <si>
    <t>407 Amort of Centralia Gain</t>
  </si>
  <si>
    <t>407 Amort of Rate Base Reduction</t>
  </si>
  <si>
    <t>407 Amort of MOPS Reg Asset</t>
  </si>
  <si>
    <t>407 Amort of Residential Exchange</t>
  </si>
  <si>
    <t>407 Small Gen Amortization</t>
  </si>
  <si>
    <t>407 Kettle Falls Disallowed Depreciation</t>
  </si>
  <si>
    <t>Rev</t>
  </si>
  <si>
    <t>407 SRR &amp; CDA Settlement Deferrals &amp; Amorts</t>
  </si>
  <si>
    <t>407 Lancaster Generation</t>
  </si>
  <si>
    <t>407 Optional Renewable Power Revenue Offset</t>
  </si>
  <si>
    <t>407 Deferred O&amp;M Deferral &amp; Amort</t>
  </si>
  <si>
    <t>407 LiDAR Deferral &amp; Amortization</t>
  </si>
  <si>
    <t>407 CNC Transmission Amortization</t>
  </si>
  <si>
    <t>407 WA Renewable Energy Credits Amortization</t>
  </si>
  <si>
    <t>407 Optional Renewable Solar Project Offset</t>
  </si>
  <si>
    <t>407 Palouse Wind Deferral</t>
  </si>
  <si>
    <t>P/T Depreciation</t>
  </si>
  <si>
    <t>Regulatory Deferrals and Amortizations</t>
  </si>
  <si>
    <t>Included in Depreciation prior to 2012, should continue in depreciation</t>
  </si>
  <si>
    <t>Check Total</t>
  </si>
  <si>
    <t>Regulatory Deferrals &amp; Amorts Excluding Revenue</t>
  </si>
  <si>
    <t>Regulatory Amortizations</t>
  </si>
  <si>
    <t>Adjusted Regulatory Amortizations</t>
  </si>
  <si>
    <t>Gain on Sale of Office Building</t>
  </si>
  <si>
    <t>Colstrip 3 Reallocation</t>
  </si>
  <si>
    <t>Colstrip Common AFUDC</t>
  </si>
  <si>
    <t>Accum Depr</t>
  </si>
  <si>
    <t>Kettle Falls Disallowance</t>
  </si>
  <si>
    <t>ADFIT</t>
  </si>
  <si>
    <t>Settlement Exchange Power</t>
  </si>
  <si>
    <t>Hydro Relicensing</t>
  </si>
  <si>
    <t>Montana Riverbed Settlement</t>
  </si>
  <si>
    <t>Lancaster Generation</t>
  </si>
  <si>
    <t>Customer Advances</t>
  </si>
  <si>
    <t>Customer Deposits</t>
  </si>
  <si>
    <t>PGE Monetization</t>
  </si>
  <si>
    <t>MOPS</t>
  </si>
  <si>
    <t>Production Plant</t>
  </si>
  <si>
    <t>Distribution Plant</t>
  </si>
  <si>
    <t>Prod Plant</t>
  </si>
  <si>
    <t>Dist Plant</t>
  </si>
  <si>
    <t>ADFIT on Gain on Sale of Office Bldg</t>
  </si>
  <si>
    <t>Non-Retail Revenue Analysis</t>
  </si>
  <si>
    <t>Power Supply Normalized</t>
  </si>
  <si>
    <t>CB Totals</t>
  </si>
  <si>
    <t>Sales for Resale</t>
  </si>
  <si>
    <t>Non-PT Other Revenue</t>
  </si>
  <si>
    <t>BPA settlement erroneously removed from gen business, should have been removed from transmission wheeling rev</t>
  </si>
  <si>
    <t>missing normalize transmission wheeling revenues adjustment for CB</t>
  </si>
  <si>
    <t>Grand Total</t>
  </si>
  <si>
    <t>Total Customers by State:</t>
  </si>
  <si>
    <t>Total Bills</t>
  </si>
  <si>
    <t>kw &gt; 20</t>
  </si>
  <si>
    <t>kw &gt; 50</t>
  </si>
  <si>
    <t>kvar &gt; 3000</t>
  </si>
  <si>
    <t>Fixed Demand/Cust</t>
  </si>
  <si>
    <t>Annual Growth Rates</t>
  </si>
  <si>
    <t>2001-2002</t>
  </si>
  <si>
    <t>2002-2003</t>
  </si>
  <si>
    <t>2003-2004</t>
  </si>
  <si>
    <t>2004-2005</t>
  </si>
  <si>
    <t>2005-2006</t>
  </si>
  <si>
    <t>2006-2007</t>
  </si>
  <si>
    <t>2007-2008</t>
  </si>
  <si>
    <t>2008-2009</t>
  </si>
  <si>
    <t>2009-2010</t>
  </si>
  <si>
    <t>2010-2011</t>
  </si>
  <si>
    <t>2011-2012</t>
  </si>
  <si>
    <t>Rate base</t>
  </si>
  <si>
    <t>Adjusted Other Revenue</t>
  </si>
  <si>
    <t>PDE-E-23</t>
  </si>
  <si>
    <t>PDE-E-24</t>
  </si>
  <si>
    <t>PDE-E-31/8</t>
  </si>
  <si>
    <t>PDE-E-16</t>
  </si>
  <si>
    <t>PDE-E-18</t>
  </si>
  <si>
    <t>Note:  Total Base Load for Sch. 1 = Base Load per bill times total billings (base load per bill on PDE-E-19) =</t>
  </si>
  <si>
    <t>Note:  Total Base Load for Sch. 21 = Base Load per bill times total billings (base load per bill on PDE-E-19) =</t>
  </si>
  <si>
    <t>TWELVE MONTHS ENDED DECEMBER RESTATED TOTALS</t>
  </si>
  <si>
    <t>As Filed</t>
  </si>
  <si>
    <t>2000</t>
  </si>
  <si>
    <t>2001</t>
  </si>
  <si>
    <t>2002</t>
  </si>
  <si>
    <t>2003</t>
  </si>
  <si>
    <t>2004</t>
  </si>
  <si>
    <t>2005</t>
  </si>
  <si>
    <t>2006</t>
  </si>
  <si>
    <t>2007</t>
  </si>
  <si>
    <t>2008</t>
  </si>
  <si>
    <t>2009</t>
  </si>
  <si>
    <t>2010</t>
  </si>
  <si>
    <t>2011</t>
  </si>
  <si>
    <t>2012</t>
  </si>
  <si>
    <t>[K]</t>
  </si>
  <si>
    <t xml:space="preserve"> Proposed Cap Structure</t>
  </si>
  <si>
    <t>Note 1:  06.2013 Washington electric revenue conversion factor amounts.</t>
  </si>
  <si>
    <t>456 Transmission Wheeling Revenue</t>
  </si>
  <si>
    <t>456 Other Electric Revenue Direct WA</t>
  </si>
  <si>
    <t>557 Other Expenses Direct WA</t>
  </si>
  <si>
    <t>456 Other Wholesale Revenue</t>
  </si>
  <si>
    <t>check</t>
  </si>
  <si>
    <t xml:space="preserve">Line </t>
  </si>
  <si>
    <t>Description</t>
  </si>
  <si>
    <t>Factor</t>
  </si>
  <si>
    <t>Revenues</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</si>
  <si>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</si>
  <si>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</si>
  <si>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</si>
  <si>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</si>
  <si>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</si>
  <si>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</si>
  <si>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</si>
  <si>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</si>
  <si>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[C] = ([B] - [A])/[A]</t>
  </si>
  <si>
    <t>Escalation Factor</t>
  </si>
  <si>
    <t>Commission Basis Results of Operations</t>
  </si>
  <si>
    <t>Deduct DSM Tariff Rider Expenses</t>
  </si>
  <si>
    <t>Deduct Res X Credit Expenses</t>
  </si>
  <si>
    <t>Adjusted Operating Expenses</t>
  </si>
  <si>
    <t>Deduct Power Supply Expenses</t>
  </si>
  <si>
    <t>Production/Transmission</t>
  </si>
  <si>
    <t>Purchased Power</t>
  </si>
  <si>
    <t>Distribution</t>
  </si>
  <si>
    <t>Customer Accounting</t>
  </si>
  <si>
    <t>Customer Service and Information</t>
  </si>
  <si>
    <t>Sales</t>
  </si>
  <si>
    <t>Adminisrtative and General</t>
  </si>
  <si>
    <t>Total Operating &amp; Maintenance Expenses</t>
  </si>
  <si>
    <t>Total Depreciation/Amortization</t>
  </si>
  <si>
    <t>Total Taxes Other Than Income Tax</t>
  </si>
  <si>
    <t>Deduct DSM Tariff Rider Excise Tax</t>
  </si>
  <si>
    <t>Deduct Res X Credit Excise Tax</t>
  </si>
  <si>
    <t>Adjusted Taxes Other Than Income Tax</t>
  </si>
  <si>
    <t>Net Plant After Deferred Income Tax</t>
  </si>
  <si>
    <t>Total Rate Base</t>
  </si>
  <si>
    <t>Exclude Power Supply and Transmission Wheeling from Other Operating Revenue</t>
  </si>
  <si>
    <t>CBR Ln 7</t>
  </si>
  <si>
    <t>CBR Ln 8</t>
  </si>
  <si>
    <t>CBR Ln 13</t>
  </si>
  <si>
    <t>CBR Ln 17</t>
  </si>
  <si>
    <t>CBR Ln 18</t>
  </si>
  <si>
    <t>CBR Ln 19</t>
  </si>
  <si>
    <t>CBR Ln 20</t>
  </si>
  <si>
    <t>CBR Ln 9</t>
  </si>
  <si>
    <t>CBR Ln 14</t>
  </si>
  <si>
    <t>CBR Ln 21</t>
  </si>
  <si>
    <t>CBR Ln 10</t>
  </si>
  <si>
    <t>CBR Ln 11</t>
  </si>
  <si>
    <t>CBR Ln 15</t>
  </si>
  <si>
    <t>CBR Ln 22</t>
  </si>
  <si>
    <t>CBR Ln 46</t>
  </si>
  <si>
    <t>CBR Ln 49</t>
  </si>
  <si>
    <t>Other Operating Revenue</t>
  </si>
  <si>
    <t>CBR Ln 5</t>
  </si>
  <si>
    <t>Deduct Power Supply Other Revenue</t>
  </si>
  <si>
    <t>Deduct Transmission Other Revenue</t>
  </si>
  <si>
    <t>Total Power Supply Other Revenue</t>
  </si>
  <si>
    <t>No</t>
  </si>
  <si>
    <t>Exclude Power Supply and Adder Schedule Expenses (DSM Tariff Rider and Residential Exchange Credit) from O&amp;M</t>
  </si>
  <si>
    <t>Exclude Adder Schedule amortizations (Residential Exchange Credit) from Regulatory Amortizations</t>
  </si>
  <si>
    <t>Note: The Deferred Debits and Credits Category has been restated in prior years to reflect consistency with the current reporting format.</t>
  </si>
  <si>
    <t>Note: The Regulatory Amortization Category has been restated in prior years to reflect consistency with the current reporting format.</t>
  </si>
  <si>
    <t>Deduct Res X Credit amortization</t>
  </si>
  <si>
    <t>ANNUAL AND COMPOUND GROWTH RATES</t>
  </si>
  <si>
    <t xml:space="preserve">WASHINGTON ELECTRIC RESULTS </t>
  </si>
  <si>
    <t xml:space="preserve"> Authorized Cap Structure</t>
  </si>
  <si>
    <t>Calculation of General Revenue Requirement</t>
  </si>
  <si>
    <t>Net Operating Income Requirement</t>
  </si>
  <si>
    <t>Net Operating Income Deficiency</t>
  </si>
  <si>
    <t>Conversion Factor</t>
  </si>
  <si>
    <t>Total General Business Revenues</t>
  </si>
  <si>
    <t>Percentage Revenue Increase</t>
  </si>
  <si>
    <t>Growth Factor</t>
  </si>
  <si>
    <t>Attrition Rate Base</t>
  </si>
  <si>
    <t>(000's of Dollars)</t>
  </si>
  <si>
    <t>Balances</t>
  </si>
  <si>
    <t xml:space="preserve">Revenue </t>
  </si>
  <si>
    <t>Attrition Net Operating Income</t>
  </si>
  <si>
    <t>Attrition Revenue Requirement</t>
  </si>
  <si>
    <t>(a)</t>
  </si>
  <si>
    <t>Attrition</t>
  </si>
  <si>
    <t>(b)</t>
  </si>
  <si>
    <t xml:space="preserve">(c) </t>
  </si>
  <si>
    <t>Electric Growth  Rate Analysis and Escalation Factor Calculation</t>
  </si>
  <si>
    <t>7A</t>
  </si>
  <si>
    <t>13A</t>
  </si>
  <si>
    <t>Electric Data for Escalators</t>
  </si>
  <si>
    <t>$000s</t>
  </si>
  <si>
    <t>Line No.</t>
  </si>
  <si>
    <t>Exclude Adder Schedule excise taxes (DSM Tariff Rider and Residential Exchange Credit) from Taxes Other Than Income Tax</t>
  </si>
  <si>
    <t>(plus)  Revenue Growth</t>
  </si>
  <si>
    <t>ELECTRIC BILLING DETERMINANT INDEX</t>
  </si>
  <si>
    <t>2013</t>
  </si>
  <si>
    <t>407 BPA Parallel Capacity Support</t>
  </si>
  <si>
    <t>407 Colstrip Outage Return</t>
  </si>
  <si>
    <t>`</t>
  </si>
  <si>
    <t>2012-2013</t>
  </si>
  <si>
    <t>Compound Growth Rates to 2013</t>
  </si>
  <si>
    <t>(Check P/T ratio)</t>
  </si>
  <si>
    <t>TWELVE MONTHS ENDED DECEMBER 31, 2000 - 2013</t>
  </si>
  <si>
    <t>ELECTRIC COST AND REVENUE TREND CALCULATIONS 2001-2013</t>
  </si>
  <si>
    <t>Correction to CB Deferred Debits &amp; Credits</t>
  </si>
  <si>
    <t>Correction to CB Working Capital</t>
  </si>
  <si>
    <t>Note 1:  12.2013 Washington electric revenue conversion factor amounts.</t>
  </si>
  <si>
    <t>(Note 4)</t>
  </si>
  <si>
    <t>Note 4:  Eliminate Adder Schedules Adjustment in 2013 Commission Basis filing eliminated both the revenues and expenses associated with Res X and the Tariff Rider &amp; Buck-a-Block</t>
  </si>
  <si>
    <t>Note 3:  Eliminate Adder Schedules Adjustment in 2013 Commission Basis filing eliminated both the revenues and expenses associated with Res X and the Tariff Rider &amp; Buck-a-Block</t>
  </si>
  <si>
    <t>(Note 3)</t>
  </si>
  <si>
    <t>Twelve Months Ended December 31, 2013</t>
  </si>
  <si>
    <t>Weight</t>
  </si>
  <si>
    <t>Resource Optimization directly assigned to WA, add to Other Wholesale</t>
  </si>
  <si>
    <t>2016 ELECTRIC ATTRITION STUDY</t>
  </si>
  <si>
    <t>AVISTA'S 2016  ELECTRIC ATTRITION REVENUE REQUIREMENT</t>
  </si>
  <si>
    <t>Rate Case Power Supply Adjustment Pro Forma - 09.2014 Historical Loads</t>
  </si>
  <si>
    <t>Direct WA</t>
  </si>
  <si>
    <t>Direct ID</t>
  </si>
  <si>
    <t>Pro Forma Revenue Normalization Adjustment</t>
  </si>
  <si>
    <t>09.2014 TO 2016 WEIGHTED REVENUE GROWTH</t>
  </si>
  <si>
    <t>12 ME 09.2014</t>
  </si>
  <si>
    <t>Excerpt from:  EREV v2 11 02 Nov Update - New WA Authorized and Shortcuts Revised 11.25.14.xlsm</t>
  </si>
  <si>
    <t>Cal Load tab</t>
  </si>
  <si>
    <t>Reconciliation with Power Supply</t>
  </si>
  <si>
    <t>Native Load - WA/ID</t>
  </si>
  <si>
    <t>Retail Losses - WA/ID</t>
  </si>
  <si>
    <t>Calendar Load from above</t>
  </si>
  <si>
    <t>Diff</t>
  </si>
  <si>
    <t>Cust Load tab</t>
  </si>
  <si>
    <t>BV53</t>
  </si>
  <si>
    <t>BV54</t>
  </si>
  <si>
    <t>BV55</t>
  </si>
  <si>
    <t>BV56</t>
  </si>
  <si>
    <t>BV57</t>
  </si>
  <si>
    <t>BV58</t>
  </si>
  <si>
    <t>BV59</t>
  </si>
  <si>
    <t>BV60</t>
  </si>
  <si>
    <t>BV61</t>
  </si>
  <si>
    <t>BV62</t>
  </si>
  <si>
    <t>BV63</t>
  </si>
  <si>
    <t>BV64</t>
  </si>
  <si>
    <t>BV65</t>
  </si>
  <si>
    <t>BV66</t>
  </si>
  <si>
    <t>BV67</t>
  </si>
  <si>
    <t>BV68</t>
  </si>
  <si>
    <t>BV69</t>
  </si>
  <si>
    <t>BV70</t>
  </si>
  <si>
    <t>BV71</t>
  </si>
  <si>
    <t>BV72</t>
  </si>
  <si>
    <t>BV73</t>
  </si>
  <si>
    <t>BV74</t>
  </si>
  <si>
    <t>BV75</t>
  </si>
  <si>
    <t>BV76</t>
  </si>
  <si>
    <t>BV77</t>
  </si>
  <si>
    <t>BV78</t>
  </si>
  <si>
    <t>BV170</t>
  </si>
  <si>
    <t>BV171</t>
  </si>
  <si>
    <t>BV172</t>
  </si>
  <si>
    <t>BV173</t>
  </si>
  <si>
    <t>BV174</t>
  </si>
  <si>
    <t>BV175</t>
  </si>
  <si>
    <t>BV176</t>
  </si>
  <si>
    <t>BV177</t>
  </si>
  <si>
    <t>BV178</t>
  </si>
  <si>
    <t>BV179</t>
  </si>
  <si>
    <t>BV180</t>
  </si>
  <si>
    <t>BV202</t>
  </si>
  <si>
    <t>BV203</t>
  </si>
  <si>
    <t>BV205</t>
  </si>
  <si>
    <t>BV81</t>
  </si>
  <si>
    <t>BV82</t>
  </si>
  <si>
    <t>BV84</t>
  </si>
  <si>
    <t>BV85</t>
  </si>
  <si>
    <t>BV89</t>
  </si>
  <si>
    <t>BV90</t>
  </si>
  <si>
    <t>BV92</t>
  </si>
  <si>
    <t>BV94</t>
  </si>
  <si>
    <t>Rate Case Power Supply Adjustment Pro Forma - 2016 Forecast Loads</t>
  </si>
  <si>
    <t>Test Year</t>
  </si>
  <si>
    <t>Load</t>
  </si>
  <si>
    <t>Rate Year</t>
  </si>
  <si>
    <t>Incremental</t>
  </si>
  <si>
    <t>Retail</t>
  </si>
  <si>
    <t>Note 1:  09.2014 Washington electric revenue conversion factor amounts.</t>
  </si>
  <si>
    <t>Pro Forma</t>
  </si>
  <si>
    <t>546-562 CS2 O&amp;M</t>
  </si>
  <si>
    <t>500-514 Colstrip O&amp;M</t>
  </si>
  <si>
    <r>
      <t>2016 Revenue and Cost</t>
    </r>
    <r>
      <rPr>
        <sz val="10"/>
        <rFont val="Times New Roman"/>
        <family val="1"/>
      </rPr>
      <t xml:space="preserve"> [H]+[I]+[J]=[K]</t>
    </r>
  </si>
  <si>
    <r>
      <t xml:space="preserve">Trended 2016 Non-Energy Cost </t>
    </r>
    <r>
      <rPr>
        <sz val="10"/>
        <rFont val="Times New Roman"/>
        <family val="1"/>
      </rPr>
      <t>[E]+[G]=[H]</t>
    </r>
  </si>
  <si>
    <r>
      <t xml:space="preserve"> Non-Energy Cost Escalation Amount </t>
    </r>
    <r>
      <rPr>
        <sz val="10"/>
        <rFont val="Times New Roman"/>
        <family val="1"/>
      </rPr>
      <t>[E]*[F]=[G]</t>
    </r>
  </si>
  <si>
    <t>8A</t>
  </si>
  <si>
    <t>10A</t>
  </si>
  <si>
    <t>14A</t>
  </si>
  <si>
    <t>16A</t>
  </si>
  <si>
    <t>Depreciation Expense*</t>
  </si>
  <si>
    <t>Net Plant After DFIT*</t>
  </si>
  <si>
    <t>Net Plant before DFIT</t>
  </si>
  <si>
    <t>2007-09.2014 AVG</t>
  </si>
  <si>
    <t>Net Change</t>
  </si>
  <si>
    <t>* Excludes growth plant between 12/31/2014 and12/31/2016.</t>
  </si>
  <si>
    <t>Attrition Adjusted Balances &amp; 2016 Revenue Requirement</t>
  </si>
  <si>
    <t>Adopted Operating Expense</t>
  </si>
  <si>
    <t>Adopted Net Plant After Deferred Income Taxes</t>
  </si>
  <si>
    <t>Adoptede Depreciation/Amortization</t>
  </si>
  <si>
    <t>Adjusted Depreciation/Amortization</t>
  </si>
  <si>
    <t>Adjusted Taxes Other than Income</t>
  </si>
  <si>
    <t>Adopted Operating Expenses</t>
  </si>
  <si>
    <t>Period:&lt;All&gt;</t>
  </si>
  <si>
    <t>State Cde:&lt;All&gt;</t>
  </si>
  <si>
    <t>Revenue Amt</t>
  </si>
  <si>
    <t>Jurisdiction</t>
  </si>
  <si>
    <t>AN</t>
  </si>
  <si>
    <t>12 Month Total</t>
  </si>
  <si>
    <t>Ferc Acct</t>
  </si>
  <si>
    <t>RevClsDesc</t>
  </si>
  <si>
    <t>456017</t>
  </si>
  <si>
    <t xml:space="preserve">NR Other Electric Revenue - Non Resource </t>
  </si>
  <si>
    <t>NULL</t>
  </si>
  <si>
    <t>456100</t>
  </si>
  <si>
    <t>ET Electric Transmission</t>
  </si>
  <si>
    <t>456120</t>
  </si>
  <si>
    <t>PC Parallel Capacity Support Rev</t>
  </si>
  <si>
    <t>456700</t>
  </si>
  <si>
    <t>DE Electric Distribution</t>
  </si>
  <si>
    <t>456705</t>
  </si>
  <si>
    <t>LV Electric Distribution</t>
  </si>
  <si>
    <t>Sum</t>
  </si>
  <si>
    <t>(See page 10)</t>
  </si>
  <si>
    <t>Adopted Depreciation/Amortization</t>
  </si>
  <si>
    <t>Adopted Compound Growth Rate</t>
  </si>
  <si>
    <t>Adopted Escalation Factor</t>
  </si>
  <si>
    <t>Twelve Months Ended December 31, 2014</t>
  </si>
  <si>
    <t>12.2014 Commission Basis Report Restated Totals</t>
  </si>
  <si>
    <t>(plus) 12.2014 Pro-Formed Net Energy Cost</t>
  </si>
  <si>
    <t>(less) 12.2014 Normalized Net Power Supply  Cost</t>
  </si>
  <si>
    <t>Actual Cost of Capital AMA 12/31/2014</t>
  </si>
  <si>
    <t>2016 PF REVISED</t>
  </si>
  <si>
    <t>2013/2014 Removed in CBR</t>
  </si>
  <si>
    <t>2014</t>
  </si>
  <si>
    <t>Commission Basis Power Supply Adjustment - 12.2014 Historical Loads</t>
  </si>
  <si>
    <t>2013-2014</t>
  </si>
  <si>
    <t>2001-2014</t>
  </si>
  <si>
    <t>2003-2014</t>
  </si>
  <si>
    <t>2004-2014</t>
  </si>
  <si>
    <t>2005-2014</t>
  </si>
  <si>
    <t>2006-2014</t>
  </si>
  <si>
    <t>2007-2014</t>
  </si>
  <si>
    <t>2008-2014</t>
  </si>
  <si>
    <t>2009-2014</t>
  </si>
  <si>
    <t>2010-2014</t>
  </si>
  <si>
    <t>2011-2014</t>
  </si>
  <si>
    <t>2012-2014</t>
  </si>
  <si>
    <t>2002-2014</t>
  </si>
  <si>
    <t>2 years</t>
  </si>
  <si>
    <t>UPDATED</t>
  </si>
  <si>
    <t>*Per 12.2014 Commission Basis Report data, See page 5, line 46</t>
  </si>
  <si>
    <t>Electric Revenue Report by Location  Twelve Months Ended  for Report Date : '12/31/2014'</t>
  </si>
  <si>
    <t>Source Id</t>
  </si>
  <si>
    <t>456000</t>
  </si>
  <si>
    <t>REVBILLS</t>
  </si>
  <si>
    <t>GA Other Gas Allocated</t>
  </si>
  <si>
    <t>OA Other Electric Allocated</t>
  </si>
  <si>
    <t>OD Other Electric Direct</t>
  </si>
  <si>
    <t>REVCOL</t>
  </si>
  <si>
    <t>OC Other Revenue &amp; Scrap Sales - Colstrip</t>
  </si>
  <si>
    <t>REVEARNED</t>
  </si>
  <si>
    <t>AD Apprentice Lineman School Deposits</t>
  </si>
  <si>
    <t>AL Apprentice Lineman School Receivable</t>
  </si>
  <si>
    <t>PD Pre-Line School Deposits</t>
  </si>
  <si>
    <t>PL Pre-Line School Receivable</t>
  </si>
  <si>
    <t>REVPGE</t>
  </si>
  <si>
    <t>OP Other PGE</t>
  </si>
  <si>
    <t>456010</t>
  </si>
  <si>
    <t>REVFUEL</t>
  </si>
  <si>
    <t>AF Turbine Gas Financial - Clearing Agent</t>
  </si>
  <si>
    <t>AG Turbine Gas Financial Mizuho Clearing Agent</t>
  </si>
  <si>
    <t>HR Gas Heat Rate Financial Receivable</t>
  </si>
  <si>
    <t>456015</t>
  </si>
  <si>
    <t>CC Extraction Plant Credits</t>
  </si>
  <si>
    <t>GF Turbine Gas Physical</t>
  </si>
  <si>
    <t>456016</t>
  </si>
  <si>
    <t>REVREC</t>
  </si>
  <si>
    <t>RO Miscellaneous Resource Optimization</t>
  </si>
  <si>
    <t>RW REC's Exclusive to Washington State</t>
  </si>
  <si>
    <t>REVTRAN</t>
  </si>
  <si>
    <t>456020</t>
  </si>
  <si>
    <t>REVESALES</t>
  </si>
  <si>
    <t>BT BPA Excess Transm Sales</t>
  </si>
  <si>
    <t>456711</t>
  </si>
  <si>
    <t>GK Turbine Gas Bookout</t>
  </si>
  <si>
    <t>456720</t>
  </si>
  <si>
    <t>456730</t>
  </si>
  <si>
    <t>IT Intraco Thermal Gas</t>
  </si>
  <si>
    <t>Transmission</t>
  </si>
  <si>
    <t>No Change</t>
  </si>
  <si>
    <t>to PF</t>
  </si>
  <si>
    <t>Staff DR 59</t>
  </si>
  <si>
    <t>Updated PF</t>
  </si>
  <si>
    <t>Included same change as DR 59 to Original Filing</t>
  </si>
  <si>
    <t>500-562 CS2 and Colstrip</t>
  </si>
  <si>
    <t>Restate for prior years tracking CS2 and Colstrip O&amp;M</t>
  </si>
  <si>
    <t>PS 456</t>
  </si>
  <si>
    <t>needs update to PS consolidated for Colstrip and CS2 tracked through PS</t>
  </si>
  <si>
    <t>or exclude Colstrip and CS2 from 2014</t>
  </si>
  <si>
    <t>Updated</t>
  </si>
  <si>
    <t>(updated for 12.2014 EOP DFIT balances)</t>
  </si>
  <si>
    <t>ADDED</t>
  </si>
  <si>
    <t>Remove from base Power Supply per settlement agreement.</t>
  </si>
  <si>
    <t>Agreed to Reduction $1528 per Settlement agreement</t>
  </si>
  <si>
    <t>(Due to DFIT adjustment in 2014)</t>
  </si>
  <si>
    <t>After Attrition Adj - CS2/Colstrip Incremental O&amp;M Exp</t>
  </si>
  <si>
    <t>December 2014 Escalation Base</t>
  </si>
  <si>
    <t>Washington's Share:</t>
  </si>
  <si>
    <t>2014 HTP</t>
  </si>
  <si>
    <t>2016 RY</t>
  </si>
  <si>
    <t>Removed from base Power Supply per settlement agreement.</t>
  </si>
  <si>
    <t>Escalation 2014-2016</t>
  </si>
  <si>
    <t>Escalated Balance at 2016</t>
  </si>
  <si>
    <t>Incremental CS2/Colstrip O&amp;M above trended 2014 expense</t>
  </si>
  <si>
    <t xml:space="preserve">Net </t>
  </si>
  <si>
    <t>[AA]</t>
  </si>
  <si>
    <r>
      <t>2016 Revenue and Cost</t>
    </r>
    <r>
      <rPr>
        <sz val="10"/>
        <rFont val="Times New Roman"/>
        <family val="1"/>
      </rPr>
      <t xml:space="preserve"> [H]+[I]+[J]+[AA]=[K]</t>
    </r>
  </si>
  <si>
    <t>Deferred Debit/Credit &amp; Reg. Amorts Adjs*</t>
  </si>
  <si>
    <t xml:space="preserve">*Note: Combined Regulatory Deferred Debits and Credits and Regulatory Amortization adjustments in Column [C] as these amounts adjust 09.2014 Commission Basis to the 2016 rate year. These amounts are not escalated as shown in column [F]. See Andrews Workpapers for details.  </t>
  </si>
  <si>
    <t>Other Cost &amp; Revenue Adjust.</t>
  </si>
  <si>
    <t>Other Cost &amp; Revenue Adjs.</t>
  </si>
  <si>
    <t>Multiparty Settlement - Cost of Capital</t>
  </si>
  <si>
    <t>xxx Other Expenses-Direct WA</t>
  </si>
  <si>
    <t>XXX Other Expenses-Direct WA</t>
  </si>
  <si>
    <t xml:space="preserve">Washington Electric- AMA ROO 2007 to AMA 2016 </t>
  </si>
  <si>
    <t>After Attrition - CS2-Colstrip 2016 Incramental Expense above trended historical expense.</t>
  </si>
  <si>
    <t>A</t>
  </si>
  <si>
    <t>(B) Correction</t>
  </si>
  <si>
    <t>(C) Correction</t>
  </si>
  <si>
    <t>(A) Correction</t>
  </si>
  <si>
    <t>(No Impact)</t>
  </si>
  <si>
    <t>No Impact</t>
  </si>
  <si>
    <t>(Correction)</t>
  </si>
  <si>
    <t>Electric Attrition Study Based on 12.2014 CBR Results</t>
  </si>
  <si>
    <t xml:space="preserve">Electric Attrition Study </t>
  </si>
  <si>
    <t>2015 Attrition (000s)</t>
  </si>
  <si>
    <t>As Filed:</t>
  </si>
  <si>
    <t>Net Reduction</t>
  </si>
  <si>
    <t>As Revised using 12.2014 CBR: (See Below)</t>
  </si>
  <si>
    <t>Attachment: Staff_DR_130-Attachment B (Electric Attrition Study-using 12.2014 CBR)</t>
  </si>
  <si>
    <t>Changes compared to Electric Attrition Study as filed:</t>
  </si>
  <si>
    <t>(1)</t>
  </si>
  <si>
    <t xml:space="preserve">Updated to include 12.2014 Commission Basis Results per 12.2014 CBR filed with WA Commission on April 28, 2015. (See Column [A], pages 4-5 of Staff_DR_130-Attachment B.  See also Staff_DR_130-Attachment D for electronic and .pdf Commission Basis workpapers.) </t>
  </si>
  <si>
    <t>(2)</t>
  </si>
  <si>
    <t>Excluded 12.2014 Normalized Power Supply -  (See Column [B], pages 4-5 of Staff_DR_130-Attachment B. See also Staff_DR_130-Attachment E for related workpapers.)</t>
  </si>
  <si>
    <t>(3)</t>
  </si>
  <si>
    <t>Consistent with the Company's direct filing (See Column [C], pages 4-5 of Staff_DR_130-Attachment B.), restates Deferred Debits and Credit balances at 12.2014 (AMA) to 2016 (AMA) balances, as well as reduces Regulatory Amortization expense for amounts expired in 2016. This adjustment also includes the 2016 regulatory amortization of Lake Spokane as approved in Docket UE-140188, and the requested Meter Retirement Regulatory asset balance and 10-year amortization expense. No escalation of Deferred Debits and Credits balances or regulatory amortization expense occurs, appropriate to adjust to expected balance during 2016 rate period.  See also Staff_DR_130-Attachment E for related workpapers.)</t>
  </si>
  <si>
    <t>(4)</t>
  </si>
  <si>
    <t>Updated Incremental Revenue Normalization Adjustment -  (See Column [D], pages 4-5 of Staff_DR_130-Attachment B. See also Staff_DR_130-Attachment E for related workpapers.) This adjustment adjusts the Commission Basis normalized revenue to the 2014 base rate revenue produced by the billing determinants utilized in the Company’s filing.  Revenue growth is adjusted to 2016 using the billing determinant index, not trend analysis, therefore utilizing the fully analyzed twelve months ended September 2014 pro forma revenues here allows the rate design and pro forma power supply basis to remain as filed. In addition, by doing this column [J] Revenue Growth is essentially the same as the initial filing.</t>
  </si>
  <si>
    <t>(5)</t>
  </si>
  <si>
    <t xml:space="preserve">Includes Multiparty Settlement Agreement adjustments as filed on May 1, 2015.  Revisions include: </t>
  </si>
  <si>
    <r>
      <t>A) Agreed-upon Capital Structure: 48.5% Equity, 9.5% ROE, 5.2% Cost of Debt; ROR 7.29%. This change resulted in an approximate electric revenue requirement</t>
    </r>
    <r>
      <rPr>
        <b/>
        <sz val="11"/>
        <color theme="1"/>
        <rFont val="Calibri"/>
        <family val="2"/>
        <scheme val="minor"/>
      </rPr>
      <t xml:space="preserve"> reduction of $3.8 million</t>
    </r>
    <r>
      <rPr>
        <sz val="10"/>
        <rFont val="Arial"/>
        <family val="2"/>
      </rPr>
      <t>. See page 2 of Staff_DR_130-Attachment B.</t>
    </r>
  </si>
  <si>
    <r>
      <t>B) Changes to Power Supply include: i) Correction for AURORA</t>
    </r>
    <r>
      <rPr>
        <vertAlign val="subscript"/>
        <sz val="11"/>
        <color theme="1"/>
        <rFont val="Calibri"/>
        <family val="2"/>
        <scheme val="minor"/>
      </rPr>
      <t>XMP</t>
    </r>
    <r>
      <rPr>
        <sz val="10"/>
        <rFont val="Arial"/>
        <family val="2"/>
      </rPr>
      <t xml:space="preserve"> Coding Error (-$6.9 million WA expense); ii) Chelan PUD Contract update (-$3.6 million WA expense) - (see also Staff_DR_059); iii) Removal of hydro station services expense (-$28,000 WA expense); iv) Other agreed-to base power supply reduction (-$1.5 million WA expense); and v) Removal of Colstrip and CS2 Thermal O&amp;M from base power supply expenses (-$3.6 million WA expense - per the Multiparty Settlement Agreement, the revenue requirement related to these costs will be addressed during the remainder of the case. See item (7) below.) The</t>
    </r>
    <r>
      <rPr>
        <b/>
        <sz val="11"/>
        <color theme="1"/>
        <rFont val="Calibri"/>
        <family val="2"/>
        <scheme val="minor"/>
      </rPr>
      <t xml:space="preserve"> </t>
    </r>
    <r>
      <rPr>
        <b/>
        <u/>
        <sz val="11"/>
        <color theme="1"/>
        <rFont val="Calibri"/>
        <family val="2"/>
        <scheme val="minor"/>
      </rPr>
      <t>overall reduction</t>
    </r>
    <r>
      <rPr>
        <sz val="10"/>
        <rFont val="Arial"/>
        <family val="2"/>
      </rPr>
      <t xml:space="preserve"> to net Power Supply related expenses is approximately </t>
    </r>
    <r>
      <rPr>
        <b/>
        <sz val="11"/>
        <color theme="1"/>
        <rFont val="Calibri"/>
        <family val="2"/>
        <scheme val="minor"/>
      </rPr>
      <t>$16.4 million</t>
    </r>
    <r>
      <rPr>
        <sz val="10"/>
        <rFont val="Arial"/>
        <family val="2"/>
      </rPr>
      <t xml:space="preserve"> revenue requirement. </t>
    </r>
  </si>
  <si>
    <t>(6)</t>
  </si>
  <si>
    <r>
      <t>Updated 12.2014 Pro Formed Net Energy Cost Column [I] with changes noted in (5B) above.  Other differences to net power supply expense relate to updating the Company's Production/Transmission (P/T) Ratio factor at 12.2014, see note</t>
    </r>
    <r>
      <rPr>
        <b/>
        <sz val="11"/>
        <color theme="1"/>
        <rFont val="Calibri"/>
        <family val="2"/>
        <scheme val="minor"/>
      </rPr>
      <t xml:space="preserve"> </t>
    </r>
    <r>
      <rPr>
        <sz val="10"/>
        <rFont val="Arial"/>
        <family val="2"/>
      </rPr>
      <t xml:space="preserve">(e) below. (See column [I] pages 4-5 of Staff_DR_130-Attachment B.  See also Staff_DR_130-Attachment E for related workpapers.) </t>
    </r>
  </si>
  <si>
    <t>(7)</t>
  </si>
  <si>
    <r>
      <t xml:space="preserve">Added Column [AA] "After Attrition Adjustment CS2/Colstrip Incremental O&amp;M Exp" to address the incremental CS2/Colstrip operating and maintenance (O&amp;M) expense planned in 2016 for major maintenance projects at these plants. As noted in item (5B) above, the Parties in the Multiparty Settlement Agreement removed the CS2/Colstrip O&amp;M maintenance from the power supply base (as proposed by the Company), stating "the revenue requirement related to these costs will be addressed during the remainder of the case."  The company has included this adjustment, in the amount of $2.883 million, which represents the incremental amount above the CS2/Colstrip O&amp;M maintenance included in column [G] Non-Energy Cost Escalation Amount.  This </t>
    </r>
    <r>
      <rPr>
        <b/>
        <sz val="11"/>
        <color theme="1"/>
        <rFont val="Calibri"/>
        <family val="2"/>
        <scheme val="minor"/>
      </rPr>
      <t>increases</t>
    </r>
    <r>
      <rPr>
        <sz val="10"/>
        <rFont val="Arial"/>
        <family val="2"/>
      </rPr>
      <t xml:space="preserve"> the overall revenue requirement by </t>
    </r>
    <r>
      <rPr>
        <b/>
        <sz val="11"/>
        <color theme="1"/>
        <rFont val="Calibri"/>
        <family val="2"/>
        <scheme val="minor"/>
      </rPr>
      <t>$3.02 million</t>
    </r>
    <r>
      <rPr>
        <sz val="10"/>
        <rFont val="Arial"/>
        <family val="2"/>
      </rPr>
      <t>. (Note, with the removal of the CS2/Colstrip O&amp;M from base power supply expense in (5B), and addition of the incremental amount in column [AA], there is no net increase in these costs from the Company's direct filed case.)</t>
    </r>
  </si>
  <si>
    <t>(8)</t>
  </si>
  <si>
    <t>Notes: Additional updates or comments</t>
  </si>
  <si>
    <t xml:space="preserve">No adjustment revising CBR 12.2014 AMA Plant balances to End of Period (EOP) Plant Balance is included in this updated analysis. This varies from the direct filed Attrition Studies (which included an 12.2014 Ending Balance Plant Adjustment column [C]). In the direct filed case, the Company revised its 09.2014 AMA plant balances to 12.2014 EOP, and then escalated these balances 1.5-years, reflecting an AMA 2016 balance.  The Company has removed this adjustment and escalates its 12.2014 AMA restated attrition results by two-years, reflecting an AMA 2016 balance. Adjusted operating expenses and other revenue are also only adjusted by a two-year escalation factor to reflect 2016 amounts.  </t>
  </si>
  <si>
    <t xml:space="preserve">(b) </t>
  </si>
  <si>
    <t>Added 12.2014 CB results column to trended CBR results, see pages 6-8 of  Staff_DR_130-Attachment B.</t>
  </si>
  <si>
    <t xml:space="preserve">Revised cost and revenue trend calculations to include 12.2014 results, see page 9 of  Staff_DR_130-Attachment B. </t>
  </si>
  <si>
    <t>(d)</t>
  </si>
  <si>
    <t xml:space="preserve">Updated escalation factors to include 2014 time period (i.e. 2007-2014), consistent with filed case. See page 9 of  Staff_DR_130-Attachment B.  The net decrease in revenue requirement noted above (offset by the updates and changes noted above) is partially due to the change in escalation factors utilizing 2007-2014, rather than 2007-2013 for escalation factors "Adjusted Taxes Other than income" and "Adjusted Other Revenue," see page 9 of  Staff_DR_130-Attachment B. </t>
  </si>
  <si>
    <t>(e)</t>
  </si>
  <si>
    <r>
      <t xml:space="preserve">Updated Depreciation Expense and Net Plant After DFIT amounts shown on page 10 of Staff_DR_130-Attachment B to reflect actual balances at 12.2014 AMA and revised 2016 AMA balances. The 12.2014 and 2016 AMA depreciation and Net Plant after DFIT balances were reduced from that shown in the Company's direct filed case, reflecting actuals for calendar year 2014.  The reduction to Net Plant after DFIT was mainly due to a $50 million (system) reduction recorded to reflect a "Repairs Adjustment" allowed for tax purposes, and other true-up adjustments.   These changes </t>
    </r>
    <r>
      <rPr>
        <b/>
        <sz val="11"/>
        <color theme="1"/>
        <rFont val="Calibri"/>
        <family val="2"/>
        <scheme val="minor"/>
      </rPr>
      <t>reduced</t>
    </r>
    <r>
      <rPr>
        <sz val="10"/>
        <rFont val="Arial"/>
        <family val="2"/>
      </rPr>
      <t xml:space="preserve"> the Company's revenue requirement by approximately </t>
    </r>
    <r>
      <rPr>
        <b/>
        <sz val="11"/>
        <color theme="1"/>
        <rFont val="Calibri"/>
        <family val="2"/>
        <scheme val="minor"/>
      </rPr>
      <t xml:space="preserve">$4.1 million. </t>
    </r>
    <r>
      <rPr>
        <sz val="10"/>
        <rFont val="Arial"/>
        <family val="2"/>
      </rPr>
      <t xml:space="preserve"> See CBR workpapers provide with Staff_DR_130-Attachment D</t>
    </r>
  </si>
  <si>
    <t>(f)</t>
  </si>
  <si>
    <t xml:space="preserve">Annually the Company updates its allocation factors. Use of 12.2014 CBR, results in use of updated allocation factors, including State (WA/ID) and Production/Transmission (P/T) Ratios for the entire calendar year 2014. The reduction in revenue requirement noted above is partially due to the change in the P/T Ratio. See CBR workpapers provided with Staff_DR_130-Attachment D.  </t>
  </si>
  <si>
    <t>(g)</t>
  </si>
  <si>
    <t>Use of 12.2014 CBR, results in use of updated conversion factor, mainly due to updating uncollectible percentage. See page 3 of  Staff_DR_130-Attachment B.</t>
  </si>
  <si>
    <t>AVISTA REVISIONS TO ITS DIRECT CASE</t>
  </si>
</sst>
</file>

<file path=xl/styles.xml><?xml version="1.0" encoding="utf-8"?>
<styleSheet xmlns="http://schemas.openxmlformats.org/spreadsheetml/2006/main" xmlns:mc="http://schemas.openxmlformats.org/markup-compatibility/2006" xmlns:x14ac="http://schemas.microsoft.com/office/spreadsheetml/2009/9/ac" mc:Ignorable="x14ac">
  <numFmts count="7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0,;\-#,##0,"/>
    <numFmt numFmtId="168" formatCode="_(&quot;$&quot;* #,##0_);_(&quot;$&quot;* \(#,##0\);_(&quot;$&quot;* &quot;-&quot;??_);_(@_)"/>
    <numFmt numFmtId="169" formatCode="0.000%"/>
    <numFmt numFmtId="170" formatCode="_(&quot;$&quot;#,###_);_(&quot;$&quot;\ \(#,###\);_(* _);_(@_)"/>
    <numFmt numFmtId="171" formatCode="#,##0.000000"/>
    <numFmt numFmtId="172" formatCode="#,##0.000_);\(#,##0.000\)"/>
    <numFmt numFmtId="173" formatCode="0.0000"/>
    <numFmt numFmtId="174" formatCode=";;;"/>
    <numFmt numFmtId="175" formatCode="0.000_);\(0.000\)"/>
    <numFmt numFmtId="176" formatCode="0.000"/>
    <numFmt numFmtId="177" formatCode="#,##0;;"/>
    <numFmt numFmtId="178" formatCode="&quot;$&quot;#,##0.00;\-&quot;$&quot;#,##0.00;"/>
    <numFmt numFmtId="179" formatCode="#,##0.000\¢\ ;\(#,##0.000\¢\);"/>
    <numFmt numFmtId="180" formatCode="#,##0.000\¢\ ;\(#,##0.000\¢\)"/>
    <numFmt numFmtId="181" formatCode="&quot;$&quot;#,##0.0000_);\(&quot;$&quot;#,##0.0000\)"/>
    <numFmt numFmtId="182" formatCode="0.000000_);\(0.000000\)"/>
    <numFmt numFmtId="183" formatCode="0.000000"/>
    <numFmt numFmtId="184" formatCode="0.00000"/>
    <numFmt numFmtId="185" formatCode="_(* #,##0.000000_);_(* \(#,##0.000000\);_(* &quot;-&quot;??_);_(@_)"/>
    <numFmt numFmtId="186" formatCode="[$-409]mmm\-yy;@"/>
    <numFmt numFmtId="187" formatCode="[$-F800]dddd\,\ mmmm\ dd\,\ yyyy"/>
    <numFmt numFmtId="188" formatCode="mmmm\ d\,\ yyyy"/>
    <numFmt numFmtId="189" formatCode="[$-409]mmmm\-yy;@"/>
    <numFmt numFmtId="190" formatCode="#,##0_%_);\(#,##0\)_%;#,##0_%_);@_%_)"/>
    <numFmt numFmtId="191" formatCode="_._.* #,##0.0_)_%;_._.* \(#,##0.0\)_%"/>
    <numFmt numFmtId="192" formatCode="_._.* #,##0.00_)_%;_._.* \(#,##0.00\)_%"/>
    <numFmt numFmtId="193" formatCode="_._.* #,##0.000_)_%;_._.* \(#,##0.000\)_%"/>
    <numFmt numFmtId="194" formatCode="_(* #,##0.00_);_(* \(\ #,##0.00\ \);_(* &quot;-&quot;??_);_(\ @_ \)"/>
    <numFmt numFmtId="195" formatCode="_._.* #,##0_)_%;_._.* #,##0_)_%;_._.* 0_)_%;_._.@_)_%"/>
    <numFmt numFmtId="196" formatCode="_._.&quot;$&quot;* #,##0.0_)_%;_._.&quot;$&quot;* \(#,##0.0\)_%"/>
    <numFmt numFmtId="197" formatCode="_._.&quot;$&quot;* #,##0.00_)_%;_._.&quot;$&quot;* \(#,##0.00\)_%"/>
    <numFmt numFmtId="198" formatCode="_._.&quot;$&quot;* #,##0.000_)_%;_._.&quot;$&quot;* \(#,##0.000\)_%"/>
    <numFmt numFmtId="199" formatCode="_._.&quot;$&quot;* #,###_)_%;_._.&quot;$&quot;* #,###_)_%;_._.&quot;$&quot;* 0_)_%;_._.@_)_%"/>
    <numFmt numFmtId="200" formatCode="#,###,##0.00;\(#,###,##0.00\)"/>
    <numFmt numFmtId="201" formatCode="#,###,##0;\(#,###,##0\)"/>
    <numFmt numFmtId="202" formatCode="0.0"/>
    <numFmt numFmtId="203" formatCode="_(&quot;$&quot;* #,##0.0_);_(&quot;$&quot;* \(#,##0.0\);_(&quot;$&quot;* &quot;-&quot;??_);_(@_)"/>
    <numFmt numFmtId="204" formatCode="&quot;$&quot;#,###,##0.00;\(&quot;$&quot;#,###,##0.00\)"/>
    <numFmt numFmtId="205" formatCode="&quot;$&quot;#,###,##0;\(&quot;$&quot;#,###,##0\)"/>
    <numFmt numFmtId="206" formatCode="#,##0.00%;\(#,##0.00%\)"/>
    <numFmt numFmtId="207" formatCode="_(0_)%;\(0\)%"/>
    <numFmt numFmtId="208" formatCode="_._._(* 0_)%;_._.* \(0\)%"/>
    <numFmt numFmtId="209" formatCode="_(0.0_)%;\(0.0\)%"/>
    <numFmt numFmtId="210" formatCode="_._._(* 0.0_)%;_._.* \(0.0\)%"/>
    <numFmt numFmtId="211" formatCode="_(0.00_)%;\(0.00\)%"/>
    <numFmt numFmtId="212" formatCode="_._._(* 0.00_)%;_._.* \(0.00\)%"/>
    <numFmt numFmtId="213" formatCode="_(0.000_)%;\(0.000\)%"/>
    <numFmt numFmtId="214" formatCode="_._._(* 0.000_)%;_._.* \(0.000\)%"/>
    <numFmt numFmtId="215" formatCode="_(0.0000_)%;\(0.0000\)%"/>
    <numFmt numFmtId="216" formatCode="_._._(* 0.0000_)%;_._.* \(0.0000\)%"/>
    <numFmt numFmtId="217" formatCode="_(* #,##0_);_(* \(#,##0\);_(* 0_);_(@_)"/>
    <numFmt numFmtId="218" formatCode="_(* #,##0.0_);_(* \(#,##0.0\)"/>
    <numFmt numFmtId="219" formatCode="_(* #,##0.00_);_(* \(#,##0.00\)"/>
    <numFmt numFmtId="220" formatCode="_(* #,##0.000_);_(* \(#,##0.000\)"/>
    <numFmt numFmtId="221" formatCode="_(&quot;$&quot;* #,##0_);_(&quot;$&quot;* \(#,##0\);_(&quot;$&quot;* 0_);_(@_)"/>
    <numFmt numFmtId="222" formatCode="_(&quot;$&quot;* #,##0.0_);_(&quot;$&quot;* \(#,##0.0\)"/>
    <numFmt numFmtId="223" formatCode="_(&quot;$&quot;* #,##0.00_);_(&quot;$&quot;* \(#,##0.00\)"/>
    <numFmt numFmtId="224" formatCode="_(&quot;$&quot;* #,##0.000_);_(&quot;$&quot;* \(#,##0.000\)"/>
    <numFmt numFmtId="225" formatCode="#,##0.0_x_x"/>
    <numFmt numFmtId="226" formatCode="&quot;$&quot;#,##0\ ;\(&quot;$&quot;#,##0\)"/>
    <numFmt numFmtId="227" formatCode="#,##0.00;[Red]\(#,##0.00\)"/>
    <numFmt numFmtId="228" formatCode="##,###,###,###,###,###,###,###,###,###,###,###,##0.00"/>
  </numFmts>
  <fonts count="20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sz val="9"/>
      <name val="Times New Roman"/>
      <family val="1"/>
    </font>
    <font>
      <b/>
      <sz val="9"/>
      <name val="Times New Roman"/>
      <family val="1"/>
    </font>
    <font>
      <u/>
      <sz val="10"/>
      <name val="Arial"/>
      <family val="2"/>
    </font>
    <font>
      <sz val="10"/>
      <name val="Arial"/>
      <family val="2"/>
    </font>
    <font>
      <b/>
      <sz val="11"/>
      <name val="Arial"/>
      <family val="2"/>
    </font>
    <font>
      <sz val="10"/>
      <color indexed="12"/>
      <name val="Arial"/>
      <family val="2"/>
    </font>
    <font>
      <b/>
      <sz val="10"/>
      <name val="Arial"/>
      <family val="2"/>
    </font>
    <font>
      <b/>
      <sz val="11"/>
      <color indexed="10"/>
      <name val="Arial"/>
      <family val="2"/>
    </font>
    <font>
      <sz val="11"/>
      <color indexed="81"/>
      <name val="Tahoma"/>
      <family val="2"/>
    </font>
    <font>
      <b/>
      <sz val="8"/>
      <color indexed="81"/>
      <name val="Tahoma"/>
      <family val="2"/>
    </font>
    <font>
      <sz val="8"/>
      <color indexed="81"/>
      <name val="Tahoma"/>
      <family val="2"/>
    </font>
    <font>
      <sz val="10"/>
      <name val="Geneva"/>
      <family val="2"/>
    </font>
    <font>
      <sz val="10"/>
      <name val="Geneva"/>
    </font>
    <font>
      <b/>
      <sz val="16"/>
      <name val="Times New Roman"/>
      <family val="1"/>
    </font>
    <font>
      <sz val="12"/>
      <name val="Times New Roman"/>
      <family val="1"/>
    </font>
    <font>
      <sz val="10"/>
      <name val="Arial"/>
      <family val="2"/>
    </font>
    <font>
      <sz val="10"/>
      <name val="Arial"/>
      <family val="2"/>
    </font>
    <font>
      <sz val="8"/>
      <name val="Geneva"/>
    </font>
    <font>
      <sz val="10"/>
      <name val="Times New Roman"/>
      <family val="1"/>
    </font>
    <font>
      <b/>
      <sz val="10"/>
      <name val="Times New Roman"/>
      <family val="1"/>
    </font>
    <font>
      <u/>
      <sz val="7.5"/>
      <color indexed="9"/>
      <name val="Arial"/>
      <family val="2"/>
    </font>
    <font>
      <b/>
      <sz val="9"/>
      <name val="Arial"/>
      <family val="2"/>
    </font>
    <font>
      <sz val="10"/>
      <color indexed="12"/>
      <name val="Times New Roman"/>
      <family val="1"/>
    </font>
    <font>
      <sz val="10"/>
      <color indexed="8"/>
      <name val="Calibri"/>
      <family val="2"/>
    </font>
    <font>
      <sz val="12"/>
      <color indexed="10"/>
      <name val="Times New Roman"/>
      <family val="1"/>
    </font>
    <font>
      <b/>
      <sz val="8"/>
      <color indexed="10"/>
      <name val="Geneva"/>
    </font>
    <font>
      <u/>
      <sz val="8"/>
      <name val="Geneva"/>
    </font>
    <font>
      <b/>
      <sz val="8"/>
      <name val="Courier"/>
      <family val="3"/>
    </font>
    <font>
      <b/>
      <sz val="8"/>
      <color indexed="12"/>
      <name val="Geneva"/>
    </font>
    <font>
      <sz val="8"/>
      <color indexed="12"/>
      <name val="Geneva"/>
    </font>
    <font>
      <sz val="8"/>
      <color indexed="39"/>
      <name val="Geneva"/>
    </font>
    <font>
      <b/>
      <sz val="8"/>
      <name val="Geneva"/>
    </font>
    <font>
      <sz val="8"/>
      <color indexed="10"/>
      <name val="Geneva"/>
    </font>
    <font>
      <sz val="8"/>
      <name val="Arial"/>
      <family val="2"/>
    </font>
    <font>
      <u/>
      <sz val="10"/>
      <color indexed="8"/>
      <name val="Arial"/>
      <family val="2"/>
    </font>
    <font>
      <sz val="8"/>
      <name val="Arial"/>
      <family val="2"/>
    </font>
    <font>
      <b/>
      <sz val="11"/>
      <color indexed="10"/>
      <name val="Calibri"/>
      <family val="2"/>
    </font>
    <font>
      <sz val="11"/>
      <color indexed="8"/>
      <name val="Calibri"/>
      <family val="2"/>
    </font>
    <font>
      <sz val="11"/>
      <color indexed="8"/>
      <name val="Calibri"/>
      <family val="2"/>
    </font>
    <font>
      <sz val="8"/>
      <name val="Arial"/>
      <family val="2"/>
    </font>
    <font>
      <b/>
      <sz val="12"/>
      <name val="Times New Roman"/>
      <family val="1"/>
    </font>
    <font>
      <sz val="12"/>
      <name val="Arial"/>
      <family val="2"/>
    </font>
    <font>
      <i/>
      <u/>
      <sz val="12"/>
      <name val="Times New Roman"/>
      <family val="1"/>
    </font>
    <font>
      <sz val="10"/>
      <color indexed="8"/>
      <name val="Arial"/>
      <family val="2"/>
    </font>
    <font>
      <b/>
      <sz val="11"/>
      <color indexed="8"/>
      <name val="Arial"/>
      <family val="2"/>
    </font>
    <font>
      <sz val="10"/>
      <color indexed="8"/>
      <name val="Times New Roman"/>
      <family val="1"/>
    </font>
    <font>
      <sz val="11"/>
      <color indexed="8"/>
      <name val="Times New Roman"/>
      <family val="1"/>
    </font>
    <font>
      <b/>
      <sz val="10"/>
      <color indexed="8"/>
      <name val="Times New Roman"/>
      <family val="1"/>
    </font>
    <font>
      <i/>
      <sz val="10"/>
      <color indexed="8"/>
      <name val="Times New Roman"/>
      <family val="1"/>
    </font>
    <font>
      <b/>
      <sz val="16"/>
      <color indexed="8"/>
      <name val="Times New Roman"/>
      <family val="1"/>
    </font>
    <font>
      <sz val="11"/>
      <color theme="1"/>
      <name val="Calibri"/>
      <family val="2"/>
      <scheme val="minor"/>
    </font>
    <font>
      <u/>
      <sz val="7.5"/>
      <color theme="0"/>
      <name val="Arial"/>
      <family val="2"/>
    </font>
    <font>
      <u/>
      <sz val="10"/>
      <color theme="0"/>
      <name val="Arial"/>
      <family val="2"/>
    </font>
    <font>
      <sz val="10"/>
      <color theme="1"/>
      <name val="Arial"/>
      <family val="2"/>
    </font>
    <font>
      <sz val="10"/>
      <color theme="1"/>
      <name val="Times New Roman"/>
      <family val="1"/>
    </font>
    <font>
      <sz val="12"/>
      <color rgb="FF000000"/>
      <name val="Times New Roman"/>
      <family val="1"/>
    </font>
    <font>
      <b/>
      <sz val="14"/>
      <color rgb="FF000000"/>
      <name val="Times New Roman"/>
      <family val="1"/>
    </font>
    <font>
      <sz val="11"/>
      <color rgb="FF000000"/>
      <name val="Calibri"/>
      <family val="2"/>
    </font>
    <font>
      <sz val="9"/>
      <color theme="1"/>
      <name val="Times New Roman"/>
      <family val="1"/>
    </font>
    <font>
      <b/>
      <sz val="9"/>
      <color theme="1"/>
      <name val="Times New Roman"/>
      <family val="1"/>
    </font>
    <font>
      <sz val="10"/>
      <color rgb="FF0000FF"/>
      <name val="Arial"/>
      <family val="2"/>
    </font>
    <font>
      <b/>
      <sz val="10"/>
      <color theme="1"/>
      <name val="Arial"/>
      <family val="2"/>
    </font>
    <font>
      <u/>
      <sz val="9"/>
      <color theme="1"/>
      <name val="Times New Roman"/>
      <family val="1"/>
    </font>
    <font>
      <sz val="8"/>
      <color rgb="FF0000FF"/>
      <name val="Geneva"/>
    </font>
    <font>
      <sz val="8"/>
      <color indexed="56"/>
      <name val="Arial"/>
      <family val="2"/>
    </font>
    <font>
      <sz val="10"/>
      <name val="MS Sans Serif"/>
      <family val="2"/>
    </font>
    <font>
      <b/>
      <sz val="10"/>
      <name val="MS Sans Serif"/>
      <family val="2"/>
    </font>
    <font>
      <sz val="9"/>
      <color indexed="81"/>
      <name val="Tahoma"/>
      <family val="2"/>
    </font>
    <font>
      <b/>
      <sz val="9"/>
      <color indexed="81"/>
      <name val="Tahoma"/>
      <family val="2"/>
    </font>
    <font>
      <b/>
      <i/>
      <sz val="10"/>
      <name val="Times New Roman"/>
      <family val="1"/>
    </font>
    <font>
      <i/>
      <sz val="10"/>
      <name val="Times New Roman"/>
      <family val="1"/>
    </font>
    <font>
      <sz val="10"/>
      <color indexed="48"/>
      <name val="Times New Roman"/>
      <family val="1"/>
    </font>
    <font>
      <sz val="9"/>
      <name val="Arial"/>
      <family val="2"/>
    </font>
    <font>
      <u/>
      <sz val="12"/>
      <name val="Times New Roman"/>
      <family val="1"/>
    </font>
    <font>
      <b/>
      <sz val="14"/>
      <name val="Times New Roman"/>
      <family val="1"/>
    </font>
    <font>
      <b/>
      <sz val="11"/>
      <name val="Times New Roman"/>
      <family val="1"/>
    </font>
    <font>
      <sz val="11"/>
      <name val="Arial"/>
      <family val="2"/>
    </font>
    <font>
      <sz val="10"/>
      <name val="Tahoma"/>
      <family val="2"/>
    </font>
    <font>
      <sz val="10"/>
      <color rgb="FF0000FF"/>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2"/>
    </font>
    <font>
      <sz val="10"/>
      <color theme="1"/>
      <name val="Tahoma"/>
      <family val="2"/>
    </font>
    <font>
      <sz val="10"/>
      <color indexed="60"/>
      <name val="Arial"/>
      <family val="2"/>
    </font>
    <font>
      <b/>
      <sz val="14"/>
      <name val="Arial"/>
      <family val="2"/>
    </font>
    <font>
      <sz val="8"/>
      <color rgb="FF00B050"/>
      <name val="Geneva"/>
    </font>
    <font>
      <sz val="8"/>
      <color theme="1"/>
      <name val="Calibri"/>
      <family val="2"/>
      <scheme val="minor"/>
    </font>
    <font>
      <sz val="9"/>
      <name val="Courier"/>
      <family val="3"/>
    </font>
    <font>
      <b/>
      <sz val="11"/>
      <color theme="3"/>
      <name val="Calibri"/>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b/>
      <sz val="8"/>
      <color indexed="8"/>
      <name val="Arial"/>
      <family val="2"/>
    </font>
    <font>
      <b/>
      <sz val="8"/>
      <color indexed="8"/>
      <name val="Courier New"/>
      <family val="3"/>
    </font>
    <font>
      <u/>
      <sz val="10"/>
      <color indexed="12"/>
      <name val="Arial"/>
      <family val="2"/>
    </font>
    <font>
      <b/>
      <sz val="12"/>
      <color indexed="8"/>
      <name val="Arial"/>
      <family val="2"/>
    </font>
    <font>
      <sz val="8"/>
      <color indexed="8"/>
      <name val="Arial"/>
      <family val="2"/>
    </font>
    <font>
      <sz val="8"/>
      <color indexed="12"/>
      <name val="Arial"/>
      <family val="2"/>
    </font>
    <font>
      <sz val="8"/>
      <color indexed="8"/>
      <name val="Wingdings"/>
      <charset val="2"/>
    </font>
    <font>
      <sz val="11"/>
      <color indexed="9"/>
      <name val="Calibri"/>
      <family val="2"/>
    </font>
    <font>
      <sz val="10"/>
      <color indexed="9"/>
      <name val="Arial"/>
      <family val="2"/>
    </font>
    <font>
      <sz val="11"/>
      <color indexed="20"/>
      <name val="Calibri"/>
      <family val="2"/>
      <scheme val="minor"/>
    </font>
    <font>
      <sz val="11"/>
      <color indexed="20"/>
      <name val="Calibri"/>
      <family val="2"/>
    </font>
    <font>
      <b/>
      <sz val="11"/>
      <color indexed="52"/>
      <name val="Calibri"/>
      <family val="2"/>
    </font>
    <font>
      <b/>
      <sz val="8"/>
      <name val="Arial"/>
      <family val="2"/>
    </font>
    <font>
      <b/>
      <sz val="11"/>
      <color indexed="9"/>
      <name val="Calibri"/>
      <family val="2"/>
    </font>
    <font>
      <b/>
      <sz val="9.75"/>
      <name val="Abadi MT Condensed"/>
      <family val="2"/>
    </font>
    <font>
      <sz val="8"/>
      <name val="Palatino"/>
      <family val="1"/>
    </font>
    <font>
      <u val="singleAccounting"/>
      <sz val="9"/>
      <name val="Times New Roman"/>
      <family val="1"/>
    </font>
    <font>
      <sz val="8"/>
      <color indexed="8"/>
      <name val="Calibri"/>
      <family val="2"/>
    </font>
    <font>
      <sz val="7.2"/>
      <color indexed="8"/>
      <name val="Arial"/>
      <family val="2"/>
    </font>
    <font>
      <b/>
      <sz val="13"/>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u/>
      <sz val="10"/>
      <color theme="1"/>
      <name val="Arial"/>
      <family val="2"/>
    </font>
    <font>
      <sz val="9"/>
      <name val="Cambria"/>
      <family val="1"/>
    </font>
    <font>
      <sz val="12"/>
      <color theme="1"/>
      <name val="Arial"/>
      <family val="2"/>
    </font>
    <font>
      <u/>
      <sz val="12"/>
      <color theme="10"/>
      <name val="Courier"/>
      <family val="3"/>
    </font>
    <font>
      <b/>
      <sz val="10"/>
      <color indexed="9"/>
      <name val="Times New Roman"/>
      <family val="1"/>
    </font>
    <font>
      <b/>
      <u/>
      <sz val="9"/>
      <name val="Times New Roman"/>
      <family val="1"/>
    </font>
    <font>
      <u/>
      <sz val="9"/>
      <name val="Times New Roman"/>
      <family val="1"/>
    </font>
    <font>
      <sz val="8"/>
      <color theme="1"/>
      <name val="Times New Roman"/>
      <family val="1"/>
    </font>
    <font>
      <sz val="11"/>
      <color indexed="8"/>
      <name val="Arial"/>
      <family val="2"/>
    </font>
    <font>
      <sz val="1"/>
      <color indexed="8"/>
      <name val="Arial"/>
      <family val="2"/>
    </font>
    <font>
      <b/>
      <sz val="10"/>
      <color rgb="FFFF0000"/>
      <name val="Arial"/>
      <family val="2"/>
    </font>
    <font>
      <b/>
      <u/>
      <sz val="10"/>
      <name val="Arial"/>
      <family val="2"/>
    </font>
    <font>
      <sz val="11"/>
      <name val="Times New Roman"/>
      <family val="1"/>
    </font>
    <font>
      <b/>
      <sz val="12"/>
      <name val="Arial"/>
      <family val="2"/>
    </font>
    <font>
      <sz val="8"/>
      <name val="Times New Roman"/>
      <family val="1"/>
    </font>
    <font>
      <b/>
      <u/>
      <sz val="14"/>
      <color theme="1"/>
      <name val="Calibri"/>
      <family val="2"/>
      <scheme val="minor"/>
    </font>
    <font>
      <b/>
      <sz val="14"/>
      <color theme="1"/>
      <name val="Calibri"/>
      <family val="2"/>
      <scheme val="minor"/>
    </font>
    <font>
      <b/>
      <u/>
      <sz val="12"/>
      <color theme="1"/>
      <name val="Calibri"/>
      <family val="2"/>
      <scheme val="minor"/>
    </font>
    <font>
      <b/>
      <sz val="12"/>
      <color theme="1"/>
      <name val="Calibri"/>
      <family val="2"/>
      <scheme val="minor"/>
    </font>
    <font>
      <b/>
      <u/>
      <sz val="11"/>
      <color theme="1"/>
      <name val="Calibri"/>
      <family val="2"/>
      <scheme val="minor"/>
    </font>
    <font>
      <vertAlign val="subscript"/>
      <sz val="11"/>
      <color theme="1"/>
      <name val="Calibri"/>
      <family val="2"/>
      <scheme val="minor"/>
    </font>
    <font>
      <b/>
      <u/>
      <sz val="11"/>
      <name val="Times New Roman"/>
      <family val="1"/>
    </font>
  </fonts>
  <fills count="7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6"/>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indexed="9"/>
        <bgColor indexed="9"/>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17"/>
      </patternFill>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s>
  <borders count="71">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3329">
    <xf numFmtId="0" fontId="0" fillId="0" borderId="0"/>
    <xf numFmtId="43"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7" fillId="0" borderId="0" applyFont="0" applyFill="0" applyBorder="0" applyAlignment="0" applyProtection="0"/>
    <xf numFmtId="0" fontId="71"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44" fillId="2" borderId="0"/>
    <xf numFmtId="0" fontId="70" fillId="0" borderId="0"/>
    <xf numFmtId="0" fontId="70" fillId="0" borderId="0"/>
    <xf numFmtId="0" fontId="19" fillId="0" borderId="0">
      <alignment readingOrder="1"/>
    </xf>
    <xf numFmtId="0" fontId="70" fillId="0" borderId="0"/>
    <xf numFmtId="0" fontId="19" fillId="0" borderId="0"/>
    <xf numFmtId="0" fontId="19" fillId="0" borderId="0"/>
    <xf numFmtId="0" fontId="19" fillId="0" borderId="0">
      <alignment readingOrder="1"/>
    </xf>
    <xf numFmtId="0" fontId="19" fillId="0" borderId="0"/>
    <xf numFmtId="0" fontId="19" fillId="0" borderId="0">
      <alignment readingOrder="1"/>
    </xf>
    <xf numFmtId="0" fontId="32" fillId="0" borderId="0"/>
    <xf numFmtId="0" fontId="19" fillId="0" borderId="0"/>
    <xf numFmtId="0" fontId="36" fillId="0" borderId="0"/>
    <xf numFmtId="0" fontId="19" fillId="0" borderId="0"/>
    <xf numFmtId="0" fontId="19" fillId="0" borderId="0"/>
    <xf numFmtId="0" fontId="70" fillId="0" borderId="0"/>
    <xf numFmtId="0" fontId="70" fillId="0" borderId="0"/>
    <xf numFmtId="0" fontId="70" fillId="0" borderId="0"/>
    <xf numFmtId="0" fontId="73" fillId="0" borderId="0"/>
    <xf numFmtId="0" fontId="70" fillId="0" borderId="0"/>
    <xf numFmtId="0" fontId="31" fillId="0" borderId="0"/>
    <xf numFmtId="0" fontId="31" fillId="0" borderId="0"/>
    <xf numFmtId="0" fontId="31" fillId="0" borderId="0"/>
    <xf numFmtId="0" fontId="32"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35" fillId="0" borderId="0" applyFont="0" applyFill="0" applyBorder="0" applyAlignment="0" applyProtection="0"/>
    <xf numFmtId="9" fontId="17"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2" fillId="0" borderId="0"/>
    <xf numFmtId="43" fontId="61" fillId="0" borderId="0" applyFont="0" applyFill="0" applyBorder="0" applyAlignment="0" applyProtection="0"/>
    <xf numFmtId="44" fontId="19" fillId="0" borderId="0" applyFont="0" applyFill="0" applyBorder="0" applyAlignment="0" applyProtection="0"/>
    <xf numFmtId="44" fontId="61" fillId="0" borderId="0" applyFont="0" applyFill="0" applyBorder="0" applyAlignment="0" applyProtection="0"/>
    <xf numFmtId="44" fontId="38" fillId="0" borderId="0" applyFont="0" applyFill="0" applyBorder="0" applyAlignment="0" applyProtection="0"/>
    <xf numFmtId="44" fontId="19" fillId="0" borderId="0" applyFont="0" applyFill="0" applyBorder="0" applyAlignment="0" applyProtection="0"/>
    <xf numFmtId="0" fontId="38" fillId="0" borderId="0"/>
    <xf numFmtId="9" fontId="34" fillId="0" borderId="0" applyFont="0" applyFill="0" applyBorder="0" applyAlignment="0" applyProtection="0"/>
    <xf numFmtId="9" fontId="38" fillId="0" borderId="0" applyFont="0" applyFill="0" applyBorder="0" applyAlignment="0" applyProtection="0"/>
    <xf numFmtId="38" fontId="84" fillId="0" borderId="0" applyNumberFormat="0" applyFont="0" applyFill="0" applyBorder="0">
      <alignment horizontal="left" indent="4"/>
      <protection locked="0"/>
    </xf>
    <xf numFmtId="0" fontId="85" fillId="0" borderId="0" applyNumberFormat="0" applyFont="0" applyFill="0" applyBorder="0" applyAlignment="0" applyProtection="0">
      <alignment horizontal="left"/>
    </xf>
    <xf numFmtId="15" fontId="85" fillId="0" borderId="0" applyFont="0" applyFill="0" applyBorder="0" applyAlignment="0" applyProtection="0"/>
    <xf numFmtId="4" fontId="85" fillId="0" borderId="0" applyFont="0" applyFill="0" applyBorder="0" applyAlignment="0" applyProtection="0"/>
    <xf numFmtId="0" fontId="86" fillId="0" borderId="13">
      <alignment horizontal="center"/>
    </xf>
    <xf numFmtId="3" fontId="85" fillId="0" borderId="0" applyFont="0" applyFill="0" applyBorder="0" applyAlignment="0" applyProtection="0"/>
    <xf numFmtId="0" fontId="85" fillId="6" borderId="0" applyNumberFormat="0" applyFont="0" applyBorder="0" applyAlignment="0" applyProtection="0"/>
    <xf numFmtId="166" fontId="61" fillId="3" borderId="0" applyFont="0" applyFill="0" applyBorder="0" applyAlignment="0" applyProtection="0">
      <alignment wrapText="1"/>
    </xf>
    <xf numFmtId="0" fontId="19" fillId="7" borderId="0" applyNumberFormat="0" applyFont="0" applyFill="0" applyBorder="0" applyAlignment="0" applyProtection="0"/>
    <xf numFmtId="0" fontId="7" fillId="0" borderId="0"/>
    <xf numFmtId="3" fontId="73" fillId="0" borderId="0"/>
    <xf numFmtId="3" fontId="73" fillId="0" borderId="0"/>
    <xf numFmtId="0" fontId="19" fillId="0" borderId="0"/>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34" fillId="0" borderId="0"/>
    <xf numFmtId="0" fontId="6" fillId="0" borderId="0"/>
    <xf numFmtId="9" fontId="14" fillId="0" borderId="0" applyFont="0" applyFill="0" applyBorder="0" applyAlignment="0" applyProtection="0"/>
    <xf numFmtId="43" fontId="14" fillId="0" borderId="0" applyFont="0" applyFill="0" applyBorder="0" applyAlignment="0" applyProtection="0"/>
    <xf numFmtId="43" fontId="1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 fillId="0" borderId="0"/>
    <xf numFmtId="0" fontId="6" fillId="0" borderId="0"/>
    <xf numFmtId="0" fontId="19" fillId="0" borderId="0">
      <alignment readingOrder="1"/>
    </xf>
    <xf numFmtId="0" fontId="6" fillId="0" borderId="0"/>
    <xf numFmtId="0" fontId="6" fillId="0" borderId="0"/>
    <xf numFmtId="0" fontId="6" fillId="0" borderId="0"/>
    <xf numFmtId="0" fontId="6" fillId="0" borderId="0"/>
    <xf numFmtId="0" fontId="6" fillId="0" borderId="0"/>
    <xf numFmtId="9" fontId="14"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19" fillId="0" borderId="0" applyFont="0" applyFill="0" applyBorder="0" applyAlignment="0" applyProtection="0"/>
    <xf numFmtId="0" fontId="5" fillId="0" borderId="0"/>
    <xf numFmtId="0" fontId="5" fillId="0" borderId="0"/>
    <xf numFmtId="0" fontId="5" fillId="0" borderId="0"/>
    <xf numFmtId="43" fontId="19" fillId="0" borderId="0" applyFont="0" applyFill="0" applyBorder="0" applyAlignment="0" applyProtection="0"/>
    <xf numFmtId="0" fontId="5" fillId="0" borderId="0"/>
    <xf numFmtId="0" fontId="5" fillId="0" borderId="0"/>
    <xf numFmtId="0" fontId="5" fillId="0" borderId="0"/>
    <xf numFmtId="0" fontId="5" fillId="0" borderId="0"/>
    <xf numFmtId="43" fontId="19"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19" fillId="0" borderId="0" applyFont="0" applyFill="0" applyBorder="0" applyAlignment="0" applyProtection="0"/>
    <xf numFmtId="43" fontId="1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19" fillId="0" borderId="0" applyFont="0" applyFill="0" applyBorder="0" applyAlignment="0" applyProtection="0"/>
    <xf numFmtId="43" fontId="97" fillId="0" borderId="0" applyFont="0" applyFill="0" applyBorder="0" applyAlignment="0" applyProtection="0"/>
    <xf numFmtId="0" fontId="99" fillId="0" borderId="0" applyNumberFormat="0" applyFill="0" applyBorder="0" applyAlignment="0" applyProtection="0"/>
    <xf numFmtId="0" fontId="100" fillId="0" borderId="28" applyNumberFormat="0" applyFill="0" applyAlignment="0" applyProtection="0"/>
    <xf numFmtId="0" fontId="101" fillId="0" borderId="29" applyNumberFormat="0" applyFill="0" applyAlignment="0" applyProtection="0"/>
    <xf numFmtId="0" fontId="102" fillId="0" borderId="30" applyNumberFormat="0" applyFill="0" applyAlignment="0" applyProtection="0"/>
    <xf numFmtId="0" fontId="102" fillId="0" borderId="0" applyNumberFormat="0" applyFill="0" applyBorder="0" applyAlignment="0" applyProtection="0"/>
    <xf numFmtId="0" fontId="103" fillId="10" borderId="0" applyNumberFormat="0" applyBorder="0" applyAlignment="0" applyProtection="0"/>
    <xf numFmtId="0" fontId="104" fillId="11" borderId="0" applyNumberFormat="0" applyBorder="0" applyAlignment="0" applyProtection="0"/>
    <xf numFmtId="0" fontId="105" fillId="12" borderId="0" applyNumberFormat="0" applyBorder="0" applyAlignment="0" applyProtection="0"/>
    <xf numFmtId="0" fontId="106" fillId="13" borderId="31" applyNumberFormat="0" applyAlignment="0" applyProtection="0"/>
    <xf numFmtId="0" fontId="107" fillId="14" borderId="32" applyNumberFormat="0" applyAlignment="0" applyProtection="0"/>
    <xf numFmtId="0" fontId="108" fillId="14" borderId="31" applyNumberFormat="0" applyAlignment="0" applyProtection="0"/>
    <xf numFmtId="0" fontId="109" fillId="0" borderId="33" applyNumberFormat="0" applyFill="0" applyAlignment="0" applyProtection="0"/>
    <xf numFmtId="0" fontId="110" fillId="15" borderId="34" applyNumberFormat="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3" fillId="0" borderId="36" applyNumberFormat="0" applyFill="0" applyAlignment="0" applyProtection="0"/>
    <xf numFmtId="0" fontId="11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114" fillId="36" borderId="0" applyNumberFormat="0" applyBorder="0" applyAlignment="0" applyProtection="0"/>
    <xf numFmtId="0" fontId="114"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114" fillId="40" borderId="0" applyNumberFormat="0" applyBorder="0" applyAlignment="0" applyProtection="0"/>
    <xf numFmtId="40" fontId="32" fillId="0" borderId="0" applyFont="0" applyFill="0" applyBorder="0" applyAlignment="0" applyProtection="0"/>
    <xf numFmtId="8" fontId="32" fillId="0" borderId="0" applyFont="0" applyFill="0" applyBorder="0" applyAlignment="0" applyProtection="0"/>
    <xf numFmtId="9" fontId="3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8" fillId="0" borderId="0"/>
    <xf numFmtId="9" fontId="38" fillId="0" borderId="0" applyFont="0" applyFill="0" applyBorder="0" applyAlignment="0" applyProtection="0"/>
    <xf numFmtId="0" fontId="61" fillId="0" borderId="0"/>
    <xf numFmtId="0" fontId="38" fillId="0" borderId="0"/>
    <xf numFmtId="0" fontId="61" fillId="0" borderId="0"/>
    <xf numFmtId="0" fontId="19" fillId="0" borderId="0"/>
    <xf numFmtId="0" fontId="115" fillId="0" borderId="0"/>
    <xf numFmtId="0" fontId="19" fillId="0" borderId="0"/>
    <xf numFmtId="9" fontId="61" fillId="0" borderId="0" applyFont="0" applyFill="0" applyBorder="0" applyAlignment="0" applyProtection="0"/>
    <xf numFmtId="44" fontId="19" fillId="0" borderId="0" applyFont="0" applyFill="0" applyBorder="0" applyAlignment="0" applyProtection="0"/>
    <xf numFmtId="0" fontId="19"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116" fillId="0" borderId="0"/>
    <xf numFmtId="43" fontId="61" fillId="0" borderId="0" applyFont="0" applyFill="0" applyBorder="0" applyAlignment="0" applyProtection="0"/>
    <xf numFmtId="44" fontId="61" fillId="0" borderId="0" applyFont="0" applyFill="0" applyBorder="0" applyAlignment="0" applyProtection="0"/>
    <xf numFmtId="9" fontId="38" fillId="0" borderId="0" applyFont="0" applyFill="0" applyBorder="0" applyAlignment="0" applyProtection="0"/>
    <xf numFmtId="0" fontId="3" fillId="0" borderId="0"/>
    <xf numFmtId="43" fontId="3" fillId="0" borderId="0" applyFont="0" applyFill="0" applyBorder="0" applyAlignment="0" applyProtection="0"/>
    <xf numFmtId="0" fontId="19" fillId="0" borderId="0"/>
    <xf numFmtId="43" fontId="3" fillId="0" borderId="0" applyFont="0" applyFill="0" applyBorder="0" applyAlignment="0" applyProtection="0"/>
    <xf numFmtId="9" fontId="19" fillId="0" borderId="0" applyFont="0" applyFill="0" applyBorder="0" applyAlignment="0" applyProtection="0"/>
    <xf numFmtId="0" fontId="19" fillId="0" borderId="0"/>
    <xf numFmtId="0" fontId="3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2" fillId="0" borderId="0"/>
    <xf numFmtId="9" fontId="19" fillId="0" borderId="0" applyFont="0" applyFill="0" applyBorder="0" applyAlignment="0" applyProtection="0"/>
    <xf numFmtId="0" fontId="32" fillId="0" borderId="0"/>
    <xf numFmtId="9" fontId="32" fillId="0" borderId="0" applyFont="0" applyFill="0" applyBorder="0" applyAlignment="0" applyProtection="0"/>
    <xf numFmtId="43" fontId="32" fillId="0" borderId="0" applyFont="0" applyFill="0" applyBorder="0" applyAlignment="0" applyProtection="0"/>
    <xf numFmtId="9" fontId="19" fillId="0" borderId="0" applyFont="0" applyFill="0" applyBorder="0" applyAlignment="0" applyProtection="0"/>
    <xf numFmtId="0" fontId="73" fillId="0" borderId="0"/>
    <xf numFmtId="9" fontId="73"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9" fontId="38" fillId="0" borderId="0" applyFont="0" applyFill="0" applyBorder="0" applyAlignment="0" applyProtection="0"/>
    <xf numFmtId="3" fontId="19" fillId="42" borderId="0" applyFont="0" applyFill="0" applyBorder="0" applyAlignment="0" applyProtection="0"/>
    <xf numFmtId="5" fontId="19" fillId="42" borderId="0" applyFont="0" applyFill="0" applyBorder="0" applyAlignment="0" applyProtection="0"/>
    <xf numFmtId="0" fontId="19" fillId="42" borderId="0" applyFont="0" applyFill="0" applyBorder="0" applyAlignment="0" applyProtection="0"/>
    <xf numFmtId="2" fontId="19" fillId="42" borderId="0" applyFont="0" applyFill="0" applyBorder="0" applyAlignment="0" applyProtection="0"/>
    <xf numFmtId="41" fontId="117" fillId="3" borderId="38">
      <alignment horizontal="left"/>
      <protection locked="0"/>
    </xf>
    <xf numFmtId="0" fontId="38" fillId="0" borderId="0"/>
    <xf numFmtId="44" fontId="38" fillId="0" borderId="0" applyFont="0" applyFill="0" applyBorder="0" applyAlignment="0" applyProtection="0"/>
    <xf numFmtId="44" fontId="19" fillId="0" borderId="0" applyFont="0" applyFill="0" applyBorder="0" applyAlignment="0" applyProtection="0"/>
    <xf numFmtId="9" fontId="32" fillId="0" borderId="0" applyFont="0" applyFill="0" applyBorder="0" applyAlignment="0" applyProtection="0"/>
    <xf numFmtId="9" fontId="73" fillId="0" borderId="0" applyFont="0" applyFill="0" applyBorder="0" applyAlignment="0" applyProtection="0"/>
    <xf numFmtId="43" fontId="32" fillId="0" borderId="0" applyFont="0" applyFill="0" applyBorder="0" applyAlignment="0" applyProtection="0"/>
    <xf numFmtId="0" fontId="73" fillId="0" borderId="0"/>
    <xf numFmtId="44" fontId="19" fillId="0" borderId="0" applyFont="0" applyFill="0" applyBorder="0" applyAlignment="0" applyProtection="0"/>
    <xf numFmtId="9" fontId="73"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0" fontId="73" fillId="0" borderId="0"/>
    <xf numFmtId="9"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19" fillId="0" borderId="0" applyFont="0" applyFill="0" applyBorder="0" applyAlignment="0" applyProtection="0"/>
    <xf numFmtId="0" fontId="19" fillId="0" borderId="0"/>
    <xf numFmtId="9" fontId="19" fillId="0" borderId="0" applyFont="0" applyFill="0" applyBorder="0" applyAlignment="0" applyProtection="0"/>
    <xf numFmtId="9" fontId="38" fillId="0" borderId="0" applyFont="0" applyFill="0" applyBorder="0" applyAlignment="0" applyProtection="0"/>
    <xf numFmtId="0" fontId="32" fillId="0" borderId="0"/>
    <xf numFmtId="44" fontId="19" fillId="0" borderId="0" applyFont="0" applyFill="0" applyBorder="0" applyAlignment="0" applyProtection="0"/>
    <xf numFmtId="9" fontId="38" fillId="0" borderId="0" applyFont="0" applyFill="0" applyBorder="0" applyAlignment="0" applyProtection="0"/>
    <xf numFmtId="43" fontId="19" fillId="0" borderId="0" applyFont="0" applyFill="0" applyBorder="0" applyAlignment="0" applyProtection="0"/>
    <xf numFmtId="9" fontId="73" fillId="0" borderId="0" applyFont="0" applyFill="0" applyBorder="0" applyAlignment="0" applyProtection="0"/>
    <xf numFmtId="44" fontId="19" fillId="0" borderId="0" applyFont="0" applyFill="0" applyBorder="0" applyAlignment="0" applyProtection="0"/>
    <xf numFmtId="0" fontId="38" fillId="0" borderId="0"/>
    <xf numFmtId="9" fontId="7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73" fillId="0" borderId="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19" fillId="0" borderId="0" applyFont="0" applyFill="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32"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43" fontId="32" fillId="0" borderId="0" applyFont="0" applyFill="0" applyBorder="0" applyAlignment="0" applyProtection="0"/>
    <xf numFmtId="9" fontId="73" fillId="0" borderId="0" applyFont="0" applyFill="0" applyBorder="0" applyAlignment="0" applyProtection="0"/>
    <xf numFmtId="0" fontId="38" fillId="0" borderId="0"/>
    <xf numFmtId="44" fontId="38" fillId="0" borderId="0" applyFont="0" applyFill="0" applyBorder="0" applyAlignment="0" applyProtection="0"/>
    <xf numFmtId="9" fontId="19" fillId="0" borderId="0" applyFont="0" applyFill="0" applyBorder="0" applyAlignment="0" applyProtection="0"/>
    <xf numFmtId="0" fontId="38" fillId="0" borderId="0"/>
    <xf numFmtId="44" fontId="38" fillId="0" borderId="0" applyFont="0" applyFill="0" applyBorder="0" applyAlignment="0" applyProtection="0"/>
    <xf numFmtId="0" fontId="73" fillId="0" borderId="0"/>
    <xf numFmtId="9" fontId="32" fillId="0" borderId="0" applyFont="0" applyFill="0" applyBorder="0" applyAlignment="0" applyProtection="0"/>
    <xf numFmtId="0" fontId="32" fillId="0" borderId="0"/>
    <xf numFmtId="0" fontId="3" fillId="0" borderId="0"/>
    <xf numFmtId="0" fontId="32" fillId="0" borderId="0"/>
    <xf numFmtId="43" fontId="3" fillId="0" borderId="0" applyFont="0" applyFill="0" applyBorder="0" applyAlignment="0" applyProtection="0"/>
    <xf numFmtId="9" fontId="3" fillId="0" borderId="0" applyFont="0" applyFill="0" applyBorder="0" applyAlignment="0" applyProtection="0"/>
    <xf numFmtId="43" fontId="38" fillId="0" borderId="0" applyFont="0" applyFill="0" applyBorder="0" applyAlignment="0" applyProtection="0"/>
    <xf numFmtId="9" fontId="38" fillId="0" borderId="0" applyFont="0" applyFill="0" applyBorder="0" applyAlignment="0" applyProtection="0"/>
    <xf numFmtId="9" fontId="73" fillId="0" borderId="0" applyFont="0" applyFill="0" applyBorder="0" applyAlignment="0" applyProtection="0"/>
    <xf numFmtId="43" fontId="38" fillId="0" borderId="0" applyFont="0" applyFill="0" applyBorder="0" applyAlignment="0" applyProtection="0"/>
    <xf numFmtId="44" fontId="19" fillId="0" borderId="0" applyFont="0" applyFill="0" applyBorder="0" applyAlignment="0" applyProtection="0"/>
    <xf numFmtId="44" fontId="38" fillId="0" borderId="0" applyFont="0" applyFill="0" applyBorder="0" applyAlignment="0" applyProtection="0"/>
    <xf numFmtId="0" fontId="73" fillId="0" borderId="0"/>
    <xf numFmtId="44" fontId="19" fillId="0" borderId="0" applyFont="0" applyFill="0" applyBorder="0" applyAlignment="0" applyProtection="0"/>
    <xf numFmtId="0" fontId="73" fillId="0" borderId="0"/>
    <xf numFmtId="0" fontId="73" fillId="0" borderId="0"/>
    <xf numFmtId="44" fontId="19" fillId="0" borderId="0" applyFont="0" applyFill="0" applyBorder="0" applyAlignment="0" applyProtection="0"/>
    <xf numFmtId="0" fontId="3" fillId="0" borderId="0"/>
    <xf numFmtId="9" fontId="3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19" fillId="0" borderId="0" applyFont="0" applyFill="0" applyBorder="0" applyAlignment="0" applyProtection="0"/>
    <xf numFmtId="9" fontId="32"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9" fontId="19" fillId="0" borderId="0" applyFont="0" applyFill="0" applyBorder="0" applyAlignment="0" applyProtection="0"/>
    <xf numFmtId="44" fontId="38" fillId="0" borderId="0" applyFont="0" applyFill="0" applyBorder="0" applyAlignment="0" applyProtection="0"/>
    <xf numFmtId="0" fontId="73" fillId="0" borderId="0"/>
    <xf numFmtId="9" fontId="73" fillId="0" borderId="0" applyFont="0" applyFill="0" applyBorder="0" applyAlignment="0" applyProtection="0"/>
    <xf numFmtId="9" fontId="32" fillId="0" borderId="0" applyFont="0" applyFill="0" applyBorder="0" applyAlignment="0" applyProtection="0"/>
    <xf numFmtId="0" fontId="3" fillId="0" borderId="0"/>
    <xf numFmtId="9" fontId="19"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73" fillId="0" borderId="0"/>
    <xf numFmtId="44" fontId="19" fillId="0" borderId="0" applyFont="0" applyFill="0" applyBorder="0" applyAlignment="0" applyProtection="0"/>
    <xf numFmtId="9" fontId="38" fillId="0" borderId="0" applyFont="0" applyFill="0" applyBorder="0" applyAlignment="0" applyProtection="0"/>
    <xf numFmtId="0" fontId="73" fillId="0" borderId="0"/>
    <xf numFmtId="43" fontId="32" fillId="0" borderId="0" applyFont="0" applyFill="0" applyBorder="0" applyAlignment="0" applyProtection="0"/>
    <xf numFmtId="43" fontId="19" fillId="0" borderId="0" applyFont="0" applyFill="0" applyBorder="0" applyAlignment="0" applyProtection="0"/>
    <xf numFmtId="9" fontId="32"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19" fillId="0" borderId="0"/>
    <xf numFmtId="9" fontId="19" fillId="0" borderId="0" applyFont="0" applyFill="0" applyBorder="0" applyAlignment="0" applyProtection="0"/>
    <xf numFmtId="0" fontId="3" fillId="0" borderId="0"/>
    <xf numFmtId="0" fontId="32" fillId="0" borderId="0"/>
    <xf numFmtId="43" fontId="3" fillId="0" borderId="0" applyFont="0" applyFill="0" applyBorder="0" applyAlignment="0" applyProtection="0"/>
    <xf numFmtId="9" fontId="3" fillId="0" borderId="0" applyFont="0" applyFill="0" applyBorder="0" applyAlignment="0" applyProtection="0"/>
    <xf numFmtId="44" fontId="19" fillId="0" borderId="0" applyFont="0" applyFill="0" applyBorder="0" applyAlignment="0" applyProtection="0"/>
    <xf numFmtId="9" fontId="38" fillId="0" borderId="0" applyFont="0" applyFill="0" applyBorder="0" applyAlignment="0" applyProtection="0"/>
    <xf numFmtId="0" fontId="73" fillId="0" borderId="0"/>
    <xf numFmtId="43" fontId="32" fillId="0" borderId="0" applyFont="0" applyFill="0" applyBorder="0" applyAlignment="0" applyProtection="0"/>
    <xf numFmtId="43" fontId="19" fillId="0" borderId="0" applyFont="0" applyFill="0" applyBorder="0" applyAlignment="0" applyProtection="0"/>
    <xf numFmtId="9" fontId="32"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19" fillId="0" borderId="0"/>
    <xf numFmtId="9" fontId="19" fillId="0" borderId="0" applyFont="0" applyFill="0" applyBorder="0" applyAlignment="0" applyProtection="0"/>
    <xf numFmtId="0" fontId="3" fillId="0" borderId="0"/>
    <xf numFmtId="0" fontId="32" fillId="0" borderId="0"/>
    <xf numFmtId="43" fontId="3" fillId="0" borderId="0" applyFont="0" applyFill="0" applyBorder="0" applyAlignment="0" applyProtection="0"/>
    <xf numFmtId="9" fontId="3" fillId="0" borderId="0" applyFont="0" applyFill="0" applyBorder="0" applyAlignment="0" applyProtection="0"/>
    <xf numFmtId="44" fontId="19" fillId="0" borderId="0" applyFont="0" applyFill="0" applyBorder="0" applyAlignment="0" applyProtection="0"/>
    <xf numFmtId="9" fontId="38" fillId="0" borderId="0" applyFont="0" applyFill="0" applyBorder="0" applyAlignment="0" applyProtection="0"/>
    <xf numFmtId="9" fontId="19"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9" fontId="38" fillId="0" borderId="0" applyFont="0" applyFill="0" applyBorder="0" applyAlignment="0" applyProtection="0"/>
    <xf numFmtId="9" fontId="32"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19" fillId="0" borderId="0"/>
    <xf numFmtId="9" fontId="19" fillId="0" borderId="0" applyFont="0" applyFill="0" applyBorder="0" applyAlignment="0" applyProtection="0"/>
    <xf numFmtId="0" fontId="3" fillId="0" borderId="0"/>
    <xf numFmtId="0" fontId="32" fillId="0" borderId="0"/>
    <xf numFmtId="43" fontId="3" fillId="0" borderId="0" applyFont="0" applyFill="0" applyBorder="0" applyAlignment="0" applyProtection="0"/>
    <xf numFmtId="9" fontId="3" fillId="0" borderId="0" applyFont="0" applyFill="0" applyBorder="0" applyAlignment="0" applyProtection="0"/>
    <xf numFmtId="44" fontId="19" fillId="0" borderId="0" applyFont="0" applyFill="0" applyBorder="0" applyAlignment="0" applyProtection="0"/>
    <xf numFmtId="9" fontId="38"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9" fontId="32" fillId="0" borderId="0" applyFont="0" applyFill="0" applyBorder="0" applyAlignment="0" applyProtection="0"/>
    <xf numFmtId="43" fontId="38" fillId="0" borderId="0" applyFont="0" applyFill="0" applyBorder="0" applyAlignment="0" applyProtection="0"/>
    <xf numFmtId="0" fontId="38" fillId="0" borderId="0"/>
    <xf numFmtId="0" fontId="19" fillId="0" borderId="0"/>
    <xf numFmtId="9" fontId="19" fillId="0" borderId="0" applyFont="0" applyFill="0" applyBorder="0" applyAlignment="0" applyProtection="0"/>
    <xf numFmtId="0" fontId="3" fillId="0" borderId="0"/>
    <xf numFmtId="0" fontId="32" fillId="0" borderId="0"/>
    <xf numFmtId="43" fontId="3" fillId="0" borderId="0" applyFont="0" applyFill="0" applyBorder="0" applyAlignment="0" applyProtection="0"/>
    <xf numFmtId="9" fontId="3" fillId="0" borderId="0" applyFont="0" applyFill="0" applyBorder="0" applyAlignment="0" applyProtection="0"/>
    <xf numFmtId="9" fontId="38"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0" fontId="32" fillId="0" borderId="0"/>
    <xf numFmtId="43" fontId="38" fillId="0" borderId="0" applyFont="0" applyFill="0" applyBorder="0" applyAlignment="0" applyProtection="0"/>
    <xf numFmtId="0" fontId="38" fillId="0" borderId="0"/>
    <xf numFmtId="0" fontId="19" fillId="0" borderId="0"/>
    <xf numFmtId="43" fontId="32" fillId="0" borderId="0" applyFont="0" applyFill="0" applyBorder="0" applyAlignment="0" applyProtection="0"/>
    <xf numFmtId="0" fontId="3" fillId="0" borderId="0"/>
    <xf numFmtId="0" fontId="32" fillId="0" borderId="0"/>
    <xf numFmtId="43" fontId="3" fillId="0" borderId="0" applyFont="0" applyFill="0" applyBorder="0" applyAlignment="0" applyProtection="0"/>
    <xf numFmtId="9" fontId="3" fillId="0" borderId="0" applyFont="0" applyFill="0" applyBorder="0" applyAlignment="0" applyProtection="0"/>
    <xf numFmtId="9" fontId="38" fillId="0" borderId="0" applyFont="0" applyFill="0" applyBorder="0" applyAlignment="0" applyProtection="0"/>
    <xf numFmtId="9" fontId="32" fillId="0" borderId="0" applyFont="0" applyFill="0" applyBorder="0" applyAlignment="0" applyProtection="0"/>
    <xf numFmtId="43" fontId="19" fillId="0" borderId="0" applyFont="0" applyFill="0" applyBorder="0" applyAlignment="0" applyProtection="0"/>
    <xf numFmtId="9" fontId="73" fillId="0" borderId="0" applyFont="0" applyFill="0" applyBorder="0" applyAlignment="0" applyProtection="0"/>
    <xf numFmtId="44" fontId="38" fillId="0" borderId="0" applyFont="0" applyFill="0" applyBorder="0" applyAlignment="0" applyProtection="0"/>
    <xf numFmtId="0" fontId="38" fillId="0" borderId="0"/>
    <xf numFmtId="0" fontId="19" fillId="0" borderId="0"/>
    <xf numFmtId="0" fontId="3" fillId="0" borderId="0"/>
    <xf numFmtId="0" fontId="32" fillId="0" borderId="0"/>
    <xf numFmtId="43" fontId="3" fillId="0" borderId="0" applyFont="0" applyFill="0" applyBorder="0" applyAlignment="0" applyProtection="0"/>
    <xf numFmtId="9" fontId="3" fillId="0" borderId="0" applyFont="0" applyFill="0" applyBorder="0" applyAlignment="0" applyProtection="0"/>
    <xf numFmtId="43" fontId="38" fillId="0" borderId="0" applyFont="0" applyFill="0" applyBorder="0" applyAlignment="0" applyProtection="0"/>
    <xf numFmtId="0" fontId="73" fillId="0" borderId="0"/>
    <xf numFmtId="44" fontId="19" fillId="0" borderId="0" applyFont="0" applyFill="0" applyBorder="0" applyAlignment="0" applyProtection="0"/>
    <xf numFmtId="43" fontId="19" fillId="0" borderId="0" applyFont="0" applyFill="0" applyBorder="0" applyAlignment="0" applyProtection="0"/>
    <xf numFmtId="0" fontId="3" fillId="0" borderId="0"/>
    <xf numFmtId="0" fontId="32"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9" fillId="0" borderId="0"/>
    <xf numFmtId="0" fontId="32" fillId="0" borderId="0"/>
    <xf numFmtId="43" fontId="32" fillId="0" borderId="0" applyFont="0" applyFill="0" applyBorder="0" applyAlignment="0" applyProtection="0"/>
    <xf numFmtId="0" fontId="32" fillId="0" borderId="0"/>
    <xf numFmtId="9" fontId="32" fillId="0" borderId="0" applyFont="0" applyFill="0" applyBorder="0" applyAlignment="0" applyProtection="0"/>
    <xf numFmtId="43" fontId="32" fillId="0" borderId="0" applyFont="0" applyFill="0" applyBorder="0" applyAlignment="0" applyProtection="0"/>
    <xf numFmtId="9" fontId="19" fillId="0" borderId="0" applyFont="0" applyFill="0" applyBorder="0" applyAlignment="0" applyProtection="0"/>
    <xf numFmtId="0" fontId="73" fillId="0" borderId="0"/>
    <xf numFmtId="9" fontId="73"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9" fontId="38" fillId="0" borderId="0" applyFont="0" applyFill="0" applyBorder="0" applyAlignment="0" applyProtection="0"/>
    <xf numFmtId="9" fontId="32"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9" fontId="19"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0" fontId="32" fillId="0" borderId="0"/>
    <xf numFmtId="44" fontId="19" fillId="0" borderId="0" applyFont="0" applyFill="0" applyBorder="0" applyAlignment="0" applyProtection="0"/>
    <xf numFmtId="0" fontId="32" fillId="0" borderId="0"/>
    <xf numFmtId="9" fontId="73" fillId="0" borderId="0" applyFont="0" applyFill="0" applyBorder="0" applyAlignment="0" applyProtection="0"/>
    <xf numFmtId="9" fontId="32" fillId="0" borderId="0" applyFont="0" applyFill="0" applyBorder="0" applyAlignment="0" applyProtection="0"/>
    <xf numFmtId="43" fontId="19" fillId="0" borderId="0" applyFont="0" applyFill="0" applyBorder="0" applyAlignment="0" applyProtection="0"/>
    <xf numFmtId="9" fontId="38" fillId="0" borderId="0" applyFont="0" applyFill="0" applyBorder="0" applyAlignment="0" applyProtection="0"/>
    <xf numFmtId="9" fontId="32" fillId="0" borderId="0" applyFont="0" applyFill="0" applyBorder="0" applyAlignment="0" applyProtection="0"/>
    <xf numFmtId="0" fontId="73" fillId="0" borderId="0"/>
    <xf numFmtId="43"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9" fontId="38" fillId="0" borderId="0" applyFont="0" applyFill="0" applyBorder="0" applyAlignment="0" applyProtection="0"/>
    <xf numFmtId="44" fontId="38" fillId="0" borderId="0" applyFont="0" applyFill="0" applyBorder="0" applyAlignment="0" applyProtection="0"/>
    <xf numFmtId="0" fontId="19" fillId="0" borderId="0"/>
    <xf numFmtId="44" fontId="19"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2" fillId="0" borderId="0"/>
    <xf numFmtId="43" fontId="19"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43" fontId="32" fillId="0" borderId="0" applyFont="0" applyFill="0" applyBorder="0" applyAlignment="0" applyProtection="0"/>
    <xf numFmtId="0" fontId="38" fillId="0" borderId="0"/>
    <xf numFmtId="0" fontId="3" fillId="26" borderId="0" applyNumberFormat="0" applyBorder="0" applyAlignment="0" applyProtection="0"/>
    <xf numFmtId="0" fontId="3" fillId="27" borderId="0" applyNumberFormat="0" applyBorder="0" applyAlignment="0" applyProtection="0"/>
    <xf numFmtId="9" fontId="73" fillId="0" borderId="0" applyFont="0" applyFill="0" applyBorder="0" applyAlignment="0" applyProtection="0"/>
    <xf numFmtId="44" fontId="38" fillId="0" borderId="0" applyFont="0" applyFill="0" applyBorder="0" applyAlignment="0" applyProtection="0"/>
    <xf numFmtId="0" fontId="3" fillId="30" borderId="0" applyNumberFormat="0" applyBorder="0" applyAlignment="0" applyProtection="0"/>
    <xf numFmtId="0" fontId="3" fillId="31" borderId="0" applyNumberFormat="0" applyBorder="0" applyAlignment="0" applyProtection="0"/>
    <xf numFmtId="9" fontId="19" fillId="0" borderId="0" applyFont="0" applyFill="0" applyBorder="0" applyAlignment="0" applyProtection="0"/>
    <xf numFmtId="0" fontId="32" fillId="0" borderId="0"/>
    <xf numFmtId="0" fontId="3" fillId="34" borderId="0" applyNumberFormat="0" applyBorder="0" applyAlignment="0" applyProtection="0"/>
    <xf numFmtId="0" fontId="3" fillId="35" borderId="0" applyNumberFormat="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43" fontId="38" fillId="0" borderId="0" applyFont="0" applyFill="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73" fillId="0" borderId="0"/>
    <xf numFmtId="9" fontId="38"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44" fontId="38"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9" fontId="73" fillId="0" borderId="0" applyFont="0" applyFill="0" applyBorder="0" applyAlignment="0" applyProtection="0"/>
    <xf numFmtId="43" fontId="38"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73" fillId="0" borderId="0"/>
    <xf numFmtId="44" fontId="19" fillId="0" borderId="0" applyFont="0" applyFill="0" applyBorder="0" applyAlignment="0" applyProtection="0"/>
    <xf numFmtId="0" fontId="3" fillId="30" borderId="0" applyNumberFormat="0" applyBorder="0" applyAlignment="0" applyProtection="0"/>
    <xf numFmtId="0" fontId="3" fillId="31" borderId="0" applyNumberFormat="0" applyBorder="0" applyAlignment="0" applyProtection="0"/>
    <xf numFmtId="9" fontId="32" fillId="0" borderId="0" applyFont="0" applyFill="0" applyBorder="0" applyAlignment="0" applyProtection="0"/>
    <xf numFmtId="43" fontId="19" fillId="0" borderId="0" applyFont="0" applyFill="0" applyBorder="0" applyAlignment="0" applyProtection="0"/>
    <xf numFmtId="0" fontId="3" fillId="34" borderId="0" applyNumberFormat="0" applyBorder="0" applyAlignment="0" applyProtection="0"/>
    <xf numFmtId="0" fontId="3" fillId="35" borderId="0" applyNumberFormat="0" applyBorder="0" applyAlignment="0" applyProtection="0"/>
    <xf numFmtId="43" fontId="32" fillId="0" borderId="0" applyFont="0" applyFill="0" applyBorder="0" applyAlignment="0" applyProtection="0"/>
    <xf numFmtId="0" fontId="38" fillId="0" borderId="0"/>
    <xf numFmtId="0" fontId="3" fillId="38" borderId="0" applyNumberFormat="0" applyBorder="0" applyAlignment="0" applyProtection="0"/>
    <xf numFmtId="0" fontId="3" fillId="39" borderId="0" applyNumberFormat="0" applyBorder="0" applyAlignment="0" applyProtection="0"/>
    <xf numFmtId="9" fontId="73" fillId="0" borderId="0" applyFont="0" applyFill="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2" fillId="0" borderId="0" applyFont="0" applyFill="0" applyBorder="0" applyAlignment="0" applyProtection="0"/>
    <xf numFmtId="9" fontId="19"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44" fontId="38"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43" fontId="38"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73" fillId="0" borderId="0"/>
    <xf numFmtId="44" fontId="19" fillId="0" borderId="0" applyFont="0" applyFill="0" applyBorder="0" applyAlignment="0" applyProtection="0"/>
    <xf numFmtId="0" fontId="3" fillId="30" borderId="0" applyNumberFormat="0" applyBorder="0" applyAlignment="0" applyProtection="0"/>
    <xf numFmtId="0" fontId="3" fillId="31" borderId="0" applyNumberFormat="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3" fillId="34" borderId="0" applyNumberFormat="0" applyBorder="0" applyAlignment="0" applyProtection="0"/>
    <xf numFmtId="0" fontId="3" fillId="35" borderId="0" applyNumberFormat="0" applyBorder="0" applyAlignment="0" applyProtection="0"/>
    <xf numFmtId="9" fontId="19" fillId="0" borderId="0" applyFont="0" applyFill="0" applyBorder="0" applyAlignment="0" applyProtection="0"/>
    <xf numFmtId="0" fontId="38" fillId="0" borderId="0"/>
    <xf numFmtId="0" fontId="3" fillId="38" borderId="0" applyNumberFormat="0" applyBorder="0" applyAlignment="0" applyProtection="0"/>
    <xf numFmtId="0" fontId="3" fillId="39" borderId="0" applyNumberFormat="0" applyBorder="0" applyAlignment="0" applyProtection="0"/>
    <xf numFmtId="9" fontId="73" fillId="0" borderId="0" applyFont="0" applyFill="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9" fontId="73" fillId="0" borderId="0" applyFont="0" applyFill="0" applyBorder="0" applyAlignment="0" applyProtection="0"/>
    <xf numFmtId="9" fontId="19"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43" fontId="38"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43" fontId="32" fillId="0" borderId="0" applyFont="0" applyFill="0" applyBorder="0" applyAlignment="0" applyProtection="0"/>
    <xf numFmtId="43" fontId="38"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73" fillId="0" borderId="0"/>
    <xf numFmtId="44" fontId="19" fillId="0" borderId="0" applyFont="0" applyFill="0" applyBorder="0" applyAlignment="0" applyProtection="0"/>
    <xf numFmtId="0" fontId="3" fillId="30" borderId="0" applyNumberFormat="0" applyBorder="0" applyAlignment="0" applyProtection="0"/>
    <xf numFmtId="0" fontId="3" fillId="31" borderId="0" applyNumberFormat="0" applyBorder="0" applyAlignment="0" applyProtection="0"/>
    <xf numFmtId="43" fontId="19" fillId="0" borderId="0" applyFont="0" applyFill="0" applyBorder="0" applyAlignment="0" applyProtection="0"/>
    <xf numFmtId="0" fontId="3" fillId="34" borderId="0" applyNumberFormat="0" applyBorder="0" applyAlignment="0" applyProtection="0"/>
    <xf numFmtId="0" fontId="3" fillId="35" borderId="0" applyNumberFormat="0" applyBorder="0" applyAlignment="0" applyProtection="0"/>
    <xf numFmtId="0" fontId="38" fillId="0" borderId="0"/>
    <xf numFmtId="0" fontId="3" fillId="38" borderId="0" applyNumberFormat="0" applyBorder="0" applyAlignment="0" applyProtection="0"/>
    <xf numFmtId="0" fontId="3" fillId="39" borderId="0" applyNumberFormat="0" applyBorder="0" applyAlignment="0" applyProtection="0"/>
    <xf numFmtId="9" fontId="73" fillId="0" borderId="0" applyFont="0" applyFill="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2" fillId="0" borderId="0"/>
    <xf numFmtId="0" fontId="19" fillId="0" borderId="0"/>
    <xf numFmtId="0" fontId="73" fillId="0" borderId="0"/>
    <xf numFmtId="0" fontId="3" fillId="18" borderId="0" applyNumberFormat="0" applyBorder="0" applyAlignment="0" applyProtection="0"/>
    <xf numFmtId="0" fontId="3" fillId="19" borderId="0" applyNumberFormat="0" applyBorder="0" applyAlignment="0" applyProtection="0"/>
    <xf numFmtId="9" fontId="32"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9" fontId="38"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43" fontId="19" fillId="0" borderId="0" applyFont="0" applyFill="0" applyBorder="0" applyAlignment="0" applyProtection="0"/>
    <xf numFmtId="0" fontId="3" fillId="30" borderId="0" applyNumberFormat="0" applyBorder="0" applyAlignment="0" applyProtection="0"/>
    <xf numFmtId="0" fontId="3" fillId="31" borderId="0" applyNumberFormat="0" applyBorder="0" applyAlignment="0" applyProtection="0"/>
    <xf numFmtId="0" fontId="32" fillId="0" borderId="0"/>
    <xf numFmtId="0" fontId="38" fillId="0" borderId="0"/>
    <xf numFmtId="0" fontId="3" fillId="34" borderId="0" applyNumberFormat="0" applyBorder="0" applyAlignment="0" applyProtection="0"/>
    <xf numFmtId="0" fontId="3" fillId="35" borderId="0" applyNumberFormat="0" applyBorder="0" applyAlignment="0" applyProtection="0"/>
    <xf numFmtId="0" fontId="32" fillId="0" borderId="0"/>
    <xf numFmtId="44" fontId="38"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73" fillId="0" borderId="0"/>
    <xf numFmtId="0" fontId="3" fillId="18" borderId="0" applyNumberFormat="0" applyBorder="0" applyAlignment="0" applyProtection="0"/>
    <xf numFmtId="0" fontId="3" fillId="19" borderId="0" applyNumberFormat="0" applyBorder="0" applyAlignment="0" applyProtection="0"/>
    <xf numFmtId="43" fontId="32"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8" fillId="0" borderId="0"/>
    <xf numFmtId="0" fontId="3" fillId="26" borderId="0" applyNumberFormat="0" applyBorder="0" applyAlignment="0" applyProtection="0"/>
    <xf numFmtId="0" fontId="3" fillId="27" borderId="0" applyNumberFormat="0" applyBorder="0" applyAlignment="0" applyProtection="0"/>
    <xf numFmtId="44" fontId="19" fillId="0" borderId="0" applyFont="0" applyFill="0" applyBorder="0" applyAlignment="0" applyProtection="0"/>
    <xf numFmtId="0" fontId="32" fillId="0" borderId="0"/>
    <xf numFmtId="0" fontId="3" fillId="30" borderId="0" applyNumberFormat="0" applyBorder="0" applyAlignment="0" applyProtection="0"/>
    <xf numFmtId="0" fontId="3" fillId="31" borderId="0" applyNumberFormat="0" applyBorder="0" applyAlignment="0" applyProtection="0"/>
    <xf numFmtId="0" fontId="19" fillId="0" borderId="0"/>
    <xf numFmtId="0" fontId="3" fillId="34" borderId="0" applyNumberFormat="0" applyBorder="0" applyAlignment="0" applyProtection="0"/>
    <xf numFmtId="0" fontId="3" fillId="35" borderId="0" applyNumberFormat="0" applyBorder="0" applyAlignment="0" applyProtection="0"/>
    <xf numFmtId="43" fontId="19" fillId="0" borderId="0" applyFont="0" applyFill="0" applyBorder="0" applyAlignment="0" applyProtection="0"/>
    <xf numFmtId="9" fontId="7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9" fontId="32"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8" fillId="0" borderId="0"/>
    <xf numFmtId="0" fontId="3" fillId="22" borderId="0" applyNumberFormat="0" applyBorder="0" applyAlignment="0" applyProtection="0"/>
    <xf numFmtId="0" fontId="3" fillId="23" borderId="0" applyNumberFormat="0" applyBorder="0" applyAlignment="0" applyProtection="0"/>
    <xf numFmtId="0" fontId="19" fillId="0" borderId="0"/>
    <xf numFmtId="9" fontId="38"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9" fontId="32" fillId="0" borderId="0" applyFont="0" applyFill="0" applyBorder="0" applyAlignment="0" applyProtection="0"/>
    <xf numFmtId="9" fontId="38" fillId="0" borderId="0" applyFont="0" applyFill="0" applyBorder="0" applyAlignment="0" applyProtection="0"/>
    <xf numFmtId="0" fontId="3" fillId="30" borderId="0" applyNumberFormat="0" applyBorder="0" applyAlignment="0" applyProtection="0"/>
    <xf numFmtId="0" fontId="3" fillId="31" borderId="0" applyNumberFormat="0" applyBorder="0" applyAlignment="0" applyProtection="0"/>
    <xf numFmtId="43" fontId="38" fillId="0" borderId="0" applyFont="0" applyFill="0" applyBorder="0" applyAlignment="0" applyProtection="0"/>
    <xf numFmtId="0" fontId="3" fillId="34" borderId="0" applyNumberFormat="0" applyBorder="0" applyAlignment="0" applyProtection="0"/>
    <xf numFmtId="0" fontId="3" fillId="35" borderId="0" applyNumberFormat="0" applyBorder="0" applyAlignment="0" applyProtection="0"/>
    <xf numFmtId="0" fontId="73" fillId="0" borderId="0"/>
    <xf numFmtId="44" fontId="38"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43" fontId="38" fillId="0" borderId="0" applyFont="0" applyFill="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32" fillId="0" borderId="0"/>
    <xf numFmtId="44" fontId="38" fillId="0" borderId="0" applyFont="0" applyFill="0" applyBorder="0" applyAlignment="0" applyProtection="0"/>
    <xf numFmtId="0" fontId="32" fillId="0" borderId="0"/>
    <xf numFmtId="43"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9" fontId="38"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44" fontId="38"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73" fillId="0" borderId="0"/>
    <xf numFmtId="44" fontId="19"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32" fillId="0" borderId="0"/>
    <xf numFmtId="43" fontId="19" fillId="0" borderId="0" applyFont="0" applyFill="0" applyBorder="0" applyAlignment="0" applyProtection="0"/>
    <xf numFmtId="0" fontId="3" fillId="30" borderId="0" applyNumberFormat="0" applyBorder="0" applyAlignment="0" applyProtection="0"/>
    <xf numFmtId="0" fontId="3" fillId="31" borderId="0" applyNumberFormat="0" applyBorder="0" applyAlignment="0" applyProtection="0"/>
    <xf numFmtId="43" fontId="32" fillId="0" borderId="0" applyFont="0" applyFill="0" applyBorder="0" applyAlignment="0" applyProtection="0"/>
    <xf numFmtId="0" fontId="38" fillId="0" borderId="0"/>
    <xf numFmtId="0" fontId="3" fillId="34" borderId="0" applyNumberFormat="0" applyBorder="0" applyAlignment="0" applyProtection="0"/>
    <xf numFmtId="0" fontId="3" fillId="35" borderId="0" applyNumberFormat="0" applyBorder="0" applyAlignment="0" applyProtection="0"/>
    <xf numFmtId="9" fontId="73" fillId="0" borderId="0" applyFont="0" applyFill="0" applyBorder="0" applyAlignment="0" applyProtection="0"/>
    <xf numFmtId="44" fontId="38"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9" fontId="19" fillId="0" borderId="0" applyFont="0" applyFill="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44" fontId="38"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73" fillId="0" borderId="0"/>
    <xf numFmtId="44" fontId="19" fillId="0" borderId="0" applyFont="0" applyFill="0" applyBorder="0" applyAlignment="0" applyProtection="0"/>
    <xf numFmtId="0" fontId="3" fillId="30" borderId="0" applyNumberFormat="0" applyBorder="0" applyAlignment="0" applyProtection="0"/>
    <xf numFmtId="0" fontId="3" fillId="31" borderId="0" applyNumberFormat="0" applyBorder="0" applyAlignment="0" applyProtection="0"/>
    <xf numFmtId="0" fontId="32" fillId="0" borderId="0"/>
    <xf numFmtId="43" fontId="19" fillId="0" borderId="0" applyFont="0" applyFill="0" applyBorder="0" applyAlignment="0" applyProtection="0"/>
    <xf numFmtId="0" fontId="3" fillId="34" borderId="0" applyNumberFormat="0" applyBorder="0" applyAlignment="0" applyProtection="0"/>
    <xf numFmtId="0" fontId="3" fillId="35" borderId="0" applyNumberFormat="0" applyBorder="0" applyAlignment="0" applyProtection="0"/>
    <xf numFmtId="43" fontId="32" fillId="0" borderId="0" applyFont="0" applyFill="0" applyBorder="0" applyAlignment="0" applyProtection="0"/>
    <xf numFmtId="0" fontId="38" fillId="0" borderId="0"/>
    <xf numFmtId="0" fontId="3" fillId="38" borderId="0" applyNumberFormat="0" applyBorder="0" applyAlignment="0" applyProtection="0"/>
    <xf numFmtId="0" fontId="3" fillId="39" borderId="0" applyNumberFormat="0" applyBorder="0" applyAlignment="0" applyProtection="0"/>
    <xf numFmtId="9" fontId="73" fillId="0" borderId="0" applyFont="0" applyFill="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44" fontId="38"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43" fontId="38"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73" fillId="0" borderId="0"/>
    <xf numFmtId="44" fontId="19" fillId="0" borderId="0" applyFont="0" applyFill="0" applyBorder="0" applyAlignment="0" applyProtection="0"/>
    <xf numFmtId="0" fontId="3" fillId="30" borderId="0" applyNumberFormat="0" applyBorder="0" applyAlignment="0" applyProtection="0"/>
    <xf numFmtId="0" fontId="3" fillId="31" borderId="0" applyNumberFormat="0" applyBorder="0" applyAlignment="0" applyProtection="0"/>
    <xf numFmtId="43" fontId="19" fillId="0" borderId="0" applyFont="0" applyFill="0" applyBorder="0" applyAlignment="0" applyProtection="0"/>
    <xf numFmtId="0" fontId="3" fillId="34" borderId="0" applyNumberFormat="0" applyBorder="0" applyAlignment="0" applyProtection="0"/>
    <xf numFmtId="0" fontId="3" fillId="35" borderId="0" applyNumberFormat="0" applyBorder="0" applyAlignment="0" applyProtection="0"/>
    <xf numFmtId="43" fontId="32" fillId="0" borderId="0" applyFont="0" applyFill="0" applyBorder="0" applyAlignment="0" applyProtection="0"/>
    <xf numFmtId="0" fontId="38" fillId="0" borderId="0"/>
    <xf numFmtId="0" fontId="3" fillId="38" borderId="0" applyNumberFormat="0" applyBorder="0" applyAlignment="0" applyProtection="0"/>
    <xf numFmtId="0" fontId="3" fillId="39" borderId="0" applyNumberFormat="0" applyBorder="0" applyAlignment="0" applyProtection="0"/>
    <xf numFmtId="9" fontId="73" fillId="0" borderId="0" applyFont="0" applyFill="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19" fillId="0" borderId="0"/>
    <xf numFmtId="9" fontId="19"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44" fontId="38"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43" fontId="38"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73" fillId="0" borderId="0"/>
    <xf numFmtId="44" fontId="19" fillId="0" borderId="0" applyFont="0" applyFill="0" applyBorder="0" applyAlignment="0" applyProtection="0"/>
    <xf numFmtId="0" fontId="3" fillId="30" borderId="0" applyNumberFormat="0" applyBorder="0" applyAlignment="0" applyProtection="0"/>
    <xf numFmtId="0" fontId="3" fillId="31" borderId="0" applyNumberFormat="0" applyBorder="0" applyAlignment="0" applyProtection="0"/>
    <xf numFmtId="43" fontId="19" fillId="0" borderId="0" applyFont="0" applyFill="0" applyBorder="0" applyAlignment="0" applyProtection="0"/>
    <xf numFmtId="0" fontId="3" fillId="34" borderId="0" applyNumberFormat="0" applyBorder="0" applyAlignment="0" applyProtection="0"/>
    <xf numFmtId="0" fontId="3" fillId="35" borderId="0" applyNumberFormat="0" applyBorder="0" applyAlignment="0" applyProtection="0"/>
    <xf numFmtId="0" fontId="38" fillId="0" borderId="0"/>
    <xf numFmtId="0" fontId="3" fillId="38" borderId="0" applyNumberFormat="0" applyBorder="0" applyAlignment="0" applyProtection="0"/>
    <xf numFmtId="0" fontId="3" fillId="39" borderId="0" applyNumberFormat="0" applyBorder="0" applyAlignment="0" applyProtection="0"/>
    <xf numFmtId="9" fontId="73" fillId="0" borderId="0" applyFont="0" applyFill="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19" fillId="0" borderId="0"/>
    <xf numFmtId="9" fontId="19"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43" fontId="38" fillId="0" borderId="0" applyFont="0" applyFill="0" applyBorder="0" applyAlignment="0" applyProtection="0"/>
    <xf numFmtId="0" fontId="3" fillId="26" borderId="0" applyNumberFormat="0" applyBorder="0" applyAlignment="0" applyProtection="0"/>
    <xf numFmtId="0" fontId="3" fillId="27" borderId="0" applyNumberFormat="0" applyBorder="0" applyAlignment="0" applyProtection="0"/>
    <xf numFmtId="0" fontId="73" fillId="0" borderId="0"/>
    <xf numFmtId="44" fontId="19" fillId="0" borderId="0" applyFont="0" applyFill="0" applyBorder="0" applyAlignment="0" applyProtection="0"/>
    <xf numFmtId="0" fontId="3" fillId="30" borderId="0" applyNumberFormat="0" applyBorder="0" applyAlignment="0" applyProtection="0"/>
    <xf numFmtId="0" fontId="3" fillId="31" borderId="0" applyNumberFormat="0" applyBorder="0" applyAlignment="0" applyProtection="0"/>
    <xf numFmtId="43" fontId="19" fillId="0" borderId="0" applyFont="0" applyFill="0" applyBorder="0" applyAlignment="0" applyProtection="0"/>
    <xf numFmtId="0" fontId="3" fillId="34" borderId="0" applyNumberFormat="0" applyBorder="0" applyAlignment="0" applyProtection="0"/>
    <xf numFmtId="0" fontId="3" fillId="35" borderId="0" applyNumberFormat="0" applyBorder="0" applyAlignment="0" applyProtection="0"/>
    <xf numFmtId="0" fontId="38" fillId="0" borderId="0"/>
    <xf numFmtId="0" fontId="3" fillId="38" borderId="0" applyNumberFormat="0" applyBorder="0" applyAlignment="0" applyProtection="0"/>
    <xf numFmtId="0" fontId="3" fillId="39" borderId="0" applyNumberFormat="0" applyBorder="0" applyAlignment="0" applyProtection="0"/>
    <xf numFmtId="9" fontId="73" fillId="0" borderId="0" applyFont="0" applyFill="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19" fillId="0" borderId="0"/>
    <xf numFmtId="0" fontId="19" fillId="0" borderId="0"/>
    <xf numFmtId="43" fontId="61" fillId="0" borderId="0" applyFont="0" applyFill="0" applyBorder="0" applyAlignment="0" applyProtection="0"/>
    <xf numFmtId="44" fontId="61" fillId="0" borderId="0" applyFont="0" applyFill="0" applyBorder="0" applyAlignment="0" applyProtection="0"/>
    <xf numFmtId="9" fontId="38"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4" fontId="19"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121" fillId="0" borderId="0"/>
    <xf numFmtId="44" fontId="19" fillId="0" borderId="0" applyFont="0" applyFill="0" applyBorder="0" applyAlignment="0" applyProtection="0"/>
    <xf numFmtId="0" fontId="3" fillId="35"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9" fillId="0" borderId="0">
      <alignment readingOrder="1"/>
    </xf>
    <xf numFmtId="43" fontId="19" fillId="0" borderId="0" applyFont="0" applyFill="0" applyBorder="0" applyAlignment="0" applyProtection="0"/>
    <xf numFmtId="43" fontId="19" fillId="0" borderId="0" applyFont="0" applyFill="0" applyBorder="0" applyAlignment="0" applyProtection="0"/>
    <xf numFmtId="3" fontId="73"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73" fillId="0" borderId="0"/>
    <xf numFmtId="3" fontId="73" fillId="0" borderId="0"/>
    <xf numFmtId="0" fontId="122" fillId="0" borderId="30" applyNumberFormat="0" applyFill="0" applyAlignment="0" applyProtection="0"/>
    <xf numFmtId="3" fontId="73" fillId="0" borderId="0"/>
    <xf numFmtId="3" fontId="73" fillId="0" borderId="0"/>
    <xf numFmtId="3" fontId="73" fillId="0" borderId="0"/>
    <xf numFmtId="9" fontId="73" fillId="0" borderId="0" applyFont="0" applyFill="0" applyBorder="0" applyAlignment="0" applyProtection="0"/>
    <xf numFmtId="44" fontId="73" fillId="0" borderId="0" applyFont="0" applyFill="0" applyBorder="0" applyAlignment="0" applyProtection="0"/>
    <xf numFmtId="43" fontId="73" fillId="0" borderId="0" applyFont="0" applyFill="0" applyBorder="0" applyAlignment="0" applyProtection="0"/>
    <xf numFmtId="41" fontId="73" fillId="0" borderId="0" applyFont="0" applyFill="0" applyBorder="0" applyAlignment="0" applyProtection="0"/>
    <xf numFmtId="42" fontId="73" fillId="0" borderId="0" applyFont="0" applyFill="0" applyBorder="0" applyAlignment="0" applyProtection="0"/>
    <xf numFmtId="0" fontId="123" fillId="0" borderId="0" applyBorder="0">
      <alignment horizontal="centerContinuous"/>
    </xf>
    <xf numFmtId="0" fontId="124" fillId="0" borderId="0" applyBorder="0">
      <alignment horizontal="centerContinuous"/>
    </xf>
    <xf numFmtId="0" fontId="125" fillId="43" borderId="0">
      <alignment horizontal="right"/>
    </xf>
    <xf numFmtId="0" fontId="124" fillId="43" borderId="37"/>
    <xf numFmtId="44" fontId="73" fillId="0" borderId="0" applyFont="0" applyFill="0" applyBorder="0" applyAlignment="0" applyProtection="0"/>
    <xf numFmtId="42" fontId="19" fillId="0" borderId="0" applyFont="0" applyFill="0" applyBorder="0" applyAlignment="0" applyProtection="0"/>
    <xf numFmtId="43" fontId="73" fillId="0" borderId="0" applyFont="0" applyFill="0" applyBorder="0" applyAlignment="0" applyProtection="0"/>
    <xf numFmtId="0" fontId="126" fillId="44" borderId="0">
      <alignment horizontal="left"/>
    </xf>
    <xf numFmtId="0" fontId="127" fillId="44" borderId="0">
      <alignment horizontal="right"/>
    </xf>
    <xf numFmtId="0" fontId="127" fillId="44" borderId="0">
      <alignment horizontal="center"/>
    </xf>
    <xf numFmtId="0" fontId="127" fillId="44" borderId="0">
      <alignment horizontal="right"/>
    </xf>
    <xf numFmtId="0" fontId="128" fillId="44" borderId="0">
      <alignment horizontal="left"/>
    </xf>
    <xf numFmtId="41"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2" fontId="34" fillId="0" borderId="0" applyFont="0" applyFill="0" applyBorder="0" applyAlignment="0" applyProtection="0"/>
    <xf numFmtId="9" fontId="73" fillId="0" borderId="0" applyFont="0" applyFill="0" applyBorder="0" applyAlignment="0" applyProtection="0"/>
    <xf numFmtId="0" fontId="3" fillId="23" borderId="0" applyNumberFormat="0" applyBorder="0" applyAlignment="0" applyProtection="0"/>
    <xf numFmtId="44" fontId="34" fillId="0" borderId="0" applyFont="0" applyFill="0" applyBorder="0" applyAlignment="0" applyProtection="0"/>
    <xf numFmtId="44" fontId="3" fillId="0" borderId="0" applyFont="0" applyFill="0" applyBorder="0" applyAlignment="0" applyProtection="0"/>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6" fillId="44" borderId="0">
      <alignment horizontal="left"/>
    </xf>
    <xf numFmtId="0" fontId="126" fillId="44" borderId="0">
      <alignment horizontal="lef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66" fillId="43" borderId="0">
      <alignment horizontal="right"/>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4" fillId="0" borderId="0" applyFont="0" applyFill="0" applyBorder="0" applyAlignment="0" applyProtection="0"/>
    <xf numFmtId="0" fontId="126" fillId="44" borderId="0">
      <alignment horizontal="center"/>
    </xf>
    <xf numFmtId="49" fontId="130" fillId="44" borderId="0">
      <alignment horizontal="center"/>
    </xf>
    <xf numFmtId="0" fontId="127" fillId="44" borderId="0">
      <alignment horizontal="center"/>
    </xf>
    <xf numFmtId="0" fontId="127" fillId="44" borderId="0">
      <alignment horizontal="centerContinuous"/>
    </xf>
    <xf numFmtId="0" fontId="131" fillId="44" borderId="0">
      <alignment horizontal="left"/>
    </xf>
    <xf numFmtId="49" fontId="131" fillId="44" borderId="0">
      <alignment horizontal="center"/>
    </xf>
    <xf numFmtId="0" fontId="126" fillId="44" borderId="0">
      <alignment horizontal="left"/>
    </xf>
    <xf numFmtId="49" fontId="131" fillId="44" borderId="0">
      <alignment horizontal="left"/>
    </xf>
    <xf numFmtId="0" fontId="126" fillId="44" borderId="0">
      <alignment horizontal="centerContinuous"/>
    </xf>
    <xf numFmtId="0" fontId="126" fillId="44" borderId="0">
      <alignment horizontal="right"/>
    </xf>
    <xf numFmtId="49" fontId="126" fillId="44" borderId="0">
      <alignment horizontal="left"/>
    </xf>
    <xf numFmtId="0" fontId="127" fillId="44" borderId="0">
      <alignment horizontal="right"/>
    </xf>
    <xf numFmtId="0" fontId="131" fillId="45" borderId="0">
      <alignment horizontal="center"/>
    </xf>
    <xf numFmtId="0" fontId="132" fillId="45" borderId="0">
      <alignment horizontal="center"/>
    </xf>
    <xf numFmtId="0" fontId="133" fillId="44" borderId="0">
      <alignment horizontal="center"/>
    </xf>
    <xf numFmtId="0" fontId="19"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102" fillId="0" borderId="30" applyNumberFormat="0" applyFill="0" applyAlignment="0" applyProtection="0"/>
    <xf numFmtId="43" fontId="3" fillId="0" borderId="0" applyFont="0" applyFill="0" applyBorder="0" applyAlignment="0" applyProtection="0"/>
    <xf numFmtId="186" fontId="38" fillId="41" borderId="0" applyFont="0" applyFill="0" applyBorder="0" applyAlignment="0" applyProtection="0"/>
    <xf numFmtId="0" fontId="3" fillId="0" borderId="0"/>
    <xf numFmtId="0" fontId="73" fillId="0" borderId="0"/>
    <xf numFmtId="0" fontId="122" fillId="0" borderId="30" applyNumberFormat="0" applyFill="0" applyAlignment="0" applyProtection="0"/>
    <xf numFmtId="9" fontId="73" fillId="0" borderId="0" applyFont="0" applyFill="0" applyBorder="0" applyAlignment="0" applyProtection="0"/>
    <xf numFmtId="44" fontId="73" fillId="0" borderId="0" applyFont="0" applyFill="0" applyBorder="0" applyAlignment="0" applyProtection="0"/>
    <xf numFmtId="43" fontId="73" fillId="0" borderId="0" applyFont="0" applyFill="0" applyBorder="0" applyAlignment="0" applyProtection="0"/>
    <xf numFmtId="41" fontId="73" fillId="0" borderId="0" applyFont="0" applyFill="0" applyBorder="0" applyAlignment="0" applyProtection="0"/>
    <xf numFmtId="42" fontId="7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73" fillId="0" borderId="0" applyFont="0" applyFill="0" applyBorder="0" applyAlignment="0" applyProtection="0"/>
    <xf numFmtId="44" fontId="73" fillId="0" borderId="0" applyFont="0" applyFill="0" applyBorder="0" applyAlignment="0" applyProtection="0"/>
    <xf numFmtId="43" fontId="73" fillId="0" borderId="0" applyFont="0" applyFill="0" applyBorder="0" applyAlignment="0" applyProtection="0"/>
    <xf numFmtId="44" fontId="73" fillId="0" borderId="0" applyFont="0" applyFill="0" applyBorder="0" applyAlignment="0" applyProtection="0"/>
    <xf numFmtId="43" fontId="73" fillId="0" borderId="0" applyFont="0" applyFill="0" applyBorder="0" applyAlignment="0" applyProtection="0"/>
    <xf numFmtId="44" fontId="73" fillId="0" borderId="0" applyFont="0" applyFill="0" applyBorder="0" applyAlignment="0" applyProtection="0"/>
    <xf numFmtId="43" fontId="73" fillId="0" borderId="0" applyFont="0" applyFill="0" applyBorder="0" applyAlignment="0" applyProtection="0"/>
    <xf numFmtId="44" fontId="7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4" fillId="0" borderId="0"/>
    <xf numFmtId="43" fontId="34" fillId="0" borderId="0" applyFont="0" applyFill="0" applyBorder="0" applyAlignment="0" applyProtection="0"/>
    <xf numFmtId="41" fontId="34" fillId="0" borderId="0" applyFont="0" applyFill="0" applyBorder="0" applyAlignment="0" applyProtection="0"/>
    <xf numFmtId="44" fontId="34" fillId="0" borderId="0" applyFont="0" applyFill="0" applyBorder="0" applyAlignment="0" applyProtection="0"/>
    <xf numFmtId="42" fontId="34" fillId="0" borderId="0" applyFont="0" applyFill="0" applyBorder="0" applyAlignment="0" applyProtection="0"/>
    <xf numFmtId="9" fontId="34" fillId="0" borderId="0" applyFont="0" applyFill="0" applyBorder="0" applyAlignment="0" applyProtection="0"/>
    <xf numFmtId="0" fontId="3" fillId="0" borderId="0"/>
    <xf numFmtId="0" fontId="63" fillId="0" borderId="0">
      <alignment vertical="top"/>
    </xf>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14"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14"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14"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14"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14" fillId="50"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14" fillId="51"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14"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14" fillId="5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14"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14"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14" fillId="52"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0" fontId="14" fillId="55" borderId="0" applyNumberFormat="0" applyBorder="0" applyAlignment="0" applyProtection="0"/>
    <xf numFmtId="0" fontId="114" fillId="20" borderId="0" applyNumberFormat="0" applyBorder="0" applyAlignment="0" applyProtection="0"/>
    <xf numFmtId="0" fontId="114" fillId="20" borderId="0" applyNumberFormat="0" applyBorder="0" applyAlignment="0" applyProtection="0"/>
    <xf numFmtId="0" fontId="114" fillId="20" borderId="0" applyNumberFormat="0" applyBorder="0" applyAlignment="0" applyProtection="0"/>
    <xf numFmtId="0" fontId="114" fillId="56" borderId="0" applyNumberFormat="0" applyBorder="0" applyAlignment="0" applyProtection="0"/>
    <xf numFmtId="0" fontId="134" fillId="56" borderId="0" applyNumberFormat="0" applyBorder="0" applyAlignment="0" applyProtection="0"/>
    <xf numFmtId="0" fontId="114" fillId="24" borderId="0" applyNumberFormat="0" applyBorder="0" applyAlignment="0" applyProtection="0"/>
    <xf numFmtId="0" fontId="114" fillId="24" borderId="0" applyNumberFormat="0" applyBorder="0" applyAlignment="0" applyProtection="0"/>
    <xf numFmtId="0" fontId="114" fillId="24" borderId="0" applyNumberFormat="0" applyBorder="0" applyAlignment="0" applyProtection="0"/>
    <xf numFmtId="0" fontId="134" fillId="53" borderId="0" applyNumberFormat="0" applyBorder="0" applyAlignment="0" applyProtection="0"/>
    <xf numFmtId="0" fontId="114" fillId="28" borderId="0" applyNumberFormat="0" applyBorder="0" applyAlignment="0" applyProtection="0"/>
    <xf numFmtId="0" fontId="114" fillId="28" borderId="0" applyNumberFormat="0" applyBorder="0" applyAlignment="0" applyProtection="0"/>
    <xf numFmtId="0" fontId="114" fillId="28" borderId="0" applyNumberFormat="0" applyBorder="0" applyAlignment="0" applyProtection="0"/>
    <xf numFmtId="0" fontId="114" fillId="54" borderId="0" applyNumberFormat="0" applyBorder="0" applyAlignment="0" applyProtection="0"/>
    <xf numFmtId="0" fontId="134" fillId="54"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57" borderId="0" applyNumberFormat="0" applyBorder="0" applyAlignment="0" applyProtection="0"/>
    <xf numFmtId="0" fontId="134" fillId="57"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34" fillId="5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59" borderId="0" applyNumberFormat="0" applyBorder="0" applyAlignment="0" applyProtection="0"/>
    <xf numFmtId="0" fontId="134" fillId="59"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60" borderId="0" applyNumberFormat="0" applyBorder="0" applyAlignment="0" applyProtection="0"/>
    <xf numFmtId="0" fontId="134" fillId="60" borderId="0" applyNumberFormat="0" applyBorder="0" applyAlignment="0" applyProtection="0"/>
    <xf numFmtId="0" fontId="114" fillId="21" borderId="0" applyNumberFormat="0" applyBorder="0" applyAlignment="0" applyProtection="0"/>
    <xf numFmtId="0" fontId="114" fillId="21" borderId="0" applyNumberFormat="0" applyBorder="0" applyAlignment="0" applyProtection="0"/>
    <xf numFmtId="0" fontId="114" fillId="21" borderId="0" applyNumberFormat="0" applyBorder="0" applyAlignment="0" applyProtection="0"/>
    <xf numFmtId="0" fontId="114" fillId="61" borderId="0" applyNumberFormat="0" applyBorder="0" applyAlignment="0" applyProtection="0"/>
    <xf numFmtId="0" fontId="134" fillId="61" borderId="0" applyNumberFormat="0" applyBorder="0" applyAlignment="0" applyProtection="0"/>
    <xf numFmtId="0" fontId="114" fillId="25" borderId="0" applyNumberFormat="0" applyBorder="0" applyAlignment="0" applyProtection="0"/>
    <xf numFmtId="0" fontId="114" fillId="25" borderId="0" applyNumberFormat="0" applyBorder="0" applyAlignment="0" applyProtection="0"/>
    <xf numFmtId="0" fontId="114" fillId="25" borderId="0" applyNumberFormat="0" applyBorder="0" applyAlignment="0" applyProtection="0"/>
    <xf numFmtId="0" fontId="114" fillId="62" borderId="0" applyNumberFormat="0" applyBorder="0" applyAlignment="0" applyProtection="0"/>
    <xf numFmtId="0" fontId="134" fillId="62" borderId="0" applyNumberFormat="0" applyBorder="0" applyAlignment="0" applyProtection="0"/>
    <xf numFmtId="0" fontId="114" fillId="29" borderId="0" applyNumberFormat="0" applyBorder="0" applyAlignment="0" applyProtection="0"/>
    <xf numFmtId="0" fontId="114" fillId="29" borderId="0" applyNumberFormat="0" applyBorder="0" applyAlignment="0" applyProtection="0"/>
    <xf numFmtId="0" fontId="114" fillId="29" borderId="0" applyNumberFormat="0" applyBorder="0" applyAlignment="0" applyProtection="0"/>
    <xf numFmtId="0" fontId="114" fillId="57" borderId="0" applyNumberFormat="0" applyBorder="0" applyAlignment="0" applyProtection="0"/>
    <xf numFmtId="0" fontId="134" fillId="57"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34" fillId="58"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34" fillId="63" borderId="0" applyNumberFormat="0" applyBorder="0" applyAlignment="0" applyProtection="0"/>
    <xf numFmtId="189" fontId="135" fillId="64" borderId="0" applyNumberFormat="0" applyBorder="0" applyAlignment="0" applyProtection="0"/>
    <xf numFmtId="189" fontId="25" fillId="4" borderId="0" applyNumberFormat="0" applyBorder="0" applyAlignment="0" applyProtection="0"/>
    <xf numFmtId="189" fontId="25" fillId="4"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36" fillId="11" borderId="0" applyNumberFormat="0" applyBorder="0" applyAlignment="0" applyProtection="0"/>
    <xf numFmtId="0" fontId="137" fillId="47" borderId="0" applyNumberFormat="0" applyBorder="0" applyAlignment="0" applyProtection="0"/>
    <xf numFmtId="0" fontId="38" fillId="0" borderId="0" applyFill="0" applyBorder="0" applyAlignment="0" applyProtection="0"/>
    <xf numFmtId="0" fontId="108" fillId="14" borderId="31" applyNumberFormat="0" applyAlignment="0" applyProtection="0"/>
    <xf numFmtId="0" fontId="108" fillId="14" borderId="31" applyNumberFormat="0" applyAlignment="0" applyProtection="0"/>
    <xf numFmtId="0" fontId="108" fillId="14" borderId="31" applyNumberFormat="0" applyAlignment="0" applyProtection="0"/>
    <xf numFmtId="0" fontId="108" fillId="65" borderId="31" applyNumberFormat="0" applyAlignment="0" applyProtection="0"/>
    <xf numFmtId="0" fontId="138" fillId="65" borderId="39" applyNumberFormat="0" applyAlignment="0" applyProtection="0"/>
    <xf numFmtId="0" fontId="139" fillId="0" borderId="0" applyFill="0" applyBorder="0" applyProtection="0">
      <alignment horizontal="center" vertical="center"/>
    </xf>
    <xf numFmtId="0" fontId="41" fillId="0" borderId="0" applyFill="0" applyBorder="0" applyProtection="0">
      <alignment horizontal="center"/>
      <protection locked="0"/>
    </xf>
    <xf numFmtId="0" fontId="139" fillId="0" borderId="0" applyFill="0" applyBorder="0" applyProtection="0">
      <alignment horizontal="center" vertical="center"/>
    </xf>
    <xf numFmtId="0" fontId="110" fillId="15" borderId="34" applyNumberFormat="0" applyAlignment="0" applyProtection="0"/>
    <xf numFmtId="0" fontId="110" fillId="15" borderId="34" applyNumberFormat="0" applyAlignment="0" applyProtection="0"/>
    <xf numFmtId="0" fontId="110" fillId="15" borderId="34" applyNumberFormat="0" applyAlignment="0" applyProtection="0"/>
    <xf numFmtId="0" fontId="140" fillId="66" borderId="40" applyNumberFormat="0" applyAlignment="0" applyProtection="0"/>
    <xf numFmtId="0" fontId="141" fillId="0" borderId="13">
      <alignment horizontal="center"/>
    </xf>
    <xf numFmtId="190" fontId="142" fillId="0" borderId="0" applyFont="0" applyFill="0" applyBorder="0" applyAlignment="0" applyProtection="0">
      <alignment horizontal="right"/>
    </xf>
    <xf numFmtId="191" fontId="20" fillId="0" borderId="0" applyFont="0" applyFill="0" applyBorder="0" applyAlignment="0" applyProtection="0"/>
    <xf numFmtId="192" fontId="143" fillId="0" borderId="0" applyFont="0" applyFill="0" applyBorder="0" applyAlignment="0" applyProtection="0"/>
    <xf numFmtId="193" fontId="14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7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3" fillId="0" borderId="0" applyFont="0" applyFill="0" applyBorder="0" applyAlignment="0" applyProtection="0"/>
    <xf numFmtId="43" fontId="1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0" fillId="0" borderId="0" applyFont="0" applyFill="0" applyBorder="0" applyAlignment="0" applyProtection="0"/>
    <xf numFmtId="43" fontId="63" fillId="0" borderId="0" applyFont="0" applyFill="0" applyBorder="0" applyAlignment="0" applyProtection="0"/>
    <xf numFmtId="43" fontId="3" fillId="0" borderId="0" applyFont="0" applyFill="0" applyBorder="0" applyAlignment="0" applyProtection="0"/>
    <xf numFmtId="43" fontId="1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63"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63" fillId="0" borderId="0" applyFont="0" applyFill="0" applyBorder="0" applyAlignment="0" applyProtection="0"/>
    <xf numFmtId="43" fontId="144" fillId="0" borderId="0" applyFont="0" applyFill="0" applyBorder="0" applyAlignment="0" applyProtection="0"/>
    <xf numFmtId="43" fontId="19" fillId="0" borderId="0" applyFont="0" applyFill="0" applyBorder="0" applyAlignment="0" applyProtection="0"/>
    <xf numFmtId="43" fontId="144"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4"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9"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9" fillId="0" borderId="0" applyFont="0" applyFill="0" applyBorder="0" applyAlignment="0" applyProtection="0"/>
    <xf numFmtId="43" fontId="63" fillId="0" borderId="0" applyFont="0" applyFill="0" applyBorder="0" applyAlignment="0" applyProtection="0">
      <alignment vertical="top"/>
    </xf>
    <xf numFmtId="43" fontId="63" fillId="0" borderId="0" applyFont="0" applyFill="0" applyBorder="0" applyAlignment="0" applyProtection="0">
      <alignment vertical="top"/>
    </xf>
    <xf numFmtId="43" fontId="63"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5" fillId="0" borderId="0" applyFont="0" applyFill="0" applyBorder="0" applyAlignment="0" applyProtection="0"/>
    <xf numFmtId="43" fontId="6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94" fontId="9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94" fontId="97" fillId="0" borderId="0" applyFont="0" applyFill="0" applyBorder="0" applyAlignment="0" applyProtection="0"/>
    <xf numFmtId="43" fontId="19" fillId="0" borderId="0" applyFont="0" applyFill="0" applyBorder="0" applyAlignment="0" applyProtection="0"/>
    <xf numFmtId="43" fontId="1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4" fontId="9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5" fontId="9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5" fontId="9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5" fontId="20" fillId="0" borderId="0">
      <protection locked="0"/>
    </xf>
    <xf numFmtId="0" fontId="146" fillId="0" borderId="0" applyFill="0" applyBorder="0" applyAlignment="0" applyProtection="0"/>
    <xf numFmtId="0" fontId="118" fillId="0" borderId="0" applyFill="0" applyBorder="0" applyAlignment="0" applyProtection="0">
      <protection locked="0"/>
    </xf>
    <xf numFmtId="0" fontId="146" fillId="0" borderId="0" applyFill="0" applyBorder="0" applyAlignment="0" applyProtection="0"/>
    <xf numFmtId="196" fontId="143" fillId="0" borderId="0" applyFont="0" applyFill="0" applyBorder="0" applyAlignment="0" applyProtection="0"/>
    <xf numFmtId="197" fontId="143" fillId="0" borderId="0" applyFont="0" applyFill="0" applyBorder="0" applyAlignment="0" applyProtection="0"/>
    <xf numFmtId="198" fontId="14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3" fillId="0" borderId="0" applyFont="0" applyFill="0" applyBorder="0" applyAlignment="0" applyProtection="0"/>
    <xf numFmtId="44" fontId="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3" fillId="0" borderId="0" applyFont="0" applyFill="0" applyBorder="0" applyAlignment="0" applyProtection="0"/>
    <xf numFmtId="44" fontId="3" fillId="0" borderId="0" applyFont="0" applyFill="0" applyBorder="0" applyAlignment="0" applyProtection="0"/>
    <xf numFmtId="44" fontId="120" fillId="0" borderId="0" applyFont="0" applyFill="0" applyBorder="0" applyAlignment="0" applyProtection="0"/>
    <xf numFmtId="44" fontId="120" fillId="0" borderId="0" applyFont="0" applyFill="0" applyBorder="0" applyAlignment="0" applyProtection="0"/>
    <xf numFmtId="44" fontId="120" fillId="0" borderId="0" applyFont="0" applyFill="0" applyBorder="0" applyAlignment="0" applyProtection="0"/>
    <xf numFmtId="44" fontId="120" fillId="0" borderId="0" applyFont="0" applyFill="0" applyBorder="0" applyAlignment="0" applyProtection="0"/>
    <xf numFmtId="44" fontId="120" fillId="0" borderId="0" applyFont="0" applyFill="0" applyBorder="0" applyAlignment="0" applyProtection="0"/>
    <xf numFmtId="44" fontId="120" fillId="0" borderId="0" applyFont="0" applyFill="0" applyBorder="0" applyAlignment="0" applyProtection="0"/>
    <xf numFmtId="44" fontId="120" fillId="0" borderId="0" applyFont="0" applyFill="0" applyBorder="0" applyAlignment="0" applyProtection="0"/>
    <xf numFmtId="44" fontId="120" fillId="0" borderId="0" applyFont="0" applyFill="0" applyBorder="0" applyAlignment="0" applyProtection="0"/>
    <xf numFmtId="44" fontId="120" fillId="0" borderId="0" applyFont="0" applyFill="0" applyBorder="0" applyAlignment="0" applyProtection="0"/>
    <xf numFmtId="44" fontId="1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0" fillId="0" borderId="0" applyFont="0" applyFill="0" applyBorder="0" applyAlignment="0" applyProtection="0"/>
    <xf numFmtId="44" fontId="120" fillId="0" borderId="0" applyFont="0" applyFill="0" applyBorder="0" applyAlignment="0" applyProtection="0"/>
    <xf numFmtId="44" fontId="120" fillId="0" borderId="0" applyFont="0" applyFill="0" applyBorder="0" applyAlignment="0" applyProtection="0"/>
    <xf numFmtId="44" fontId="1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144" fillId="0" borderId="0" applyFont="0" applyFill="0" applyBorder="0" applyAlignment="0" applyProtection="0"/>
    <xf numFmtId="44" fontId="120" fillId="0" borderId="0" applyFont="0" applyFill="0" applyBorder="0" applyAlignment="0" applyProtection="0"/>
    <xf numFmtId="44" fontId="120" fillId="0" borderId="0" applyFont="0" applyFill="0" applyBorder="0" applyAlignment="0" applyProtection="0"/>
    <xf numFmtId="44" fontId="120" fillId="0" borderId="0" applyFont="0" applyFill="0" applyBorder="0" applyAlignment="0" applyProtection="0"/>
    <xf numFmtId="44" fontId="120" fillId="0" borderId="0" applyFont="0" applyFill="0" applyBorder="0" applyAlignment="0" applyProtection="0"/>
    <xf numFmtId="44" fontId="120" fillId="0" borderId="0" applyFont="0" applyFill="0" applyBorder="0" applyAlignment="0" applyProtection="0"/>
    <xf numFmtId="44" fontId="1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6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99" fontId="20" fillId="0" borderId="0">
      <protection locked="0"/>
    </xf>
    <xf numFmtId="188" fontId="147" fillId="0" borderId="0" applyFont="0" applyFill="0" applyBorder="0" applyAlignment="0" applyProtection="0"/>
    <xf numFmtId="189" fontId="148" fillId="0" borderId="0" applyNumberFormat="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49" fillId="0" borderId="0" applyNumberFormat="0" applyFill="0" applyBorder="0" applyAlignment="0" applyProtection="0"/>
    <xf numFmtId="200" fontId="150" fillId="0" borderId="0"/>
    <xf numFmtId="201" fontId="150" fillId="0" borderId="0"/>
    <xf numFmtId="166" fontId="150" fillId="0" borderId="0"/>
    <xf numFmtId="201" fontId="150" fillId="0" borderId="0"/>
    <xf numFmtId="202" fontId="150" fillId="0" borderId="0"/>
    <xf numFmtId="202" fontId="150" fillId="0" borderId="0"/>
    <xf numFmtId="200" fontId="150" fillId="0" borderId="0"/>
    <xf numFmtId="203" fontId="150" fillId="0" borderId="0"/>
    <xf numFmtId="204" fontId="150" fillId="0" borderId="0"/>
    <xf numFmtId="205" fontId="150" fillId="0" borderId="0"/>
    <xf numFmtId="206" fontId="150" fillId="0" borderId="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51" fillId="48" borderId="0" applyNumberFormat="0" applyBorder="0" applyAlignment="0" applyProtection="0"/>
    <xf numFmtId="0" fontId="100" fillId="0" borderId="28" applyNumberFormat="0" applyFill="0" applyAlignment="0" applyProtection="0"/>
    <xf numFmtId="0" fontId="100" fillId="0" borderId="28" applyNumberFormat="0" applyFill="0" applyAlignment="0" applyProtection="0"/>
    <xf numFmtId="0" fontId="100" fillId="0" borderId="28" applyNumberFormat="0" applyFill="0" applyAlignment="0" applyProtection="0"/>
    <xf numFmtId="0" fontId="152" fillId="0" borderId="41" applyNumberFormat="0" applyFill="0" applyAlignment="0" applyProtection="0"/>
    <xf numFmtId="0" fontId="153" fillId="0" borderId="41"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01" fillId="0" borderId="29" applyNumberFormat="0" applyFill="0" applyAlignment="0" applyProtection="0"/>
    <xf numFmtId="0" fontId="154" fillId="0" borderId="29" applyNumberFormat="0" applyFill="0" applyAlignment="0" applyProtection="0"/>
    <xf numFmtId="0" fontId="155" fillId="0" borderId="42" applyNumberFormat="0" applyFill="0" applyAlignment="0" applyProtection="0"/>
    <xf numFmtId="0" fontId="102" fillId="0" borderId="30" applyNumberFormat="0" applyFill="0" applyAlignment="0" applyProtection="0"/>
    <xf numFmtId="0" fontId="102" fillId="0" borderId="30" applyNumberFormat="0" applyFill="0" applyAlignment="0" applyProtection="0"/>
    <xf numFmtId="0" fontId="156" fillId="0" borderId="43" applyNumberFormat="0" applyFill="0" applyAlignment="0" applyProtection="0"/>
    <xf numFmtId="0" fontId="157" fillId="0" borderId="43"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26" fillId="0" borderId="0" applyFill="0" applyAlignment="0" applyProtection="0"/>
    <xf numFmtId="0" fontId="41" fillId="0" borderId="0" applyFill="0" applyAlignment="0" applyProtection="0">
      <protection locked="0"/>
    </xf>
    <xf numFmtId="0" fontId="26" fillId="0" borderId="0" applyFill="0" applyAlignment="0" applyProtection="0"/>
    <xf numFmtId="0" fontId="26" fillId="0" borderId="1" applyFill="0" applyAlignment="0" applyProtection="0"/>
    <xf numFmtId="0" fontId="41" fillId="0" borderId="1" applyFill="0" applyAlignment="0" applyProtection="0">
      <protection locked="0"/>
    </xf>
    <xf numFmtId="0" fontId="26" fillId="0" borderId="1" applyFill="0" applyAlignment="0" applyProtection="0"/>
    <xf numFmtId="0" fontId="41" fillId="0" borderId="0" applyFill="0" applyAlignment="0" applyProtection="0"/>
    <xf numFmtId="189" fontId="158" fillId="43" borderId="0" applyNumberFormat="0" applyBorder="0" applyAlignment="0" applyProtection="0"/>
    <xf numFmtId="0" fontId="106" fillId="13" borderId="31" applyNumberFormat="0" applyAlignment="0" applyProtection="0"/>
    <xf numFmtId="0" fontId="106" fillId="13" borderId="31" applyNumberFormat="0" applyAlignment="0" applyProtection="0"/>
    <xf numFmtId="0" fontId="106" fillId="13" borderId="31" applyNumberFormat="0" applyAlignment="0" applyProtection="0"/>
    <xf numFmtId="0" fontId="159" fillId="51" borderId="39" applyNumberFormat="0" applyAlignment="0" applyProtection="0"/>
    <xf numFmtId="189" fontId="25" fillId="3" borderId="0" applyNumberFormat="0" applyBorder="0" applyAlignment="0" applyProtection="0"/>
    <xf numFmtId="189" fontId="25" fillId="3" borderId="0" applyNumberFormat="0" applyBorder="0" applyAlignment="0" applyProtection="0"/>
    <xf numFmtId="0" fontId="109" fillId="0" borderId="33" applyNumberFormat="0" applyFill="0" applyAlignment="0" applyProtection="0"/>
    <xf numFmtId="0" fontId="109" fillId="0" borderId="33" applyNumberFormat="0" applyFill="0" applyAlignment="0" applyProtection="0"/>
    <xf numFmtId="0" fontId="109" fillId="0" borderId="33" applyNumberFormat="0" applyFill="0" applyAlignment="0" applyProtection="0"/>
    <xf numFmtId="0" fontId="160" fillId="0" borderId="44" applyNumberFormat="0" applyFill="0" applyAlignment="0" applyProtection="0"/>
    <xf numFmtId="0" fontId="105" fillId="12" borderId="0" applyNumberFormat="0" applyBorder="0" applyAlignment="0" applyProtection="0"/>
    <xf numFmtId="0" fontId="105" fillId="12" borderId="0" applyNumberFormat="0" applyBorder="0" applyAlignment="0" applyProtection="0"/>
    <xf numFmtId="0" fontId="105" fillId="12" borderId="0" applyNumberFormat="0" applyBorder="0" applyAlignment="0" applyProtection="0"/>
    <xf numFmtId="0" fontId="161" fillId="67" borderId="0" applyNumberFormat="0" applyBorder="0" applyAlignment="0" applyProtection="0"/>
    <xf numFmtId="189" fontId="73" fillId="0" borderId="0"/>
    <xf numFmtId="189" fontId="73" fillId="0" borderId="0"/>
    <xf numFmtId="189" fontId="73" fillId="0" borderId="0"/>
    <xf numFmtId="189" fontId="7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19"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19" fillId="0" borderId="0"/>
    <xf numFmtId="0" fontId="3" fillId="0" borderId="0"/>
    <xf numFmtId="189" fontId="73" fillId="0" borderId="0"/>
    <xf numFmtId="189" fontId="73" fillId="0" borderId="0"/>
    <xf numFmtId="189" fontId="73" fillId="0" borderId="0"/>
    <xf numFmtId="189" fontId="7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19" fillId="0" borderId="0"/>
    <xf numFmtId="189" fontId="73" fillId="0" borderId="0"/>
    <xf numFmtId="189" fontId="73" fillId="0" borderId="0"/>
    <xf numFmtId="189" fontId="73" fillId="0" borderId="0"/>
    <xf numFmtId="189" fontId="7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0" fillId="0" borderId="0"/>
    <xf numFmtId="0" fontId="3" fillId="0" borderId="0"/>
    <xf numFmtId="0" fontId="3" fillId="0" borderId="0"/>
    <xf numFmtId="0" fontId="3" fillId="0" borderId="0"/>
    <xf numFmtId="0" fontId="3" fillId="0" borderId="0"/>
    <xf numFmtId="0" fontId="3" fillId="0" borderId="0"/>
    <xf numFmtId="0" fontId="3" fillId="0" borderId="0"/>
    <xf numFmtId="0" fontId="120" fillId="0" borderId="0"/>
    <xf numFmtId="189" fontId="73" fillId="0" borderId="0"/>
    <xf numFmtId="189" fontId="73" fillId="0" borderId="0"/>
    <xf numFmtId="189" fontId="73" fillId="0" borderId="0"/>
    <xf numFmtId="189" fontId="73" fillId="0" borderId="0"/>
    <xf numFmtId="0" fontId="3" fillId="0" borderId="0"/>
    <xf numFmtId="0" fontId="3" fillId="0" borderId="0"/>
    <xf numFmtId="0" fontId="3" fillId="0" borderId="0"/>
    <xf numFmtId="189" fontId="73" fillId="0" borderId="0"/>
    <xf numFmtId="189" fontId="73" fillId="0" borderId="0"/>
    <xf numFmtId="189" fontId="73" fillId="0" borderId="0"/>
    <xf numFmtId="189" fontId="73" fillId="0" borderId="0"/>
    <xf numFmtId="0" fontId="3" fillId="0" borderId="0"/>
    <xf numFmtId="0" fontId="3" fillId="0" borderId="0"/>
    <xf numFmtId="0" fontId="3" fillId="0" borderId="0"/>
    <xf numFmtId="0" fontId="3" fillId="0" borderId="0"/>
    <xf numFmtId="0" fontId="3" fillId="0" borderId="0"/>
    <xf numFmtId="0" fontId="3" fillId="0" borderId="0"/>
    <xf numFmtId="189" fontId="73" fillId="0" borderId="0"/>
    <xf numFmtId="189" fontId="73" fillId="0" borderId="0"/>
    <xf numFmtId="189" fontId="73" fillId="0" borderId="0"/>
    <xf numFmtId="189" fontId="73" fillId="0" borderId="0"/>
    <xf numFmtId="0" fontId="3" fillId="0" borderId="0"/>
    <xf numFmtId="0" fontId="3" fillId="0" borderId="0"/>
    <xf numFmtId="187" fontId="73" fillId="0" borderId="0"/>
    <xf numFmtId="187" fontId="73" fillId="0" borderId="0"/>
    <xf numFmtId="187" fontId="73" fillId="0" borderId="0"/>
    <xf numFmtId="187" fontId="7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120" fillId="0" borderId="0"/>
    <xf numFmtId="189" fontId="19" fillId="0" borderId="0"/>
    <xf numFmtId="0" fontId="120" fillId="0" borderId="0"/>
    <xf numFmtId="0" fontId="3" fillId="0" borderId="0"/>
    <xf numFmtId="0" fontId="120" fillId="0" borderId="0"/>
    <xf numFmtId="0" fontId="3" fillId="0" borderId="0"/>
    <xf numFmtId="0" fontId="3" fillId="0" borderId="0"/>
    <xf numFmtId="0" fontId="3" fillId="0" borderId="0"/>
    <xf numFmtId="0" fontId="3" fillId="0" borderId="0"/>
    <xf numFmtId="0" fontId="120" fillId="0" borderId="0"/>
    <xf numFmtId="0" fontId="19" fillId="0" borderId="0"/>
    <xf numFmtId="0" fontId="3" fillId="0" borderId="0"/>
    <xf numFmtId="0" fontId="3" fillId="0" borderId="0"/>
    <xf numFmtId="189" fontId="19" fillId="0" borderId="0"/>
    <xf numFmtId="0" fontId="3" fillId="0" borderId="0"/>
    <xf numFmtId="0" fontId="3" fillId="0" borderId="0"/>
    <xf numFmtId="0" fontId="3" fillId="0" borderId="0"/>
    <xf numFmtId="0" fontId="3"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38" fillId="0" borderId="0"/>
    <xf numFmtId="0" fontId="19" fillId="0" borderId="0"/>
    <xf numFmtId="0" fontId="38"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2" fillId="0" borderId="0"/>
    <xf numFmtId="0" fontId="19" fillId="0" borderId="0"/>
    <xf numFmtId="0" fontId="63" fillId="0" borderId="0">
      <alignment vertical="top"/>
    </xf>
    <xf numFmtId="0" fontId="19" fillId="0" borderId="0"/>
    <xf numFmtId="0" fontId="19" fillId="0" borderId="0"/>
    <xf numFmtId="189" fontId="19" fillId="0" borderId="0"/>
    <xf numFmtId="0" fontId="3" fillId="0" borderId="0"/>
    <xf numFmtId="0" fontId="3" fillId="0" borderId="0"/>
    <xf numFmtId="0" fontId="3" fillId="0" borderId="0"/>
    <xf numFmtId="189"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63" fillId="0" borderId="0">
      <alignment vertical="top"/>
    </xf>
    <xf numFmtId="0" fontId="63" fillId="0" borderId="0">
      <alignment vertical="top"/>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9" fillId="0" borderId="0"/>
    <xf numFmtId="0" fontId="19" fillId="0" borderId="0"/>
    <xf numFmtId="0" fontId="63" fillId="0" borderId="0">
      <alignment vertical="top"/>
    </xf>
    <xf numFmtId="0" fontId="63" fillId="0" borderId="0">
      <alignment vertical="top"/>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9" fillId="0" borderId="0"/>
    <xf numFmtId="0" fontId="19" fillId="0" borderId="0"/>
    <xf numFmtId="0" fontId="19" fillId="0" borderId="0"/>
    <xf numFmtId="189" fontId="73" fillId="0" borderId="0"/>
    <xf numFmtId="189" fontId="73" fillId="0" borderId="0"/>
    <xf numFmtId="189" fontId="73" fillId="0" borderId="0"/>
    <xf numFmtId="189" fontId="73" fillId="0" borderId="0"/>
    <xf numFmtId="0" fontId="1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0" fillId="0" borderId="0"/>
    <xf numFmtId="187" fontId="73" fillId="0" borderId="0"/>
    <xf numFmtId="187" fontId="73" fillId="0" borderId="0"/>
    <xf numFmtId="187" fontId="73" fillId="0" borderId="0"/>
    <xf numFmtId="187" fontId="7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0" fillId="0" borderId="0"/>
    <xf numFmtId="0" fontId="3" fillId="0" borderId="0"/>
    <xf numFmtId="0" fontId="3" fillId="0" borderId="0"/>
    <xf numFmtId="0" fontId="3" fillId="0" borderId="0"/>
    <xf numFmtId="0" fontId="3" fillId="0" borderId="0"/>
    <xf numFmtId="187" fontId="19" fillId="0" borderId="0"/>
    <xf numFmtId="0" fontId="63" fillId="0" borderId="0">
      <alignment vertical="top"/>
    </xf>
    <xf numFmtId="0" fontId="63" fillId="0" borderId="0">
      <alignment vertical="top"/>
    </xf>
    <xf numFmtId="0" fontId="73" fillId="0" borderId="0"/>
    <xf numFmtId="0" fontId="3" fillId="0" borderId="0"/>
    <xf numFmtId="0" fontId="73" fillId="0" borderId="0"/>
    <xf numFmtId="0" fontId="73" fillId="0" borderId="0"/>
    <xf numFmtId="0" fontId="73" fillId="0" borderId="0"/>
    <xf numFmtId="189" fontId="73" fillId="0" borderId="0"/>
    <xf numFmtId="189" fontId="73" fillId="0" borderId="0"/>
    <xf numFmtId="0" fontId="63" fillId="0" borderId="0">
      <alignment vertical="top"/>
    </xf>
    <xf numFmtId="189" fontId="73" fillId="0" borderId="0"/>
    <xf numFmtId="189" fontId="73" fillId="0" borderId="0"/>
    <xf numFmtId="0" fontId="19" fillId="0" borderId="0"/>
    <xf numFmtId="0" fontId="3" fillId="0" borderId="0"/>
    <xf numFmtId="0" fontId="73" fillId="0" borderId="0"/>
    <xf numFmtId="0" fontId="63" fillId="0" borderId="0">
      <alignment vertical="top"/>
    </xf>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19" fillId="0" borderId="0"/>
    <xf numFmtId="0" fontId="3" fillId="0" borderId="0"/>
    <xf numFmtId="0" fontId="3" fillId="0" borderId="0"/>
    <xf numFmtId="0" fontId="19" fillId="0" borderId="0"/>
    <xf numFmtId="0" fontId="19" fillId="0" borderId="0"/>
    <xf numFmtId="0" fontId="3" fillId="0" borderId="0"/>
    <xf numFmtId="0" fontId="3" fillId="0" borderId="0"/>
    <xf numFmtId="0" fontId="19" fillId="0" borderId="0"/>
    <xf numFmtId="0" fontId="3"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189" fontId="73" fillId="0" borderId="0"/>
    <xf numFmtId="189" fontId="73" fillId="0" borderId="0"/>
    <xf numFmtId="189" fontId="73" fillId="0" borderId="0"/>
    <xf numFmtId="189" fontId="73" fillId="0" borderId="0"/>
    <xf numFmtId="0" fontId="3" fillId="0" borderId="0"/>
    <xf numFmtId="0" fontId="19" fillId="0" borderId="0"/>
    <xf numFmtId="0" fontId="3" fillId="0" borderId="0"/>
    <xf numFmtId="0" fontId="19" fillId="0" borderId="0"/>
    <xf numFmtId="0" fontId="3" fillId="0" borderId="0"/>
    <xf numFmtId="0" fontId="19" fillId="0" borderId="0"/>
    <xf numFmtId="0" fontId="3" fillId="0" borderId="0"/>
    <xf numFmtId="0" fontId="19" fillId="0" borderId="0"/>
    <xf numFmtId="0" fontId="3"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89" fontId="73" fillId="0" borderId="0"/>
    <xf numFmtId="189" fontId="73" fillId="0" borderId="0"/>
    <xf numFmtId="189" fontId="73" fillId="0" borderId="0"/>
    <xf numFmtId="189" fontId="7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189" fontId="1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189" fontId="73" fillId="0" borderId="0"/>
    <xf numFmtId="189" fontId="73" fillId="0" borderId="0"/>
    <xf numFmtId="189" fontId="73" fillId="0" borderId="0"/>
    <xf numFmtId="189" fontId="7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73" fillId="0" borderId="0"/>
    <xf numFmtId="0" fontId="73" fillId="0" borderId="0"/>
    <xf numFmtId="0" fontId="73" fillId="0" borderId="0"/>
    <xf numFmtId="0" fontId="7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0" fontId="14" fillId="16" borderId="35" applyNumberFormat="0" applyFont="0" applyAlignment="0" applyProtection="0"/>
    <xf numFmtId="0" fontId="19" fillId="68" borderId="45" applyNumberFormat="0" applyFont="0" applyAlignment="0" applyProtection="0"/>
    <xf numFmtId="0" fontId="3" fillId="16" borderId="35" applyNumberFormat="0" applyFont="0" applyAlignment="0" applyProtection="0"/>
    <xf numFmtId="0" fontId="107" fillId="14" borderId="32" applyNumberFormat="0" applyAlignment="0" applyProtection="0"/>
    <xf numFmtId="0" fontId="107" fillId="14" borderId="32" applyNumberFormat="0" applyAlignment="0" applyProtection="0"/>
    <xf numFmtId="0" fontId="107" fillId="14" borderId="32" applyNumberFormat="0" applyAlignment="0" applyProtection="0"/>
    <xf numFmtId="0" fontId="107" fillId="65" borderId="32" applyNumberFormat="0" applyAlignment="0" applyProtection="0"/>
    <xf numFmtId="0" fontId="163" fillId="65" borderId="46" applyNumberFormat="0" applyAlignment="0" applyProtection="0"/>
    <xf numFmtId="189" fontId="19" fillId="41" borderId="0" applyNumberFormat="0" applyBorder="0" applyAlignment="0" applyProtection="0"/>
    <xf numFmtId="189" fontId="19" fillId="41" borderId="0" applyNumberFormat="0" applyBorder="0" applyAlignment="0" applyProtection="0"/>
    <xf numFmtId="207" fontId="143" fillId="0" borderId="0" applyFont="0" applyFill="0" applyBorder="0" applyAlignment="0" applyProtection="0"/>
    <xf numFmtId="208" fontId="20" fillId="0" borderId="0" applyFont="0" applyFill="0" applyBorder="0" applyAlignment="0" applyProtection="0"/>
    <xf numFmtId="209" fontId="143" fillId="0" borderId="0" applyFont="0" applyFill="0" applyBorder="0" applyAlignment="0" applyProtection="0"/>
    <xf numFmtId="210" fontId="20" fillId="0" borderId="0" applyFont="0" applyFill="0" applyBorder="0" applyAlignment="0" applyProtection="0"/>
    <xf numFmtId="211" fontId="143" fillId="0" borderId="0" applyFont="0" applyFill="0" applyBorder="0" applyAlignment="0" applyProtection="0"/>
    <xf numFmtId="212" fontId="20" fillId="0" borderId="0" applyFont="0" applyFill="0" applyBorder="0" applyAlignment="0" applyProtection="0"/>
    <xf numFmtId="213" fontId="143" fillId="0" borderId="0" applyFont="0" applyFill="0" applyBorder="0" applyAlignment="0" applyProtection="0"/>
    <xf numFmtId="214" fontId="20" fillId="0" borderId="0" applyFont="0" applyFill="0" applyBorder="0" applyAlignment="0" applyProtection="0"/>
    <xf numFmtId="215" fontId="20" fillId="0" borderId="0" applyFont="0" applyFill="0" applyBorder="0" applyAlignment="0" applyProtection="0"/>
    <xf numFmtId="216"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20" fillId="0" borderId="0" applyFont="0" applyFill="0" applyBorder="0" applyAlignment="0" applyProtection="0"/>
    <xf numFmtId="9" fontId="63" fillId="0" borderId="0" applyFont="0" applyFill="0" applyBorder="0" applyAlignment="0" applyProtection="0"/>
    <xf numFmtId="9" fontId="120" fillId="0" borderId="0" applyFont="0" applyFill="0" applyBorder="0" applyAlignment="0" applyProtection="0"/>
    <xf numFmtId="9" fontId="63"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9" fillId="0" borderId="0" applyFont="0" applyFill="0" applyBorder="0" applyAlignment="0" applyProtection="0"/>
    <xf numFmtId="9" fontId="144"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89" fontId="135" fillId="64" borderId="0" applyNumberFormat="0" applyBorder="0" applyAlignment="0" applyProtection="0"/>
    <xf numFmtId="0" fontId="164" fillId="0" borderId="0">
      <alignment horizontal="right"/>
    </xf>
    <xf numFmtId="0" fontId="165" fillId="0" borderId="0">
      <alignment horizontal="right"/>
    </xf>
    <xf numFmtId="0" fontId="150" fillId="0" borderId="0"/>
    <xf numFmtId="0" fontId="166" fillId="0" borderId="0" applyNumberFormat="0" applyBorder="0" applyAlignment="0"/>
    <xf numFmtId="0" fontId="166" fillId="0" borderId="0" applyNumberFormat="0" applyBorder="0" applyAlignment="0"/>
    <xf numFmtId="0" fontId="63" fillId="0" borderId="0" applyNumberFormat="0" applyBorder="0" applyAlignment="0"/>
    <xf numFmtId="189" fontId="63" fillId="0" borderId="0" applyNumberFormat="0" applyBorder="0" applyAlignment="0"/>
    <xf numFmtId="0" fontId="150" fillId="0" borderId="0"/>
    <xf numFmtId="189" fontId="63" fillId="0" borderId="0" applyNumberFormat="0" applyBorder="0" applyAlignment="0"/>
    <xf numFmtId="0" fontId="167" fillId="0" borderId="0"/>
    <xf numFmtId="0" fontId="168" fillId="0" borderId="0" applyNumberFormat="0" applyBorder="0" applyAlignment="0"/>
    <xf numFmtId="0" fontId="168" fillId="0" borderId="0" applyNumberFormat="0" applyBorder="0" applyAlignment="0"/>
    <xf numFmtId="0" fontId="167" fillId="0" borderId="0"/>
    <xf numFmtId="0" fontId="169" fillId="0" borderId="0"/>
    <xf numFmtId="189" fontId="170" fillId="0" borderId="0"/>
    <xf numFmtId="0" fontId="171" fillId="0" borderId="0"/>
    <xf numFmtId="0" fontId="172" fillId="0" borderId="0" applyNumberFormat="0" applyBorder="0" applyAlignment="0"/>
    <xf numFmtId="0" fontId="172" fillId="0" borderId="0" applyNumberFormat="0" applyBorder="0" applyAlignment="0"/>
    <xf numFmtId="0" fontId="171" fillId="0" borderId="0"/>
    <xf numFmtId="0" fontId="173" fillId="0" borderId="0" applyNumberFormat="0" applyBorder="0" applyAlignment="0"/>
    <xf numFmtId="0" fontId="174" fillId="0" borderId="0"/>
    <xf numFmtId="189" fontId="175" fillId="0" borderId="0"/>
    <xf numFmtId="0" fontId="176" fillId="0" borderId="0"/>
    <xf numFmtId="0" fontId="172" fillId="69" borderId="0" applyNumberFormat="0" applyBorder="0" applyAlignment="0"/>
    <xf numFmtId="0" fontId="177" fillId="0" borderId="0"/>
    <xf numFmtId="0" fontId="178" fillId="0" borderId="0"/>
    <xf numFmtId="0" fontId="179" fillId="0" borderId="0"/>
    <xf numFmtId="0" fontId="178" fillId="70" borderId="0"/>
    <xf numFmtId="0" fontId="99" fillId="0" borderId="0" applyNumberFormat="0" applyFill="0" applyBorder="0" applyAlignment="0" applyProtection="0"/>
    <xf numFmtId="0" fontId="180" fillId="71" borderId="47" applyNumberFormat="0">
      <alignment horizontal="left"/>
    </xf>
    <xf numFmtId="0" fontId="99" fillId="0" borderId="0" applyNumberFormat="0" applyFill="0" applyBorder="0" applyAlignment="0" applyProtection="0"/>
    <xf numFmtId="0" fontId="99" fillId="0" borderId="0" applyNumberFormat="0" applyFill="0" applyBorder="0" applyAlignment="0" applyProtection="0"/>
    <xf numFmtId="0" fontId="181" fillId="0" borderId="0" applyNumberFormat="0" applyFill="0" applyBorder="0" applyAlignment="0" applyProtection="0"/>
    <xf numFmtId="0" fontId="182" fillId="0" borderId="0" applyNumberFormat="0" applyFill="0" applyBorder="0" applyAlignment="0" applyProtection="0"/>
    <xf numFmtId="0" fontId="180" fillId="71" borderId="48">
      <alignment horizontal="left"/>
    </xf>
    <xf numFmtId="0" fontId="113" fillId="0" borderId="36" applyNumberFormat="0" applyFill="0" applyAlignment="0" applyProtection="0"/>
    <xf numFmtId="0" fontId="113" fillId="0" borderId="36" applyNumberFormat="0" applyFill="0" applyAlignment="0" applyProtection="0"/>
    <xf numFmtId="0" fontId="113" fillId="0" borderId="36" applyNumberFormat="0" applyFill="0" applyAlignment="0" applyProtection="0"/>
    <xf numFmtId="0" fontId="113" fillId="0" borderId="49" applyNumberFormat="0" applyFill="0" applyAlignment="0" applyProtection="0"/>
    <xf numFmtId="0" fontId="183" fillId="0" borderId="49" applyNumberFormat="0" applyFill="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84" fillId="0" borderId="0" applyNumberFormat="0" applyFill="0" applyBorder="0" applyAlignment="0" applyProtection="0"/>
    <xf numFmtId="189" fontId="26" fillId="72" borderId="0" applyNumberFormat="0" applyBorder="0" applyAlignment="0" applyProtection="0"/>
    <xf numFmtId="217" fontId="20" fillId="0" borderId="0" applyFont="0" applyFill="0" applyBorder="0" applyAlignment="0" applyProtection="0"/>
    <xf numFmtId="218" fontId="20" fillId="0" borderId="0" applyFont="0" applyFill="0" applyBorder="0" applyAlignment="0" applyProtection="0"/>
    <xf numFmtId="219" fontId="20" fillId="0" borderId="0" applyFont="0" applyFill="0" applyBorder="0" applyAlignment="0" applyProtection="0"/>
    <xf numFmtId="220" fontId="20" fillId="0" borderId="0" applyFont="0" applyFill="0" applyBorder="0" applyAlignment="0" applyProtection="0"/>
    <xf numFmtId="221" fontId="20" fillId="0" borderId="0" applyFont="0" applyFill="0" applyBorder="0" applyAlignment="0" applyProtection="0"/>
    <xf numFmtId="222" fontId="20" fillId="0" borderId="0" applyFont="0" applyFill="0" applyBorder="0" applyAlignment="0" applyProtection="0"/>
    <xf numFmtId="223" fontId="20" fillId="0" borderId="0" applyFont="0" applyFill="0" applyBorder="0" applyAlignment="0" applyProtection="0"/>
    <xf numFmtId="224" fontId="20" fillId="0" borderId="0" applyFont="0" applyFill="0" applyBorder="0" applyAlignment="0" applyProtection="0"/>
    <xf numFmtId="225" fontId="38" fillId="0" borderId="0" applyFont="0" applyFill="0" applyBorder="0" applyAlignment="0" applyProtection="0">
      <alignment horizontal="right"/>
    </xf>
    <xf numFmtId="3" fontId="73" fillId="0" borderId="0"/>
    <xf numFmtId="0" fontId="122" fillId="0" borderId="30" applyNumberFormat="0" applyFill="0" applyAlignment="0" applyProtection="0"/>
    <xf numFmtId="3" fontId="73" fillId="0" borderId="0"/>
    <xf numFmtId="3" fontId="73" fillId="0" borderId="0"/>
    <xf numFmtId="3" fontId="73" fillId="0" borderId="0"/>
    <xf numFmtId="3" fontId="73" fillId="0" borderId="0"/>
    <xf numFmtId="3" fontId="73" fillId="0" borderId="0"/>
    <xf numFmtId="9" fontId="73" fillId="0" borderId="0" applyFont="0" applyFill="0" applyBorder="0" applyAlignment="0" applyProtection="0"/>
    <xf numFmtId="44" fontId="73" fillId="0" borderId="0" applyFont="0" applyFill="0" applyBorder="0" applyAlignment="0" applyProtection="0"/>
    <xf numFmtId="43" fontId="73" fillId="0" borderId="0" applyFont="0" applyFill="0" applyBorder="0" applyAlignment="0" applyProtection="0"/>
    <xf numFmtId="41" fontId="73" fillId="0" borderId="0" applyFont="0" applyFill="0" applyBorder="0" applyAlignment="0" applyProtection="0"/>
    <xf numFmtId="42" fontId="73" fillId="0" borderId="0" applyFont="0" applyFill="0" applyBorder="0" applyAlignment="0" applyProtection="0"/>
    <xf numFmtId="42"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4" fillId="0" borderId="0" applyFont="0" applyFill="0" applyBorder="0" applyAlignment="0" applyProtection="0"/>
    <xf numFmtId="44" fontId="3" fillId="0" borderId="0" applyFont="0" applyFill="0" applyBorder="0" applyAlignment="0" applyProtection="0"/>
    <xf numFmtId="0" fontId="129" fillId="0" borderId="0" applyNumberFormat="0" applyFill="0" applyBorder="0" applyAlignment="0" applyProtection="0">
      <alignment vertical="top"/>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4" fillId="0" borderId="0" applyFont="0" applyFill="0" applyBorder="0" applyAlignment="0" applyProtection="0"/>
    <xf numFmtId="0" fontId="19"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22" fillId="0" borderId="30" applyNumberFormat="0" applyFill="0" applyAlignment="0" applyProtection="0"/>
    <xf numFmtId="9" fontId="73" fillId="0" borderId="0" applyFont="0" applyFill="0" applyBorder="0" applyAlignment="0" applyProtection="0"/>
    <xf numFmtId="44" fontId="73" fillId="0" borderId="0" applyFont="0" applyFill="0" applyBorder="0" applyAlignment="0" applyProtection="0"/>
    <xf numFmtId="43" fontId="7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73" fillId="0" borderId="0" applyFont="0" applyFill="0" applyBorder="0" applyAlignment="0" applyProtection="0"/>
    <xf numFmtId="44" fontId="73" fillId="0" borderId="0" applyFont="0" applyFill="0" applyBorder="0" applyAlignment="0" applyProtection="0"/>
    <xf numFmtId="43" fontId="73" fillId="0" borderId="0" applyFont="0" applyFill="0" applyBorder="0" applyAlignment="0" applyProtection="0"/>
    <xf numFmtId="44" fontId="73" fillId="0" borderId="0" applyFont="0" applyFill="0" applyBorder="0" applyAlignment="0" applyProtection="0"/>
    <xf numFmtId="43" fontId="73" fillId="0" borderId="0" applyFont="0" applyFill="0" applyBorder="0" applyAlignment="0" applyProtection="0"/>
    <xf numFmtId="44" fontId="73" fillId="0" borderId="0" applyFont="0" applyFill="0" applyBorder="0" applyAlignment="0" applyProtection="0"/>
    <xf numFmtId="43" fontId="73" fillId="0" borderId="0" applyFont="0" applyFill="0" applyBorder="0" applyAlignment="0" applyProtection="0"/>
    <xf numFmtId="44" fontId="7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73" fillId="0" borderId="0" applyFont="0" applyFill="0" applyBorder="0" applyAlignment="0" applyProtection="0"/>
    <xf numFmtId="41" fontId="73" fillId="0" borderId="0" applyFont="0" applyFill="0" applyBorder="0" applyAlignment="0" applyProtection="0"/>
    <xf numFmtId="43" fontId="73" fillId="0" borderId="0" applyFont="0" applyFill="0" applyBorder="0" applyAlignment="0" applyProtection="0"/>
    <xf numFmtId="44" fontId="73" fillId="0" borderId="0" applyFont="0" applyFill="0" applyBorder="0" applyAlignment="0" applyProtection="0"/>
    <xf numFmtId="9" fontId="73" fillId="0" borderId="0" applyFont="0" applyFill="0" applyBorder="0" applyAlignment="0" applyProtection="0"/>
    <xf numFmtId="0" fontId="122" fillId="0" borderId="30" applyNumberFormat="0" applyFill="0" applyAlignment="0" applyProtection="0"/>
    <xf numFmtId="0" fontId="7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73" fillId="0" borderId="0" applyFont="0" applyFill="0" applyBorder="0" applyAlignment="0" applyProtection="0"/>
    <xf numFmtId="44"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163" fillId="65" borderId="46" applyNumberFormat="0" applyAlignment="0" applyProtection="0"/>
    <xf numFmtId="0" fontId="138" fillId="65" borderId="39" applyNumberFormat="0" applyAlignment="0" applyProtection="0"/>
    <xf numFmtId="44"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44" fontId="73" fillId="0" borderId="0" applyFont="0" applyFill="0" applyBorder="0" applyAlignment="0" applyProtection="0"/>
    <xf numFmtId="43" fontId="73" fillId="0" borderId="0" applyFont="0" applyFill="0" applyBorder="0" applyAlignment="0" applyProtection="0"/>
    <xf numFmtId="0" fontId="138" fillId="65" borderId="39" applyNumberFormat="0" applyAlignment="0" applyProtection="0"/>
    <xf numFmtId="43" fontId="73" fillId="0" borderId="0" applyFont="0" applyFill="0" applyBorder="0" applyAlignment="0" applyProtection="0"/>
    <xf numFmtId="0" fontId="19" fillId="68" borderId="45" applyNumberFormat="0" applyFont="0" applyAlignment="0" applyProtection="0"/>
    <xf numFmtId="9" fontId="73" fillId="0" borderId="0" applyFont="0" applyFill="0" applyBorder="0" applyAlignment="0" applyProtection="0"/>
    <xf numFmtId="0" fontId="183" fillId="0" borderId="49" applyNumberFormat="0" applyFill="0" applyAlignment="0" applyProtection="0"/>
    <xf numFmtId="43" fontId="73" fillId="0" borderId="0" applyFont="0" applyFill="0" applyBorder="0" applyAlignment="0" applyProtection="0"/>
    <xf numFmtId="9" fontId="73" fillId="0" borderId="0" applyFont="0" applyFill="0" applyBorder="0" applyAlignment="0" applyProtection="0"/>
    <xf numFmtId="44" fontId="73" fillId="0" borderId="0" applyFont="0" applyFill="0" applyBorder="0" applyAlignment="0" applyProtection="0"/>
    <xf numFmtId="9" fontId="73" fillId="0" borderId="0" applyFont="0" applyFill="0" applyBorder="0" applyAlignment="0" applyProtection="0"/>
    <xf numFmtId="44" fontId="73" fillId="0" borderId="0" applyFont="0" applyFill="0" applyBorder="0" applyAlignment="0" applyProtection="0"/>
    <xf numFmtId="0" fontId="183" fillId="0" borderId="49" applyNumberFormat="0" applyFill="0" applyAlignment="0" applyProtection="0"/>
    <xf numFmtId="9" fontId="73" fillId="0" borderId="0" applyFont="0" applyFill="0" applyBorder="0" applyAlignment="0" applyProtection="0"/>
    <xf numFmtId="44" fontId="73" fillId="0" borderId="0" applyFont="0" applyFill="0" applyBorder="0" applyAlignment="0" applyProtection="0"/>
    <xf numFmtId="0" fontId="138" fillId="65" borderId="39" applyNumberFormat="0" applyAlignment="0" applyProtection="0"/>
    <xf numFmtId="43" fontId="73" fillId="0" borderId="0" applyFont="0" applyFill="0" applyBorder="0" applyAlignment="0" applyProtection="0"/>
    <xf numFmtId="44"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9" fontId="73" fillId="0" borderId="0" applyFont="0" applyFill="0" applyBorder="0" applyAlignment="0" applyProtection="0"/>
    <xf numFmtId="0" fontId="159" fillId="51" borderId="39" applyNumberFormat="0" applyAlignment="0" applyProtection="0"/>
    <xf numFmtId="0" fontId="159" fillId="51" borderId="39" applyNumberFormat="0" applyAlignment="0" applyProtection="0"/>
    <xf numFmtId="0" fontId="159" fillId="51" borderId="39" applyNumberFormat="0" applyAlignment="0" applyProtection="0"/>
    <xf numFmtId="0" fontId="19" fillId="68" borderId="45" applyNumberFormat="0" applyFont="0" applyAlignment="0" applyProtection="0"/>
    <xf numFmtId="0" fontId="113" fillId="0" borderId="49" applyNumberFormat="0" applyFill="0" applyAlignment="0" applyProtection="0"/>
    <xf numFmtId="43" fontId="73" fillId="0" borderId="0" applyFont="0" applyFill="0" applyBorder="0" applyAlignment="0" applyProtection="0"/>
    <xf numFmtId="43" fontId="73" fillId="0" borderId="0" applyFont="0" applyFill="0" applyBorder="0" applyAlignment="0" applyProtection="0"/>
    <xf numFmtId="9" fontId="73" fillId="0" borderId="0" applyFont="0" applyFill="0" applyBorder="0" applyAlignment="0" applyProtection="0"/>
    <xf numFmtId="0" fontId="19" fillId="68" borderId="45" applyNumberFormat="0" applyFont="0" applyAlignment="0" applyProtection="0"/>
    <xf numFmtId="0" fontId="163" fillId="65" borderId="46" applyNumberFormat="0" applyAlignment="0" applyProtection="0"/>
    <xf numFmtId="44" fontId="73" fillId="0" borderId="0" applyFont="0" applyFill="0" applyBorder="0" applyAlignment="0" applyProtection="0"/>
    <xf numFmtId="0" fontId="113" fillId="0" borderId="49" applyNumberFormat="0" applyFill="0" applyAlignment="0" applyProtection="0"/>
    <xf numFmtId="43" fontId="73" fillId="0" borderId="0" applyFont="0" applyFill="0" applyBorder="0" applyAlignment="0" applyProtection="0"/>
    <xf numFmtId="44" fontId="73" fillId="0" borderId="0" applyFont="0" applyFill="0" applyBorder="0" applyAlignment="0" applyProtection="0"/>
    <xf numFmtId="0" fontId="183" fillId="0" borderId="49" applyNumberFormat="0" applyFill="0" applyAlignment="0" applyProtection="0"/>
    <xf numFmtId="9" fontId="73" fillId="0" borderId="0" applyFont="0" applyFill="0" applyBorder="0" applyAlignment="0" applyProtection="0"/>
    <xf numFmtId="43" fontId="73" fillId="0" borderId="0" applyFont="0" applyFill="0" applyBorder="0" applyAlignment="0" applyProtection="0"/>
    <xf numFmtId="44" fontId="73" fillId="0" borderId="0" applyFont="0" applyFill="0" applyBorder="0" applyAlignment="0" applyProtection="0"/>
    <xf numFmtId="9" fontId="73" fillId="0" borderId="0" applyFont="0" applyFill="0" applyBorder="0" applyAlignment="0" applyProtection="0"/>
    <xf numFmtId="0" fontId="19" fillId="68" borderId="45" applyNumberFormat="0" applyFont="0" applyAlignment="0" applyProtection="0"/>
    <xf numFmtId="0" fontId="163" fillId="65" borderId="46" applyNumberFormat="0" applyAlignment="0" applyProtection="0"/>
    <xf numFmtId="0" fontId="138" fillId="65" borderId="39" applyNumberFormat="0" applyAlignment="0" applyProtection="0"/>
    <xf numFmtId="9" fontId="73" fillId="0" borderId="0" applyFont="0" applyFill="0" applyBorder="0" applyAlignment="0" applyProtection="0"/>
    <xf numFmtId="0" fontId="163" fillId="65" borderId="46" applyNumberFormat="0" applyAlignment="0" applyProtection="0"/>
    <xf numFmtId="0" fontId="113" fillId="0" borderId="49" applyNumberFormat="0" applyFill="0" applyAlignment="0" applyProtection="0"/>
    <xf numFmtId="43" fontId="73" fillId="0" borderId="0" applyFont="0" applyFill="0" applyBorder="0" applyAlignment="0" applyProtection="0"/>
    <xf numFmtId="44" fontId="73" fillId="0" borderId="0" applyFont="0" applyFill="0" applyBorder="0" applyAlignment="0" applyProtection="0"/>
    <xf numFmtId="43" fontId="73" fillId="0" borderId="0" applyFont="0" applyFill="0" applyBorder="0" applyAlignment="0" applyProtection="0"/>
    <xf numFmtId="44" fontId="73" fillId="0" borderId="0" applyFont="0" applyFill="0" applyBorder="0" applyAlignment="0" applyProtection="0"/>
    <xf numFmtId="9" fontId="73" fillId="0" borderId="0" applyFont="0" applyFill="0" applyBorder="0" applyAlignment="0" applyProtection="0"/>
    <xf numFmtId="44"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43" fontId="73" fillId="0" borderId="0" applyFont="0" applyFill="0" applyBorder="0" applyAlignment="0" applyProtection="0"/>
    <xf numFmtId="0" fontId="113" fillId="0" borderId="49" applyNumberFormat="0" applyFill="0" applyAlignment="0" applyProtection="0"/>
    <xf numFmtId="0" fontId="183" fillId="0" borderId="49" applyNumberFormat="0" applyFill="0" applyAlignment="0" applyProtection="0"/>
    <xf numFmtId="43" fontId="73" fillId="0" borderId="0" applyFont="0" applyFill="0" applyBorder="0" applyAlignment="0" applyProtection="0"/>
    <xf numFmtId="44" fontId="73" fillId="0" borderId="0" applyFont="0" applyFill="0" applyBorder="0" applyAlignment="0" applyProtection="0"/>
    <xf numFmtId="9" fontId="73" fillId="0" borderId="0" applyFont="0" applyFill="0" applyBorder="0" applyAlignment="0" applyProtection="0"/>
    <xf numFmtId="0" fontId="159" fillId="51" borderId="39" applyNumberFormat="0" applyAlignment="0" applyProtection="0"/>
    <xf numFmtId="0" fontId="3" fillId="0" borderId="0"/>
    <xf numFmtId="43" fontId="3" fillId="0" borderId="0" applyFont="0" applyFill="0" applyBorder="0" applyAlignment="0" applyProtection="0"/>
    <xf numFmtId="0" fontId="19"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13" fillId="0" borderId="49" applyNumberFormat="0" applyFill="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9" fillId="68" borderId="45" applyNumberFormat="0" applyFont="0" applyAlignment="0" applyProtection="0"/>
    <xf numFmtId="0" fontId="163" fillId="65" borderId="46"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83" fillId="0" borderId="49"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8" fillId="65" borderId="39" applyNumberFormat="0" applyAlignment="0" applyProtection="0"/>
    <xf numFmtId="0" fontId="183" fillId="0" borderId="49" applyNumberFormat="0" applyFill="0" applyAlignment="0" applyProtection="0"/>
    <xf numFmtId="0" fontId="183" fillId="0" borderId="49" applyNumberFormat="0" applyFill="0" applyAlignment="0" applyProtection="0"/>
    <xf numFmtId="0" fontId="138" fillId="65" borderId="39"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9" fillId="51" borderId="39"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9" fillId="68" borderId="4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113" fillId="0" borderId="49"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9" fillId="68" borderId="4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9" fillId="68" borderId="45" applyNumberFormat="0" applyFont="0" applyAlignment="0" applyProtection="0"/>
    <xf numFmtId="0" fontId="138" fillId="65" borderId="39"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3" fillId="0" borderId="49"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83" fillId="0" borderId="49"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9" fillId="51" borderId="39"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19" fillId="68" borderId="4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13" fillId="0" borderId="49" applyNumberFormat="0" applyFill="0" applyAlignment="0" applyProtection="0"/>
    <xf numFmtId="0" fontId="163" fillId="65" borderId="46" applyNumberFormat="0" applyAlignment="0" applyProtection="0"/>
    <xf numFmtId="0" fontId="163" fillId="65" borderId="46" applyNumberFormat="0" applyAlignment="0" applyProtection="0"/>
    <xf numFmtId="0" fontId="183" fillId="0" borderId="49" applyNumberFormat="0" applyFill="0" applyAlignment="0" applyProtection="0"/>
    <xf numFmtId="0" fontId="113" fillId="0" borderId="49" applyNumberFormat="0" applyFill="0" applyAlignment="0" applyProtection="0"/>
    <xf numFmtId="0" fontId="163" fillId="65" borderId="46" applyNumberFormat="0" applyAlignment="0" applyProtection="0"/>
    <xf numFmtId="0" fontId="159" fillId="51" borderId="39" applyNumberFormat="0" applyAlignment="0" applyProtection="0"/>
    <xf numFmtId="0" fontId="159" fillId="51" borderId="39" applyNumberFormat="0" applyAlignment="0" applyProtection="0"/>
    <xf numFmtId="0" fontId="138" fillId="65" borderId="39" applyNumberFormat="0" applyAlignment="0" applyProtection="0"/>
    <xf numFmtId="0" fontId="163" fillId="65" borderId="46" applyNumberFormat="0" applyAlignment="0" applyProtection="0"/>
    <xf numFmtId="0" fontId="159" fillId="51" borderId="39" applyNumberFormat="0" applyAlignment="0" applyProtection="0"/>
    <xf numFmtId="0" fontId="138" fillId="65" borderId="39" applyNumberFormat="0" applyAlignment="0" applyProtection="0"/>
    <xf numFmtId="0" fontId="3" fillId="0" borderId="0"/>
    <xf numFmtId="0" fontId="73" fillId="0" borderId="0"/>
    <xf numFmtId="0" fontId="122" fillId="0" borderId="30" applyNumberFormat="0" applyFill="0" applyAlignment="0" applyProtection="0"/>
    <xf numFmtId="9" fontId="73" fillId="0" borderId="0" applyFont="0" applyFill="0" applyBorder="0" applyAlignment="0" applyProtection="0"/>
    <xf numFmtId="44" fontId="73" fillId="0" borderId="0" applyFont="0" applyFill="0" applyBorder="0" applyAlignment="0" applyProtection="0"/>
    <xf numFmtId="43" fontId="73" fillId="0" borderId="0" applyFont="0" applyFill="0" applyBorder="0" applyAlignment="0" applyProtection="0"/>
    <xf numFmtId="41" fontId="73" fillId="0" borderId="0" applyFont="0" applyFill="0" applyBorder="0" applyAlignment="0" applyProtection="0"/>
    <xf numFmtId="42" fontId="7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19"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73" fillId="0" borderId="0" applyFont="0" applyFill="0" applyBorder="0" applyAlignment="0" applyProtection="0"/>
    <xf numFmtId="44" fontId="73" fillId="0" borderId="0" applyFont="0" applyFill="0" applyBorder="0" applyAlignment="0" applyProtection="0"/>
    <xf numFmtId="43" fontId="73" fillId="0" borderId="0" applyFont="0" applyFill="0" applyBorder="0" applyAlignment="0" applyProtection="0"/>
    <xf numFmtId="39" fontId="185" fillId="0" borderId="0"/>
    <xf numFmtId="40" fontId="32" fillId="0" borderId="0" applyFont="0" applyFill="0" applyBorder="0" applyAlignment="0" applyProtection="0"/>
    <xf numFmtId="8" fontId="32" fillId="0" borderId="0" applyFont="0" applyFill="0" applyBorder="0" applyAlignment="0" applyProtection="0"/>
    <xf numFmtId="9" fontId="32" fillId="0" borderId="0" applyFont="0" applyFill="0" applyBorder="0" applyAlignment="0" applyProtection="0"/>
    <xf numFmtId="0" fontId="186" fillId="0" borderId="0"/>
    <xf numFmtId="44" fontId="186" fillId="0" borderId="0" applyFont="0" applyFill="0" applyBorder="0" applyAlignment="0" applyProtection="0"/>
    <xf numFmtId="43" fontId="186" fillId="0" borderId="0" applyFont="0" applyFill="0" applyBorder="0" applyAlignment="0" applyProtection="0"/>
    <xf numFmtId="43" fontId="3" fillId="0" borderId="0" applyFont="0" applyFill="0" applyBorder="0" applyAlignment="0" applyProtection="0"/>
    <xf numFmtId="3" fontId="53" fillId="0" borderId="0" applyFont="0" applyFill="0" applyBorder="0" applyAlignment="0" applyProtection="0"/>
    <xf numFmtId="44" fontId="7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26" fontId="53" fillId="0" borderId="0" applyFont="0" applyFill="0" applyBorder="0" applyAlignment="0" applyProtection="0"/>
    <xf numFmtId="0" fontId="53" fillId="0" borderId="0" applyFont="0" applyFill="0" applyBorder="0" applyAlignment="0" applyProtection="0"/>
    <xf numFmtId="2" fontId="53" fillId="0" borderId="0" applyFont="0" applyFill="0" applyBorder="0" applyAlignment="0" applyProtection="0"/>
    <xf numFmtId="0" fontId="53" fillId="0" borderId="0"/>
    <xf numFmtId="0" fontId="73" fillId="0" borderId="0"/>
    <xf numFmtId="0" fontId="3" fillId="0" borderId="0"/>
    <xf numFmtId="10" fontId="53" fillId="0" borderId="0" applyFont="0" applyFill="0" applyBorder="0" applyAlignment="0" applyProtection="0"/>
    <xf numFmtId="9" fontId="7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4" fillId="0" borderId="0"/>
    <xf numFmtId="0" fontId="32"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9" fillId="0" borderId="0"/>
    <xf numFmtId="43" fontId="73" fillId="0" borderId="0" applyFont="0" applyFill="0" applyBorder="0" applyAlignment="0" applyProtection="0"/>
    <xf numFmtId="44" fontId="73" fillId="0" borderId="0" applyFont="0" applyFill="0" applyBorder="0" applyAlignment="0" applyProtection="0"/>
    <xf numFmtId="44" fontId="19" fillId="0" borderId="0" applyFont="0" applyFill="0" applyBorder="0" applyAlignment="0" applyProtection="0"/>
    <xf numFmtId="0" fontId="73" fillId="0" borderId="0"/>
    <xf numFmtId="9" fontId="73" fillId="0" borderId="0" applyFont="0" applyFill="0" applyBorder="0" applyAlignment="0" applyProtection="0"/>
    <xf numFmtId="9" fontId="19" fillId="0" borderId="0" applyFont="0" applyFill="0" applyBorder="0" applyAlignment="0" applyProtection="0"/>
    <xf numFmtId="0" fontId="19" fillId="0" borderId="0"/>
    <xf numFmtId="44" fontId="19" fillId="0" borderId="0" applyFont="0" applyFill="0" applyBorder="0" applyAlignment="0" applyProtection="0"/>
    <xf numFmtId="44" fontId="19" fillId="0" borderId="0" applyFont="0" applyFill="0" applyBorder="0" applyAlignment="0" applyProtection="0"/>
    <xf numFmtId="0" fontId="3" fillId="0" borderId="0"/>
    <xf numFmtId="43" fontId="3" fillId="0" borderId="0" applyFont="0" applyFill="0" applyBorder="0" applyAlignment="0" applyProtection="0"/>
    <xf numFmtId="44" fontId="186" fillId="0" borderId="0" applyFont="0" applyFill="0" applyBorder="0" applyAlignment="0" applyProtection="0"/>
    <xf numFmtId="9" fontId="186" fillId="0" borderId="0" applyFont="0" applyFill="0" applyBorder="0" applyAlignment="0" applyProtection="0"/>
    <xf numFmtId="43" fontId="3" fillId="0" borderId="0" applyFont="0" applyFill="0" applyBorder="0" applyAlignment="0" applyProtection="0"/>
    <xf numFmtId="0" fontId="3" fillId="0" borderId="0"/>
    <xf numFmtId="0" fontId="73" fillId="0" borderId="0"/>
    <xf numFmtId="0" fontId="122" fillId="0" borderId="30" applyNumberFormat="0" applyFill="0" applyAlignment="0" applyProtection="0"/>
    <xf numFmtId="9" fontId="73" fillId="0" borderId="0" applyFont="0" applyFill="0" applyBorder="0" applyAlignment="0" applyProtection="0"/>
    <xf numFmtId="44" fontId="73" fillId="0" borderId="0" applyFont="0" applyFill="0" applyBorder="0" applyAlignment="0" applyProtection="0"/>
    <xf numFmtId="43" fontId="73" fillId="0" borderId="0" applyFont="0" applyFill="0" applyBorder="0" applyAlignment="0" applyProtection="0"/>
    <xf numFmtId="41" fontId="73" fillId="0" borderId="0" applyFont="0" applyFill="0" applyBorder="0" applyAlignment="0" applyProtection="0"/>
    <xf numFmtId="42" fontId="7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0" fontId="3" fillId="16"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73" fillId="0" borderId="0" applyFont="0" applyFill="0" applyBorder="0" applyAlignment="0" applyProtection="0"/>
    <xf numFmtId="9" fontId="73" fillId="0" borderId="0" applyFont="0" applyFill="0" applyBorder="0" applyAlignment="0" applyProtection="0"/>
    <xf numFmtId="43" fontId="73" fillId="0" borderId="0" applyFont="0" applyFill="0" applyBorder="0" applyAlignment="0" applyProtection="0"/>
    <xf numFmtId="9" fontId="73" fillId="0" borderId="0" applyFont="0" applyFill="0" applyBorder="0" applyAlignment="0" applyProtection="0"/>
    <xf numFmtId="43" fontId="73" fillId="0" borderId="0" applyFont="0" applyFill="0" applyBorder="0" applyAlignment="0" applyProtection="0"/>
    <xf numFmtId="44" fontId="73" fillId="0" borderId="0" applyFont="0" applyFill="0" applyBorder="0" applyAlignment="0" applyProtection="0"/>
    <xf numFmtId="9" fontId="73" fillId="0" borderId="0" applyFont="0" applyFill="0" applyBorder="0" applyAlignment="0" applyProtection="0"/>
    <xf numFmtId="43" fontId="73" fillId="0" borderId="0" applyFont="0" applyFill="0" applyBorder="0" applyAlignment="0" applyProtection="0"/>
    <xf numFmtId="44" fontId="73" fillId="0" borderId="0" applyFont="0" applyFill="0" applyBorder="0" applyAlignment="0" applyProtection="0"/>
    <xf numFmtId="0" fontId="3" fillId="38" borderId="0" applyNumberFormat="0" applyBorder="0" applyAlignment="0" applyProtection="0"/>
    <xf numFmtId="0" fontId="3" fillId="38" borderId="0" applyNumberFormat="0" applyBorder="0" applyAlignment="0" applyProtection="0"/>
    <xf numFmtId="9" fontId="3" fillId="0" borderId="0" applyFont="0" applyFill="0" applyBorder="0" applyAlignment="0" applyProtection="0"/>
    <xf numFmtId="0" fontId="3" fillId="39" borderId="0" applyNumberFormat="0" applyBorder="0" applyAlignment="0" applyProtection="0"/>
    <xf numFmtId="0" fontId="3" fillId="19" borderId="0" applyNumberFormat="0" applyBorder="0" applyAlignment="0" applyProtection="0"/>
    <xf numFmtId="0" fontId="3" fillId="16" borderId="35" applyNumberFormat="0" applyFont="0" applyAlignment="0" applyProtection="0"/>
    <xf numFmtId="0" fontId="3" fillId="34" borderId="0" applyNumberFormat="0" applyBorder="0" applyAlignment="0" applyProtection="0"/>
    <xf numFmtId="0" fontId="3" fillId="0" borderId="0"/>
    <xf numFmtId="0" fontId="3" fillId="18" borderId="0" applyNumberFormat="0" applyBorder="0" applyAlignment="0" applyProtection="0"/>
    <xf numFmtId="0" fontId="3" fillId="27" borderId="0" applyNumberFormat="0" applyBorder="0" applyAlignment="0" applyProtection="0"/>
    <xf numFmtId="0" fontId="3" fillId="35"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0" borderId="0"/>
    <xf numFmtId="0" fontId="3" fillId="0" borderId="0"/>
    <xf numFmtId="0" fontId="3" fillId="19"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6" borderId="35" applyNumberFormat="0" applyFont="0" applyAlignment="0" applyProtection="0"/>
    <xf numFmtId="0" fontId="3" fillId="31" borderId="0" applyNumberFormat="0" applyBorder="0" applyAlignment="0" applyProtection="0"/>
    <xf numFmtId="43" fontId="3" fillId="0" borderId="0" applyFont="0" applyFill="0" applyBorder="0" applyAlignment="0" applyProtection="0"/>
    <xf numFmtId="0" fontId="3" fillId="39" borderId="0" applyNumberFormat="0" applyBorder="0" applyAlignment="0" applyProtection="0"/>
    <xf numFmtId="0" fontId="3" fillId="38" borderId="0" applyNumberFormat="0" applyBorder="0" applyAlignment="0" applyProtection="0"/>
    <xf numFmtId="43" fontId="3" fillId="0" borderId="0" applyFont="0" applyFill="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3" borderId="0" applyNumberFormat="0" applyBorder="0" applyAlignment="0" applyProtection="0"/>
    <xf numFmtId="0" fontId="3" fillId="0" borderId="0"/>
    <xf numFmtId="9" fontId="3" fillId="0" borderId="0" applyFont="0" applyFill="0" applyBorder="0" applyAlignment="0" applyProtection="0"/>
    <xf numFmtId="0" fontId="3" fillId="0" borderId="0"/>
    <xf numFmtId="0" fontId="3" fillId="27" borderId="0" applyNumberFormat="0" applyBorder="0" applyAlignment="0" applyProtection="0"/>
    <xf numFmtId="0" fontId="3" fillId="19"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7" borderId="0" applyNumberFormat="0" applyBorder="0" applyAlignment="0" applyProtection="0"/>
    <xf numFmtId="0" fontId="3" fillId="26"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39" borderId="0" applyNumberFormat="0" applyBorder="0" applyAlignment="0" applyProtection="0"/>
    <xf numFmtId="0" fontId="3" fillId="16" borderId="35" applyNumberFormat="0" applyFont="0" applyAlignment="0" applyProtection="0"/>
    <xf numFmtId="43" fontId="3" fillId="0" borderId="0" applyFont="0" applyFill="0" applyBorder="0" applyAlignment="0" applyProtection="0"/>
    <xf numFmtId="0" fontId="3" fillId="16" borderId="35" applyNumberFormat="0" applyFont="0" applyAlignment="0" applyProtection="0"/>
    <xf numFmtId="0" fontId="3" fillId="26" borderId="0" applyNumberFormat="0" applyBorder="0" applyAlignment="0" applyProtection="0"/>
    <xf numFmtId="43" fontId="3" fillId="0" borderId="0" applyFont="0" applyFill="0" applyBorder="0" applyAlignment="0" applyProtection="0"/>
    <xf numFmtId="0" fontId="3" fillId="22"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30" borderId="0" applyNumberFormat="0" applyBorder="0" applyAlignment="0" applyProtection="0"/>
    <xf numFmtId="0" fontId="3" fillId="39" borderId="0" applyNumberFormat="0" applyBorder="0" applyAlignment="0" applyProtection="0"/>
    <xf numFmtId="0" fontId="3" fillId="31"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0" borderId="0" applyNumberFormat="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0" borderId="0"/>
    <xf numFmtId="0" fontId="3" fillId="31" borderId="0" applyNumberFormat="0" applyBorder="0" applyAlignment="0" applyProtection="0"/>
    <xf numFmtId="0" fontId="3" fillId="38" borderId="0" applyNumberFormat="0" applyBorder="0" applyAlignment="0" applyProtection="0"/>
    <xf numFmtId="0" fontId="3" fillId="34" borderId="0" applyNumberFormat="0" applyBorder="0" applyAlignment="0" applyProtection="0"/>
    <xf numFmtId="0" fontId="3" fillId="0" borderId="0"/>
    <xf numFmtId="0" fontId="3" fillId="38"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18" borderId="0" applyNumberFormat="0" applyBorder="0" applyAlignment="0" applyProtection="0"/>
    <xf numFmtId="43" fontId="3" fillId="0" borderId="0" applyFont="0" applyFill="0" applyBorder="0" applyAlignment="0" applyProtection="0"/>
    <xf numFmtId="0" fontId="3" fillId="23" borderId="0" applyNumberFormat="0" applyBorder="0" applyAlignment="0" applyProtection="0"/>
    <xf numFmtId="0" fontId="3" fillId="31" borderId="0" applyNumberFormat="0" applyBorder="0" applyAlignment="0" applyProtection="0"/>
    <xf numFmtId="9" fontId="3" fillId="0" borderId="0" applyFont="0" applyFill="0" applyBorder="0" applyAlignment="0" applyProtection="0"/>
    <xf numFmtId="0" fontId="3" fillId="34" borderId="0" applyNumberFormat="0" applyBorder="0" applyAlignment="0" applyProtection="0"/>
    <xf numFmtId="0" fontId="3" fillId="26" borderId="0" applyNumberFormat="0" applyBorder="0" applyAlignment="0" applyProtection="0"/>
    <xf numFmtId="0" fontId="3" fillId="0" borderId="0"/>
    <xf numFmtId="0" fontId="3" fillId="38" borderId="0" applyNumberFormat="0" applyBorder="0" applyAlignment="0" applyProtection="0"/>
    <xf numFmtId="0" fontId="3" fillId="22"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6" borderId="35" applyNumberFormat="0" applyFont="0" applyAlignment="0" applyProtection="0"/>
    <xf numFmtId="43" fontId="3" fillId="0" borderId="0" applyFont="0" applyFill="0" applyBorder="0" applyAlignment="0" applyProtection="0"/>
    <xf numFmtId="0" fontId="3" fillId="34"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26"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6" borderId="0" applyNumberFormat="0" applyBorder="0" applyAlignment="0" applyProtection="0"/>
    <xf numFmtId="0" fontId="3" fillId="19"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18" borderId="0" applyNumberFormat="0" applyBorder="0" applyAlignment="0" applyProtection="0"/>
    <xf numFmtId="9" fontId="3" fillId="0" borderId="0" applyFont="0" applyFill="0" applyBorder="0" applyAlignment="0" applyProtection="0"/>
    <xf numFmtId="0" fontId="3" fillId="18" borderId="0" applyNumberFormat="0" applyBorder="0" applyAlignment="0" applyProtection="0"/>
    <xf numFmtId="9" fontId="3" fillId="0" borderId="0" applyFont="0" applyFill="0" applyBorder="0" applyAlignment="0" applyProtection="0"/>
    <xf numFmtId="0" fontId="3" fillId="16" borderId="35" applyNumberFormat="0" applyFont="0" applyAlignment="0" applyProtection="0"/>
    <xf numFmtId="0" fontId="3" fillId="27" borderId="0" applyNumberFormat="0" applyBorder="0" applyAlignment="0" applyProtection="0"/>
    <xf numFmtId="0" fontId="3" fillId="39" borderId="0" applyNumberFormat="0" applyBorder="0" applyAlignment="0" applyProtection="0"/>
    <xf numFmtId="0" fontId="3" fillId="19" borderId="0" applyNumberFormat="0" applyBorder="0" applyAlignment="0" applyProtection="0"/>
    <xf numFmtId="43" fontId="3" fillId="0" borderId="0" applyFont="0" applyFill="0" applyBorder="0" applyAlignment="0" applyProtection="0"/>
    <xf numFmtId="0" fontId="3" fillId="34"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39"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9" fontId="3" fillId="0" borderId="0" applyFont="0" applyFill="0" applyBorder="0" applyAlignment="0" applyProtection="0"/>
    <xf numFmtId="0" fontId="3" fillId="16" borderId="35" applyNumberFormat="0" applyFont="0" applyAlignment="0" applyProtection="0"/>
    <xf numFmtId="0" fontId="3" fillId="0" borderId="0"/>
    <xf numFmtId="0" fontId="3" fillId="38"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39" borderId="0" applyNumberFormat="0" applyBorder="0" applyAlignment="0" applyProtection="0"/>
    <xf numFmtId="0" fontId="3" fillId="22" borderId="0" applyNumberFormat="0" applyBorder="0" applyAlignment="0" applyProtection="0"/>
    <xf numFmtId="0" fontId="3" fillId="3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43" fontId="3" fillId="0" borderId="0" applyFont="0" applyFill="0" applyBorder="0" applyAlignment="0" applyProtection="0"/>
    <xf numFmtId="0" fontId="3" fillId="39" borderId="0" applyNumberFormat="0" applyBorder="0" applyAlignment="0" applyProtection="0"/>
    <xf numFmtId="43" fontId="3" fillId="0" borderId="0" applyFont="0" applyFill="0" applyBorder="0" applyAlignment="0" applyProtection="0"/>
    <xf numFmtId="0" fontId="3" fillId="18" borderId="0" applyNumberFormat="0" applyBorder="0" applyAlignment="0" applyProtection="0"/>
    <xf numFmtId="0" fontId="3" fillId="2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19" borderId="0" applyNumberFormat="0" applyBorder="0" applyAlignment="0" applyProtection="0"/>
    <xf numFmtId="0" fontId="3" fillId="0" borderId="0"/>
    <xf numFmtId="0" fontId="3" fillId="34"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8" borderId="0" applyNumberFormat="0" applyBorder="0" applyAlignment="0" applyProtection="0"/>
    <xf numFmtId="43" fontId="3" fillId="0" borderId="0" applyFont="0" applyFill="0" applyBorder="0" applyAlignment="0" applyProtection="0"/>
    <xf numFmtId="0" fontId="3" fillId="22" borderId="0" applyNumberFormat="0" applyBorder="0" applyAlignment="0" applyProtection="0"/>
    <xf numFmtId="43" fontId="3" fillId="0" borderId="0" applyFont="0" applyFill="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9" fontId="3" fillId="0" borderId="0" applyFont="0" applyFill="0" applyBorder="0" applyAlignment="0" applyProtection="0"/>
    <xf numFmtId="0" fontId="3" fillId="3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5"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0" fontId="3" fillId="0" borderId="0"/>
    <xf numFmtId="0" fontId="3" fillId="23" borderId="0" applyNumberFormat="0" applyBorder="0" applyAlignment="0" applyProtection="0"/>
    <xf numFmtId="0" fontId="3" fillId="39" borderId="0" applyNumberFormat="0" applyBorder="0" applyAlignment="0" applyProtection="0"/>
    <xf numFmtId="0" fontId="3" fillId="19"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9" fontId="3" fillId="0" borderId="0" applyFont="0" applyFill="0" applyBorder="0" applyAlignment="0" applyProtection="0"/>
    <xf numFmtId="0" fontId="3" fillId="30" borderId="0" applyNumberFormat="0" applyBorder="0" applyAlignment="0" applyProtection="0"/>
    <xf numFmtId="9" fontId="3" fillId="0" borderId="0" applyFont="0" applyFill="0" applyBorder="0" applyAlignment="0" applyProtection="0"/>
    <xf numFmtId="0" fontId="3" fillId="26"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26" borderId="0" applyNumberFormat="0" applyBorder="0" applyAlignment="0" applyProtection="0"/>
    <xf numFmtId="0" fontId="3" fillId="0" borderId="0"/>
    <xf numFmtId="0" fontId="3" fillId="35"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6" borderId="35" applyNumberFormat="0" applyFont="0" applyAlignment="0" applyProtection="0"/>
    <xf numFmtId="0" fontId="3" fillId="34" borderId="0" applyNumberFormat="0" applyBorder="0" applyAlignment="0" applyProtection="0"/>
    <xf numFmtId="0" fontId="3" fillId="23"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0" borderId="0"/>
    <xf numFmtId="0" fontId="3" fillId="39" borderId="0" applyNumberFormat="0" applyBorder="0" applyAlignment="0" applyProtection="0"/>
    <xf numFmtId="0" fontId="3" fillId="19"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0" borderId="0" applyNumberFormat="0" applyBorder="0" applyAlignment="0" applyProtection="0"/>
    <xf numFmtId="43" fontId="3" fillId="0" borderId="0" applyFont="0" applyFill="0" applyBorder="0" applyAlignment="0" applyProtection="0"/>
    <xf numFmtId="0" fontId="3" fillId="1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3" fontId="97" fillId="0" borderId="0" applyFont="0" applyFill="0" applyBorder="0" applyAlignment="0" applyProtection="0"/>
    <xf numFmtId="0" fontId="19" fillId="0" borderId="0"/>
    <xf numFmtId="0" fontId="19" fillId="0" borderId="0"/>
    <xf numFmtId="43" fontId="1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9" fillId="0" borderId="0" applyFont="0" applyFill="0" applyBorder="0" applyAlignment="0" applyProtection="0"/>
    <xf numFmtId="43" fontId="9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8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0" fontId="190" fillId="0" borderId="0" applyNumberFormat="0" applyFill="0" applyBorder="0" applyAlignment="0" applyProtection="0">
      <alignment vertical="top"/>
      <protection locked="0"/>
    </xf>
    <xf numFmtId="0" fontId="116" fillId="0" borderId="0"/>
    <xf numFmtId="0" fontId="19" fillId="0" borderId="0"/>
    <xf numFmtId="0" fontId="2" fillId="0" borderId="0"/>
    <xf numFmtId="0" fontId="2"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16"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2" fillId="0" borderId="0"/>
    <xf numFmtId="0" fontId="2" fillId="0" borderId="0"/>
    <xf numFmtId="0" fontId="19" fillId="0" borderId="0"/>
    <xf numFmtId="0" fontId="19" fillId="0" borderId="0"/>
    <xf numFmtId="43" fontId="97" fillId="0" borderId="0" applyFont="0" applyFill="0" applyBorder="0" applyAlignment="0" applyProtection="0"/>
    <xf numFmtId="0" fontId="19"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xf numFmtId="0" fontId="63" fillId="0" borderId="0"/>
    <xf numFmtId="0" fontId="63" fillId="0" borderId="0"/>
    <xf numFmtId="0" fontId="19" fillId="0" borderId="0"/>
    <xf numFmtId="0" fontId="19" fillId="0" borderId="0"/>
    <xf numFmtId="0" fontId="63" fillId="0" borderId="0"/>
    <xf numFmtId="0" fontId="19" fillId="0" borderId="0"/>
    <xf numFmtId="0" fontId="189" fillId="0" borderId="0"/>
    <xf numFmtId="0" fontId="189" fillId="0" borderId="0"/>
    <xf numFmtId="0" fontId="189" fillId="0" borderId="0"/>
    <xf numFmtId="0" fontId="189" fillId="0" borderId="0"/>
    <xf numFmtId="0" fontId="18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xf numFmtId="0" fontId="116"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227" fontId="65" fillId="44" borderId="0" applyBorder="0">
      <alignment horizontal="right"/>
    </xf>
    <xf numFmtId="0" fontId="191" fillId="75" borderId="0" applyBorder="0"/>
    <xf numFmtId="9" fontId="189" fillId="0" borderId="0" applyFont="0" applyFill="0" applyBorder="0" applyAlignment="0" applyProtection="0"/>
    <xf numFmtId="9" fontId="18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9" fillId="0" borderId="0" applyFont="0" applyFill="0" applyBorder="0" applyAlignment="0" applyProtection="0"/>
    <xf numFmtId="9" fontId="189" fillId="0" borderId="0" applyFont="0" applyFill="0" applyBorder="0" applyAlignment="0" applyProtection="0"/>
    <xf numFmtId="9" fontId="189" fillId="0" borderId="0" applyFont="0" applyFill="0" applyBorder="0" applyAlignment="0" applyProtection="0"/>
    <xf numFmtId="9" fontId="189" fillId="0" borderId="0" applyFont="0" applyFill="0" applyBorder="0" applyAlignment="0" applyProtection="0"/>
    <xf numFmtId="9" fontId="189" fillId="0" borderId="0" applyFont="0" applyFill="0" applyBorder="0" applyAlignment="0" applyProtection="0"/>
    <xf numFmtId="9" fontId="189" fillId="0" borderId="0" applyFont="0" applyFill="0" applyBorder="0" applyAlignment="0" applyProtection="0"/>
    <xf numFmtId="9" fontId="189" fillId="0" borderId="0" applyFont="0" applyFill="0" applyBorder="0" applyAlignment="0" applyProtection="0"/>
    <xf numFmtId="9" fontId="189" fillId="0" borderId="0" applyFont="0" applyFill="0" applyBorder="0" applyAlignment="0" applyProtection="0"/>
    <xf numFmtId="9" fontId="189" fillId="0" borderId="0" applyFont="0" applyFill="0" applyBorder="0" applyAlignment="0" applyProtection="0"/>
    <xf numFmtId="9" fontId="116" fillId="0" borderId="0" applyFont="0" applyFill="0" applyBorder="0" applyAlignment="0" applyProtection="0"/>
    <xf numFmtId="9" fontId="189" fillId="0" borderId="0" applyFont="0" applyFill="0" applyBorder="0" applyAlignment="0" applyProtection="0"/>
    <xf numFmtId="9" fontId="189" fillId="0" borderId="0" applyFont="0" applyFill="0" applyBorder="0" applyAlignment="0" applyProtection="0"/>
    <xf numFmtId="9" fontId="189" fillId="0" borderId="0" applyFont="0" applyFill="0" applyBorder="0" applyAlignment="0" applyProtection="0"/>
    <xf numFmtId="9" fontId="189" fillId="0" borderId="0" applyFont="0" applyFill="0" applyBorder="0" applyAlignment="0" applyProtection="0"/>
    <xf numFmtId="9" fontId="189" fillId="0" borderId="0" applyFont="0" applyFill="0" applyBorder="0" applyAlignment="0" applyProtection="0"/>
    <xf numFmtId="9" fontId="189" fillId="0" borderId="0" applyFont="0" applyFill="0" applyBorder="0" applyAlignment="0" applyProtection="0"/>
    <xf numFmtId="9" fontId="189" fillId="0" borderId="0" applyFont="0" applyFill="0" applyBorder="0" applyAlignment="0" applyProtection="0"/>
    <xf numFmtId="9" fontId="18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958">
    <xf numFmtId="0" fontId="0" fillId="0" borderId="0" xfId="0"/>
    <xf numFmtId="10" fontId="0" fillId="0" borderId="0" xfId="42" applyNumberFormat="1" applyFont="1" applyAlignment="1">
      <alignment horizontal="center"/>
    </xf>
    <xf numFmtId="3" fontId="0" fillId="0" borderId="0" xfId="0" applyNumberFormat="1"/>
    <xf numFmtId="0" fontId="24" fillId="0" borderId="0" xfId="21" applyFont="1">
      <alignment readingOrder="1"/>
    </xf>
    <xf numFmtId="0" fontId="19" fillId="0" borderId="0" xfId="21">
      <alignment readingOrder="1"/>
    </xf>
    <xf numFmtId="0" fontId="19" fillId="0" borderId="0" xfId="21" applyFont="1">
      <alignment readingOrder="1"/>
    </xf>
    <xf numFmtId="0" fontId="26" fillId="0" borderId="0" xfId="21" applyFont="1">
      <alignment readingOrder="1"/>
    </xf>
    <xf numFmtId="0" fontId="25" fillId="0" borderId="0" xfId="21" applyFont="1">
      <alignment readingOrder="1"/>
    </xf>
    <xf numFmtId="0" fontId="25" fillId="0" borderId="0" xfId="21" quotePrefix="1" applyFont="1">
      <alignment readingOrder="1"/>
    </xf>
    <xf numFmtId="0" fontId="19" fillId="0" borderId="0" xfId="21" applyBorder="1">
      <alignment readingOrder="1"/>
    </xf>
    <xf numFmtId="0" fontId="25" fillId="0" borderId="0" xfId="21" applyFont="1" applyBorder="1">
      <alignment readingOrder="1"/>
    </xf>
    <xf numFmtId="0" fontId="19" fillId="0" borderId="0" xfId="21" applyFont="1" applyBorder="1">
      <alignment readingOrder="1"/>
    </xf>
    <xf numFmtId="0" fontId="19" fillId="0" borderId="0" xfId="0" applyFont="1"/>
    <xf numFmtId="0" fontId="20" fillId="0" borderId="0" xfId="40" applyFont="1"/>
    <xf numFmtId="3" fontId="20" fillId="0" borderId="0" xfId="40" applyNumberFormat="1" applyFont="1" applyFill="1" applyBorder="1"/>
    <xf numFmtId="0" fontId="19" fillId="0" borderId="0" xfId="23"/>
    <xf numFmtId="0" fontId="20" fillId="0" borderId="0" xfId="40" applyFont="1" applyBorder="1"/>
    <xf numFmtId="0" fontId="20" fillId="0" borderId="0" xfId="40" applyNumberFormat="1" applyFont="1" applyAlignment="1">
      <alignment horizontal="center"/>
    </xf>
    <xf numFmtId="0" fontId="19" fillId="0" borderId="0" xfId="23" applyFill="1"/>
    <xf numFmtId="37" fontId="20" fillId="0" borderId="0" xfId="40" applyNumberFormat="1" applyFont="1" applyAlignment="1">
      <alignment horizontal="center"/>
    </xf>
    <xf numFmtId="5" fontId="20" fillId="0" borderId="0" xfId="40" applyNumberFormat="1" applyFont="1"/>
    <xf numFmtId="1" fontId="20" fillId="0" borderId="0" xfId="38" applyNumberFormat="1" applyFont="1" applyAlignment="1">
      <alignment horizontal="center"/>
    </xf>
    <xf numFmtId="37" fontId="20" fillId="0" borderId="0" xfId="40" applyNumberFormat="1" applyFont="1"/>
    <xf numFmtId="37" fontId="20" fillId="0" borderId="0" xfId="40" applyNumberFormat="1" applyFont="1" applyFill="1"/>
    <xf numFmtId="3" fontId="20" fillId="0" borderId="0" xfId="38" applyNumberFormat="1" applyFont="1" applyAlignment="1">
      <alignment horizontal="center"/>
    </xf>
    <xf numFmtId="0" fontId="21" fillId="0" borderId="0" xfId="40" applyFont="1" applyAlignment="1">
      <alignment horizontal="center"/>
    </xf>
    <xf numFmtId="3" fontId="21" fillId="0" borderId="0" xfId="40" applyNumberFormat="1" applyFont="1" applyFill="1" applyBorder="1" applyAlignment="1">
      <alignment horizontal="center"/>
    </xf>
    <xf numFmtId="0" fontId="21" fillId="0" borderId="0" xfId="40" applyFont="1" applyBorder="1" applyAlignment="1">
      <alignment horizontal="center"/>
    </xf>
    <xf numFmtId="0" fontId="21" fillId="0" borderId="0" xfId="40" applyNumberFormat="1" applyFont="1" applyAlignment="1">
      <alignment horizontal="center"/>
    </xf>
    <xf numFmtId="0" fontId="21" fillId="0" borderId="1" xfId="40" applyFont="1" applyBorder="1" applyAlignment="1">
      <alignment horizontal="center"/>
    </xf>
    <xf numFmtId="0" fontId="21" fillId="0" borderId="5" xfId="40" applyFont="1" applyBorder="1" applyAlignment="1">
      <alignment horizontal="center"/>
    </xf>
    <xf numFmtId="0" fontId="21" fillId="0" borderId="4" xfId="40" applyNumberFormat="1" applyFont="1" applyBorder="1" applyAlignment="1">
      <alignment horizontal="center"/>
    </xf>
    <xf numFmtId="0" fontId="21" fillId="0" borderId="7" xfId="40" applyFont="1" applyBorder="1" applyAlignment="1">
      <alignment horizontal="center"/>
    </xf>
    <xf numFmtId="0" fontId="21" fillId="0" borderId="6" xfId="40" applyNumberFormat="1" applyFont="1" applyBorder="1" applyAlignment="1">
      <alignment horizontal="center"/>
    </xf>
    <xf numFmtId="170" fontId="21" fillId="0" borderId="0" xfId="39" applyNumberFormat="1" applyFont="1" applyFill="1" applyBorder="1" applyAlignment="1">
      <alignment horizontal="center"/>
    </xf>
    <xf numFmtId="0" fontId="21" fillId="0" borderId="9" xfId="40" applyFont="1" applyBorder="1" applyAlignment="1">
      <alignment horizontal="center"/>
    </xf>
    <xf numFmtId="0" fontId="21" fillId="0" borderId="10" xfId="40" applyFont="1" applyBorder="1" applyAlignment="1">
      <alignment horizontal="center"/>
    </xf>
    <xf numFmtId="0" fontId="21" fillId="0" borderId="8" xfId="40" applyNumberFormat="1" applyFont="1" applyBorder="1" applyAlignment="1">
      <alignment horizontal="center"/>
    </xf>
    <xf numFmtId="0" fontId="19" fillId="0" borderId="0" xfId="23" applyFont="1" applyFill="1"/>
    <xf numFmtId="0" fontId="20" fillId="0" borderId="0" xfId="40" applyNumberFormat="1" applyFont="1" applyAlignment="1">
      <alignment horizontal="left"/>
    </xf>
    <xf numFmtId="3" fontId="20" fillId="0" borderId="0" xfId="0" applyNumberFormat="1" applyFont="1" applyFill="1"/>
    <xf numFmtId="3" fontId="20" fillId="0" borderId="0" xfId="0" applyNumberFormat="1" applyFont="1" applyFill="1" applyBorder="1"/>
    <xf numFmtId="3" fontId="20" fillId="0" borderId="0" xfId="0" applyNumberFormat="1" applyFont="1" applyFill="1" applyBorder="1" applyAlignment="1">
      <alignment horizontal="center"/>
    </xf>
    <xf numFmtId="10" fontId="20" fillId="0" borderId="0" xfId="42" applyNumberFormat="1" applyFont="1" applyFill="1" applyBorder="1"/>
    <xf numFmtId="37" fontId="20" fillId="0" borderId="0" xfId="0" applyNumberFormat="1" applyFont="1" applyFill="1" applyBorder="1"/>
    <xf numFmtId="10" fontId="20" fillId="0" borderId="0" xfId="42" applyNumberFormat="1" applyFont="1" applyFill="1"/>
    <xf numFmtId="0" fontId="26" fillId="0" borderId="0" xfId="0" applyFont="1"/>
    <xf numFmtId="0" fontId="38" fillId="0" borderId="0" xfId="23" applyFont="1" applyFill="1"/>
    <xf numFmtId="0" fontId="20" fillId="0" borderId="0" xfId="23" applyFont="1" applyFill="1" applyBorder="1"/>
    <xf numFmtId="172" fontId="20" fillId="0" borderId="0" xfId="23" applyNumberFormat="1" applyFont="1" applyFill="1" applyAlignment="1">
      <alignment horizontal="center"/>
    </xf>
    <xf numFmtId="3" fontId="20" fillId="0" borderId="0" xfId="23" applyNumberFormat="1" applyFont="1" applyFill="1"/>
    <xf numFmtId="0" fontId="20" fillId="0" borderId="0" xfId="23" applyFont="1" applyFill="1"/>
    <xf numFmtId="3" fontId="38" fillId="0" borderId="0" xfId="23" applyNumberFormat="1" applyFont="1" applyFill="1"/>
    <xf numFmtId="168" fontId="20" fillId="0" borderId="0" xfId="23" applyNumberFormat="1" applyFont="1" applyFill="1"/>
    <xf numFmtId="3" fontId="20" fillId="0" borderId="0" xfId="0" applyNumberFormat="1" applyFont="1" applyFill="1" applyAlignment="1">
      <alignment horizontal="center"/>
    </xf>
    <xf numFmtId="0" fontId="19" fillId="0" borderId="0" xfId="23" applyAlignment="1">
      <alignment horizontal="centerContinuous"/>
    </xf>
    <xf numFmtId="0" fontId="22" fillId="0" borderId="0" xfId="23" applyFont="1" applyAlignment="1">
      <alignment horizontal="centerContinuous"/>
    </xf>
    <xf numFmtId="0" fontId="19" fillId="0" borderId="0" xfId="23" applyAlignment="1">
      <alignment horizontal="center"/>
    </xf>
    <xf numFmtId="0" fontId="22" fillId="0" borderId="0" xfId="23" applyFont="1" applyAlignment="1">
      <alignment horizontal="center"/>
    </xf>
    <xf numFmtId="164" fontId="19" fillId="0" borderId="0" xfId="23" applyNumberFormat="1"/>
    <xf numFmtId="3" fontId="19" fillId="0" borderId="0" xfId="23" applyNumberFormat="1"/>
    <xf numFmtId="3" fontId="19" fillId="0" borderId="1" xfId="23" applyNumberFormat="1" applyBorder="1"/>
    <xf numFmtId="3" fontId="19" fillId="0" borderId="0" xfId="23" applyNumberFormat="1" applyBorder="1"/>
    <xf numFmtId="3" fontId="19" fillId="0" borderId="2" xfId="23" applyNumberFormat="1" applyBorder="1"/>
    <xf numFmtId="9" fontId="19" fillId="0" borderId="0" xfId="23" applyNumberFormat="1"/>
    <xf numFmtId="164" fontId="19" fillId="0" borderId="0" xfId="23" applyNumberFormat="1" applyBorder="1"/>
    <xf numFmtId="0" fontId="70" fillId="0" borderId="0" xfId="34"/>
    <xf numFmtId="0" fontId="43" fillId="0" borderId="0" xfId="34" applyFont="1"/>
    <xf numFmtId="0" fontId="43" fillId="0" borderId="0" xfId="34" applyFont="1" applyFill="1"/>
    <xf numFmtId="0" fontId="70" fillId="0" borderId="0" xfId="34" applyFill="1"/>
    <xf numFmtId="9" fontId="20" fillId="0" borderId="0" xfId="42" applyFont="1"/>
    <xf numFmtId="10" fontId="20" fillId="0" borderId="0" xfId="42" applyNumberFormat="1" applyFont="1" applyFill="1" applyBorder="1" applyAlignment="1">
      <alignment horizontal="center"/>
    </xf>
    <xf numFmtId="0" fontId="19" fillId="0" borderId="0" xfId="23" applyBorder="1"/>
    <xf numFmtId="0" fontId="22" fillId="0" borderId="0" xfId="23" applyFont="1" applyBorder="1" applyAlignment="1">
      <alignment horizontal="center"/>
    </xf>
    <xf numFmtId="10" fontId="0" fillId="0" borderId="0" xfId="42" applyNumberFormat="1" applyFont="1" applyBorder="1" applyAlignment="1">
      <alignment horizontal="center"/>
    </xf>
    <xf numFmtId="0" fontId="19" fillId="0" borderId="0" xfId="23" applyFont="1"/>
    <xf numFmtId="2" fontId="21" fillId="0" borderId="0" xfId="40" applyNumberFormat="1" applyFont="1" applyAlignment="1">
      <alignment horizontal="center"/>
    </xf>
    <xf numFmtId="2" fontId="20" fillId="0" borderId="0" xfId="40" applyNumberFormat="1" applyFont="1" applyAlignment="1">
      <alignment horizontal="left"/>
    </xf>
    <xf numFmtId="2" fontId="21" fillId="0" borderId="0" xfId="40" applyNumberFormat="1" applyFont="1" applyFill="1" applyBorder="1" applyAlignment="1">
      <alignment horizontal="center"/>
    </xf>
    <xf numFmtId="2" fontId="21" fillId="0" borderId="0" xfId="14" applyNumberFormat="1" applyFont="1" applyFill="1" applyBorder="1" applyAlignment="1" applyProtection="1">
      <alignment horizontal="center"/>
    </xf>
    <xf numFmtId="2" fontId="21" fillId="0" borderId="0" xfId="40" applyNumberFormat="1" applyFont="1" applyBorder="1" applyAlignment="1">
      <alignment horizontal="center"/>
    </xf>
    <xf numFmtId="37" fontId="20" fillId="0" borderId="0" xfId="40" applyNumberFormat="1" applyFont="1" applyFill="1" applyAlignment="1">
      <alignment horizontal="center"/>
    </xf>
    <xf numFmtId="3" fontId="20" fillId="0" borderId="0" xfId="38" applyNumberFormat="1" applyFont="1" applyFill="1" applyAlignment="1">
      <alignment horizontal="center"/>
    </xf>
    <xf numFmtId="0" fontId="20" fillId="0" borderId="0" xfId="40" applyNumberFormat="1" applyFont="1" applyBorder="1" applyAlignment="1">
      <alignment horizontal="center"/>
    </xf>
    <xf numFmtId="3" fontId="20" fillId="0" borderId="0" xfId="0" applyNumberFormat="1" applyFont="1" applyFill="1" applyAlignment="1">
      <alignment horizontal="left"/>
    </xf>
    <xf numFmtId="0" fontId="20" fillId="0" borderId="12" xfId="23" applyFont="1" applyFill="1" applyBorder="1"/>
    <xf numFmtId="0" fontId="38" fillId="0" borderId="0" xfId="23" applyFont="1" applyFill="1" applyBorder="1"/>
    <xf numFmtId="3" fontId="38" fillId="0" borderId="0" xfId="0" applyNumberFormat="1" applyFont="1" applyFill="1" applyBorder="1"/>
    <xf numFmtId="0" fontId="38" fillId="0" borderId="0" xfId="0" applyFont="1" applyFill="1" applyBorder="1" applyAlignment="1"/>
    <xf numFmtId="172" fontId="20" fillId="0" borderId="0" xfId="23" applyNumberFormat="1" applyFont="1" applyFill="1"/>
    <xf numFmtId="0" fontId="39" fillId="0" borderId="0" xfId="23" applyFont="1" applyFill="1" applyBorder="1"/>
    <xf numFmtId="165" fontId="38" fillId="0" borderId="0" xfId="23" applyNumberFormat="1" applyFont="1" applyFill="1" applyBorder="1"/>
    <xf numFmtId="172" fontId="20" fillId="0" borderId="0" xfId="23" applyNumberFormat="1" applyFont="1" applyFill="1" applyBorder="1"/>
    <xf numFmtId="0" fontId="37" fillId="0" borderId="0" xfId="23" applyFont="1" applyAlignment="1">
      <alignment horizontal="left"/>
    </xf>
    <xf numFmtId="0" fontId="45" fillId="0" borderId="0" xfId="23" applyFont="1"/>
    <xf numFmtId="0" fontId="37" fillId="0" borderId="0" xfId="23" applyFont="1"/>
    <xf numFmtId="0" fontId="37" fillId="0" borderId="0" xfId="23" applyFont="1" applyAlignment="1">
      <alignment horizontal="center"/>
    </xf>
    <xf numFmtId="0" fontId="37" fillId="0" borderId="1" xfId="23" applyFont="1" applyBorder="1" applyAlignment="1">
      <alignment horizontal="center"/>
    </xf>
    <xf numFmtId="0" fontId="46" fillId="0" borderId="0" xfId="23" applyFont="1" applyAlignment="1"/>
    <xf numFmtId="0" fontId="47" fillId="0" borderId="1" xfId="23" applyFont="1" applyBorder="1"/>
    <xf numFmtId="0" fontId="37" fillId="0" borderId="0" xfId="23" applyFont="1" applyAlignment="1"/>
    <xf numFmtId="0" fontId="37" fillId="0" borderId="1" xfId="23" applyFont="1" applyBorder="1"/>
    <xf numFmtId="0" fontId="37" fillId="0" borderId="0" xfId="23" applyFont="1" applyAlignment="1">
      <alignment horizontal="right"/>
    </xf>
    <xf numFmtId="37" fontId="37" fillId="0" borderId="0" xfId="23" applyNumberFormat="1" applyFont="1"/>
    <xf numFmtId="0" fontId="48" fillId="0" borderId="0" xfId="23" applyFont="1" applyAlignment="1">
      <alignment horizontal="left" indent="1"/>
    </xf>
    <xf numFmtId="37" fontId="37" fillId="0" borderId="1" xfId="23" applyNumberFormat="1" applyFont="1" applyBorder="1"/>
    <xf numFmtId="5" fontId="37" fillId="0" borderId="0" xfId="23" applyNumberFormat="1" applyFont="1"/>
    <xf numFmtId="0" fontId="37" fillId="0" borderId="0" xfId="1" applyNumberFormat="1" applyFont="1"/>
    <xf numFmtId="166" fontId="37" fillId="0" borderId="0" xfId="1" applyNumberFormat="1" applyFont="1"/>
    <xf numFmtId="37" fontId="37" fillId="0" borderId="9" xfId="23" applyNumberFormat="1" applyFont="1" applyBorder="1"/>
    <xf numFmtId="37" fontId="37" fillId="0" borderId="0" xfId="1" applyNumberFormat="1" applyFont="1"/>
    <xf numFmtId="3" fontId="37" fillId="0" borderId="0" xfId="23" applyNumberFormat="1" applyFont="1"/>
    <xf numFmtId="0" fontId="51" fillId="0" borderId="0" xfId="23" applyFont="1" applyAlignment="1">
      <alignment horizontal="left"/>
    </xf>
    <xf numFmtId="0" fontId="51" fillId="0" borderId="0" xfId="23" applyFont="1"/>
    <xf numFmtId="37" fontId="37" fillId="0" borderId="0" xfId="23" applyNumberFormat="1" applyFont="1" applyBorder="1"/>
    <xf numFmtId="166" fontId="37" fillId="0" borderId="0" xfId="1" applyNumberFormat="1" applyFont="1" applyAlignment="1">
      <alignment horizontal="left"/>
    </xf>
    <xf numFmtId="0" fontId="37" fillId="0" borderId="0" xfId="1" applyNumberFormat="1" applyFont="1" applyFill="1"/>
    <xf numFmtId="174" fontId="37" fillId="0" borderId="0" xfId="23" applyNumberFormat="1" applyFont="1"/>
    <xf numFmtId="177" fontId="37" fillId="0" borderId="0" xfId="23" applyNumberFormat="1" applyFont="1" applyAlignment="1">
      <alignment horizontal="center"/>
    </xf>
    <xf numFmtId="0" fontId="37" fillId="0" borderId="0" xfId="23" quotePrefix="1" applyFont="1"/>
    <xf numFmtId="178" fontId="37" fillId="0" borderId="0" xfId="23" applyNumberFormat="1" applyFont="1"/>
    <xf numFmtId="0" fontId="50" fillId="0" borderId="0" xfId="23" applyFont="1"/>
    <xf numFmtId="7" fontId="37" fillId="0" borderId="0" xfId="23" applyNumberFormat="1" applyFont="1"/>
    <xf numFmtId="179" fontId="37" fillId="0" borderId="0" xfId="23" applyNumberFormat="1" applyFont="1"/>
    <xf numFmtId="180" fontId="37" fillId="0" borderId="0" xfId="23" applyNumberFormat="1" applyFont="1"/>
    <xf numFmtId="10" fontId="50" fillId="0" borderId="0" xfId="23" applyNumberFormat="1" applyFont="1"/>
    <xf numFmtId="173" fontId="37" fillId="0" borderId="0" xfId="23" applyNumberFormat="1" applyFont="1"/>
    <xf numFmtId="0" fontId="37" fillId="0" borderId="0" xfId="23" applyFont="1" applyAlignment="1">
      <alignment horizontal="left" indent="1"/>
    </xf>
    <xf numFmtId="37" fontId="37" fillId="0" borderId="0" xfId="23" applyNumberFormat="1" applyFont="1" applyFill="1"/>
    <xf numFmtId="37" fontId="50" fillId="0" borderId="0" xfId="23" applyNumberFormat="1" applyFont="1" applyFill="1"/>
    <xf numFmtId="37" fontId="46" fillId="0" borderId="1" xfId="23" applyNumberFormat="1" applyFont="1" applyBorder="1"/>
    <xf numFmtId="0" fontId="37" fillId="0" borderId="2" xfId="23" applyFont="1" applyBorder="1"/>
    <xf numFmtId="0" fontId="37" fillId="0" borderId="0" xfId="23" applyFont="1" applyFill="1" applyAlignment="1">
      <alignment horizontal="left"/>
    </xf>
    <xf numFmtId="37" fontId="37" fillId="0" borderId="0" xfId="23" applyNumberFormat="1" applyFont="1" applyAlignment="1">
      <alignment horizontal="left" indent="1"/>
    </xf>
    <xf numFmtId="180" fontId="37" fillId="0" borderId="0" xfId="23" applyNumberFormat="1" applyFont="1" applyAlignment="1">
      <alignment horizontal="left" indent="1"/>
    </xf>
    <xf numFmtId="180" fontId="37" fillId="0" borderId="0" xfId="23" applyNumberFormat="1" applyFont="1" applyFill="1"/>
    <xf numFmtId="5" fontId="37" fillId="0" borderId="0" xfId="23" applyNumberFormat="1" applyFont="1" applyAlignment="1">
      <alignment horizontal="left" indent="1"/>
    </xf>
    <xf numFmtId="5" fontId="37" fillId="0" borderId="9" xfId="23" applyNumberFormat="1" applyFont="1" applyBorder="1"/>
    <xf numFmtId="37" fontId="50" fillId="0" borderId="0" xfId="1" applyNumberFormat="1" applyFont="1"/>
    <xf numFmtId="5" fontId="37" fillId="0" borderId="9" xfId="23" applyNumberFormat="1" applyFont="1" applyFill="1" applyBorder="1"/>
    <xf numFmtId="5" fontId="37" fillId="0" borderId="0" xfId="23" applyNumberFormat="1" applyFont="1" applyFill="1"/>
    <xf numFmtId="3" fontId="37" fillId="0" borderId="0" xfId="23" applyNumberFormat="1" applyFont="1" applyAlignment="1">
      <alignment horizontal="left" indent="1"/>
    </xf>
    <xf numFmtId="5" fontId="49" fillId="0" borderId="0" xfId="23" applyNumberFormat="1" applyFont="1"/>
    <xf numFmtId="181" fontId="37" fillId="0" borderId="0" xfId="23" applyNumberFormat="1" applyFont="1"/>
    <xf numFmtId="5" fontId="37" fillId="0" borderId="0" xfId="23" applyNumberFormat="1" applyFont="1" applyBorder="1"/>
    <xf numFmtId="5" fontId="46" fillId="0" borderId="9" xfId="23" applyNumberFormat="1" applyFont="1" applyBorder="1"/>
    <xf numFmtId="5" fontId="51" fillId="0" borderId="0" xfId="23" applyNumberFormat="1" applyFont="1"/>
    <xf numFmtId="10" fontId="51" fillId="0" borderId="0" xfId="23" applyNumberFormat="1" applyFont="1"/>
    <xf numFmtId="0" fontId="52" fillId="0" borderId="0" xfId="23" applyFont="1" applyAlignment="1"/>
    <xf numFmtId="10" fontId="37" fillId="0" borderId="0" xfId="23" applyNumberFormat="1" applyFont="1"/>
    <xf numFmtId="7" fontId="19" fillId="0" borderId="0" xfId="23" applyNumberFormat="1"/>
    <xf numFmtId="0" fontId="46" fillId="0" borderId="0" xfId="23" applyFont="1"/>
    <xf numFmtId="0" fontId="37" fillId="0" borderId="9" xfId="23" applyFont="1" applyBorder="1"/>
    <xf numFmtId="0" fontId="37" fillId="0" borderId="0" xfId="23" applyFont="1" applyFill="1"/>
    <xf numFmtId="3" fontId="39" fillId="0" borderId="13" xfId="0" applyNumberFormat="1" applyFont="1" applyFill="1" applyBorder="1"/>
    <xf numFmtId="166" fontId="20" fillId="0" borderId="0" xfId="1" applyNumberFormat="1" applyFont="1" applyFill="1" applyBorder="1" applyAlignment="1">
      <alignment horizontal="center"/>
    </xf>
    <xf numFmtId="0" fontId="73" fillId="0" borderId="0" xfId="36"/>
    <xf numFmtId="0" fontId="73" fillId="0" borderId="1" xfId="36" applyBorder="1" applyAlignment="1">
      <alignment horizontal="centerContinuous"/>
    </xf>
    <xf numFmtId="0" fontId="73" fillId="0" borderId="0" xfId="36" applyAlignment="1">
      <alignment horizontal="center"/>
    </xf>
    <xf numFmtId="0" fontId="54" fillId="0" borderId="0" xfId="36" applyFont="1" applyAlignment="1">
      <alignment horizontal="center"/>
    </xf>
    <xf numFmtId="0" fontId="54" fillId="0" borderId="0" xfId="36" applyFont="1"/>
    <xf numFmtId="171" fontId="73" fillId="0" borderId="0" xfId="36" applyNumberFormat="1"/>
    <xf numFmtId="3" fontId="73" fillId="0" borderId="0" xfId="36" applyNumberFormat="1"/>
    <xf numFmtId="3" fontId="73" fillId="0" borderId="1" xfId="36" applyNumberFormat="1" applyBorder="1"/>
    <xf numFmtId="3" fontId="73" fillId="0" borderId="2" xfId="36" applyNumberFormat="1" applyBorder="1"/>
    <xf numFmtId="0" fontId="73" fillId="0" borderId="1" xfId="36" applyBorder="1" applyAlignment="1">
      <alignment horizontal="center"/>
    </xf>
    <xf numFmtId="3" fontId="20" fillId="0" borderId="0" xfId="23" applyNumberFormat="1" applyFont="1" applyFill="1" applyBorder="1"/>
    <xf numFmtId="0" fontId="73" fillId="0" borderId="0" xfId="36" applyBorder="1" applyAlignment="1">
      <alignment horizontal="center"/>
    </xf>
    <xf numFmtId="166" fontId="21" fillId="0" borderId="0" xfId="1" applyNumberFormat="1" applyFont="1" applyFill="1" applyBorder="1" applyAlignment="1">
      <alignment horizontal="center"/>
    </xf>
    <xf numFmtId="37" fontId="49" fillId="0" borderId="0" xfId="23" applyNumberFormat="1" applyFont="1"/>
    <xf numFmtId="37" fontId="50" fillId="0" borderId="0" xfId="23" applyNumberFormat="1" applyFont="1"/>
    <xf numFmtId="37" fontId="37" fillId="0" borderId="0" xfId="1" applyNumberFormat="1" applyFont="1" applyAlignment="1"/>
    <xf numFmtId="0" fontId="56" fillId="4" borderId="0" xfId="34" applyFont="1" applyFill="1"/>
    <xf numFmtId="0" fontId="70" fillId="4" borderId="0" xfId="34" applyFill="1"/>
    <xf numFmtId="10" fontId="70" fillId="4" borderId="0" xfId="34" applyNumberFormat="1" applyFill="1"/>
    <xf numFmtId="165" fontId="57" fillId="4" borderId="0" xfId="42" applyNumberFormat="1" applyFont="1" applyFill="1" applyAlignment="1">
      <alignment horizontal="center"/>
    </xf>
    <xf numFmtId="10" fontId="70" fillId="4" borderId="0" xfId="34" applyNumberFormat="1" applyFill="1" applyAlignment="1">
      <alignment horizontal="center"/>
    </xf>
    <xf numFmtId="10" fontId="57" fillId="4" borderId="0" xfId="42" applyNumberFormat="1" applyFont="1" applyFill="1"/>
    <xf numFmtId="0" fontId="70" fillId="4" borderId="0" xfId="34" applyFill="1" applyAlignment="1">
      <alignment horizontal="center"/>
    </xf>
    <xf numFmtId="10" fontId="57" fillId="4" borderId="0" xfId="42" applyNumberFormat="1" applyFont="1" applyFill="1" applyAlignment="1">
      <alignment horizontal="center"/>
    </xf>
    <xf numFmtId="0" fontId="16" fillId="4" borderId="1" xfId="34" applyFont="1" applyFill="1" applyBorder="1"/>
    <xf numFmtId="0" fontId="16" fillId="4" borderId="1" xfId="34" applyFont="1" applyFill="1" applyBorder="1" applyAlignment="1">
      <alignment horizontal="center"/>
    </xf>
    <xf numFmtId="165" fontId="70" fillId="0" borderId="0" xfId="34" applyNumberFormat="1"/>
    <xf numFmtId="10" fontId="56" fillId="4" borderId="0" xfId="42" applyNumberFormat="1" applyFont="1" applyFill="1"/>
    <xf numFmtId="166" fontId="20" fillId="0" borderId="0" xfId="1" applyNumberFormat="1" applyFont="1" applyFill="1"/>
    <xf numFmtId="0" fontId="70" fillId="0" borderId="0" xfId="19"/>
    <xf numFmtId="0" fontId="15" fillId="0" borderId="0" xfId="34" applyFont="1"/>
    <xf numFmtId="166" fontId="58" fillId="0" borderId="0" xfId="1" applyNumberFormat="1" applyFont="1"/>
    <xf numFmtId="0" fontId="70" fillId="0" borderId="0" xfId="34" applyAlignment="1">
      <alignment horizontal="center"/>
    </xf>
    <xf numFmtId="10" fontId="58" fillId="0" borderId="0" xfId="42" applyNumberFormat="1" applyFont="1"/>
    <xf numFmtId="10" fontId="70" fillId="0" borderId="0" xfId="34" applyNumberFormat="1"/>
    <xf numFmtId="3" fontId="38" fillId="0" borderId="0" xfId="23" applyNumberFormat="1" applyFont="1" applyFill="1" applyBorder="1" applyAlignment="1">
      <alignment horizontal="center"/>
    </xf>
    <xf numFmtId="0" fontId="21" fillId="0" borderId="0" xfId="1" applyNumberFormat="1" applyFont="1" applyFill="1" applyBorder="1" applyAlignment="1">
      <alignment horizontal="center"/>
    </xf>
    <xf numFmtId="164" fontId="20" fillId="0" borderId="0" xfId="0" applyNumberFormat="1" applyFont="1" applyFill="1"/>
    <xf numFmtId="37" fontId="20" fillId="0" borderId="0" xfId="0" applyNumberFormat="1" applyFont="1" applyFill="1" applyBorder="1" applyProtection="1">
      <protection locked="0"/>
    </xf>
    <xf numFmtId="5" fontId="20" fillId="0" borderId="0" xfId="0" applyNumberFormat="1" applyFont="1" applyFill="1" applyBorder="1" applyProtection="1">
      <protection locked="0"/>
    </xf>
    <xf numFmtId="37" fontId="20" fillId="0" borderId="0" xfId="0" applyNumberFormat="1" applyFont="1" applyFill="1" applyBorder="1" applyAlignment="1" applyProtection="1">
      <alignment horizontal="center"/>
      <protection locked="0"/>
    </xf>
    <xf numFmtId="172" fontId="38" fillId="0" borderId="0" xfId="23" applyNumberFormat="1" applyFont="1" applyFill="1" applyAlignment="1">
      <alignment horizontal="center"/>
    </xf>
    <xf numFmtId="3" fontId="34" fillId="0" borderId="0" xfId="23" applyNumberFormat="1" applyFont="1" applyFill="1" applyAlignment="1">
      <alignment horizontal="center"/>
    </xf>
    <xf numFmtId="0" fontId="34" fillId="0" borderId="0" xfId="23" applyFont="1" applyFill="1" applyAlignment="1">
      <alignment horizontal="center"/>
    </xf>
    <xf numFmtId="3" fontId="34" fillId="0" borderId="0" xfId="23" applyNumberFormat="1" applyFont="1" applyFill="1" applyBorder="1"/>
    <xf numFmtId="3" fontId="34" fillId="0" borderId="0" xfId="23" applyNumberFormat="1" applyFont="1" applyFill="1" applyAlignment="1">
      <alignment wrapText="1"/>
    </xf>
    <xf numFmtId="172" fontId="34" fillId="0" borderId="0" xfId="23" applyNumberFormat="1" applyFont="1" applyFill="1" applyAlignment="1">
      <alignment horizontal="center"/>
    </xf>
    <xf numFmtId="0" fontId="34" fillId="0" borderId="0" xfId="23" applyFont="1" applyFill="1"/>
    <xf numFmtId="3" fontId="34" fillId="0" borderId="0" xfId="23" applyNumberFormat="1" applyFont="1" applyFill="1"/>
    <xf numFmtId="0" fontId="34" fillId="0" borderId="12" xfId="23" applyFont="1" applyFill="1" applyBorder="1"/>
    <xf numFmtId="3" fontId="34" fillId="0" borderId="14" xfId="0" applyNumberFormat="1" applyFont="1" applyFill="1" applyBorder="1"/>
    <xf numFmtId="3" fontId="34" fillId="0" borderId="0" xfId="0" applyNumberFormat="1" applyFont="1" applyFill="1" applyBorder="1"/>
    <xf numFmtId="0" fontId="73" fillId="0" borderId="0" xfId="36" applyFill="1"/>
    <xf numFmtId="166" fontId="63" fillId="0" borderId="0" xfId="1" applyNumberFormat="1" applyFont="1" applyFill="1"/>
    <xf numFmtId="0" fontId="39" fillId="0" borderId="15" xfId="19" applyFont="1" applyFill="1" applyBorder="1" applyAlignment="1">
      <alignment horizontal="left"/>
    </xf>
    <xf numFmtId="0" fontId="39" fillId="0" borderId="16" xfId="19" applyFont="1" applyFill="1" applyBorder="1" applyAlignment="1">
      <alignment horizontal="center"/>
    </xf>
    <xf numFmtId="0" fontId="39" fillId="0" borderId="17" xfId="19" applyFont="1" applyFill="1" applyBorder="1" applyAlignment="1">
      <alignment horizontal="center"/>
    </xf>
    <xf numFmtId="37" fontId="38" fillId="0" borderId="14" xfId="40" applyNumberFormat="1" applyFont="1" applyFill="1" applyBorder="1"/>
    <xf numFmtId="37" fontId="38" fillId="0" borderId="0" xfId="40" applyNumberFormat="1" applyFont="1" applyFill="1" applyBorder="1"/>
    <xf numFmtId="0" fontId="39" fillId="0" borderId="0" xfId="19" applyFont="1" applyFill="1" applyBorder="1" applyAlignment="1">
      <alignment horizontal="center"/>
    </xf>
    <xf numFmtId="37" fontId="42" fillId="0" borderId="0" xfId="40" applyNumberFormat="1" applyFont="1" applyFill="1" applyBorder="1"/>
    <xf numFmtId="37" fontId="38" fillId="0" borderId="18" xfId="40" applyNumberFormat="1" applyFont="1" applyFill="1" applyBorder="1"/>
    <xf numFmtId="0" fontId="38" fillId="0" borderId="0" xfId="19" applyFont="1" applyFill="1" applyBorder="1"/>
    <xf numFmtId="0" fontId="39" fillId="0" borderId="1" xfId="19" applyFont="1" applyFill="1" applyBorder="1" applyAlignment="1">
      <alignment horizontal="center"/>
    </xf>
    <xf numFmtId="0" fontId="38" fillId="0" borderId="18" xfId="19" applyFont="1" applyFill="1" applyBorder="1"/>
    <xf numFmtId="5" fontId="38" fillId="0" borderId="0" xfId="19" applyNumberFormat="1" applyFont="1" applyFill="1" applyBorder="1"/>
    <xf numFmtId="10" fontId="38" fillId="0" borderId="0" xfId="49" applyNumberFormat="1" applyFont="1" applyFill="1" applyBorder="1"/>
    <xf numFmtId="10" fontId="42" fillId="0" borderId="0" xfId="49" applyNumberFormat="1" applyFont="1" applyFill="1" applyBorder="1"/>
    <xf numFmtId="166" fontId="38" fillId="0" borderId="0" xfId="9" applyNumberFormat="1" applyFont="1" applyFill="1" applyBorder="1"/>
    <xf numFmtId="10" fontId="39" fillId="0" borderId="18" xfId="49" applyNumberFormat="1" applyFont="1" applyFill="1" applyBorder="1" applyAlignment="1">
      <alignment horizontal="center"/>
    </xf>
    <xf numFmtId="169" fontId="38" fillId="0" borderId="0" xfId="49" applyNumberFormat="1" applyFont="1" applyFill="1" applyBorder="1"/>
    <xf numFmtId="169" fontId="42" fillId="0" borderId="0" xfId="49" applyNumberFormat="1" applyFont="1" applyFill="1" applyBorder="1"/>
    <xf numFmtId="10" fontId="38" fillId="0" borderId="11" xfId="49" applyNumberFormat="1" applyFont="1" applyFill="1" applyBorder="1"/>
    <xf numFmtId="37" fontId="38" fillId="0" borderId="19" xfId="40" applyNumberFormat="1" applyFont="1" applyFill="1" applyBorder="1"/>
    <xf numFmtId="0" fontId="38" fillId="0" borderId="13" xfId="19" applyFont="1" applyFill="1" applyBorder="1"/>
    <xf numFmtId="166" fontId="38" fillId="0" borderId="13" xfId="9" applyNumberFormat="1" applyFont="1" applyFill="1" applyBorder="1"/>
    <xf numFmtId="10" fontId="38" fillId="0" borderId="13" xfId="49" applyNumberFormat="1" applyFont="1" applyFill="1" applyBorder="1"/>
    <xf numFmtId="10" fontId="42" fillId="0" borderId="13" xfId="49" applyNumberFormat="1" applyFont="1" applyFill="1" applyBorder="1"/>
    <xf numFmtId="37" fontId="38" fillId="0" borderId="20" xfId="40" applyNumberFormat="1" applyFont="1" applyFill="1" applyBorder="1"/>
    <xf numFmtId="37" fontId="39" fillId="0" borderId="18" xfId="40" applyNumberFormat="1" applyFont="1" applyFill="1" applyBorder="1" applyAlignment="1">
      <alignment horizontal="center"/>
    </xf>
    <xf numFmtId="0" fontId="0" fillId="0" borderId="0" xfId="0" applyFill="1"/>
    <xf numFmtId="10" fontId="0" fillId="0" borderId="0" xfId="42" applyNumberFormat="1" applyFont="1" applyFill="1" applyAlignment="1">
      <alignment horizontal="center"/>
    </xf>
    <xf numFmtId="166" fontId="0" fillId="0" borderId="0" xfId="1" applyNumberFormat="1" applyFont="1" applyFill="1"/>
    <xf numFmtId="9" fontId="0" fillId="0" borderId="0" xfId="42" applyFont="1" applyFill="1"/>
    <xf numFmtId="0" fontId="20" fillId="5" borderId="0" xfId="23" applyFont="1" applyFill="1" applyBorder="1"/>
    <xf numFmtId="3" fontId="20" fillId="5" borderId="0" xfId="0" applyNumberFormat="1" applyFont="1" applyFill="1" applyBorder="1"/>
    <xf numFmtId="0" fontId="20" fillId="5" borderId="0" xfId="23" applyFont="1" applyFill="1"/>
    <xf numFmtId="3" fontId="20" fillId="5" borderId="0" xfId="23" applyNumberFormat="1" applyFont="1" applyFill="1"/>
    <xf numFmtId="166" fontId="20" fillId="5" borderId="0" xfId="1" applyNumberFormat="1" applyFont="1" applyFill="1"/>
    <xf numFmtId="172" fontId="20" fillId="5" borderId="0" xfId="23" applyNumberFormat="1" applyFont="1" applyFill="1" applyAlignment="1">
      <alignment horizontal="center"/>
    </xf>
    <xf numFmtId="0" fontId="61" fillId="0" borderId="0" xfId="0" applyFont="1" applyFill="1"/>
    <xf numFmtId="0" fontId="61" fillId="0" borderId="0" xfId="0" applyFont="1" applyFill="1" applyBorder="1"/>
    <xf numFmtId="168" fontId="34" fillId="0" borderId="0" xfId="10" applyNumberFormat="1" applyFont="1" applyFill="1" applyBorder="1"/>
    <xf numFmtId="168" fontId="34" fillId="0" borderId="0" xfId="10" applyNumberFormat="1" applyFont="1" applyFill="1" applyAlignment="1">
      <alignment horizontal="center"/>
    </xf>
    <xf numFmtId="175" fontId="34" fillId="0" borderId="0" xfId="1" applyNumberFormat="1" applyFont="1" applyFill="1" applyAlignment="1">
      <alignment horizontal="center"/>
    </xf>
    <xf numFmtId="10" fontId="34" fillId="0" borderId="0" xfId="42" applyNumberFormat="1" applyFont="1" applyFill="1" applyAlignment="1">
      <alignment horizontal="center"/>
    </xf>
    <xf numFmtId="168" fontId="34" fillId="0" borderId="0" xfId="10" applyNumberFormat="1" applyFont="1" applyFill="1"/>
    <xf numFmtId="168" fontId="34" fillId="0" borderId="1" xfId="10" applyNumberFormat="1" applyFont="1" applyFill="1" applyBorder="1"/>
    <xf numFmtId="168" fontId="34" fillId="0" borderId="1" xfId="10" applyNumberFormat="1" applyFont="1" applyFill="1" applyBorder="1" applyAlignment="1">
      <alignment horizontal="center"/>
    </xf>
    <xf numFmtId="175" fontId="34" fillId="0" borderId="1" xfId="1" applyNumberFormat="1" applyFont="1" applyFill="1" applyBorder="1" applyAlignment="1">
      <alignment horizontal="center"/>
    </xf>
    <xf numFmtId="10" fontId="34" fillId="0" borderId="1" xfId="42" applyNumberFormat="1" applyFont="1" applyFill="1" applyBorder="1" applyAlignment="1">
      <alignment horizontal="center"/>
    </xf>
    <xf numFmtId="166" fontId="34" fillId="0" borderId="0" xfId="1" applyNumberFormat="1" applyFont="1" applyFill="1" applyAlignment="1">
      <alignment horizontal="center"/>
    </xf>
    <xf numFmtId="165" fontId="34" fillId="0" borderId="0" xfId="42" applyNumberFormat="1" applyFont="1" applyFill="1" applyAlignment="1">
      <alignment horizontal="center"/>
    </xf>
    <xf numFmtId="10" fontId="34" fillId="0" borderId="0" xfId="42" applyNumberFormat="1" applyFont="1" applyFill="1" applyBorder="1" applyAlignment="1">
      <alignment horizontal="center"/>
    </xf>
    <xf numFmtId="166" fontId="34" fillId="0" borderId="0" xfId="1" applyNumberFormat="1" applyFont="1" applyFill="1" applyBorder="1"/>
    <xf numFmtId="44" fontId="34" fillId="0" borderId="1" xfId="10" applyNumberFormat="1" applyFont="1" applyFill="1" applyBorder="1"/>
    <xf numFmtId="168" fontId="34" fillId="0" borderId="0" xfId="23" applyNumberFormat="1" applyFont="1" applyFill="1" applyBorder="1"/>
    <xf numFmtId="0" fontId="34" fillId="0" borderId="0" xfId="23" applyFont="1" applyFill="1" applyBorder="1"/>
    <xf numFmtId="168" fontId="34" fillId="0" borderId="0" xfId="42" applyNumberFormat="1" applyFont="1" applyFill="1"/>
    <xf numFmtId="166" fontId="34" fillId="0" borderId="0" xfId="1" applyNumberFormat="1" applyFont="1" applyFill="1"/>
    <xf numFmtId="168" fontId="34" fillId="0" borderId="0" xfId="11" applyNumberFormat="1" applyFont="1" applyFill="1"/>
    <xf numFmtId="168" fontId="34" fillId="0" borderId="0" xfId="11" applyNumberFormat="1" applyFont="1" applyFill="1" applyBorder="1"/>
    <xf numFmtId="9" fontId="34" fillId="0" borderId="0" xfId="42" applyFont="1" applyFill="1"/>
    <xf numFmtId="168" fontId="34" fillId="0" borderId="0" xfId="10" applyNumberFormat="1" applyFont="1" applyFill="1" applyBorder="1" applyAlignment="1">
      <alignment horizontal="center"/>
    </xf>
    <xf numFmtId="168" fontId="34" fillId="0" borderId="0" xfId="42" applyNumberFormat="1" applyFont="1" applyFill="1" applyBorder="1" applyAlignment="1">
      <alignment horizontal="center"/>
    </xf>
    <xf numFmtId="168" fontId="34" fillId="0" borderId="0" xfId="42" applyNumberFormat="1" applyFont="1" applyFill="1" applyAlignment="1">
      <alignment horizontal="center"/>
    </xf>
    <xf numFmtId="10" fontId="34" fillId="0" borderId="0" xfId="42" applyNumberFormat="1" applyFont="1" applyFill="1" applyBorder="1"/>
    <xf numFmtId="10" fontId="34" fillId="0" borderId="0" xfId="42" applyNumberFormat="1" applyFont="1" applyFill="1"/>
    <xf numFmtId="168" fontId="34" fillId="0" borderId="0" xfId="23" applyNumberFormat="1" applyFont="1" applyFill="1"/>
    <xf numFmtId="168" fontId="34" fillId="0" borderId="12" xfId="23" applyNumberFormat="1" applyFont="1" applyFill="1" applyBorder="1"/>
    <xf numFmtId="166" fontId="34" fillId="0" borderId="12" xfId="1" applyNumberFormat="1" applyFont="1" applyFill="1" applyBorder="1"/>
    <xf numFmtId="172" fontId="34" fillId="0" borderId="12" xfId="23" applyNumberFormat="1" applyFont="1" applyFill="1" applyBorder="1" applyAlignment="1">
      <alignment horizontal="center"/>
    </xf>
    <xf numFmtId="3" fontId="34" fillId="0" borderId="12" xfId="23" applyNumberFormat="1" applyFont="1" applyFill="1" applyBorder="1"/>
    <xf numFmtId="168" fontId="34" fillId="0" borderId="12" xfId="10" applyNumberFormat="1" applyFont="1" applyFill="1" applyBorder="1"/>
    <xf numFmtId="0" fontId="34" fillId="0" borderId="21" xfId="23" applyFont="1" applyFill="1" applyBorder="1"/>
    <xf numFmtId="172" fontId="34" fillId="0" borderId="0" xfId="23" applyNumberFormat="1" applyFont="1" applyFill="1" applyBorder="1" applyAlignment="1">
      <alignment horizontal="center"/>
    </xf>
    <xf numFmtId="172" fontId="34" fillId="0" borderId="0" xfId="23" applyNumberFormat="1" applyFont="1" applyFill="1" applyBorder="1"/>
    <xf numFmtId="3" fontId="34" fillId="0" borderId="0" xfId="42" applyNumberFormat="1" applyFont="1" applyFill="1" applyBorder="1" applyAlignment="1">
      <alignment horizontal="center"/>
    </xf>
    <xf numFmtId="3" fontId="34" fillId="0" borderId="0" xfId="0" applyNumberFormat="1" applyFont="1" applyFill="1" applyBorder="1" applyAlignment="1">
      <alignment horizontal="center"/>
    </xf>
    <xf numFmtId="3" fontId="62" fillId="0" borderId="0" xfId="0" applyNumberFormat="1" applyFont="1" applyFill="1" applyBorder="1" applyAlignment="1"/>
    <xf numFmtId="0" fontId="34" fillId="0" borderId="0" xfId="0" applyFont="1" applyFill="1" applyBorder="1" applyAlignment="1">
      <alignment horizontal="center"/>
    </xf>
    <xf numFmtId="165" fontId="34" fillId="0" borderId="0" xfId="42" applyNumberFormat="1" applyFont="1" applyFill="1" applyBorder="1" applyAlignment="1">
      <alignment horizontal="center"/>
    </xf>
    <xf numFmtId="3" fontId="34" fillId="0" borderId="0" xfId="0" applyNumberFormat="1" applyFont="1" applyFill="1" applyBorder="1" applyAlignment="1"/>
    <xf numFmtId="173" fontId="34" fillId="0" borderId="0" xfId="42" applyNumberFormat="1" applyFont="1" applyFill="1" applyBorder="1" applyAlignment="1">
      <alignment horizontal="center"/>
    </xf>
    <xf numFmtId="3" fontId="34" fillId="0" borderId="13" xfId="0" applyNumberFormat="1" applyFont="1" applyFill="1" applyBorder="1" applyAlignment="1"/>
    <xf numFmtId="3" fontId="62" fillId="0" borderId="13" xfId="0" applyNumberFormat="1" applyFont="1" applyFill="1" applyBorder="1" applyAlignment="1"/>
    <xf numFmtId="0" fontId="34" fillId="0" borderId="13" xfId="23" applyFont="1" applyFill="1" applyBorder="1"/>
    <xf numFmtId="168" fontId="44" fillId="0" borderId="0" xfId="10" applyNumberFormat="1" applyFont="1" applyFill="1" applyBorder="1"/>
    <xf numFmtId="176" fontId="34" fillId="0" borderId="0" xfId="42" applyNumberFormat="1" applyFont="1" applyFill="1" applyBorder="1" applyAlignment="1">
      <alignment horizontal="center"/>
    </xf>
    <xf numFmtId="3" fontId="34" fillId="0" borderId="13" xfId="42" applyNumberFormat="1" applyFont="1" applyFill="1" applyBorder="1" applyAlignment="1">
      <alignment horizontal="center"/>
    </xf>
    <xf numFmtId="172" fontId="34" fillId="0" borderId="13" xfId="23" applyNumberFormat="1" applyFont="1" applyFill="1" applyBorder="1"/>
    <xf numFmtId="3" fontId="34" fillId="0" borderId="22" xfId="23" applyNumberFormat="1" applyFont="1" applyFill="1" applyBorder="1"/>
    <xf numFmtId="3" fontId="34" fillId="0" borderId="19" xfId="0" applyNumberFormat="1" applyFont="1" applyFill="1" applyBorder="1"/>
    <xf numFmtId="3" fontId="34" fillId="0" borderId="13" xfId="0" applyNumberFormat="1" applyFont="1" applyFill="1" applyBorder="1"/>
    <xf numFmtId="0" fontId="20" fillId="0" borderId="0" xfId="23" applyFont="1" applyFill="1" applyAlignment="1">
      <alignment horizontal="center" wrapText="1"/>
    </xf>
    <xf numFmtId="0" fontId="65" fillId="0" borderId="0" xfId="34" applyFont="1"/>
    <xf numFmtId="0" fontId="65" fillId="0" borderId="0" xfId="34" applyFont="1" applyFill="1" applyBorder="1" applyAlignment="1">
      <alignment horizontal="center"/>
    </xf>
    <xf numFmtId="0" fontId="65" fillId="0" borderId="0" xfId="34" applyFont="1" applyFill="1" applyAlignment="1">
      <alignment horizontal="center"/>
    </xf>
    <xf numFmtId="0" fontId="65" fillId="0" borderId="0" xfId="34" applyFont="1" applyFill="1"/>
    <xf numFmtId="0" fontId="65" fillId="0" borderId="0" xfId="34" applyFont="1" applyBorder="1"/>
    <xf numFmtId="0" fontId="65" fillId="0" borderId="0" xfId="34" applyFont="1" applyFill="1" applyBorder="1"/>
    <xf numFmtId="0" fontId="66" fillId="0" borderId="0" xfId="34" applyFont="1" applyFill="1"/>
    <xf numFmtId="0" fontId="65" fillId="0" borderId="1" xfId="34" applyFont="1" applyBorder="1"/>
    <xf numFmtId="0" fontId="65" fillId="0" borderId="1" xfId="34" applyFont="1" applyFill="1" applyBorder="1" applyAlignment="1">
      <alignment horizontal="center"/>
    </xf>
    <xf numFmtId="0" fontId="65" fillId="0" borderId="1" xfId="34" applyFont="1" applyFill="1" applyBorder="1"/>
    <xf numFmtId="0" fontId="38" fillId="0" borderId="0" xfId="31" applyFont="1" applyAlignment="1">
      <alignment horizontal="left"/>
    </xf>
    <xf numFmtId="0" fontId="38" fillId="0" borderId="0" xfId="31" applyFont="1" applyBorder="1" applyAlignment="1">
      <alignment horizontal="left"/>
    </xf>
    <xf numFmtId="166" fontId="38" fillId="0" borderId="0" xfId="6" applyNumberFormat="1" applyFont="1" applyFill="1"/>
    <xf numFmtId="10" fontId="67" fillId="0" borderId="0" xfId="42" applyNumberFormat="1" applyFont="1" applyFill="1" applyAlignment="1">
      <alignment horizontal="center"/>
    </xf>
    <xf numFmtId="10" fontId="65" fillId="0" borderId="0" xfId="42" applyNumberFormat="1" applyFont="1" applyFill="1" applyAlignment="1">
      <alignment horizontal="center"/>
    </xf>
    <xf numFmtId="10" fontId="65" fillId="0" borderId="0" xfId="42" applyNumberFormat="1" applyFont="1" applyFill="1" applyBorder="1" applyAlignment="1">
      <alignment horizontal="center"/>
    </xf>
    <xf numFmtId="0" fontId="38" fillId="0" borderId="1" xfId="31" applyFont="1" applyBorder="1" applyAlignment="1">
      <alignment horizontal="left"/>
    </xf>
    <xf numFmtId="166" fontId="38" fillId="0" borderId="1" xfId="6" applyNumberFormat="1" applyFont="1" applyFill="1" applyBorder="1"/>
    <xf numFmtId="10" fontId="65" fillId="0" borderId="1" xfId="42" applyNumberFormat="1" applyFont="1" applyFill="1" applyBorder="1" applyAlignment="1">
      <alignment horizontal="center"/>
    </xf>
    <xf numFmtId="43" fontId="65" fillId="0" borderId="0" xfId="1" applyFont="1" applyFill="1"/>
    <xf numFmtId="43" fontId="68" fillId="0" borderId="0" xfId="1" applyFont="1" applyFill="1"/>
    <xf numFmtId="10" fontId="65" fillId="0" borderId="0" xfId="42" applyNumberFormat="1" applyFont="1" applyFill="1"/>
    <xf numFmtId="0" fontId="38" fillId="0" borderId="3" xfId="31" applyFont="1" applyBorder="1" applyAlignment="1">
      <alignment horizontal="left"/>
    </xf>
    <xf numFmtId="43" fontId="68" fillId="0" borderId="3" xfId="1" applyFont="1" applyFill="1" applyBorder="1"/>
    <xf numFmtId="10" fontId="65" fillId="0" borderId="3" xfId="42" applyNumberFormat="1" applyFont="1" applyFill="1" applyBorder="1"/>
    <xf numFmtId="10" fontId="65" fillId="0" borderId="3" xfId="42" applyNumberFormat="1" applyFont="1" applyFill="1" applyBorder="1" applyAlignment="1">
      <alignment horizontal="center"/>
    </xf>
    <xf numFmtId="166" fontId="68" fillId="0" borderId="0" xfId="6" applyNumberFormat="1" applyFont="1" applyFill="1"/>
    <xf numFmtId="10" fontId="65" fillId="0" borderId="0" xfId="34" applyNumberFormat="1" applyFont="1" applyFill="1" applyAlignment="1">
      <alignment horizontal="center"/>
    </xf>
    <xf numFmtId="166" fontId="65" fillId="0" borderId="0" xfId="1" applyNumberFormat="1" applyFont="1" applyFill="1"/>
    <xf numFmtId="0" fontId="66" fillId="0" borderId="0" xfId="34" applyFont="1"/>
    <xf numFmtId="0" fontId="19" fillId="0" borderId="0" xfId="21" applyFill="1">
      <alignment readingOrder="1"/>
    </xf>
    <xf numFmtId="0" fontId="26" fillId="0" borderId="0" xfId="21" applyFont="1" applyFill="1">
      <alignment readingOrder="1"/>
    </xf>
    <xf numFmtId="3" fontId="19" fillId="0" borderId="0" xfId="21" applyNumberFormat="1" applyFill="1">
      <alignment readingOrder="1"/>
    </xf>
    <xf numFmtId="3" fontId="19" fillId="0" borderId="0" xfId="21" applyNumberFormat="1" applyFill="1" applyBorder="1">
      <alignment readingOrder="1"/>
    </xf>
    <xf numFmtId="167" fontId="19" fillId="0" borderId="0" xfId="21" applyNumberFormat="1" applyFill="1">
      <alignment readingOrder="1"/>
    </xf>
    <xf numFmtId="167" fontId="25" fillId="0" borderId="0" xfId="21" applyNumberFormat="1" applyFont="1" applyFill="1">
      <alignment readingOrder="1"/>
    </xf>
    <xf numFmtId="3" fontId="34" fillId="0" borderId="0" xfId="23" applyNumberFormat="1" applyFont="1" applyFill="1" applyBorder="1" applyAlignment="1">
      <alignment horizontal="center"/>
    </xf>
    <xf numFmtId="3" fontId="38" fillId="0" borderId="0" xfId="23" applyNumberFormat="1" applyFont="1" applyFill="1" applyBorder="1"/>
    <xf numFmtId="3" fontId="34" fillId="0" borderId="0" xfId="23" applyNumberFormat="1" applyFont="1" applyFill="1" applyBorder="1" applyAlignment="1">
      <alignment horizontal="center" vertical="center" wrapText="1"/>
    </xf>
    <xf numFmtId="3" fontId="34" fillId="0" borderId="0" xfId="23" applyNumberFormat="1" applyFont="1" applyFill="1" applyBorder="1" applyAlignment="1">
      <alignment horizontal="center" wrapText="1"/>
    </xf>
    <xf numFmtId="0" fontId="34" fillId="0" borderId="0" xfId="23" applyFont="1" applyFill="1" applyBorder="1" applyAlignment="1">
      <alignment horizontal="center"/>
    </xf>
    <xf numFmtId="0" fontId="74" fillId="0" borderId="0" xfId="34" applyFont="1" applyAlignment="1">
      <alignment horizontal="center"/>
    </xf>
    <xf numFmtId="0" fontId="75" fillId="0" borderId="0" xfId="0" applyFont="1"/>
    <xf numFmtId="0" fontId="76" fillId="0" borderId="0" xfId="0" applyFont="1"/>
    <xf numFmtId="0" fontId="77" fillId="0" borderId="0" xfId="0" applyFont="1"/>
    <xf numFmtId="3" fontId="21" fillId="0" borderId="0" xfId="23" applyNumberFormat="1" applyFont="1" applyFill="1"/>
    <xf numFmtId="168" fontId="34" fillId="0" borderId="0" xfId="11" applyNumberFormat="1" applyFont="1" applyFill="1" applyAlignment="1">
      <alignment horizontal="center"/>
    </xf>
    <xf numFmtId="182" fontId="34" fillId="0" borderId="18" xfId="23" applyNumberFormat="1" applyFont="1" applyFill="1" applyBorder="1" applyAlignment="1">
      <alignment horizontal="center"/>
    </xf>
    <xf numFmtId="0" fontId="73" fillId="0" borderId="0" xfId="36" applyAlignment="1">
      <alignment horizontal="center"/>
    </xf>
    <xf numFmtId="0" fontId="19" fillId="0" borderId="0" xfId="23" applyFill="1" applyAlignment="1">
      <alignment horizontal="center"/>
    </xf>
    <xf numFmtId="164" fontId="19" fillId="0" borderId="0" xfId="23" applyNumberFormat="1" applyFill="1"/>
    <xf numFmtId="3" fontId="19" fillId="0" borderId="0" xfId="23" applyNumberFormat="1" applyFill="1"/>
    <xf numFmtId="3" fontId="19" fillId="0" borderId="1" xfId="23" applyNumberFormat="1" applyFill="1" applyBorder="1"/>
    <xf numFmtId="3" fontId="19" fillId="0" borderId="2" xfId="23" applyNumberFormat="1" applyFill="1" applyBorder="1"/>
    <xf numFmtId="3" fontId="20" fillId="0" borderId="0" xfId="0" applyNumberFormat="1" applyFont="1" applyFill="1" applyAlignment="1">
      <alignment horizontal="right"/>
    </xf>
    <xf numFmtId="37" fontId="0" fillId="0" borderId="0" xfId="0" applyNumberFormat="1"/>
    <xf numFmtId="166" fontId="0" fillId="0" borderId="0" xfId="1" applyNumberFormat="1" applyFont="1"/>
    <xf numFmtId="166" fontId="0" fillId="0" borderId="0" xfId="0" applyNumberFormat="1"/>
    <xf numFmtId="166" fontId="19" fillId="0" borderId="0" xfId="1" applyNumberFormat="1" applyFont="1"/>
    <xf numFmtId="166" fontId="19" fillId="0" borderId="9" xfId="1" applyNumberFormat="1" applyFont="1" applyBorder="1"/>
    <xf numFmtId="0" fontId="19" fillId="0" borderId="0" xfId="0" applyFont="1" applyAlignment="1">
      <alignment horizontal="left"/>
    </xf>
    <xf numFmtId="3" fontId="20" fillId="0" borderId="0" xfId="0" applyNumberFormat="1" applyFont="1" applyFill="1" applyBorder="1" applyAlignment="1">
      <alignment horizontal="center"/>
    </xf>
    <xf numFmtId="0" fontId="19" fillId="0" borderId="0" xfId="0" applyFont="1" applyAlignment="1">
      <alignment horizontal="right"/>
    </xf>
    <xf numFmtId="3" fontId="21" fillId="0" borderId="0" xfId="0" applyNumberFormat="1" applyFont="1" applyFill="1"/>
    <xf numFmtId="0" fontId="13" fillId="0" borderId="0" xfId="51"/>
    <xf numFmtId="0" fontId="13" fillId="0" borderId="0" xfId="51" applyBorder="1"/>
    <xf numFmtId="0" fontId="22" fillId="0" borderId="0" xfId="51" applyFont="1" applyAlignment="1">
      <alignment horizontal="center"/>
    </xf>
    <xf numFmtId="0" fontId="19" fillId="0" borderId="1" xfId="51" applyFont="1" applyFill="1" applyBorder="1" applyAlignment="1">
      <alignment horizontal="center"/>
    </xf>
    <xf numFmtId="0" fontId="13" fillId="0" borderId="1" xfId="51" applyFill="1" applyBorder="1" applyAlignment="1">
      <alignment horizontal="center"/>
    </xf>
    <xf numFmtId="10" fontId="0" fillId="0" borderId="0" xfId="52" applyNumberFormat="1" applyFont="1" applyAlignment="1">
      <alignment horizontal="center"/>
    </xf>
    <xf numFmtId="10" fontId="0" fillId="0" borderId="0" xfId="52" applyNumberFormat="1" applyFont="1" applyFill="1" applyAlignment="1">
      <alignment horizontal="center"/>
    </xf>
    <xf numFmtId="10" fontId="13" fillId="0" borderId="0" xfId="51" applyNumberFormat="1" applyFill="1"/>
    <xf numFmtId="164" fontId="13" fillId="0" borderId="0" xfId="51" applyNumberFormat="1"/>
    <xf numFmtId="164" fontId="13" fillId="0" borderId="0" xfId="51" applyNumberFormat="1" applyFill="1"/>
    <xf numFmtId="3" fontId="13" fillId="0" borderId="0" xfId="51" applyNumberFormat="1"/>
    <xf numFmtId="3" fontId="13" fillId="0" borderId="0" xfId="51" applyNumberFormat="1" applyFill="1"/>
    <xf numFmtId="3" fontId="13" fillId="0" borderId="0" xfId="51" applyNumberFormat="1" applyBorder="1"/>
    <xf numFmtId="3" fontId="13" fillId="0" borderId="1" xfId="51" applyNumberFormat="1" applyFill="1" applyBorder="1"/>
    <xf numFmtId="166" fontId="0" fillId="0" borderId="0" xfId="53" applyNumberFormat="1" applyFont="1"/>
    <xf numFmtId="166" fontId="0" fillId="0" borderId="0" xfId="53" applyNumberFormat="1" applyFont="1" applyFill="1"/>
    <xf numFmtId="166" fontId="13" fillId="0" borderId="0" xfId="51" applyNumberFormat="1"/>
    <xf numFmtId="0" fontId="13" fillId="0" borderId="0" xfId="51" applyAlignment="1">
      <alignment horizontal="center"/>
    </xf>
    <xf numFmtId="0" fontId="26" fillId="0" borderId="0" xfId="0" applyFont="1" applyFill="1">
      <alignment readingOrder="1"/>
    </xf>
    <xf numFmtId="0" fontId="25" fillId="0" borderId="0" xfId="0" applyFont="1" applyFill="1" applyAlignment="1">
      <alignment horizontal="left" indent="1" readingOrder="1"/>
    </xf>
    <xf numFmtId="0" fontId="25" fillId="0" borderId="0" xfId="0" applyFont="1" applyFill="1" applyBorder="1" applyAlignment="1">
      <alignment horizontal="left" indent="1" readingOrder="1"/>
    </xf>
    <xf numFmtId="0" fontId="0" fillId="0" borderId="0" xfId="0" applyFill="1">
      <alignment readingOrder="1"/>
    </xf>
    <xf numFmtId="3" fontId="81" fillId="0" borderId="0" xfId="54" applyNumberFormat="1" applyFont="1" applyFill="1"/>
    <xf numFmtId="0" fontId="19" fillId="0" borderId="0" xfId="21" applyFont="1" applyFill="1" applyAlignment="1">
      <alignment horizontal="center" readingOrder="1"/>
    </xf>
    <xf numFmtId="0" fontId="19" fillId="0" borderId="0" xfId="0" applyFont="1" applyAlignment="1">
      <alignment horizontal="center"/>
    </xf>
    <xf numFmtId="0" fontId="25" fillId="0" borderId="0" xfId="21" applyFont="1" applyFill="1">
      <alignment readingOrder="1"/>
    </xf>
    <xf numFmtId="10" fontId="70" fillId="0" borderId="0" xfId="42" applyNumberFormat="1" applyFont="1"/>
    <xf numFmtId="0" fontId="19" fillId="0" borderId="0" xfId="23"/>
    <xf numFmtId="0" fontId="78" fillId="0" borderId="0" xfId="41" applyNumberFormat="1" applyFont="1" applyFill="1" applyAlignment="1">
      <alignment horizontal="center"/>
    </xf>
    <xf numFmtId="3" fontId="79" fillId="0" borderId="0" xfId="41" applyNumberFormat="1" applyFont="1"/>
    <xf numFmtId="0" fontId="82" fillId="0" borderId="0" xfId="41" applyNumberFormat="1" applyFont="1" applyAlignment="1">
      <alignment horizontal="center"/>
    </xf>
    <xf numFmtId="0" fontId="39" fillId="0" borderId="1" xfId="0" applyFont="1" applyBorder="1"/>
    <xf numFmtId="0" fontId="78" fillId="0" borderId="1" xfId="41" applyFont="1" applyBorder="1"/>
    <xf numFmtId="3" fontId="79" fillId="0" borderId="1" xfId="41" applyNumberFormat="1" applyFont="1" applyBorder="1"/>
    <xf numFmtId="0" fontId="78" fillId="0" borderId="0" xfId="41" applyNumberFormat="1" applyFont="1" applyAlignment="1">
      <alignment horizontal="center"/>
    </xf>
    <xf numFmtId="0" fontId="79" fillId="0" borderId="0" xfId="41" applyFont="1" applyFill="1"/>
    <xf numFmtId="0" fontId="21" fillId="0" borderId="0" xfId="0" applyFont="1"/>
    <xf numFmtId="10" fontId="78" fillId="0" borderId="0" xfId="41" applyNumberFormat="1" applyFont="1"/>
    <xf numFmtId="0" fontId="78" fillId="0" borderId="0" xfId="41" applyFont="1"/>
    <xf numFmtId="3" fontId="79" fillId="0" borderId="0" xfId="41" applyNumberFormat="1" applyFont="1" applyBorder="1"/>
    <xf numFmtId="10" fontId="20" fillId="0" borderId="0" xfId="42" applyNumberFormat="1" applyFont="1" applyFill="1" applyAlignment="1">
      <alignment horizontal="right"/>
    </xf>
    <xf numFmtId="166" fontId="38" fillId="0" borderId="3" xfId="6" applyNumberFormat="1" applyFont="1" applyFill="1" applyBorder="1"/>
    <xf numFmtId="166" fontId="39" fillId="0" borderId="12" xfId="6" applyNumberFormat="1" applyFont="1" applyFill="1" applyBorder="1"/>
    <xf numFmtId="166" fontId="39" fillId="0" borderId="0" xfId="6" applyNumberFormat="1" applyFont="1" applyFill="1" applyBorder="1"/>
    <xf numFmtId="166" fontId="39" fillId="0" borderId="13" xfId="6" applyNumberFormat="1" applyFont="1" applyFill="1" applyBorder="1"/>
    <xf numFmtId="37" fontId="83" fillId="0" borderId="0" xfId="23" applyNumberFormat="1" applyFont="1" applyFill="1"/>
    <xf numFmtId="37" fontId="83" fillId="0" borderId="0" xfId="1" applyNumberFormat="1" applyFont="1" applyFill="1"/>
    <xf numFmtId="0" fontId="19" fillId="0" borderId="0" xfId="23"/>
    <xf numFmtId="3" fontId="21" fillId="0" borderId="0" xfId="40" quotePrefix="1" applyNumberFormat="1" applyFont="1" applyFill="1" applyBorder="1" applyAlignment="1">
      <alignment horizontal="center"/>
    </xf>
    <xf numFmtId="5" fontId="20" fillId="0" borderId="0" xfId="23" applyNumberFormat="1" applyFont="1" applyBorder="1" applyProtection="1">
      <protection locked="0"/>
    </xf>
    <xf numFmtId="37" fontId="20" fillId="0" borderId="0" xfId="23" applyNumberFormat="1" applyFont="1" applyBorder="1" applyProtection="1">
      <protection locked="0"/>
    </xf>
    <xf numFmtId="37" fontId="20" fillId="0" borderId="1" xfId="23" applyNumberFormat="1" applyFont="1" applyBorder="1" applyProtection="1">
      <protection locked="0"/>
    </xf>
    <xf numFmtId="37" fontId="20" fillId="0" borderId="0" xfId="23" applyNumberFormat="1" applyFont="1" applyBorder="1"/>
    <xf numFmtId="37" fontId="20" fillId="0" borderId="0" xfId="23" applyNumberFormat="1" applyFont="1" applyFill="1" applyBorder="1"/>
    <xf numFmtId="37" fontId="20" fillId="0" borderId="1" xfId="23" applyNumberFormat="1" applyFont="1" applyBorder="1"/>
    <xf numFmtId="37" fontId="20" fillId="0" borderId="0" xfId="23" applyNumberFormat="1" applyFont="1" applyFill="1" applyBorder="1" applyProtection="1">
      <protection locked="0"/>
    </xf>
    <xf numFmtId="164" fontId="20" fillId="0" borderId="0" xfId="23" applyNumberFormat="1" applyFont="1" applyFill="1"/>
    <xf numFmtId="5" fontId="20" fillId="0" borderId="11" xfId="23" applyNumberFormat="1" applyFont="1" applyBorder="1" applyProtection="1">
      <protection locked="0"/>
    </xf>
    <xf numFmtId="37" fontId="20" fillId="0" borderId="9" xfId="23" applyNumberFormat="1" applyFont="1" applyFill="1" applyBorder="1" applyProtection="1">
      <protection locked="0"/>
    </xf>
    <xf numFmtId="37" fontId="20" fillId="0" borderId="0" xfId="23" applyNumberFormat="1" applyFont="1" applyFill="1" applyBorder="1" applyAlignment="1" applyProtection="1">
      <alignment horizontal="center"/>
      <protection locked="0"/>
    </xf>
    <xf numFmtId="37" fontId="20" fillId="0" borderId="0" xfId="23" applyNumberFormat="1" applyFont="1" applyFill="1" applyBorder="1" applyAlignment="1" applyProtection="1">
      <alignment horizontal="right"/>
      <protection locked="0"/>
    </xf>
    <xf numFmtId="5" fontId="20" fillId="0" borderId="11" xfId="23" applyNumberFormat="1" applyFont="1" applyFill="1" applyBorder="1"/>
    <xf numFmtId="37" fontId="20" fillId="0" borderId="9" xfId="0" applyNumberFormat="1" applyFont="1" applyFill="1" applyBorder="1" applyProtection="1">
      <protection locked="0"/>
    </xf>
    <xf numFmtId="37" fontId="20" fillId="0" borderId="9" xfId="0" applyNumberFormat="1" applyFont="1" applyFill="1" applyBorder="1"/>
    <xf numFmtId="5" fontId="20" fillId="0" borderId="11" xfId="0" applyNumberFormat="1" applyFont="1" applyFill="1" applyBorder="1"/>
    <xf numFmtId="37" fontId="21" fillId="0" borderId="9" xfId="0" applyNumberFormat="1" applyFont="1" applyFill="1" applyBorder="1" applyProtection="1">
      <protection locked="0"/>
    </xf>
    <xf numFmtId="37" fontId="20" fillId="0" borderId="2" xfId="0" applyNumberFormat="1" applyFont="1" applyFill="1" applyBorder="1" applyProtection="1">
      <protection locked="0"/>
    </xf>
    <xf numFmtId="166" fontId="65" fillId="0" borderId="0" xfId="6" applyNumberFormat="1" applyFont="1" applyFill="1"/>
    <xf numFmtId="0" fontId="19" fillId="0" borderId="0" xfId="23" applyFont="1" applyFill="1" applyAlignment="1">
      <alignment horizontal="center"/>
    </xf>
    <xf numFmtId="0" fontId="19" fillId="0" borderId="9" xfId="23" applyFill="1" applyBorder="1" applyAlignment="1">
      <alignment horizontal="center"/>
    </xf>
    <xf numFmtId="10" fontId="19" fillId="0" borderId="0" xfId="23" applyNumberFormat="1" applyFill="1"/>
    <xf numFmtId="168" fontId="0" fillId="0" borderId="0" xfId="11" applyNumberFormat="1" applyFont="1" applyFill="1"/>
    <xf numFmtId="166" fontId="19" fillId="0" borderId="0" xfId="23" applyNumberFormat="1" applyFill="1"/>
    <xf numFmtId="0" fontId="65" fillId="0" borderId="22" xfId="34" applyFont="1" applyFill="1" applyBorder="1"/>
    <xf numFmtId="0" fontId="65" fillId="0" borderId="12" xfId="34" applyFont="1" applyFill="1" applyBorder="1"/>
    <xf numFmtId="10" fontId="65" fillId="0" borderId="12" xfId="42" applyNumberFormat="1" applyFont="1" applyFill="1" applyBorder="1" applyAlignment="1">
      <alignment horizontal="center"/>
    </xf>
    <xf numFmtId="166" fontId="38" fillId="0" borderId="12" xfId="6" applyNumberFormat="1" applyFont="1" applyFill="1" applyBorder="1"/>
    <xf numFmtId="10" fontId="65" fillId="0" borderId="21" xfId="34" applyNumberFormat="1" applyFont="1" applyFill="1" applyBorder="1" applyAlignment="1">
      <alignment horizontal="center"/>
    </xf>
    <xf numFmtId="0" fontId="65" fillId="0" borderId="14" xfId="34" applyFont="1" applyFill="1" applyBorder="1"/>
    <xf numFmtId="166" fontId="38" fillId="0" borderId="0" xfId="6" applyNumberFormat="1" applyFont="1" applyFill="1" applyBorder="1"/>
    <xf numFmtId="10" fontId="65" fillId="0" borderId="18" xfId="34" applyNumberFormat="1" applyFont="1" applyFill="1" applyBorder="1" applyAlignment="1">
      <alignment horizontal="center"/>
    </xf>
    <xf numFmtId="0" fontId="65" fillId="0" borderId="19" xfId="34" applyFont="1" applyFill="1" applyBorder="1"/>
    <xf numFmtId="0" fontId="65" fillId="0" borderId="13" xfId="34" applyFont="1" applyFill="1" applyBorder="1"/>
    <xf numFmtId="10" fontId="65" fillId="0" borderId="13" xfId="42" applyNumberFormat="1" applyFont="1" applyFill="1" applyBorder="1" applyAlignment="1">
      <alignment horizontal="center"/>
    </xf>
    <xf numFmtId="10" fontId="65" fillId="0" borderId="20" xfId="34" applyNumberFormat="1" applyFont="1" applyFill="1" applyBorder="1" applyAlignment="1">
      <alignment horizontal="center"/>
    </xf>
    <xf numFmtId="10" fontId="66" fillId="0" borderId="0" xfId="42" applyNumberFormat="1" applyFont="1" applyFill="1" applyBorder="1"/>
    <xf numFmtId="0" fontId="66" fillId="0" borderId="0" xfId="34" applyFont="1" applyBorder="1"/>
    <xf numFmtId="10" fontId="34" fillId="0" borderId="9" xfId="42" applyNumberFormat="1" applyFont="1" applyFill="1" applyBorder="1" applyAlignment="1">
      <alignment horizontal="center"/>
    </xf>
    <xf numFmtId="168" fontId="34" fillId="0" borderId="9" xfId="10" applyNumberFormat="1" applyFont="1" applyFill="1" applyBorder="1"/>
    <xf numFmtId="168" fontId="34" fillId="0" borderId="11" xfId="10" applyNumberFormat="1" applyFont="1" applyFill="1" applyBorder="1"/>
    <xf numFmtId="168" fontId="34" fillId="0" borderId="9" xfId="10" applyNumberFormat="1" applyFont="1" applyFill="1" applyBorder="1" applyAlignment="1">
      <alignment horizontal="center"/>
    </xf>
    <xf numFmtId="168" fontId="34" fillId="0" borderId="11" xfId="10" applyNumberFormat="1" applyFont="1" applyFill="1" applyBorder="1" applyAlignment="1">
      <alignment horizontal="center"/>
    </xf>
    <xf numFmtId="10" fontId="34" fillId="0" borderId="11" xfId="42" applyNumberFormat="1" applyFont="1" applyFill="1" applyBorder="1" applyAlignment="1">
      <alignment horizontal="center"/>
    </xf>
    <xf numFmtId="0" fontId="19" fillId="0" borderId="0" xfId="23"/>
    <xf numFmtId="0" fontId="19" fillId="0" borderId="0" xfId="23" applyAlignment="1">
      <alignment horizontal="center"/>
    </xf>
    <xf numFmtId="171" fontId="73" fillId="0" borderId="0" xfId="36" applyNumberFormat="1" applyFill="1"/>
    <xf numFmtId="168" fontId="34" fillId="0" borderId="2" xfId="10" applyNumberFormat="1" applyFont="1" applyFill="1" applyBorder="1" applyAlignment="1">
      <alignment horizontal="center"/>
    </xf>
    <xf numFmtId="3" fontId="19" fillId="0" borderId="0" xfId="23" applyNumberFormat="1" applyFill="1" applyBorder="1"/>
    <xf numFmtId="3" fontId="19" fillId="0" borderId="9" xfId="23" applyNumberFormat="1" applyFill="1" applyBorder="1"/>
    <xf numFmtId="0" fontId="11" fillId="0" borderId="0" xfId="51" applyFont="1"/>
    <xf numFmtId="0" fontId="10" fillId="0" borderId="0" xfId="51" applyFont="1"/>
    <xf numFmtId="3" fontId="19" fillId="0" borderId="9" xfId="23" applyNumberFormat="1" applyBorder="1"/>
    <xf numFmtId="0" fontId="39" fillId="0" borderId="0" xfId="0" applyFont="1" applyAlignment="1">
      <alignment horizontal="centerContinuous"/>
    </xf>
    <xf numFmtId="0" fontId="89" fillId="0" borderId="0" xfId="0" applyFont="1" applyAlignment="1">
      <alignment horizontal="centerContinuous"/>
    </xf>
    <xf numFmtId="0" fontId="38" fillId="0" borderId="0" xfId="0" applyFont="1"/>
    <xf numFmtId="0" fontId="90" fillId="0" borderId="0" xfId="0" applyFont="1"/>
    <xf numFmtId="0" fontId="39" fillId="0" borderId="0" xfId="0" applyFont="1" applyAlignment="1">
      <alignment horizontal="center"/>
    </xf>
    <xf numFmtId="0" fontId="89" fillId="0" borderId="0" xfId="0" applyFont="1" applyBorder="1" applyAlignment="1">
      <alignment horizontal="center"/>
    </xf>
    <xf numFmtId="0" fontId="39" fillId="0" borderId="1" xfId="0" applyFont="1" applyBorder="1" applyAlignment="1">
      <alignment horizontal="center"/>
    </xf>
    <xf numFmtId="0" fontId="39" fillId="0" borderId="0" xfId="0" applyFont="1" applyBorder="1" applyAlignment="1">
      <alignment horizontal="center"/>
    </xf>
    <xf numFmtId="0" fontId="89" fillId="0" borderId="1" xfId="0" applyFont="1" applyBorder="1" applyAlignment="1">
      <alignment horizontal="center"/>
    </xf>
    <xf numFmtId="0" fontId="38" fillId="0" borderId="0" xfId="0" applyFont="1" applyAlignment="1">
      <alignment horizontal="center"/>
    </xf>
    <xf numFmtId="0" fontId="39" fillId="0" borderId="0" xfId="0" applyFont="1"/>
    <xf numFmtId="183" fontId="90" fillId="0" borderId="0" xfId="0" applyNumberFormat="1" applyFont="1"/>
    <xf numFmtId="183" fontId="39" fillId="0" borderId="0" xfId="0" applyNumberFormat="1" applyFont="1"/>
    <xf numFmtId="183" fontId="38" fillId="0" borderId="0" xfId="0" applyNumberFormat="1" applyFont="1"/>
    <xf numFmtId="183" fontId="90" fillId="0" borderId="2" xfId="0" applyNumberFormat="1" applyFont="1" applyBorder="1"/>
    <xf numFmtId="183" fontId="90" fillId="0" borderId="0" xfId="0" applyNumberFormat="1" applyFont="1" applyBorder="1"/>
    <xf numFmtId="10" fontId="91" fillId="0" borderId="0" xfId="0" applyNumberFormat="1" applyFont="1"/>
    <xf numFmtId="183" fontId="90" fillId="0" borderId="1" xfId="0" applyNumberFormat="1" applyFont="1" applyBorder="1"/>
    <xf numFmtId="10" fontId="14" fillId="0" borderId="0" xfId="42" applyNumberFormat="1" applyFont="1"/>
    <xf numFmtId="0" fontId="9" fillId="0" borderId="0" xfId="34" applyFont="1" applyAlignment="1">
      <alignment horizontal="center"/>
    </xf>
    <xf numFmtId="0" fontId="14" fillId="0" borderId="0" xfId="34" applyFont="1"/>
    <xf numFmtId="0" fontId="14" fillId="0" borderId="0" xfId="34" applyFont="1" applyAlignment="1">
      <alignment horizontal="center"/>
    </xf>
    <xf numFmtId="0" fontId="26" fillId="0" borderId="0" xfId="21" applyFont="1" applyFill="1" applyAlignment="1">
      <alignment horizontal="center" readingOrder="1"/>
    </xf>
    <xf numFmtId="10" fontId="65" fillId="0" borderId="26" xfId="34" applyNumberFormat="1" applyFont="1" applyFill="1" applyBorder="1" applyAlignment="1">
      <alignment horizontal="center"/>
    </xf>
    <xf numFmtId="3" fontId="33" fillId="0" borderId="0" xfId="0" applyNumberFormat="1" applyFont="1" applyFill="1" applyBorder="1" applyAlignment="1">
      <alignment horizontal="center"/>
    </xf>
    <xf numFmtId="10" fontId="60" fillId="0" borderId="0" xfId="42" applyNumberFormat="1" applyFont="1" applyFill="1" applyBorder="1" applyAlignment="1">
      <alignment horizontal="center"/>
    </xf>
    <xf numFmtId="3" fontId="20" fillId="0" borderId="0" xfId="0" applyNumberFormat="1" applyFont="1" applyFill="1" applyBorder="1" applyAlignment="1"/>
    <xf numFmtId="37" fontId="21" fillId="0" borderId="11" xfId="0" applyNumberFormat="1" applyFont="1" applyFill="1" applyBorder="1" applyProtection="1">
      <protection locked="0"/>
    </xf>
    <xf numFmtId="10" fontId="20" fillId="0" borderId="0" xfId="42" applyNumberFormat="1" applyFont="1" applyFill="1" applyBorder="1" applyProtection="1">
      <protection locked="0"/>
    </xf>
    <xf numFmtId="3" fontId="21" fillId="0" borderId="0" xfId="0" applyNumberFormat="1" applyFont="1" applyFill="1" applyAlignment="1">
      <alignment horizontal="left"/>
    </xf>
    <xf numFmtId="0" fontId="8" fillId="0" borderId="0" xfId="51" applyFont="1"/>
    <xf numFmtId="3" fontId="79" fillId="0" borderId="0" xfId="41" applyNumberFormat="1" applyFont="1" applyAlignment="1">
      <alignment horizontal="center"/>
    </xf>
    <xf numFmtId="5" fontId="20" fillId="0" borderId="0" xfId="0" applyNumberFormat="1" applyFont="1" applyFill="1" applyBorder="1"/>
    <xf numFmtId="164" fontId="34" fillId="0" borderId="0" xfId="10" applyNumberFormat="1" applyFont="1" applyFill="1" applyBorder="1" applyAlignment="1">
      <alignment horizontal="center"/>
    </xf>
    <xf numFmtId="172" fontId="38" fillId="0" borderId="0" xfId="23" applyNumberFormat="1" applyFont="1" applyFill="1" applyBorder="1" applyAlignment="1">
      <alignment horizontal="center"/>
    </xf>
    <xf numFmtId="168" fontId="34" fillId="0" borderId="18" xfId="10" applyNumberFormat="1" applyFont="1" applyFill="1" applyBorder="1"/>
    <xf numFmtId="3" fontId="20" fillId="0" borderId="0" xfId="0" applyNumberFormat="1" applyFont="1" applyFill="1" applyAlignment="1">
      <alignment vertical="top"/>
    </xf>
    <xf numFmtId="3" fontId="19" fillId="0" borderId="0" xfId="21" applyNumberFormat="1" applyFill="1" applyBorder="1">
      <alignment readingOrder="1"/>
    </xf>
    <xf numFmtId="3" fontId="19" fillId="0" borderId="0" xfId="21" applyNumberFormat="1" applyFill="1">
      <alignment readingOrder="1"/>
    </xf>
    <xf numFmtId="0" fontId="20" fillId="0" borderId="0" xfId="0" applyFont="1"/>
    <xf numFmtId="10" fontId="20" fillId="0" borderId="0" xfId="0" applyNumberFormat="1" applyFont="1"/>
    <xf numFmtId="0" fontId="92" fillId="0" borderId="0" xfId="0" applyFont="1"/>
    <xf numFmtId="10" fontId="92" fillId="0" borderId="0" xfId="0" applyNumberFormat="1" applyFont="1" applyBorder="1"/>
    <xf numFmtId="10" fontId="92" fillId="0" borderId="0" xfId="0" applyNumberFormat="1" applyFont="1"/>
    <xf numFmtId="3" fontId="78" fillId="0" borderId="0" xfId="41" applyNumberFormat="1" applyFont="1"/>
    <xf numFmtId="10" fontId="78" fillId="0" borderId="0" xfId="42" applyNumberFormat="1" applyFont="1"/>
    <xf numFmtId="3" fontId="21" fillId="0" borderId="0" xfId="0" applyNumberFormat="1" applyFont="1" applyFill="1" applyAlignment="1">
      <alignment vertical="top"/>
    </xf>
    <xf numFmtId="3" fontId="21" fillId="0" borderId="0" xfId="0" applyNumberFormat="1" applyFont="1" applyFill="1" applyAlignment="1"/>
    <xf numFmtId="0" fontId="39" fillId="0" borderId="0" xfId="0" applyFont="1" applyAlignment="1">
      <alignment horizontal="center"/>
    </xf>
    <xf numFmtId="5" fontId="38" fillId="0" borderId="0" xfId="0" applyNumberFormat="1" applyFont="1"/>
    <xf numFmtId="169" fontId="38" fillId="0" borderId="0" xfId="42" applyNumberFormat="1" applyFont="1" applyBorder="1"/>
    <xf numFmtId="5" fontId="38" fillId="0" borderId="0" xfId="0" applyNumberFormat="1" applyFont="1" applyFill="1"/>
    <xf numFmtId="5" fontId="38" fillId="0" borderId="1" xfId="0" applyNumberFormat="1" applyFont="1" applyBorder="1"/>
    <xf numFmtId="5" fontId="38" fillId="0" borderId="0" xfId="0" applyNumberFormat="1" applyFont="1" applyBorder="1"/>
    <xf numFmtId="184" fontId="38" fillId="0" borderId="0" xfId="0" applyNumberFormat="1" applyFont="1"/>
    <xf numFmtId="6" fontId="39" fillId="0" borderId="0" xfId="0" applyNumberFormat="1" applyFont="1"/>
    <xf numFmtId="37" fontId="38" fillId="0" borderId="0" xfId="40" applyNumberFormat="1" applyFont="1"/>
    <xf numFmtId="0" fontId="38" fillId="0" borderId="0" xfId="0" applyFont="1" applyFill="1" applyBorder="1"/>
    <xf numFmtId="5" fontId="38" fillId="0" borderId="0" xfId="0" applyNumberFormat="1" applyFont="1" applyFill="1" applyBorder="1"/>
    <xf numFmtId="10" fontId="38" fillId="0" borderId="0" xfId="42" applyNumberFormat="1" applyFont="1" applyBorder="1"/>
    <xf numFmtId="0" fontId="38" fillId="0" borderId="0" xfId="40" applyFont="1"/>
    <xf numFmtId="0" fontId="38" fillId="0" borderId="0" xfId="40" applyFont="1" applyBorder="1"/>
    <xf numFmtId="185" fontId="38" fillId="0" borderId="0" xfId="1" applyNumberFormat="1" applyFont="1"/>
    <xf numFmtId="185" fontId="38" fillId="0" borderId="0" xfId="0" applyNumberFormat="1" applyFont="1" applyBorder="1"/>
    <xf numFmtId="0" fontId="38" fillId="0" borderId="0" xfId="0" applyFont="1" applyBorder="1"/>
    <xf numFmtId="5" fontId="39" fillId="0" borderId="0" xfId="0" applyNumberFormat="1" applyFont="1" applyBorder="1"/>
    <xf numFmtId="10" fontId="39" fillId="0" borderId="0" xfId="42" applyNumberFormat="1" applyFont="1" applyBorder="1"/>
    <xf numFmtId="0" fontId="0" fillId="0" borderId="0" xfId="0" applyBorder="1"/>
    <xf numFmtId="0" fontId="39" fillId="0" borderId="0" xfId="0" applyFont="1" applyAlignment="1">
      <alignment horizontal="center"/>
    </xf>
    <xf numFmtId="10" fontId="60" fillId="0" borderId="0" xfId="42" applyNumberFormat="1" applyFont="1" applyFill="1" applyBorder="1" applyAlignment="1">
      <alignment horizontal="center"/>
    </xf>
    <xf numFmtId="0" fontId="0" fillId="0" borderId="0" xfId="0" quotePrefix="1" applyAlignment="1">
      <alignment vertical="top"/>
    </xf>
    <xf numFmtId="168" fontId="60" fillId="0" borderId="0" xfId="10" quotePrefix="1" applyNumberFormat="1" applyFont="1" applyFill="1" applyBorder="1" applyAlignment="1">
      <alignment horizontal="center"/>
    </xf>
    <xf numFmtId="0" fontId="20" fillId="0" borderId="0" xfId="23" applyFont="1" applyFill="1" applyAlignment="1">
      <alignment vertical="top"/>
    </xf>
    <xf numFmtId="0" fontId="96" fillId="0" borderId="0" xfId="0" applyFont="1"/>
    <xf numFmtId="3" fontId="93" fillId="0" borderId="0" xfId="23" applyNumberFormat="1" applyFont="1" applyFill="1" applyBorder="1" applyAlignment="1">
      <alignment horizontal="center" wrapText="1"/>
    </xf>
    <xf numFmtId="0" fontId="79" fillId="0" borderId="0" xfId="41" applyNumberFormat="1" applyFont="1" applyAlignment="1">
      <alignment horizontal="left"/>
    </xf>
    <xf numFmtId="3" fontId="20" fillId="0" borderId="0" xfId="0" applyNumberFormat="1" applyFont="1" applyFill="1" applyAlignment="1">
      <alignment horizontal="center" wrapText="1"/>
    </xf>
    <xf numFmtId="0" fontId="21" fillId="0" borderId="1" xfId="0" applyFont="1" applyBorder="1" applyAlignment="1">
      <alignment horizontal="center"/>
    </xf>
    <xf numFmtId="3" fontId="33" fillId="0" borderId="0" xfId="23" applyNumberFormat="1" applyFont="1" applyFill="1" applyBorder="1" applyAlignment="1"/>
    <xf numFmtId="182" fontId="38" fillId="0" borderId="0" xfId="23" applyNumberFormat="1" applyFont="1" applyFill="1"/>
    <xf numFmtId="183" fontId="20" fillId="0" borderId="0" xfId="23" applyNumberFormat="1" applyFont="1" applyFill="1"/>
    <xf numFmtId="0" fontId="70" fillId="8" borderId="0" xfId="34" applyFill="1"/>
    <xf numFmtId="10" fontId="60" fillId="0" borderId="0" xfId="42" applyNumberFormat="1" applyFont="1" applyFill="1" applyBorder="1" applyAlignment="1">
      <alignment horizontal="center"/>
    </xf>
    <xf numFmtId="166" fontId="20" fillId="0" borderId="0" xfId="23" applyNumberFormat="1" applyFont="1" applyFill="1"/>
    <xf numFmtId="37" fontId="20" fillId="0" borderId="1" xfId="23" applyNumberFormat="1" applyFont="1" applyFill="1" applyBorder="1" applyAlignment="1" applyProtection="1">
      <alignment horizontal="right"/>
      <protection locked="0"/>
    </xf>
    <xf numFmtId="166" fontId="19" fillId="0" borderId="0" xfId="1" applyNumberFormat="1" applyFont="1" applyFill="1" applyBorder="1"/>
    <xf numFmtId="3" fontId="34" fillId="0" borderId="0" xfId="23" applyNumberFormat="1" applyFont="1" applyFill="1" applyAlignment="1">
      <alignment vertical="top" wrapText="1"/>
    </xf>
    <xf numFmtId="0" fontId="22" fillId="0" borderId="0" xfId="23" applyFont="1" applyFill="1" applyBorder="1" applyAlignment="1">
      <alignment horizontal="center"/>
    </xf>
    <xf numFmtId="0" fontId="19" fillId="8" borderId="0" xfId="36" applyFont="1" applyFill="1"/>
    <xf numFmtId="0" fontId="73" fillId="8" borderId="0" xfId="36" applyFill="1"/>
    <xf numFmtId="0" fontId="73" fillId="8" borderId="1" xfId="36" applyFill="1" applyBorder="1" applyAlignment="1">
      <alignment horizontal="centerContinuous"/>
    </xf>
    <xf numFmtId="0" fontId="73" fillId="8" borderId="0" xfId="36" applyFill="1" applyAlignment="1">
      <alignment horizontal="center"/>
    </xf>
    <xf numFmtId="0" fontId="54" fillId="8" borderId="0" xfId="36" applyFont="1" applyFill="1" applyAlignment="1">
      <alignment horizontal="center"/>
    </xf>
    <xf numFmtId="3" fontId="73" fillId="8" borderId="0" xfId="36" applyNumberFormat="1" applyFill="1"/>
    <xf numFmtId="3" fontId="73" fillId="8" borderId="1" xfId="36" applyNumberFormat="1" applyFill="1" applyBorder="1"/>
    <xf numFmtId="3" fontId="73" fillId="8" borderId="2" xfId="36" applyNumberFormat="1" applyFill="1" applyBorder="1"/>
    <xf numFmtId="0" fontId="73" fillId="0" borderId="0" xfId="36" applyAlignment="1">
      <alignment horizontal="center"/>
    </xf>
    <xf numFmtId="0" fontId="70" fillId="0" borderId="0" xfId="19" applyFill="1"/>
    <xf numFmtId="0" fontId="4" fillId="0" borderId="0" xfId="51" applyFont="1" applyAlignment="1">
      <alignment horizontal="center"/>
    </xf>
    <xf numFmtId="0" fontId="73" fillId="0" borderId="1" xfId="36" applyFill="1" applyBorder="1" applyAlignment="1">
      <alignment horizontal="centerContinuous"/>
    </xf>
    <xf numFmtId="0" fontId="73" fillId="0" borderId="0" xfId="36" applyFill="1" applyAlignment="1">
      <alignment horizontal="center"/>
    </xf>
    <xf numFmtId="0" fontId="54" fillId="0" borderId="0" xfId="36" applyFont="1" applyFill="1" applyAlignment="1">
      <alignment horizontal="center"/>
    </xf>
    <xf numFmtId="3" fontId="73" fillId="0" borderId="0" xfId="36" applyNumberFormat="1" applyFill="1"/>
    <xf numFmtId="3" fontId="73" fillId="0" borderId="1" xfId="36" applyNumberFormat="1" applyFill="1" applyBorder="1"/>
    <xf numFmtId="3" fontId="73" fillId="0" borderId="2" xfId="36" applyNumberFormat="1" applyFill="1" applyBorder="1"/>
    <xf numFmtId="0" fontId="19" fillId="9" borderId="0" xfId="36" applyFont="1" applyFill="1"/>
    <xf numFmtId="169" fontId="38" fillId="0" borderId="0" xfId="42" applyNumberFormat="1" applyFont="1" applyFill="1" applyBorder="1"/>
    <xf numFmtId="10" fontId="92" fillId="0" borderId="24" xfId="0" applyNumberFormat="1" applyFont="1" applyBorder="1"/>
    <xf numFmtId="10" fontId="78" fillId="0" borderId="24" xfId="41" applyNumberFormat="1" applyFont="1" applyBorder="1"/>
    <xf numFmtId="0" fontId="19" fillId="0" borderId="0" xfId="23"/>
    <xf numFmtId="0" fontId="13" fillId="0" borderId="0" xfId="51" applyFill="1"/>
    <xf numFmtId="166" fontId="13" fillId="0" borderId="0" xfId="51" applyNumberFormat="1" applyFill="1"/>
    <xf numFmtId="0" fontId="39" fillId="0" borderId="0" xfId="0" applyFont="1" applyAlignment="1">
      <alignment horizontal="center"/>
    </xf>
    <xf numFmtId="0" fontId="39" fillId="0" borderId="0" xfId="0" applyFont="1" applyFill="1" applyBorder="1" applyAlignment="1">
      <alignment horizontal="center"/>
    </xf>
    <xf numFmtId="0" fontId="0" fillId="0" borderId="0" xfId="0" applyFill="1" applyBorder="1"/>
    <xf numFmtId="0" fontId="21" fillId="0" borderId="0" xfId="0" applyFont="1" applyFill="1" applyBorder="1" applyAlignment="1">
      <alignment horizontal="center" wrapText="1"/>
    </xf>
    <xf numFmtId="5" fontId="39" fillId="0" borderId="0" xfId="0" applyNumberFormat="1" applyFont="1" applyFill="1" applyBorder="1"/>
    <xf numFmtId="0" fontId="26" fillId="0" borderId="0" xfId="0" applyFont="1" applyFill="1" applyBorder="1" applyAlignment="1">
      <alignment horizontal="center"/>
    </xf>
    <xf numFmtId="10" fontId="39" fillId="0" borderId="0" xfId="42" applyNumberFormat="1" applyFont="1" applyFill="1" applyBorder="1"/>
    <xf numFmtId="37" fontId="21" fillId="0" borderId="0" xfId="0" applyNumberFormat="1" applyFont="1" applyFill="1" applyBorder="1"/>
    <xf numFmtId="0" fontId="0" fillId="0" borderId="0" xfId="0" applyFill="1" applyAlignment="1">
      <alignment horizontal="right"/>
    </xf>
    <xf numFmtId="0" fontId="19" fillId="0" borderId="0" xfId="0" applyFont="1" applyFill="1"/>
    <xf numFmtId="166" fontId="0" fillId="0" borderId="9" xfId="0" applyNumberFormat="1" applyFill="1" applyBorder="1"/>
    <xf numFmtId="166" fontId="0" fillId="0" borderId="0" xfId="0" applyNumberFormat="1" applyFill="1"/>
    <xf numFmtId="0" fontId="73" fillId="0" borderId="1" xfId="36" applyFill="1" applyBorder="1" applyAlignment="1">
      <alignment horizontal="center"/>
    </xf>
    <xf numFmtId="5" fontId="20" fillId="0" borderId="0" xfId="23" applyNumberFormat="1" applyFont="1" applyFill="1" applyBorder="1" applyProtection="1">
      <protection locked="0"/>
    </xf>
    <xf numFmtId="0" fontId="0" fillId="0" borderId="1" xfId="0" applyFill="1" applyBorder="1"/>
    <xf numFmtId="0" fontId="19" fillId="0" borderId="0" xfId="0" applyFont="1" applyFill="1" applyAlignment="1">
      <alignment horizontal="right"/>
    </xf>
    <xf numFmtId="184" fontId="34" fillId="0" borderId="18" xfId="0" applyNumberFormat="1" applyFont="1" applyFill="1" applyBorder="1" applyAlignment="1">
      <alignment horizontal="center"/>
    </xf>
    <xf numFmtId="184" fontId="34" fillId="0" borderId="0" xfId="0" applyNumberFormat="1" applyFont="1" applyFill="1" applyBorder="1" applyAlignment="1">
      <alignment horizontal="center"/>
    </xf>
    <xf numFmtId="0" fontId="19" fillId="0" borderId="0" xfId="23"/>
    <xf numFmtId="0" fontId="19" fillId="0" borderId="0" xfId="23"/>
    <xf numFmtId="0" fontId="73" fillId="0" borderId="0" xfId="36" applyAlignment="1">
      <alignment horizontal="center"/>
    </xf>
    <xf numFmtId="0" fontId="19" fillId="0" borderId="0" xfId="23" applyAlignment="1">
      <alignment horizontal="center"/>
    </xf>
    <xf numFmtId="10" fontId="98" fillId="0" borderId="0" xfId="49" applyNumberFormat="1" applyFont="1" applyFill="1" applyBorder="1"/>
    <xf numFmtId="37" fontId="37" fillId="0" borderId="0" xfId="0" applyNumberFormat="1" applyFont="1"/>
    <xf numFmtId="37" fontId="37" fillId="0" borderId="1" xfId="0" applyNumberFormat="1" applyFont="1" applyBorder="1"/>
    <xf numFmtId="37" fontId="37" fillId="0" borderId="1" xfId="0" applyNumberFormat="1" applyFont="1" applyFill="1" applyBorder="1"/>
    <xf numFmtId="0" fontId="25" fillId="0" borderId="0" xfId="1166" applyFont="1" applyBorder="1" applyAlignment="1">
      <alignment horizontal="left" indent="1" readingOrder="1"/>
    </xf>
    <xf numFmtId="0" fontId="26" fillId="0" borderId="0" xfId="1166" applyFont="1" applyFill="1">
      <alignment readingOrder="1"/>
    </xf>
    <xf numFmtId="0" fontId="25" fillId="0" borderId="0" xfId="1166" applyFont="1" applyAlignment="1">
      <alignment horizontal="left" indent="1" readingOrder="1"/>
    </xf>
    <xf numFmtId="0" fontId="19" fillId="0" borderId="0" xfId="1166" applyBorder="1">
      <alignment readingOrder="1"/>
    </xf>
    <xf numFmtId="3" fontId="73" fillId="0" borderId="9" xfId="36" applyNumberFormat="1" applyBorder="1"/>
    <xf numFmtId="9" fontId="19" fillId="0" borderId="0" xfId="42" applyFont="1" applyFill="1">
      <alignment readingOrder="1"/>
    </xf>
    <xf numFmtId="0" fontId="19" fillId="0" borderId="0" xfId="1166">
      <alignment readingOrder="1"/>
    </xf>
    <xf numFmtId="0" fontId="25" fillId="0" borderId="0" xfId="1166" applyFont="1" applyFill="1" applyBorder="1" applyAlignment="1">
      <alignment horizontal="left" indent="1" readingOrder="1"/>
    </xf>
    <xf numFmtId="167" fontId="19" fillId="0" borderId="0" xfId="1166" applyNumberFormat="1" applyFill="1">
      <alignment readingOrder="1"/>
    </xf>
    <xf numFmtId="0" fontId="80" fillId="0" borderId="0" xfId="1166" applyFont="1" applyAlignment="1">
      <alignment horizontal="left" indent="1" readingOrder="1"/>
    </xf>
    <xf numFmtId="0" fontId="80" fillId="0" borderId="0" xfId="1166" applyFont="1" applyFill="1" applyAlignment="1">
      <alignment horizontal="left" indent="1" readingOrder="1"/>
    </xf>
    <xf numFmtId="3" fontId="19" fillId="0" borderId="0" xfId="1166" applyNumberFormat="1" applyFill="1">
      <alignment readingOrder="1"/>
    </xf>
    <xf numFmtId="3" fontId="81" fillId="0" borderId="0" xfId="3528" applyNumberFormat="1" applyFont="1"/>
    <xf numFmtId="167" fontId="19" fillId="0" borderId="0" xfId="1166" applyNumberFormat="1" applyBorder="1">
      <alignment readingOrder="1"/>
    </xf>
    <xf numFmtId="0" fontId="19" fillId="0" borderId="0" xfId="1166" applyFill="1" applyBorder="1">
      <alignment readingOrder="1"/>
    </xf>
    <xf numFmtId="167" fontId="19" fillId="0" borderId="0" xfId="1166" applyNumberFormat="1" applyFill="1">
      <alignment readingOrder="1"/>
    </xf>
    <xf numFmtId="0" fontId="26" fillId="0" borderId="0" xfId="1166" applyFont="1">
      <alignment readingOrder="1"/>
    </xf>
    <xf numFmtId="3" fontId="80" fillId="0" borderId="0" xfId="3528" applyNumberFormat="1" applyFont="1" applyFill="1" applyAlignment="1">
      <alignment horizontal="left" indent="1"/>
    </xf>
    <xf numFmtId="0" fontId="19" fillId="0" borderId="0" xfId="1166" applyFill="1">
      <alignment readingOrder="1"/>
    </xf>
    <xf numFmtId="0" fontId="19" fillId="0" borderId="0" xfId="1166">
      <alignment readingOrder="1"/>
    </xf>
    <xf numFmtId="167" fontId="0" fillId="0" borderId="0" xfId="0" applyNumberFormat="1"/>
    <xf numFmtId="0" fontId="19" fillId="0" borderId="0" xfId="1166">
      <alignment readingOrder="1"/>
    </xf>
    <xf numFmtId="0" fontId="187" fillId="0" borderId="0" xfId="36" applyFont="1" applyAlignment="1">
      <alignment horizontal="center"/>
    </xf>
    <xf numFmtId="0" fontId="22" fillId="0" borderId="0" xfId="1166" applyFont="1">
      <alignment readingOrder="1"/>
    </xf>
    <xf numFmtId="0" fontId="19" fillId="0" borderId="0" xfId="1166">
      <alignment readingOrder="1"/>
    </xf>
    <xf numFmtId="0" fontId="27" fillId="0" borderId="0" xfId="1166" applyFont="1" applyFill="1">
      <alignment readingOrder="1"/>
    </xf>
    <xf numFmtId="0" fontId="25" fillId="0" borderId="0" xfId="1166" applyFont="1" applyFill="1" applyAlignment="1">
      <alignment horizontal="left" indent="1" readingOrder="1"/>
    </xf>
    <xf numFmtId="0" fontId="19" fillId="0" borderId="0" xfId="1166">
      <alignment readingOrder="1"/>
    </xf>
    <xf numFmtId="0" fontId="26" fillId="0" borderId="0" xfId="1166" applyFont="1" applyFill="1">
      <alignment readingOrder="1"/>
    </xf>
    <xf numFmtId="3" fontId="81" fillId="0" borderId="0" xfId="3528" applyNumberFormat="1" applyFont="1" applyFill="1"/>
    <xf numFmtId="167" fontId="19" fillId="0" borderId="0" xfId="1166" applyNumberFormat="1">
      <alignment readingOrder="1"/>
    </xf>
    <xf numFmtId="0" fontId="80" fillId="0" borderId="0" xfId="1166" applyFont="1" applyBorder="1" applyAlignment="1">
      <alignment horizontal="left" indent="1" readingOrder="1"/>
    </xf>
    <xf numFmtId="3" fontId="19" fillId="0" borderId="0" xfId="1166" applyNumberFormat="1" applyFill="1">
      <alignment readingOrder="1"/>
    </xf>
    <xf numFmtId="37" fontId="37" fillId="0" borderId="0" xfId="0" applyNumberFormat="1" applyFont="1"/>
    <xf numFmtId="0" fontId="0" fillId="0" borderId="0" xfId="0"/>
    <xf numFmtId="7" fontId="37" fillId="0" borderId="0" xfId="0" applyNumberFormat="1" applyFont="1"/>
    <xf numFmtId="180" fontId="37" fillId="0" borderId="0" xfId="0" applyNumberFormat="1" applyFont="1"/>
    <xf numFmtId="178" fontId="37" fillId="0" borderId="0" xfId="0" applyNumberFormat="1" applyFont="1"/>
    <xf numFmtId="179" fontId="37" fillId="0" borderId="0" xfId="0" applyNumberFormat="1" applyFont="1"/>
    <xf numFmtId="0" fontId="0" fillId="0" borderId="0" xfId="0"/>
    <xf numFmtId="0" fontId="37" fillId="0" borderId="0" xfId="0" applyFont="1"/>
    <xf numFmtId="7" fontId="37" fillId="0" borderId="0" xfId="0" applyNumberFormat="1" applyFont="1"/>
    <xf numFmtId="180" fontId="37" fillId="0" borderId="0" xfId="0" applyNumberFormat="1" applyFont="1"/>
    <xf numFmtId="178" fontId="37" fillId="0" borderId="0" xfId="0" applyNumberFormat="1" applyFont="1"/>
    <xf numFmtId="179" fontId="37" fillId="0" borderId="0" xfId="0" applyNumberFormat="1" applyFont="1"/>
    <xf numFmtId="0" fontId="19" fillId="0" borderId="0" xfId="0" applyFont="1"/>
    <xf numFmtId="0" fontId="26" fillId="0" borderId="0" xfId="0" applyFont="1" applyAlignment="1">
      <alignment horizontal="center"/>
    </xf>
    <xf numFmtId="37" fontId="37" fillId="0" borderId="0" xfId="0" applyNumberFormat="1" applyFont="1" applyFill="1"/>
    <xf numFmtId="37" fontId="46" fillId="0" borderId="1" xfId="0" applyNumberFormat="1" applyFont="1" applyFill="1" applyBorder="1"/>
    <xf numFmtId="37" fontId="37" fillId="0" borderId="1" xfId="0" applyNumberFormat="1" applyFont="1" applyFill="1" applyBorder="1"/>
    <xf numFmtId="37" fontId="119" fillId="0" borderId="0" xfId="0" applyNumberFormat="1" applyFont="1" applyFill="1"/>
    <xf numFmtId="37" fontId="50" fillId="0" borderId="0" xfId="0" applyNumberFormat="1" applyFont="1" applyFill="1"/>
    <xf numFmtId="37" fontId="119" fillId="0" borderId="0" xfId="1227" applyNumberFormat="1" applyFont="1" applyFill="1"/>
    <xf numFmtId="166" fontId="50" fillId="0" borderId="0" xfId="1" applyNumberFormat="1" applyFont="1"/>
    <xf numFmtId="166" fontId="50" fillId="0" borderId="0" xfId="1" applyNumberFormat="1" applyFont="1" applyFill="1"/>
    <xf numFmtId="166" fontId="49" fillId="0" borderId="0" xfId="1" applyNumberFormat="1" applyFont="1" applyFill="1"/>
    <xf numFmtId="37" fontId="37" fillId="0" borderId="1" xfId="1227" applyNumberFormat="1" applyFont="1" applyFill="1" applyBorder="1"/>
    <xf numFmtId="37" fontId="37" fillId="0" borderId="0" xfId="1227" applyNumberFormat="1" applyFont="1" applyFill="1"/>
    <xf numFmtId="0" fontId="19" fillId="0" borderId="0" xfId="23"/>
    <xf numFmtId="0" fontId="0" fillId="0" borderId="0" xfId="0" applyBorder="1" applyAlignment="1">
      <alignment horizontal="right"/>
    </xf>
    <xf numFmtId="0" fontId="0" fillId="0" borderId="0" xfId="0" applyBorder="1" applyAlignment="1">
      <alignment horizontal="center"/>
    </xf>
    <xf numFmtId="5" fontId="0" fillId="0" borderId="0" xfId="0" applyNumberFormat="1" applyBorder="1"/>
    <xf numFmtId="165" fontId="0" fillId="0" borderId="0" xfId="42" applyNumberFormat="1" applyFont="1" applyBorder="1"/>
    <xf numFmtId="44" fontId="20" fillId="0" borderId="0" xfId="23" applyNumberFormat="1" applyFont="1" applyFill="1"/>
    <xf numFmtId="166" fontId="20" fillId="0" borderId="0" xfId="1" quotePrefix="1" applyNumberFormat="1" applyFont="1" applyFill="1" applyAlignment="1">
      <alignment horizontal="center"/>
    </xf>
    <xf numFmtId="10" fontId="20" fillId="0" borderId="0" xfId="42" applyNumberFormat="1" applyFont="1" applyFill="1"/>
    <xf numFmtId="0" fontId="19" fillId="0" borderId="0" xfId="23"/>
    <xf numFmtId="172" fontId="34" fillId="0" borderId="1" xfId="1" applyNumberFormat="1" applyFont="1" applyFill="1" applyBorder="1" applyAlignment="1">
      <alignment horizontal="center" vertical="center" wrapText="1"/>
    </xf>
    <xf numFmtId="3" fontId="34" fillId="0" borderId="1" xfId="1" applyNumberFormat="1" applyFont="1" applyFill="1" applyBorder="1" applyAlignment="1">
      <alignment horizontal="center" vertical="center" wrapText="1"/>
    </xf>
    <xf numFmtId="3" fontId="34" fillId="0" borderId="50" xfId="23" applyNumberFormat="1" applyFont="1" applyFill="1" applyBorder="1" applyAlignment="1">
      <alignment horizontal="center"/>
    </xf>
    <xf numFmtId="3" fontId="34" fillId="0" borderId="51" xfId="23" applyNumberFormat="1" applyFont="1" applyFill="1" applyBorder="1" applyAlignment="1">
      <alignment horizontal="center"/>
    </xf>
    <xf numFmtId="3" fontId="34" fillId="0" borderId="51" xfId="23" applyNumberFormat="1" applyFont="1" applyFill="1" applyBorder="1" applyAlignment="1">
      <alignment horizontal="left"/>
    </xf>
    <xf numFmtId="3" fontId="60" fillId="0" borderId="51" xfId="23" applyNumberFormat="1" applyFont="1" applyFill="1" applyBorder="1" applyAlignment="1">
      <alignment horizontal="center"/>
    </xf>
    <xf numFmtId="3" fontId="60" fillId="0" borderId="52" xfId="23" applyNumberFormat="1" applyFont="1" applyFill="1" applyBorder="1" applyAlignment="1">
      <alignment horizontal="center"/>
    </xf>
    <xf numFmtId="10" fontId="38" fillId="0" borderId="0" xfId="42" applyNumberFormat="1" applyFont="1" applyFill="1" applyBorder="1"/>
    <xf numFmtId="184" fontId="38" fillId="0" borderId="0" xfId="0" applyNumberFormat="1" applyFont="1" applyFill="1" applyBorder="1"/>
    <xf numFmtId="166" fontId="20" fillId="0" borderId="1" xfId="1" applyNumberFormat="1" applyFont="1" applyFill="1" applyBorder="1"/>
    <xf numFmtId="37" fontId="20" fillId="0" borderId="0" xfId="23" applyNumberFormat="1" applyFont="1" applyFill="1" applyAlignment="1">
      <alignment horizontal="right"/>
    </xf>
    <xf numFmtId="37" fontId="38" fillId="0" borderId="0" xfId="23" applyNumberFormat="1" applyFont="1" applyFill="1" applyAlignment="1">
      <alignment horizontal="right"/>
    </xf>
    <xf numFmtId="14" fontId="20" fillId="0" borderId="1" xfId="23" applyNumberFormat="1" applyFont="1" applyFill="1" applyBorder="1"/>
    <xf numFmtId="14" fontId="20" fillId="0" borderId="0" xfId="23" applyNumberFormat="1" applyFont="1" applyFill="1" applyBorder="1"/>
    <xf numFmtId="166" fontId="20" fillId="0" borderId="0" xfId="1" applyNumberFormat="1" applyFont="1" applyFill="1" applyBorder="1"/>
    <xf numFmtId="168" fontId="20" fillId="0" borderId="0" xfId="23" applyNumberFormat="1" applyFont="1" applyFill="1" applyBorder="1"/>
    <xf numFmtId="10" fontId="92" fillId="0" borderId="0" xfId="0" applyNumberFormat="1" applyFont="1" applyFill="1" applyBorder="1"/>
    <xf numFmtId="168" fontId="21" fillId="0" borderId="53" xfId="23" applyNumberFormat="1" applyFont="1" applyFill="1" applyBorder="1"/>
    <xf numFmtId="0" fontId="20" fillId="0" borderId="0" xfId="23" applyFont="1" applyFill="1" applyAlignment="1">
      <alignment horizontal="center"/>
    </xf>
    <xf numFmtId="166" fontId="20" fillId="0" borderId="0" xfId="23" applyNumberFormat="1" applyFont="1" applyFill="1" applyAlignment="1">
      <alignment horizontal="center"/>
    </xf>
    <xf numFmtId="166" fontId="0" fillId="0" borderId="0" xfId="1" applyNumberFormat="1" applyFont="1" applyFill="1" applyBorder="1"/>
    <xf numFmtId="3" fontId="34" fillId="0" borderId="50" xfId="23" applyNumberFormat="1" applyFont="1" applyFill="1" applyBorder="1" applyAlignment="1">
      <alignment horizontal="center"/>
    </xf>
    <xf numFmtId="3" fontId="34" fillId="0" borderId="51" xfId="23" applyNumberFormat="1" applyFont="1" applyFill="1" applyBorder="1" applyAlignment="1">
      <alignment horizontal="center"/>
    </xf>
    <xf numFmtId="3" fontId="38" fillId="0" borderId="50" xfId="23" applyNumberFormat="1" applyFont="1" applyFill="1" applyBorder="1" applyAlignment="1">
      <alignment horizontal="center"/>
    </xf>
    <xf numFmtId="3" fontId="33" fillId="0" borderId="52" xfId="23" applyNumberFormat="1" applyFont="1" applyFill="1" applyBorder="1" applyAlignment="1">
      <alignment horizontal="center"/>
    </xf>
    <xf numFmtId="0" fontId="95" fillId="0" borderId="0" xfId="0" applyFont="1" applyAlignment="1">
      <alignment horizontal="center"/>
    </xf>
    <xf numFmtId="10" fontId="60" fillId="0" borderId="0" xfId="42" applyNumberFormat="1" applyFont="1" applyFill="1" applyBorder="1" applyAlignment="1">
      <alignment horizontal="center"/>
    </xf>
    <xf numFmtId="10" fontId="41" fillId="73" borderId="24" xfId="0" applyNumberFormat="1" applyFont="1" applyFill="1" applyBorder="1"/>
    <xf numFmtId="10" fontId="41" fillId="74" borderId="24" xfId="0" applyNumberFormat="1" applyFont="1" applyFill="1" applyBorder="1"/>
    <xf numFmtId="0" fontId="78" fillId="74" borderId="0" xfId="41" applyNumberFormat="1" applyFont="1" applyFill="1" applyAlignment="1">
      <alignment horizontal="center"/>
    </xf>
    <xf numFmtId="0" fontId="92" fillId="0" borderId="0" xfId="0" applyFont="1" applyFill="1" applyAlignment="1">
      <alignment horizontal="center" wrapText="1"/>
    </xf>
    <xf numFmtId="0" fontId="78" fillId="73" borderId="0" xfId="41" applyNumberFormat="1" applyFont="1" applyFill="1" applyAlignment="1">
      <alignment horizontal="center"/>
    </xf>
    <xf numFmtId="10" fontId="188" fillId="74" borderId="27" xfId="0" applyNumberFormat="1" applyFont="1" applyFill="1" applyBorder="1"/>
    <xf numFmtId="10" fontId="188" fillId="73" borderId="27" xfId="0" applyNumberFormat="1" applyFont="1" applyFill="1" applyBorder="1"/>
    <xf numFmtId="0" fontId="92" fillId="0" borderId="0" xfId="1227" applyFont="1" applyFill="1" applyBorder="1" applyAlignment="1">
      <alignment horizontal="left"/>
    </xf>
    <xf numFmtId="166" fontId="92" fillId="0" borderId="0" xfId="23129" applyNumberFormat="1" applyFont="1" applyBorder="1"/>
    <xf numFmtId="173" fontId="92" fillId="0" borderId="0" xfId="1227" applyNumberFormat="1" applyFont="1" applyFill="1" applyBorder="1" applyAlignment="1">
      <alignment horizontal="left"/>
    </xf>
    <xf numFmtId="0" fontId="92" fillId="0" borderId="0" xfId="1227" applyFont="1" applyBorder="1" applyAlignment="1">
      <alignment horizontal="left"/>
    </xf>
    <xf numFmtId="0" fontId="92" fillId="0" borderId="0" xfId="1227" applyFont="1" applyAlignment="1">
      <alignment horizontal="left"/>
    </xf>
    <xf numFmtId="166" fontId="92" fillId="0" borderId="0" xfId="23129" applyNumberFormat="1" applyFont="1"/>
    <xf numFmtId="0" fontId="92" fillId="0" borderId="0" xfId="1227" applyFont="1"/>
    <xf numFmtId="0" fontId="95" fillId="0" borderId="0" xfId="0" applyFont="1" applyAlignment="1"/>
    <xf numFmtId="0" fontId="20" fillId="0" borderId="0" xfId="1227" applyFont="1" applyFill="1" applyBorder="1" applyAlignment="1">
      <alignment horizontal="left"/>
    </xf>
    <xf numFmtId="166" fontId="20" fillId="0" borderId="0" xfId="23129" applyNumberFormat="1" applyFont="1" applyBorder="1"/>
    <xf numFmtId="0" fontId="20" fillId="0" borderId="0" xfId="1227" applyFont="1" applyBorder="1" applyAlignment="1">
      <alignment horizontal="left"/>
    </xf>
    <xf numFmtId="0" fontId="20" fillId="0" borderId="0" xfId="1227" applyFont="1" applyAlignment="1">
      <alignment horizontal="left"/>
    </xf>
    <xf numFmtId="166" fontId="20" fillId="0" borderId="0" xfId="23129" applyNumberFormat="1" applyFont="1"/>
    <xf numFmtId="0" fontId="20" fillId="0" borderId="0" xfId="1227" applyFont="1"/>
    <xf numFmtId="0" fontId="92" fillId="0" borderId="0" xfId="1227" applyFont="1" applyAlignment="1"/>
    <xf numFmtId="3" fontId="20" fillId="0" borderId="1" xfId="0" applyNumberFormat="1" applyFont="1" applyFill="1" applyBorder="1" applyAlignment="1">
      <alignment horizontal="center"/>
    </xf>
    <xf numFmtId="3" fontId="193" fillId="0" borderId="0" xfId="0" applyNumberFormat="1" applyFont="1" applyFill="1" applyBorder="1"/>
    <xf numFmtId="3" fontId="193" fillId="0" borderId="0" xfId="0" applyNumberFormat="1" applyFont="1" applyFill="1"/>
    <xf numFmtId="0" fontId="192" fillId="0" borderId="0" xfId="23" applyFont="1" applyFill="1"/>
    <xf numFmtId="3" fontId="20" fillId="0" borderId="1" xfId="0" applyNumberFormat="1" applyFont="1" applyFill="1" applyBorder="1"/>
    <xf numFmtId="0" fontId="21" fillId="0" borderId="1" xfId="23" applyFont="1" applyFill="1" applyBorder="1"/>
    <xf numFmtId="0" fontId="53" fillId="0" borderId="0" xfId="0" applyFont="1"/>
    <xf numFmtId="3" fontId="194" fillId="0" borderId="0" xfId="41" applyNumberFormat="1" applyFont="1"/>
    <xf numFmtId="0" fontId="194" fillId="0" borderId="0" xfId="41" applyFont="1"/>
    <xf numFmtId="0" fontId="1" fillId="0" borderId="0" xfId="0" applyFont="1"/>
    <xf numFmtId="0" fontId="1" fillId="0" borderId="0" xfId="21" applyFont="1">
      <alignment readingOrder="1"/>
    </xf>
    <xf numFmtId="180" fontId="1" fillId="0" borderId="0" xfId="23" applyNumberFormat="1" applyFont="1" applyAlignment="1">
      <alignment horizontal="left" indent="1"/>
    </xf>
    <xf numFmtId="0" fontId="78" fillId="0" borderId="0" xfId="41" applyFont="1" applyFill="1"/>
    <xf numFmtId="0" fontId="19" fillId="0" borderId="0" xfId="1227"/>
    <xf numFmtId="0" fontId="21" fillId="0" borderId="1" xfId="1227" applyFont="1" applyBorder="1" applyAlignment="1"/>
    <xf numFmtId="0" fontId="20" fillId="0" borderId="1" xfId="1227" applyFont="1" applyBorder="1" applyAlignment="1"/>
    <xf numFmtId="10" fontId="60" fillId="0" borderId="0" xfId="42" applyNumberFormat="1" applyFont="1" applyFill="1" applyBorder="1" applyAlignment="1">
      <alignment horizontal="center"/>
    </xf>
    <xf numFmtId="0" fontId="19" fillId="0" borderId="0" xfId="23"/>
    <xf numFmtId="166" fontId="34" fillId="0" borderId="0" xfId="1" applyNumberFormat="1" applyFont="1" applyFill="1" applyBorder="1" applyAlignment="1">
      <alignment horizontal="center" wrapText="1"/>
    </xf>
    <xf numFmtId="3" fontId="19" fillId="8" borderId="0" xfId="23" applyNumberFormat="1" applyFill="1"/>
    <xf numFmtId="1" fontId="20" fillId="0" borderId="0" xfId="1227" applyNumberFormat="1" applyFont="1" applyFill="1" applyBorder="1" applyAlignment="1">
      <alignment horizontal="left"/>
    </xf>
    <xf numFmtId="0" fontId="73" fillId="9" borderId="0" xfId="36" applyFill="1"/>
    <xf numFmtId="10" fontId="92" fillId="0" borderId="25" xfId="0" applyNumberFormat="1" applyFont="1" applyBorder="1"/>
    <xf numFmtId="10" fontId="41" fillId="74" borderId="25" xfId="0" applyNumberFormat="1" applyFont="1" applyFill="1" applyBorder="1"/>
    <xf numFmtId="166" fontId="20" fillId="76" borderId="0" xfId="1" applyNumberFormat="1" applyFont="1" applyFill="1"/>
    <xf numFmtId="3" fontId="20" fillId="76" borderId="0" xfId="0" applyNumberFormat="1" applyFont="1" applyFill="1" applyBorder="1"/>
    <xf numFmtId="0" fontId="19" fillId="0" borderId="0" xfId="23"/>
    <xf numFmtId="0" fontId="19" fillId="0" borderId="0" xfId="23"/>
    <xf numFmtId="0" fontId="65" fillId="0" borderId="54" xfId="0" applyFont="1" applyFill="1" applyBorder="1" applyAlignment="1">
      <alignment horizontal="left" vertical="top"/>
    </xf>
    <xf numFmtId="0" fontId="65" fillId="0" borderId="54" xfId="0" applyFont="1" applyFill="1" applyBorder="1" applyAlignment="1">
      <alignment horizontal="left" vertical="top" wrapText="1"/>
    </xf>
    <xf numFmtId="0" fontId="196" fillId="0" borderId="55" xfId="0" applyFont="1" applyFill="1" applyBorder="1" applyAlignment="1">
      <alignment horizontal="right" vertical="top"/>
    </xf>
    <xf numFmtId="0" fontId="196" fillId="0" borderId="62" xfId="0" applyFont="1" applyFill="1" applyBorder="1" applyAlignment="1">
      <alignment horizontal="right" vertical="top"/>
    </xf>
    <xf numFmtId="0" fontId="196" fillId="0" borderId="56" xfId="0" applyFont="1" applyFill="1" applyBorder="1" applyAlignment="1">
      <alignment horizontal="right" vertical="top"/>
    </xf>
    <xf numFmtId="0" fontId="65" fillId="0" borderId="54" xfId="0" applyFont="1" applyFill="1" applyBorder="1" applyAlignment="1">
      <alignment horizontal="left" vertical="center"/>
    </xf>
    <xf numFmtId="0" fontId="65" fillId="0" borderId="57" xfId="0" applyFont="1" applyFill="1" applyBorder="1" applyAlignment="1">
      <alignment horizontal="left" vertical="center"/>
    </xf>
    <xf numFmtId="0" fontId="65" fillId="0" borderId="58" xfId="0" applyFont="1" applyFill="1" applyBorder="1" applyAlignment="1">
      <alignment horizontal="left" vertical="center"/>
    </xf>
    <xf numFmtId="0" fontId="65" fillId="0" borderId="59" xfId="0" applyFont="1" applyFill="1" applyBorder="1" applyAlignment="1">
      <alignment horizontal="left" vertical="center"/>
    </xf>
    <xf numFmtId="0" fontId="196" fillId="0" borderId="60" xfId="0" applyFont="1" applyFill="1" applyBorder="1" applyAlignment="1">
      <alignment horizontal="right" vertical="top"/>
    </xf>
    <xf numFmtId="0" fontId="196" fillId="0" borderId="63" xfId="0" applyFont="1" applyFill="1" applyBorder="1" applyAlignment="1">
      <alignment horizontal="right" vertical="top"/>
    </xf>
    <xf numFmtId="0" fontId="196" fillId="0" borderId="61" xfId="0" applyFont="1" applyFill="1" applyBorder="1" applyAlignment="1">
      <alignment horizontal="right" vertical="top"/>
    </xf>
    <xf numFmtId="0" fontId="195" fillId="0" borderId="54" xfId="0" applyFont="1" applyFill="1" applyBorder="1" applyAlignment="1">
      <alignment horizontal="left" vertical="top"/>
    </xf>
    <xf numFmtId="0" fontId="65" fillId="0" borderId="54" xfId="0" applyFont="1" applyFill="1" applyBorder="1" applyAlignment="1">
      <alignment horizontal="center" vertical="top"/>
    </xf>
    <xf numFmtId="0" fontId="196" fillId="0" borderId="54" xfId="0" applyFont="1" applyFill="1" applyBorder="1" applyAlignment="1">
      <alignment horizontal="right" vertical="top"/>
    </xf>
    <xf numFmtId="0" fontId="195" fillId="0" borderId="64" xfId="0" applyFont="1" applyFill="1" applyBorder="1" applyAlignment="1">
      <alignment horizontal="left" vertical="top"/>
    </xf>
    <xf numFmtId="228" fontId="65" fillId="0" borderId="54" xfId="0" applyNumberFormat="1" applyFont="1" applyFill="1" applyBorder="1" applyAlignment="1">
      <alignment horizontal="right" vertical="top"/>
    </xf>
    <xf numFmtId="0" fontId="195" fillId="0" borderId="65" xfId="0" applyFont="1" applyFill="1" applyBorder="1" applyAlignment="1">
      <alignment horizontal="left" vertical="top"/>
    </xf>
    <xf numFmtId="0" fontId="195" fillId="0" borderId="66" xfId="0" applyFont="1" applyFill="1" applyBorder="1" applyAlignment="1">
      <alignment horizontal="left" vertical="top"/>
    </xf>
    <xf numFmtId="0" fontId="65" fillId="0" borderId="57" xfId="0" applyFont="1" applyFill="1" applyBorder="1" applyAlignment="1">
      <alignment horizontal="center" vertical="top"/>
    </xf>
    <xf numFmtId="0" fontId="65" fillId="0" borderId="58" xfId="0" applyFont="1" applyFill="1" applyBorder="1" applyAlignment="1">
      <alignment horizontal="center" vertical="top"/>
    </xf>
    <xf numFmtId="0" fontId="65" fillId="0" borderId="59" xfId="0" applyFont="1" applyFill="1" applyBorder="1" applyAlignment="1">
      <alignment horizontal="center" vertical="top"/>
    </xf>
    <xf numFmtId="0" fontId="19" fillId="0" borderId="0" xfId="1227" applyAlignment="1">
      <alignment horizontal="center"/>
    </xf>
    <xf numFmtId="228" fontId="19" fillId="0" borderId="0" xfId="1227" applyNumberFormat="1"/>
    <xf numFmtId="0" fontId="19" fillId="0" borderId="0" xfId="36" applyFont="1" applyFill="1"/>
    <xf numFmtId="164" fontId="19" fillId="0" borderId="0" xfId="23" applyNumberFormat="1" applyFont="1" applyFill="1" applyAlignment="1">
      <alignment horizontal="center"/>
    </xf>
    <xf numFmtId="0" fontId="19" fillId="0" borderId="0" xfId="36" applyFont="1" applyFill="1" applyAlignment="1">
      <alignment horizontal="center"/>
    </xf>
    <xf numFmtId="0" fontId="22" fillId="0" borderId="0" xfId="23" applyFont="1" applyFill="1" applyAlignment="1">
      <alignment horizontal="center"/>
    </xf>
    <xf numFmtId="37" fontId="0" fillId="0" borderId="0" xfId="0" applyNumberFormat="1" applyFill="1"/>
    <xf numFmtId="166" fontId="19" fillId="0" borderId="9" xfId="1" applyNumberFormat="1" applyFont="1" applyFill="1" applyBorder="1"/>
    <xf numFmtId="0" fontId="19" fillId="0" borderId="0" xfId="23"/>
    <xf numFmtId="3" fontId="19" fillId="77" borderId="0" xfId="23" applyNumberFormat="1" applyFill="1"/>
    <xf numFmtId="3" fontId="19" fillId="0" borderId="0" xfId="23" applyNumberFormat="1" applyFont="1" applyFill="1"/>
    <xf numFmtId="0" fontId="19" fillId="0" borderId="0" xfId="1227" applyFill="1" applyAlignment="1">
      <alignment horizontal="center"/>
    </xf>
    <xf numFmtId="0" fontId="19" fillId="8" borderId="0" xfId="23" applyFill="1"/>
    <xf numFmtId="166" fontId="20" fillId="0" borderId="0" xfId="1" applyNumberFormat="1" applyFont="1" applyFill="1" applyAlignment="1">
      <alignment horizontal="center"/>
    </xf>
    <xf numFmtId="0" fontId="21" fillId="0" borderId="1" xfId="0" applyFont="1" applyFill="1" applyBorder="1" applyAlignment="1">
      <alignment horizontal="center"/>
    </xf>
    <xf numFmtId="3" fontId="79" fillId="0" borderId="0" xfId="41" applyNumberFormat="1" applyFont="1" applyFill="1"/>
    <xf numFmtId="10" fontId="20" fillId="0" borderId="0" xfId="0" applyNumberFormat="1" applyFont="1" applyFill="1"/>
    <xf numFmtId="0" fontId="20" fillId="0" borderId="0" xfId="0" applyFont="1" applyFill="1"/>
    <xf numFmtId="10" fontId="78" fillId="0" borderId="0" xfId="41" applyNumberFormat="1" applyFont="1" applyFill="1"/>
    <xf numFmtId="10" fontId="92" fillId="0" borderId="0" xfId="0" applyNumberFormat="1" applyFont="1" applyFill="1"/>
    <xf numFmtId="10" fontId="78" fillId="0" borderId="0" xfId="42" applyNumberFormat="1" applyFont="1" applyFill="1"/>
    <xf numFmtId="3" fontId="78" fillId="0" borderId="0" xfId="41" applyNumberFormat="1" applyFont="1" applyFill="1"/>
    <xf numFmtId="0" fontId="19" fillId="78" borderId="0" xfId="36" applyFont="1" applyFill="1" applyAlignment="1">
      <alignment horizontal="center"/>
    </xf>
    <xf numFmtId="166" fontId="20" fillId="78" borderId="0" xfId="1" applyNumberFormat="1" applyFont="1" applyFill="1" applyBorder="1" applyAlignment="1">
      <alignment horizontal="center"/>
    </xf>
    <xf numFmtId="0" fontId="19" fillId="0" borderId="0" xfId="23" applyFont="1" applyFill="1" applyBorder="1" applyAlignment="1">
      <alignment horizontal="center"/>
    </xf>
    <xf numFmtId="0" fontId="19" fillId="0" borderId="0" xfId="23"/>
    <xf numFmtId="3" fontId="19" fillId="8" borderId="0" xfId="23" applyNumberFormat="1" applyFill="1" applyBorder="1"/>
    <xf numFmtId="0" fontId="19" fillId="0" borderId="0" xfId="23" applyFont="1" applyAlignment="1">
      <alignment horizontal="centerContinuous"/>
    </xf>
    <xf numFmtId="0" fontId="19" fillId="0" borderId="0" xfId="23" applyFont="1" applyFill="1" applyBorder="1"/>
    <xf numFmtId="10" fontId="19" fillId="0" borderId="0" xfId="42" applyNumberFormat="1" applyFont="1" applyFill="1" applyBorder="1" applyAlignment="1">
      <alignment horizontal="center"/>
    </xf>
    <xf numFmtId="164" fontId="19" fillId="0" borderId="0" xfId="23" applyNumberFormat="1" applyFont="1"/>
    <xf numFmtId="164" fontId="19" fillId="0" borderId="0" xfId="23" applyNumberFormat="1" applyFont="1" applyFill="1" applyBorder="1"/>
    <xf numFmtId="3" fontId="19" fillId="0" borderId="0" xfId="23" applyNumberFormat="1" applyFont="1" applyFill="1" applyBorder="1"/>
    <xf numFmtId="0" fontId="26" fillId="0" borderId="0" xfId="23" applyFont="1" applyFill="1"/>
    <xf numFmtId="3" fontId="26" fillId="0" borderId="0" xfId="23" applyNumberFormat="1" applyFont="1" applyFill="1" applyBorder="1"/>
    <xf numFmtId="164" fontId="19" fillId="0" borderId="0" xfId="23" applyNumberFormat="1" applyFont="1" applyFill="1"/>
    <xf numFmtId="164" fontId="19" fillId="0" borderId="0" xfId="23" applyNumberFormat="1" applyFont="1" applyAlignment="1">
      <alignment wrapText="1"/>
    </xf>
    <xf numFmtId="164" fontId="197" fillId="8" borderId="0" xfId="23" applyNumberFormat="1" applyFont="1" applyFill="1"/>
    <xf numFmtId="164" fontId="19" fillId="0" borderId="0" xfId="23" applyNumberFormat="1" applyFont="1" applyFill="1" applyAlignment="1">
      <alignment wrapText="1"/>
    </xf>
    <xf numFmtId="0" fontId="197" fillId="0" borderId="0" xfId="23" applyFont="1" applyFill="1"/>
    <xf numFmtId="10" fontId="20" fillId="0" borderId="0" xfId="42" applyNumberFormat="1" applyFont="1" applyFill="1" applyAlignment="1">
      <alignment horizontal="left"/>
    </xf>
    <xf numFmtId="0" fontId="19" fillId="0" borderId="0" xfId="1227" applyFont="1"/>
    <xf numFmtId="0" fontId="19" fillId="0" borderId="0" xfId="1227" applyFont="1" applyAlignment="1">
      <alignment horizontal="right"/>
    </xf>
    <xf numFmtId="0" fontId="19" fillId="0" borderId="0" xfId="1227" applyAlignment="1">
      <alignment horizontal="left"/>
    </xf>
    <xf numFmtId="3" fontId="19" fillId="0" borderId="0" xfId="23" applyNumberFormat="1" applyAlignment="1">
      <alignment horizontal="right"/>
    </xf>
    <xf numFmtId="0" fontId="198" fillId="0" borderId="0" xfId="1227" applyFont="1" applyAlignment="1">
      <alignment horizontal="center"/>
    </xf>
    <xf numFmtId="10" fontId="19" fillId="0" borderId="1" xfId="1227" applyNumberFormat="1" applyBorder="1"/>
    <xf numFmtId="166" fontId="0" fillId="0" borderId="1" xfId="1" applyNumberFormat="1" applyFont="1" applyBorder="1"/>
    <xf numFmtId="3" fontId="19" fillId="0" borderId="1" xfId="1227" applyNumberFormat="1" applyBorder="1"/>
    <xf numFmtId="3" fontId="34" fillId="0" borderId="50" xfId="23" applyNumberFormat="1" applyFont="1" applyFill="1" applyBorder="1" applyAlignment="1">
      <alignment horizontal="center"/>
    </xf>
    <xf numFmtId="0" fontId="19" fillId="0" borderId="0" xfId="23"/>
    <xf numFmtId="3" fontId="34" fillId="0" borderId="52" xfId="23" applyNumberFormat="1" applyFont="1" applyFill="1" applyBorder="1"/>
    <xf numFmtId="10" fontId="38" fillId="78" borderId="1" xfId="42" applyNumberFormat="1" applyFont="1" applyFill="1" applyBorder="1"/>
    <xf numFmtId="5" fontId="39" fillId="78" borderId="27" xfId="0" applyNumberFormat="1" applyFont="1" applyFill="1" applyBorder="1"/>
    <xf numFmtId="169" fontId="39" fillId="78" borderId="11" xfId="42" applyNumberFormat="1" applyFont="1" applyFill="1" applyBorder="1"/>
    <xf numFmtId="10" fontId="38" fillId="78" borderId="0" xfId="49" applyNumberFormat="1" applyFont="1" applyFill="1" applyBorder="1"/>
    <xf numFmtId="166" fontId="199" fillId="78" borderId="1" xfId="1" applyNumberFormat="1" applyFont="1" applyFill="1" applyBorder="1" applyAlignment="1">
      <alignment horizontal="center" vertical="center" wrapText="1"/>
    </xf>
    <xf numFmtId="3" fontId="34" fillId="78" borderId="1" xfId="1" applyNumberFormat="1" applyFont="1" applyFill="1" applyBorder="1" applyAlignment="1">
      <alignment horizontal="center" vertical="center" wrapText="1"/>
    </xf>
    <xf numFmtId="3" fontId="34" fillId="78" borderId="1" xfId="23" applyNumberFormat="1" applyFont="1" applyFill="1" applyBorder="1" applyAlignment="1">
      <alignment horizontal="center" vertical="center" wrapText="1"/>
    </xf>
    <xf numFmtId="183" fontId="90" fillId="78" borderId="3" xfId="0" applyNumberFormat="1" applyFont="1" applyFill="1" applyBorder="1"/>
    <xf numFmtId="166" fontId="34" fillId="78" borderId="1" xfId="1" applyNumberFormat="1" applyFont="1" applyFill="1" applyBorder="1" applyAlignment="1">
      <alignment horizontal="center" vertical="center" wrapText="1"/>
    </xf>
    <xf numFmtId="172" fontId="34" fillId="78" borderId="1" xfId="1" applyNumberFormat="1" applyFont="1" applyFill="1" applyBorder="1" applyAlignment="1">
      <alignment horizontal="center" vertical="center" wrapText="1"/>
    </xf>
    <xf numFmtId="168" fontId="34" fillId="78" borderId="0" xfId="10" applyNumberFormat="1" applyFont="1" applyFill="1" applyBorder="1"/>
    <xf numFmtId="168" fontId="60" fillId="78" borderId="20" xfId="10" applyNumberFormat="1" applyFont="1" applyFill="1" applyBorder="1"/>
    <xf numFmtId="10" fontId="34" fillId="78" borderId="18" xfId="42" applyNumberFormat="1" applyFont="1" applyFill="1" applyBorder="1" applyAlignment="1">
      <alignment horizontal="center"/>
    </xf>
    <xf numFmtId="3" fontId="79" fillId="78" borderId="0" xfId="41" applyNumberFormat="1" applyFont="1" applyFill="1" applyBorder="1"/>
    <xf numFmtId="3" fontId="79" fillId="0" borderId="0" xfId="41" applyNumberFormat="1" applyFont="1" applyFill="1" applyBorder="1"/>
    <xf numFmtId="166" fontId="20" fillId="78" borderId="0" xfId="1" applyNumberFormat="1" applyFont="1" applyFill="1"/>
    <xf numFmtId="10" fontId="0" fillId="78" borderId="0" xfId="42" applyNumberFormat="1" applyFont="1" applyFill="1" applyAlignment="1">
      <alignment horizontal="center"/>
    </xf>
    <xf numFmtId="0" fontId="19" fillId="78" borderId="0" xfId="23" applyFill="1"/>
    <xf numFmtId="3" fontId="19" fillId="78" borderId="0" xfId="23" applyNumberFormat="1" applyFill="1"/>
    <xf numFmtId="3" fontId="19" fillId="78" borderId="0" xfId="23" applyNumberFormat="1" applyFill="1" applyBorder="1"/>
    <xf numFmtId="164" fontId="197" fillId="78" borderId="0" xfId="23" applyNumberFormat="1" applyFont="1" applyFill="1"/>
    <xf numFmtId="228" fontId="19" fillId="78" borderId="0" xfId="1227" applyNumberFormat="1" applyFill="1"/>
    <xf numFmtId="0" fontId="197" fillId="78" borderId="0" xfId="23" applyFont="1" applyFill="1"/>
    <xf numFmtId="0" fontId="197" fillId="78" borderId="0" xfId="23" applyFont="1" applyFill="1" applyAlignment="1">
      <alignment horizontal="center"/>
    </xf>
    <xf numFmtId="164" fontId="19" fillId="78" borderId="0" xfId="23" applyNumberFormat="1" applyFill="1"/>
    <xf numFmtId="0" fontId="200" fillId="0" borderId="0" xfId="1227" applyFont="1"/>
    <xf numFmtId="0" fontId="19" fillId="78" borderId="22" xfId="23" applyFill="1" applyBorder="1"/>
    <xf numFmtId="0" fontId="19" fillId="78" borderId="12" xfId="23" applyFill="1" applyBorder="1"/>
    <xf numFmtId="3" fontId="19" fillId="78" borderId="12" xfId="23" applyNumberFormat="1" applyFill="1" applyBorder="1"/>
    <xf numFmtId="164" fontId="197" fillId="78" borderId="21" xfId="23" applyNumberFormat="1" applyFont="1" applyFill="1" applyBorder="1"/>
    <xf numFmtId="0" fontId="19" fillId="78" borderId="0" xfId="1227" applyFill="1"/>
    <xf numFmtId="0" fontId="19" fillId="78" borderId="19" xfId="23" applyFill="1" applyBorder="1"/>
    <xf numFmtId="0" fontId="19" fillId="78" borderId="13" xfId="23" applyFill="1" applyBorder="1"/>
    <xf numFmtId="3" fontId="19" fillId="78" borderId="13" xfId="23" applyNumberFormat="1" applyFill="1" applyBorder="1"/>
    <xf numFmtId="164" fontId="197" fillId="78" borderId="20" xfId="23" applyNumberFormat="1" applyFont="1" applyFill="1" applyBorder="1"/>
    <xf numFmtId="0" fontId="198" fillId="78" borderId="0" xfId="1227" applyFont="1" applyFill="1" applyAlignment="1">
      <alignment horizontal="left"/>
    </xf>
    <xf numFmtId="0" fontId="26" fillId="78" borderId="0" xfId="1227" applyFont="1" applyFill="1"/>
    <xf numFmtId="166" fontId="26" fillId="78" borderId="1" xfId="1227" applyNumberFormat="1" applyFont="1" applyFill="1" applyBorder="1" applyAlignment="1">
      <alignment horizontal="left"/>
    </xf>
    <xf numFmtId="9" fontId="26" fillId="78" borderId="0" xfId="42" applyFont="1" applyFill="1"/>
    <xf numFmtId="37" fontId="20" fillId="78" borderId="0" xfId="23" applyNumberFormat="1" applyFont="1" applyFill="1" applyBorder="1" applyProtection="1">
      <protection locked="0"/>
    </xf>
    <xf numFmtId="37" fontId="20" fillId="78" borderId="0" xfId="40" applyNumberFormat="1" applyFont="1" applyFill="1"/>
    <xf numFmtId="0" fontId="38" fillId="78" borderId="0" xfId="23" applyFont="1" applyFill="1" applyBorder="1"/>
    <xf numFmtId="37" fontId="20" fillId="78" borderId="0" xfId="0" applyNumberFormat="1" applyFont="1" applyFill="1" applyBorder="1" applyProtection="1">
      <protection locked="0"/>
    </xf>
    <xf numFmtId="10" fontId="20" fillId="78" borderId="0" xfId="0" applyNumberFormat="1" applyFont="1" applyFill="1"/>
    <xf numFmtId="10" fontId="92" fillId="78" borderId="23" xfId="0" applyNumberFormat="1" applyFont="1" applyFill="1" applyBorder="1"/>
    <xf numFmtId="10" fontId="92" fillId="78" borderId="0" xfId="0" applyNumberFormat="1" applyFont="1" applyFill="1" applyBorder="1"/>
    <xf numFmtId="168" fontId="34" fillId="78" borderId="0" xfId="10" applyNumberFormat="1" applyFont="1" applyFill="1"/>
    <xf numFmtId="37" fontId="21" fillId="78" borderId="11" xfId="0" applyNumberFormat="1" applyFont="1" applyFill="1" applyBorder="1" applyProtection="1">
      <protection locked="0"/>
    </xf>
    <xf numFmtId="10" fontId="20" fillId="78" borderId="0" xfId="42" applyNumberFormat="1" applyFont="1" applyFill="1" applyBorder="1" applyProtection="1">
      <protection locked="0"/>
    </xf>
    <xf numFmtId="0" fontId="20" fillId="78" borderId="0" xfId="23" applyFont="1" applyFill="1"/>
    <xf numFmtId="37" fontId="201" fillId="78" borderId="0" xfId="40" applyNumberFormat="1" applyFont="1" applyFill="1"/>
    <xf numFmtId="3" fontId="20" fillId="78" borderId="0" xfId="0" applyNumberFormat="1" applyFont="1" applyFill="1" applyAlignment="1">
      <alignment horizontal="left"/>
    </xf>
    <xf numFmtId="0" fontId="70" fillId="78" borderId="0" xfId="19" applyFill="1"/>
    <xf numFmtId="0" fontId="0" fillId="78" borderId="0" xfId="0" applyFill="1"/>
    <xf numFmtId="10" fontId="78" fillId="78" borderId="23" xfId="42" applyNumberFormat="1" applyFont="1" applyFill="1" applyBorder="1"/>
    <xf numFmtId="10" fontId="78" fillId="78" borderId="0" xfId="42" applyNumberFormat="1" applyFont="1" applyFill="1"/>
    <xf numFmtId="10" fontId="14" fillId="0" borderId="0" xfId="42" applyNumberFormat="1" applyFont="1" applyFill="1"/>
    <xf numFmtId="0" fontId="95" fillId="0" borderId="0" xfId="0" applyFont="1" applyAlignment="1">
      <alignment horizontal="center"/>
    </xf>
    <xf numFmtId="0" fontId="203" fillId="0" borderId="7" xfId="0" applyFont="1" applyBorder="1" applyAlignment="1">
      <alignment horizontal="center"/>
    </xf>
    <xf numFmtId="0" fontId="203" fillId="0" borderId="0" xfId="0" applyFont="1" applyBorder="1" applyAlignment="1">
      <alignment horizontal="center"/>
    </xf>
    <xf numFmtId="0" fontId="203" fillId="0" borderId="37" xfId="0" applyFont="1" applyBorder="1" applyAlignment="1">
      <alignment horizontal="center"/>
    </xf>
    <xf numFmtId="0" fontId="204" fillId="0" borderId="7" xfId="0" applyFont="1" applyBorder="1"/>
    <xf numFmtId="0" fontId="205" fillId="0" borderId="27" xfId="0" applyFont="1" applyBorder="1" applyAlignment="1">
      <alignment horizontal="center" wrapText="1"/>
    </xf>
    <xf numFmtId="0" fontId="113" fillId="0" borderId="0" xfId="0" applyFont="1" applyBorder="1" applyAlignment="1">
      <alignment horizontal="center" wrapText="1"/>
    </xf>
    <xf numFmtId="0" fontId="0" fillId="0" borderId="0" xfId="0" applyAlignment="1">
      <alignment wrapText="1"/>
    </xf>
    <xf numFmtId="0" fontId="0" fillId="0" borderId="7" xfId="0" applyBorder="1"/>
    <xf numFmtId="0" fontId="205" fillId="0" borderId="0" xfId="0" applyFont="1" applyBorder="1"/>
    <xf numFmtId="168" fontId="113" fillId="0" borderId="8" xfId="10" applyNumberFormat="1" applyFont="1" applyBorder="1"/>
    <xf numFmtId="166" fontId="0" fillId="0" borderId="0" xfId="1" applyNumberFormat="1" applyFont="1" applyBorder="1"/>
    <xf numFmtId="0" fontId="0" fillId="0" borderId="37" xfId="0" applyBorder="1"/>
    <xf numFmtId="0" fontId="113" fillId="0" borderId="0" xfId="0" applyFont="1" applyBorder="1"/>
    <xf numFmtId="168" fontId="113" fillId="0" borderId="4" xfId="10" applyNumberFormat="1" applyFont="1" applyFill="1" applyBorder="1"/>
    <xf numFmtId="0" fontId="0" fillId="0" borderId="6" xfId="0" applyBorder="1"/>
    <xf numFmtId="0" fontId="0" fillId="0" borderId="5" xfId="0" applyBorder="1"/>
    <xf numFmtId="0" fontId="113" fillId="0" borderId="1" xfId="0" applyFont="1" applyBorder="1"/>
    <xf numFmtId="0" fontId="0" fillId="0" borderId="1" xfId="0" applyBorder="1"/>
    <xf numFmtId="168" fontId="113" fillId="78" borderId="4" xfId="10" applyNumberFormat="1" applyFont="1" applyFill="1" applyBorder="1"/>
    <xf numFmtId="0" fontId="113" fillId="0" borderId="1" xfId="0" applyFont="1" applyFill="1" applyBorder="1"/>
    <xf numFmtId="0" fontId="0" fillId="0" borderId="68" xfId="0" applyBorder="1"/>
    <xf numFmtId="0" fontId="206" fillId="0" borderId="7" xfId="0" applyFont="1" applyBorder="1"/>
    <xf numFmtId="0" fontId="113" fillId="0" borderId="1" xfId="0" quotePrefix="1" applyFont="1" applyBorder="1" applyAlignment="1">
      <alignment horizontal="center" vertical="top"/>
    </xf>
    <xf numFmtId="0" fontId="0" fillId="0" borderId="69" xfId="0" applyBorder="1"/>
    <xf numFmtId="0" fontId="113" fillId="0" borderId="2" xfId="0" quotePrefix="1" applyFont="1" applyBorder="1" applyAlignment="1">
      <alignment horizontal="center" vertical="top"/>
    </xf>
    <xf numFmtId="0" fontId="113" fillId="0" borderId="1" xfId="0" applyFont="1" applyBorder="1" applyAlignment="1">
      <alignment horizontal="right" vertical="top"/>
    </xf>
    <xf numFmtId="0" fontId="113" fillId="0" borderId="1" xfId="0" quotePrefix="1" applyFont="1" applyBorder="1" applyAlignment="1">
      <alignment horizontal="right" vertical="top"/>
    </xf>
    <xf numFmtId="0" fontId="113" fillId="0" borderId="2" xfId="0" quotePrefix="1" applyFont="1" applyBorder="1" applyAlignment="1">
      <alignment horizontal="right" vertical="top"/>
    </xf>
    <xf numFmtId="0" fontId="95" fillId="0" borderId="0" xfId="0" applyFont="1" applyAlignment="1">
      <alignment horizontal="center"/>
    </xf>
    <xf numFmtId="0" fontId="38" fillId="0" borderId="0" xfId="0" applyFont="1" applyAlignment="1">
      <alignment horizontal="left" vertical="top" wrapText="1"/>
    </xf>
    <xf numFmtId="0" fontId="39" fillId="0" borderId="0" xfId="0" applyFont="1" applyAlignment="1">
      <alignment horizontal="center" wrapText="1"/>
    </xf>
    <xf numFmtId="0" fontId="39" fillId="0" borderId="1" xfId="0" applyFont="1" applyBorder="1" applyAlignment="1">
      <alignment horizontal="center" wrapText="1"/>
    </xf>
    <xf numFmtId="0" fontId="95" fillId="78" borderId="0" xfId="0" applyFont="1" applyFill="1" applyAlignment="1">
      <alignment horizontal="center"/>
    </xf>
    <xf numFmtId="0" fontId="208" fillId="0" borderId="0" xfId="0" applyFont="1" applyAlignment="1">
      <alignment horizontal="center"/>
    </xf>
    <xf numFmtId="0" fontId="22" fillId="0" borderId="0" xfId="0" applyFont="1" applyAlignment="1">
      <alignment horizontal="center"/>
    </xf>
    <xf numFmtId="0" fontId="0" fillId="0" borderId="1" xfId="0" applyBorder="1" applyAlignment="1">
      <alignment horizontal="left" vertical="top" wrapText="1"/>
    </xf>
    <xf numFmtId="0" fontId="0" fillId="0" borderId="68" xfId="0" applyBorder="1" applyAlignment="1">
      <alignment horizontal="left" vertical="top" wrapText="1"/>
    </xf>
    <xf numFmtId="0" fontId="0" fillId="0" borderId="2" xfId="0" applyBorder="1" applyAlignment="1">
      <alignment horizontal="left" vertical="top" wrapText="1"/>
    </xf>
    <xf numFmtId="0" fontId="0" fillId="0" borderId="70" xfId="0" applyBorder="1" applyAlignment="1">
      <alignment horizontal="left" vertical="top" wrapText="1"/>
    </xf>
    <xf numFmtId="0" fontId="202" fillId="0" borderId="10" xfId="0" applyFont="1" applyBorder="1" applyAlignment="1">
      <alignment horizontal="center"/>
    </xf>
    <xf numFmtId="0" fontId="202" fillId="0" borderId="9" xfId="0" applyFont="1" applyBorder="1" applyAlignment="1">
      <alignment horizontal="center"/>
    </xf>
    <xf numFmtId="0" fontId="202" fillId="0" borderId="67" xfId="0" applyFont="1" applyBorder="1" applyAlignment="1">
      <alignment horizontal="center"/>
    </xf>
    <xf numFmtId="0" fontId="113" fillId="0" borderId="0" xfId="0" applyFont="1" applyBorder="1" applyAlignment="1">
      <alignment horizontal="center" wrapText="1"/>
    </xf>
    <xf numFmtId="0" fontId="113" fillId="0" borderId="37" xfId="0" applyFont="1" applyBorder="1" applyAlignment="1">
      <alignment horizontal="center" wrapText="1"/>
    </xf>
    <xf numFmtId="0" fontId="39" fillId="0" borderId="0" xfId="0" applyFont="1" applyAlignment="1">
      <alignment horizontal="center"/>
    </xf>
    <xf numFmtId="0" fontId="39" fillId="78" borderId="0" xfId="0" applyFont="1" applyFill="1" applyAlignment="1">
      <alignment horizontal="center"/>
    </xf>
    <xf numFmtId="0" fontId="34" fillId="78" borderId="0" xfId="0" applyFont="1" applyFill="1" applyAlignment="1">
      <alignment horizontal="center"/>
    </xf>
    <xf numFmtId="0" fontId="39" fillId="0" borderId="0" xfId="19" applyFont="1" applyAlignment="1">
      <alignment horizontal="center"/>
    </xf>
    <xf numFmtId="0" fontId="39" fillId="78" borderId="0" xfId="19" applyFont="1" applyFill="1" applyAlignment="1">
      <alignment horizontal="center"/>
    </xf>
    <xf numFmtId="0" fontId="95" fillId="0" borderId="0" xfId="0" applyFont="1" applyFill="1" applyAlignment="1">
      <alignment horizontal="center"/>
    </xf>
    <xf numFmtId="3" fontId="34" fillId="0" borderId="0" xfId="23" applyNumberFormat="1" applyFont="1" applyFill="1" applyAlignment="1">
      <alignment horizontal="left" vertical="top" wrapText="1"/>
    </xf>
    <xf numFmtId="3" fontId="34" fillId="0" borderId="50" xfId="23" applyNumberFormat="1" applyFont="1" applyFill="1" applyBorder="1" applyAlignment="1">
      <alignment horizontal="center"/>
    </xf>
    <xf numFmtId="3" fontId="34" fillId="0" borderId="51" xfId="23" applyNumberFormat="1" applyFont="1" applyFill="1" applyBorder="1" applyAlignment="1">
      <alignment horizontal="center"/>
    </xf>
    <xf numFmtId="3" fontId="34" fillId="0" borderId="52" xfId="23" applyNumberFormat="1" applyFont="1" applyFill="1" applyBorder="1" applyAlignment="1">
      <alignment horizontal="center"/>
    </xf>
    <xf numFmtId="3" fontId="34" fillId="0" borderId="50" xfId="23" applyNumberFormat="1" applyFont="1" applyFill="1" applyBorder="1" applyAlignment="1">
      <alignment horizontal="left"/>
    </xf>
    <xf numFmtId="3" fontId="34" fillId="0" borderId="51" xfId="23" applyNumberFormat="1" applyFont="1" applyFill="1" applyBorder="1" applyAlignment="1">
      <alignment horizontal="left"/>
    </xf>
    <xf numFmtId="3" fontId="33" fillId="0" borderId="0" xfId="23" applyNumberFormat="1" applyFont="1" applyFill="1" applyBorder="1" applyAlignment="1">
      <alignment horizontal="center"/>
    </xf>
    <xf numFmtId="3" fontId="94" fillId="0" borderId="13" xfId="23" applyNumberFormat="1" applyFont="1" applyFill="1" applyBorder="1" applyAlignment="1">
      <alignment horizontal="center"/>
    </xf>
    <xf numFmtId="3" fontId="94" fillId="0" borderId="0" xfId="23" applyNumberFormat="1" applyFont="1" applyFill="1" applyBorder="1" applyAlignment="1">
      <alignment horizontal="center"/>
    </xf>
    <xf numFmtId="3" fontId="94" fillId="0" borderId="0" xfId="0" applyNumberFormat="1" applyFont="1" applyFill="1" applyBorder="1" applyAlignment="1">
      <alignment horizontal="center"/>
    </xf>
    <xf numFmtId="3" fontId="33" fillId="0" borderId="0" xfId="0" applyNumberFormat="1" applyFont="1" applyFill="1" applyBorder="1" applyAlignment="1">
      <alignment horizontal="center"/>
    </xf>
    <xf numFmtId="3" fontId="60" fillId="0" borderId="0" xfId="0" applyNumberFormat="1" applyFont="1" applyFill="1" applyBorder="1" applyAlignment="1">
      <alignment horizontal="center"/>
    </xf>
    <xf numFmtId="3" fontId="34" fillId="0" borderId="0" xfId="0" applyNumberFormat="1" applyFont="1" applyFill="1" applyBorder="1" applyAlignment="1">
      <alignment horizontal="center"/>
    </xf>
    <xf numFmtId="3" fontId="20" fillId="78" borderId="1" xfId="0" applyNumberFormat="1" applyFont="1" applyFill="1" applyBorder="1" applyAlignment="1">
      <alignment horizontal="center"/>
    </xf>
    <xf numFmtId="10" fontId="60" fillId="0" borderId="0" xfId="42" applyNumberFormat="1" applyFont="1" applyFill="1" applyBorder="1" applyAlignment="1">
      <alignment horizontal="center"/>
    </xf>
    <xf numFmtId="3" fontId="20" fillId="0" borderId="0" xfId="0" applyNumberFormat="1" applyFont="1" applyFill="1" applyBorder="1" applyAlignment="1">
      <alignment horizontal="center"/>
    </xf>
    <xf numFmtId="0" fontId="69" fillId="0" borderId="13" xfId="143" applyFont="1" applyFill="1" applyBorder="1" applyAlignment="1">
      <alignment horizontal="center"/>
    </xf>
    <xf numFmtId="0" fontId="41" fillId="0" borderId="0" xfId="23" applyFont="1" applyAlignment="1">
      <alignment wrapText="1"/>
    </xf>
    <xf numFmtId="7" fontId="51" fillId="0" borderId="0" xfId="23" applyNumberFormat="1" applyFont="1" applyAlignment="1">
      <alignment wrapText="1"/>
    </xf>
    <xf numFmtId="0" fontId="19" fillId="0" borderId="0" xfId="23"/>
    <xf numFmtId="0" fontId="64" fillId="0" borderId="0" xfId="36" applyFont="1" applyAlignment="1">
      <alignment horizontal="center" wrapText="1"/>
    </xf>
    <xf numFmtId="0" fontId="73" fillId="0" borderId="0" xfId="36" applyAlignment="1">
      <alignment horizontal="center"/>
    </xf>
    <xf numFmtId="0" fontId="19" fillId="0" borderId="0" xfId="23" applyAlignment="1">
      <alignment horizontal="center"/>
    </xf>
    <xf numFmtId="0" fontId="19" fillId="0" borderId="0" xfId="23" applyFont="1" applyBorder="1" applyAlignment="1">
      <alignment horizontal="center"/>
    </xf>
    <xf numFmtId="0" fontId="19" fillId="0" borderId="0" xfId="23" applyFont="1" applyFill="1" applyBorder="1" applyAlignment="1">
      <alignment horizontal="center"/>
    </xf>
    <xf numFmtId="0" fontId="19" fillId="0" borderId="1" xfId="23" applyFont="1" applyFill="1" applyBorder="1" applyAlignment="1">
      <alignment horizontal="center"/>
    </xf>
    <xf numFmtId="0" fontId="19" fillId="0" borderId="1" xfId="23" applyFill="1" applyBorder="1" applyAlignment="1">
      <alignment horizontal="center"/>
    </xf>
  </cellXfs>
  <cellStyles count="23329">
    <cellStyle name="%" xfId="23130"/>
    <cellStyle name="% 2" xfId="23131"/>
    <cellStyle name="20% - Accent1" xfId="169" builtinId="30" customBuiltin="1"/>
    <cellStyle name="20% - Accent1 10" xfId="715"/>
    <cellStyle name="20% - Accent1 10 2" xfId="1060"/>
    <cellStyle name="20% - Accent1 10 3" xfId="22680"/>
    <cellStyle name="20% - Accent1 10 4" xfId="23023"/>
    <cellStyle name="20% - Accent1 11" xfId="743"/>
    <cellStyle name="20% - Accent1 11 2" xfId="1076"/>
    <cellStyle name="20% - Accent1 11 3" xfId="22707"/>
    <cellStyle name="20% - Accent1 11 4" xfId="23039"/>
    <cellStyle name="20% - Accent1 12" xfId="769"/>
    <cellStyle name="20% - Accent1 12 2" xfId="1092"/>
    <cellStyle name="20% - Accent1 12 3" xfId="22731"/>
    <cellStyle name="20% - Accent1 12 4" xfId="23055"/>
    <cellStyle name="20% - Accent1 13" xfId="794"/>
    <cellStyle name="20% - Accent1 13 2" xfId="1108"/>
    <cellStyle name="20% - Accent1 13 3" xfId="22709"/>
    <cellStyle name="20% - Accent1 13 4" xfId="23071"/>
    <cellStyle name="20% - Accent1 14" xfId="816"/>
    <cellStyle name="20% - Accent1 14 2" xfId="1124"/>
    <cellStyle name="20% - Accent1 14 3" xfId="22675"/>
    <cellStyle name="20% - Accent1 14 4" xfId="23087"/>
    <cellStyle name="20% - Accent1 15" xfId="832"/>
    <cellStyle name="20% - Accent1 15 2" xfId="1140"/>
    <cellStyle name="20% - Accent1 15 3" xfId="22667"/>
    <cellStyle name="20% - Accent1 15 4" xfId="23103"/>
    <cellStyle name="20% - Accent1 16" xfId="856"/>
    <cellStyle name="20% - Accent1 17" xfId="22819"/>
    <cellStyle name="20% - Accent1 2" xfId="487"/>
    <cellStyle name="20% - Accent1 2 2" xfId="932"/>
    <cellStyle name="20% - Accent1 2 2 2" xfId="6393"/>
    <cellStyle name="20% - Accent1 2 2 2 2" xfId="9479"/>
    <cellStyle name="20% - Accent1 2 2 2 2 2" xfId="15672"/>
    <cellStyle name="20% - Accent1 2 2 2 2 3" xfId="21824"/>
    <cellStyle name="20% - Accent1 2 2 2 3" xfId="12606"/>
    <cellStyle name="20% - Accent1 2 2 2 4" xfId="18758"/>
    <cellStyle name="20% - Accent1 2 2 3" xfId="7944"/>
    <cellStyle name="20% - Accent1 2 2 3 2" xfId="14138"/>
    <cellStyle name="20% - Accent1 2 2 3 3" xfId="20290"/>
    <cellStyle name="20% - Accent1 2 2 4" xfId="11072"/>
    <cellStyle name="20% - Accent1 2 2 5" xfId="17224"/>
    <cellStyle name="20% - Accent1 2 2 6" xfId="4768"/>
    <cellStyle name="20% - Accent1 2 3" xfId="5607"/>
    <cellStyle name="20% - Accent1 2 3 2" xfId="8710"/>
    <cellStyle name="20% - Accent1 2 3 2 2" xfId="14903"/>
    <cellStyle name="20% - Accent1 2 3 2 3" xfId="21055"/>
    <cellStyle name="20% - Accent1 2 3 3" xfId="11837"/>
    <cellStyle name="20% - Accent1 2 3 4" xfId="17989"/>
    <cellStyle name="20% - Accent1 2 4" xfId="7175"/>
    <cellStyle name="20% - Accent1 2 4 2" xfId="13369"/>
    <cellStyle name="20% - Accent1 2 4 3" xfId="19521"/>
    <cellStyle name="20% - Accent1 2 5" xfId="10303"/>
    <cellStyle name="20% - Accent1 2 6" xfId="16455"/>
    <cellStyle name="20% - Accent1 2 7" xfId="1328"/>
    <cellStyle name="20% - Accent1 2 8" xfId="22895"/>
    <cellStyle name="20% - Accent1 3" xfId="518"/>
    <cellStyle name="20% - Accent1 3 2" xfId="948"/>
    <cellStyle name="20% - Accent1 3 2 2" xfId="6394"/>
    <cellStyle name="20% - Accent1 3 2 2 2" xfId="9480"/>
    <cellStyle name="20% - Accent1 3 2 2 2 2" xfId="15673"/>
    <cellStyle name="20% - Accent1 3 2 2 2 3" xfId="21825"/>
    <cellStyle name="20% - Accent1 3 2 2 3" xfId="12607"/>
    <cellStyle name="20% - Accent1 3 2 2 4" xfId="18759"/>
    <cellStyle name="20% - Accent1 3 2 3" xfId="7945"/>
    <cellStyle name="20% - Accent1 3 2 3 2" xfId="14139"/>
    <cellStyle name="20% - Accent1 3 2 3 3" xfId="20291"/>
    <cellStyle name="20% - Accent1 3 2 4" xfId="11073"/>
    <cellStyle name="20% - Accent1 3 2 5" xfId="17225"/>
    <cellStyle name="20% - Accent1 3 2 6" xfId="4769"/>
    <cellStyle name="20% - Accent1 3 3" xfId="5608"/>
    <cellStyle name="20% - Accent1 3 3 2" xfId="8711"/>
    <cellStyle name="20% - Accent1 3 3 2 2" xfId="14904"/>
    <cellStyle name="20% - Accent1 3 3 2 3" xfId="21056"/>
    <cellStyle name="20% - Accent1 3 3 3" xfId="11838"/>
    <cellStyle name="20% - Accent1 3 3 4" xfId="17990"/>
    <cellStyle name="20% - Accent1 3 4" xfId="7176"/>
    <cellStyle name="20% - Accent1 3 4 2" xfId="13370"/>
    <cellStyle name="20% - Accent1 3 4 3" xfId="19522"/>
    <cellStyle name="20% - Accent1 3 5" xfId="10304"/>
    <cellStyle name="20% - Accent1 3 6" xfId="16456"/>
    <cellStyle name="20% - Accent1 3 7" xfId="1329"/>
    <cellStyle name="20% - Accent1 3 8" xfId="22911"/>
    <cellStyle name="20% - Accent1 4" xfId="546"/>
    <cellStyle name="20% - Accent1 4 2" xfId="964"/>
    <cellStyle name="20% - Accent1 4 2 2" xfId="6395"/>
    <cellStyle name="20% - Accent1 4 2 2 2" xfId="9481"/>
    <cellStyle name="20% - Accent1 4 2 2 2 2" xfId="15674"/>
    <cellStyle name="20% - Accent1 4 2 2 2 3" xfId="21826"/>
    <cellStyle name="20% - Accent1 4 2 2 3" xfId="12608"/>
    <cellStyle name="20% - Accent1 4 2 2 4" xfId="18760"/>
    <cellStyle name="20% - Accent1 4 2 3" xfId="7946"/>
    <cellStyle name="20% - Accent1 4 2 3 2" xfId="14140"/>
    <cellStyle name="20% - Accent1 4 2 3 3" xfId="20292"/>
    <cellStyle name="20% - Accent1 4 2 4" xfId="11074"/>
    <cellStyle name="20% - Accent1 4 2 5" xfId="17226"/>
    <cellStyle name="20% - Accent1 4 2 6" xfId="4770"/>
    <cellStyle name="20% - Accent1 4 3" xfId="5609"/>
    <cellStyle name="20% - Accent1 4 3 2" xfId="8712"/>
    <cellStyle name="20% - Accent1 4 3 2 2" xfId="14905"/>
    <cellStyle name="20% - Accent1 4 3 2 3" xfId="21057"/>
    <cellStyle name="20% - Accent1 4 3 3" xfId="11839"/>
    <cellStyle name="20% - Accent1 4 3 4" xfId="17991"/>
    <cellStyle name="20% - Accent1 4 4" xfId="7177"/>
    <cellStyle name="20% - Accent1 4 4 2" xfId="13371"/>
    <cellStyle name="20% - Accent1 4 4 3" xfId="19523"/>
    <cellStyle name="20% - Accent1 4 5" xfId="10305"/>
    <cellStyle name="20% - Accent1 4 6" xfId="16457"/>
    <cellStyle name="20% - Accent1 4 7" xfId="1330"/>
    <cellStyle name="20% - Accent1 4 8" xfId="22927"/>
    <cellStyle name="20% - Accent1 5" xfId="573"/>
    <cellStyle name="20% - Accent1 5 2" xfId="980"/>
    <cellStyle name="20% - Accent1 5 2 2" xfId="6396"/>
    <cellStyle name="20% - Accent1 5 2 2 2" xfId="9482"/>
    <cellStyle name="20% - Accent1 5 2 2 2 2" xfId="15675"/>
    <cellStyle name="20% - Accent1 5 2 2 2 3" xfId="21827"/>
    <cellStyle name="20% - Accent1 5 2 2 3" xfId="12609"/>
    <cellStyle name="20% - Accent1 5 2 2 4" xfId="18761"/>
    <cellStyle name="20% - Accent1 5 2 3" xfId="7947"/>
    <cellStyle name="20% - Accent1 5 2 3 2" xfId="14141"/>
    <cellStyle name="20% - Accent1 5 2 3 3" xfId="20293"/>
    <cellStyle name="20% - Accent1 5 2 4" xfId="11075"/>
    <cellStyle name="20% - Accent1 5 2 5" xfId="17227"/>
    <cellStyle name="20% - Accent1 5 2 6" xfId="4771"/>
    <cellStyle name="20% - Accent1 5 3" xfId="5610"/>
    <cellStyle name="20% - Accent1 5 3 2" xfId="8713"/>
    <cellStyle name="20% - Accent1 5 3 2 2" xfId="14906"/>
    <cellStyle name="20% - Accent1 5 3 2 3" xfId="21058"/>
    <cellStyle name="20% - Accent1 5 3 3" xfId="11840"/>
    <cellStyle name="20% - Accent1 5 3 4" xfId="17992"/>
    <cellStyle name="20% - Accent1 5 4" xfId="7178"/>
    <cellStyle name="20% - Accent1 5 4 2" xfId="13372"/>
    <cellStyle name="20% - Accent1 5 4 3" xfId="19524"/>
    <cellStyle name="20% - Accent1 5 5" xfId="10306"/>
    <cellStyle name="20% - Accent1 5 6" xfId="16458"/>
    <cellStyle name="20% - Accent1 5 7" xfId="1331"/>
    <cellStyle name="20% - Accent1 5 8" xfId="22749"/>
    <cellStyle name="20% - Accent1 5 9" xfId="22943"/>
    <cellStyle name="20% - Accent1 6" xfId="600"/>
    <cellStyle name="20% - Accent1 6 2" xfId="996"/>
    <cellStyle name="20% - Accent1 6 3" xfId="1332"/>
    <cellStyle name="20% - Accent1 6 4" xfId="22766"/>
    <cellStyle name="20% - Accent1 6 5" xfId="22959"/>
    <cellStyle name="20% - Accent1 7" xfId="624"/>
    <cellStyle name="20% - Accent1 7 2" xfId="1012"/>
    <cellStyle name="20% - Accent1 7 3" xfId="22598"/>
    <cellStyle name="20% - Accent1 7 4" xfId="22975"/>
    <cellStyle name="20% - Accent1 8" xfId="648"/>
    <cellStyle name="20% - Accent1 8 2" xfId="1028"/>
    <cellStyle name="20% - Accent1 8 3" xfId="22814"/>
    <cellStyle name="20% - Accent1 8 4" xfId="22991"/>
    <cellStyle name="20% - Accent1 9" xfId="686"/>
    <cellStyle name="20% - Accent1 9 2" xfId="1044"/>
    <cellStyle name="20% - Accent1 9 3" xfId="22774"/>
    <cellStyle name="20% - Accent1 9 4" xfId="23007"/>
    <cellStyle name="20% - Accent2" xfId="173" builtinId="34" customBuiltin="1"/>
    <cellStyle name="20% - Accent2 10" xfId="718"/>
    <cellStyle name="20% - Accent2 10 2" xfId="1062"/>
    <cellStyle name="20% - Accent2 10 3" xfId="22641"/>
    <cellStyle name="20% - Accent2 10 4" xfId="23025"/>
    <cellStyle name="20% - Accent2 11" xfId="746"/>
    <cellStyle name="20% - Accent2 11 2" xfId="1078"/>
    <cellStyle name="20% - Accent2 11 3" xfId="22768"/>
    <cellStyle name="20% - Accent2 11 4" xfId="23041"/>
    <cellStyle name="20% - Accent2 12" xfId="772"/>
    <cellStyle name="20% - Accent2 12 2" xfId="1094"/>
    <cellStyle name="20% - Accent2 12 3" xfId="22739"/>
    <cellStyle name="20% - Accent2 12 4" xfId="23057"/>
    <cellStyle name="20% - Accent2 13" xfId="796"/>
    <cellStyle name="20% - Accent2 13 2" xfId="1110"/>
    <cellStyle name="20% - Accent2 13 3" xfId="22770"/>
    <cellStyle name="20% - Accent2 13 4" xfId="23073"/>
    <cellStyle name="20% - Accent2 14" xfId="818"/>
    <cellStyle name="20% - Accent2 14 2" xfId="1126"/>
    <cellStyle name="20% - Accent2 14 3" xfId="22601"/>
    <cellStyle name="20% - Accent2 14 4" xfId="23089"/>
    <cellStyle name="20% - Accent2 15" xfId="834"/>
    <cellStyle name="20% - Accent2 15 2" xfId="1142"/>
    <cellStyle name="20% - Accent2 15 3" xfId="22659"/>
    <cellStyle name="20% - Accent2 15 4" xfId="23105"/>
    <cellStyle name="20% - Accent2 16" xfId="858"/>
    <cellStyle name="20% - Accent2 17" xfId="22821"/>
    <cellStyle name="20% - Accent2 2" xfId="491"/>
    <cellStyle name="20% - Accent2 2 2" xfId="934"/>
    <cellStyle name="20% - Accent2 2 2 2" xfId="6397"/>
    <cellStyle name="20% - Accent2 2 2 2 2" xfId="9483"/>
    <cellStyle name="20% - Accent2 2 2 2 2 2" xfId="15676"/>
    <cellStyle name="20% - Accent2 2 2 2 2 3" xfId="21828"/>
    <cellStyle name="20% - Accent2 2 2 2 3" xfId="12610"/>
    <cellStyle name="20% - Accent2 2 2 2 4" xfId="18762"/>
    <cellStyle name="20% - Accent2 2 2 3" xfId="7948"/>
    <cellStyle name="20% - Accent2 2 2 3 2" xfId="14142"/>
    <cellStyle name="20% - Accent2 2 2 3 3" xfId="20294"/>
    <cellStyle name="20% - Accent2 2 2 4" xfId="11076"/>
    <cellStyle name="20% - Accent2 2 2 5" xfId="17228"/>
    <cellStyle name="20% - Accent2 2 2 6" xfId="4772"/>
    <cellStyle name="20% - Accent2 2 3" xfId="5611"/>
    <cellStyle name="20% - Accent2 2 3 2" xfId="8714"/>
    <cellStyle name="20% - Accent2 2 3 2 2" xfId="14907"/>
    <cellStyle name="20% - Accent2 2 3 2 3" xfId="21059"/>
    <cellStyle name="20% - Accent2 2 3 3" xfId="11841"/>
    <cellStyle name="20% - Accent2 2 3 4" xfId="17993"/>
    <cellStyle name="20% - Accent2 2 4" xfId="7179"/>
    <cellStyle name="20% - Accent2 2 4 2" xfId="13373"/>
    <cellStyle name="20% - Accent2 2 4 3" xfId="19525"/>
    <cellStyle name="20% - Accent2 2 5" xfId="10307"/>
    <cellStyle name="20% - Accent2 2 6" xfId="16459"/>
    <cellStyle name="20% - Accent2 2 7" xfId="1333"/>
    <cellStyle name="20% - Accent2 2 8" xfId="22897"/>
    <cellStyle name="20% - Accent2 3" xfId="521"/>
    <cellStyle name="20% - Accent2 3 2" xfId="950"/>
    <cellStyle name="20% - Accent2 3 2 2" xfId="6398"/>
    <cellStyle name="20% - Accent2 3 2 2 2" xfId="9484"/>
    <cellStyle name="20% - Accent2 3 2 2 2 2" xfId="15677"/>
    <cellStyle name="20% - Accent2 3 2 2 2 3" xfId="21829"/>
    <cellStyle name="20% - Accent2 3 2 2 3" xfId="12611"/>
    <cellStyle name="20% - Accent2 3 2 2 4" xfId="18763"/>
    <cellStyle name="20% - Accent2 3 2 3" xfId="7949"/>
    <cellStyle name="20% - Accent2 3 2 3 2" xfId="14143"/>
    <cellStyle name="20% - Accent2 3 2 3 3" xfId="20295"/>
    <cellStyle name="20% - Accent2 3 2 4" xfId="11077"/>
    <cellStyle name="20% - Accent2 3 2 5" xfId="17229"/>
    <cellStyle name="20% - Accent2 3 2 6" xfId="4773"/>
    <cellStyle name="20% - Accent2 3 3" xfId="5612"/>
    <cellStyle name="20% - Accent2 3 3 2" xfId="8715"/>
    <cellStyle name="20% - Accent2 3 3 2 2" xfId="14908"/>
    <cellStyle name="20% - Accent2 3 3 2 3" xfId="21060"/>
    <cellStyle name="20% - Accent2 3 3 3" xfId="11842"/>
    <cellStyle name="20% - Accent2 3 3 4" xfId="17994"/>
    <cellStyle name="20% - Accent2 3 4" xfId="7180"/>
    <cellStyle name="20% - Accent2 3 4 2" xfId="13374"/>
    <cellStyle name="20% - Accent2 3 4 3" xfId="19526"/>
    <cellStyle name="20% - Accent2 3 5" xfId="10308"/>
    <cellStyle name="20% - Accent2 3 6" xfId="16460"/>
    <cellStyle name="20% - Accent2 3 7" xfId="1334"/>
    <cellStyle name="20% - Accent2 3 8" xfId="22913"/>
    <cellStyle name="20% - Accent2 4" xfId="549"/>
    <cellStyle name="20% - Accent2 4 2" xfId="966"/>
    <cellStyle name="20% - Accent2 4 2 2" xfId="6399"/>
    <cellStyle name="20% - Accent2 4 2 2 2" xfId="9485"/>
    <cellStyle name="20% - Accent2 4 2 2 2 2" xfId="15678"/>
    <cellStyle name="20% - Accent2 4 2 2 2 3" xfId="21830"/>
    <cellStyle name="20% - Accent2 4 2 2 3" xfId="12612"/>
    <cellStyle name="20% - Accent2 4 2 2 4" xfId="18764"/>
    <cellStyle name="20% - Accent2 4 2 3" xfId="7950"/>
    <cellStyle name="20% - Accent2 4 2 3 2" xfId="14144"/>
    <cellStyle name="20% - Accent2 4 2 3 3" xfId="20296"/>
    <cellStyle name="20% - Accent2 4 2 4" xfId="11078"/>
    <cellStyle name="20% - Accent2 4 2 5" xfId="17230"/>
    <cellStyle name="20% - Accent2 4 2 6" xfId="4774"/>
    <cellStyle name="20% - Accent2 4 3" xfId="5613"/>
    <cellStyle name="20% - Accent2 4 3 2" xfId="8716"/>
    <cellStyle name="20% - Accent2 4 3 2 2" xfId="14909"/>
    <cellStyle name="20% - Accent2 4 3 2 3" xfId="21061"/>
    <cellStyle name="20% - Accent2 4 3 3" xfId="11843"/>
    <cellStyle name="20% - Accent2 4 3 4" xfId="17995"/>
    <cellStyle name="20% - Accent2 4 4" xfId="7181"/>
    <cellStyle name="20% - Accent2 4 4 2" xfId="13375"/>
    <cellStyle name="20% - Accent2 4 4 3" xfId="19527"/>
    <cellStyle name="20% - Accent2 4 5" xfId="10309"/>
    <cellStyle name="20% - Accent2 4 6" xfId="16461"/>
    <cellStyle name="20% - Accent2 4 7" xfId="1335"/>
    <cellStyle name="20% - Accent2 4 8" xfId="22929"/>
    <cellStyle name="20% - Accent2 5" xfId="576"/>
    <cellStyle name="20% - Accent2 5 2" xfId="982"/>
    <cellStyle name="20% - Accent2 5 2 2" xfId="6400"/>
    <cellStyle name="20% - Accent2 5 2 2 2" xfId="9486"/>
    <cellStyle name="20% - Accent2 5 2 2 2 2" xfId="15679"/>
    <cellStyle name="20% - Accent2 5 2 2 2 3" xfId="21831"/>
    <cellStyle name="20% - Accent2 5 2 2 3" xfId="12613"/>
    <cellStyle name="20% - Accent2 5 2 2 4" xfId="18765"/>
    <cellStyle name="20% - Accent2 5 2 3" xfId="7951"/>
    <cellStyle name="20% - Accent2 5 2 3 2" xfId="14145"/>
    <cellStyle name="20% - Accent2 5 2 3 3" xfId="20297"/>
    <cellStyle name="20% - Accent2 5 2 4" xfId="11079"/>
    <cellStyle name="20% - Accent2 5 2 5" xfId="17231"/>
    <cellStyle name="20% - Accent2 5 2 6" xfId="4775"/>
    <cellStyle name="20% - Accent2 5 3" xfId="5614"/>
    <cellStyle name="20% - Accent2 5 3 2" xfId="8717"/>
    <cellStyle name="20% - Accent2 5 3 2 2" xfId="14910"/>
    <cellStyle name="20% - Accent2 5 3 2 3" xfId="21062"/>
    <cellStyle name="20% - Accent2 5 3 3" xfId="11844"/>
    <cellStyle name="20% - Accent2 5 3 4" xfId="17996"/>
    <cellStyle name="20% - Accent2 5 4" xfId="7182"/>
    <cellStyle name="20% - Accent2 5 4 2" xfId="13376"/>
    <cellStyle name="20% - Accent2 5 4 3" xfId="19528"/>
    <cellStyle name="20% - Accent2 5 5" xfId="10310"/>
    <cellStyle name="20% - Accent2 5 6" xfId="16462"/>
    <cellStyle name="20% - Accent2 5 7" xfId="1336"/>
    <cellStyle name="20% - Accent2 5 8" xfId="22689"/>
    <cellStyle name="20% - Accent2 5 9" xfId="22945"/>
    <cellStyle name="20% - Accent2 6" xfId="603"/>
    <cellStyle name="20% - Accent2 6 2" xfId="998"/>
    <cellStyle name="20% - Accent2 6 3" xfId="1337"/>
    <cellStyle name="20% - Accent2 6 4" xfId="22781"/>
    <cellStyle name="20% - Accent2 6 5" xfId="22961"/>
    <cellStyle name="20% - Accent2 7" xfId="627"/>
    <cellStyle name="20% - Accent2 7 2" xfId="1014"/>
    <cellStyle name="20% - Accent2 7 3" xfId="22778"/>
    <cellStyle name="20% - Accent2 7 4" xfId="22977"/>
    <cellStyle name="20% - Accent2 8" xfId="651"/>
    <cellStyle name="20% - Accent2 8 2" xfId="1030"/>
    <cellStyle name="20% - Accent2 8 3" xfId="22723"/>
    <cellStyle name="20% - Accent2 8 4" xfId="22993"/>
    <cellStyle name="20% - Accent2 9" xfId="690"/>
    <cellStyle name="20% - Accent2 9 2" xfId="1046"/>
    <cellStyle name="20% - Accent2 9 3" xfId="22678"/>
    <cellStyle name="20% - Accent2 9 4" xfId="23009"/>
    <cellStyle name="20% - Accent3" xfId="177" builtinId="38" customBuiltin="1"/>
    <cellStyle name="20% - Accent3 10" xfId="722"/>
    <cellStyle name="20% - Accent3 10 2" xfId="1064"/>
    <cellStyle name="20% - Accent3 10 3" xfId="22703"/>
    <cellStyle name="20% - Accent3 10 4" xfId="23027"/>
    <cellStyle name="20% - Accent3 11" xfId="749"/>
    <cellStyle name="20% - Accent3 11 2" xfId="1080"/>
    <cellStyle name="20% - Accent3 11 3" xfId="22779"/>
    <cellStyle name="20% - Accent3 11 4" xfId="23043"/>
    <cellStyle name="20% - Accent3 12" xfId="775"/>
    <cellStyle name="20% - Accent3 12 2" xfId="1096"/>
    <cellStyle name="20% - Accent3 12 3" xfId="22795"/>
    <cellStyle name="20% - Accent3 12 4" xfId="23059"/>
    <cellStyle name="20% - Accent3 13" xfId="799"/>
    <cellStyle name="20% - Accent3 13 2" xfId="1112"/>
    <cellStyle name="20% - Accent3 13 3" xfId="22755"/>
    <cellStyle name="20% - Accent3 13 4" xfId="23075"/>
    <cellStyle name="20% - Accent3 14" xfId="820"/>
    <cellStyle name="20% - Accent3 14 2" xfId="1128"/>
    <cellStyle name="20% - Accent3 14 3" xfId="22631"/>
    <cellStyle name="20% - Accent3 14 4" xfId="23091"/>
    <cellStyle name="20% - Accent3 15" xfId="836"/>
    <cellStyle name="20% - Accent3 15 2" xfId="1144"/>
    <cellStyle name="20% - Accent3 15 3" xfId="22798"/>
    <cellStyle name="20% - Accent3 15 4" xfId="23107"/>
    <cellStyle name="20% - Accent3 16" xfId="860"/>
    <cellStyle name="20% - Accent3 17" xfId="22823"/>
    <cellStyle name="20% - Accent3 2" xfId="495"/>
    <cellStyle name="20% - Accent3 2 2" xfId="936"/>
    <cellStyle name="20% - Accent3 2 2 2" xfId="6401"/>
    <cellStyle name="20% - Accent3 2 2 2 2" xfId="9487"/>
    <cellStyle name="20% - Accent3 2 2 2 2 2" xfId="15680"/>
    <cellStyle name="20% - Accent3 2 2 2 2 3" xfId="21832"/>
    <cellStyle name="20% - Accent3 2 2 2 3" xfId="12614"/>
    <cellStyle name="20% - Accent3 2 2 2 4" xfId="18766"/>
    <cellStyle name="20% - Accent3 2 2 3" xfId="7952"/>
    <cellStyle name="20% - Accent3 2 2 3 2" xfId="14146"/>
    <cellStyle name="20% - Accent3 2 2 3 3" xfId="20298"/>
    <cellStyle name="20% - Accent3 2 2 4" xfId="11080"/>
    <cellStyle name="20% - Accent3 2 2 5" xfId="17232"/>
    <cellStyle name="20% - Accent3 2 2 6" xfId="4776"/>
    <cellStyle name="20% - Accent3 2 3" xfId="5615"/>
    <cellStyle name="20% - Accent3 2 3 2" xfId="8718"/>
    <cellStyle name="20% - Accent3 2 3 2 2" xfId="14911"/>
    <cellStyle name="20% - Accent3 2 3 2 3" xfId="21063"/>
    <cellStyle name="20% - Accent3 2 3 3" xfId="11845"/>
    <cellStyle name="20% - Accent3 2 3 4" xfId="17997"/>
    <cellStyle name="20% - Accent3 2 4" xfId="7183"/>
    <cellStyle name="20% - Accent3 2 4 2" xfId="13377"/>
    <cellStyle name="20% - Accent3 2 4 3" xfId="19529"/>
    <cellStyle name="20% - Accent3 2 5" xfId="10311"/>
    <cellStyle name="20% - Accent3 2 6" xfId="16463"/>
    <cellStyle name="20% - Accent3 2 7" xfId="1338"/>
    <cellStyle name="20% - Accent3 2 8" xfId="22899"/>
    <cellStyle name="20% - Accent3 3" xfId="525"/>
    <cellStyle name="20% - Accent3 3 2" xfId="952"/>
    <cellStyle name="20% - Accent3 3 2 2" xfId="6402"/>
    <cellStyle name="20% - Accent3 3 2 2 2" xfId="9488"/>
    <cellStyle name="20% - Accent3 3 2 2 2 2" xfId="15681"/>
    <cellStyle name="20% - Accent3 3 2 2 2 3" xfId="21833"/>
    <cellStyle name="20% - Accent3 3 2 2 3" xfId="12615"/>
    <cellStyle name="20% - Accent3 3 2 2 4" xfId="18767"/>
    <cellStyle name="20% - Accent3 3 2 3" xfId="7953"/>
    <cellStyle name="20% - Accent3 3 2 3 2" xfId="14147"/>
    <cellStyle name="20% - Accent3 3 2 3 3" xfId="20299"/>
    <cellStyle name="20% - Accent3 3 2 4" xfId="11081"/>
    <cellStyle name="20% - Accent3 3 2 5" xfId="17233"/>
    <cellStyle name="20% - Accent3 3 2 6" xfId="4777"/>
    <cellStyle name="20% - Accent3 3 3" xfId="5616"/>
    <cellStyle name="20% - Accent3 3 3 2" xfId="8719"/>
    <cellStyle name="20% - Accent3 3 3 2 2" xfId="14912"/>
    <cellStyle name="20% - Accent3 3 3 2 3" xfId="21064"/>
    <cellStyle name="20% - Accent3 3 3 3" xfId="11846"/>
    <cellStyle name="20% - Accent3 3 3 4" xfId="17998"/>
    <cellStyle name="20% - Accent3 3 4" xfId="7184"/>
    <cellStyle name="20% - Accent3 3 4 2" xfId="13378"/>
    <cellStyle name="20% - Accent3 3 4 3" xfId="19530"/>
    <cellStyle name="20% - Accent3 3 5" xfId="10312"/>
    <cellStyle name="20% - Accent3 3 6" xfId="16464"/>
    <cellStyle name="20% - Accent3 3 7" xfId="1339"/>
    <cellStyle name="20% - Accent3 3 8" xfId="22915"/>
    <cellStyle name="20% - Accent3 4" xfId="552"/>
    <cellStyle name="20% - Accent3 4 2" xfId="968"/>
    <cellStyle name="20% - Accent3 4 2 2" xfId="6403"/>
    <cellStyle name="20% - Accent3 4 2 2 2" xfId="9489"/>
    <cellStyle name="20% - Accent3 4 2 2 2 2" xfId="15682"/>
    <cellStyle name="20% - Accent3 4 2 2 2 3" xfId="21834"/>
    <cellStyle name="20% - Accent3 4 2 2 3" xfId="12616"/>
    <cellStyle name="20% - Accent3 4 2 2 4" xfId="18768"/>
    <cellStyle name="20% - Accent3 4 2 3" xfId="7954"/>
    <cellStyle name="20% - Accent3 4 2 3 2" xfId="14148"/>
    <cellStyle name="20% - Accent3 4 2 3 3" xfId="20300"/>
    <cellStyle name="20% - Accent3 4 2 4" xfId="11082"/>
    <cellStyle name="20% - Accent3 4 2 5" xfId="17234"/>
    <cellStyle name="20% - Accent3 4 2 6" xfId="4778"/>
    <cellStyle name="20% - Accent3 4 3" xfId="5617"/>
    <cellStyle name="20% - Accent3 4 3 2" xfId="8720"/>
    <cellStyle name="20% - Accent3 4 3 2 2" xfId="14913"/>
    <cellStyle name="20% - Accent3 4 3 2 3" xfId="21065"/>
    <cellStyle name="20% - Accent3 4 3 3" xfId="11847"/>
    <cellStyle name="20% - Accent3 4 3 4" xfId="17999"/>
    <cellStyle name="20% - Accent3 4 4" xfId="7185"/>
    <cellStyle name="20% - Accent3 4 4 2" xfId="13379"/>
    <cellStyle name="20% - Accent3 4 4 3" xfId="19531"/>
    <cellStyle name="20% - Accent3 4 5" xfId="10313"/>
    <cellStyle name="20% - Accent3 4 6" xfId="16465"/>
    <cellStyle name="20% - Accent3 4 7" xfId="1340"/>
    <cellStyle name="20% - Accent3 4 8" xfId="22931"/>
    <cellStyle name="20% - Accent3 5" xfId="580"/>
    <cellStyle name="20% - Accent3 5 2" xfId="984"/>
    <cellStyle name="20% - Accent3 5 2 2" xfId="6404"/>
    <cellStyle name="20% - Accent3 5 2 2 2" xfId="9490"/>
    <cellStyle name="20% - Accent3 5 2 2 2 2" xfId="15683"/>
    <cellStyle name="20% - Accent3 5 2 2 2 3" xfId="21835"/>
    <cellStyle name="20% - Accent3 5 2 2 3" xfId="12617"/>
    <cellStyle name="20% - Accent3 5 2 2 4" xfId="18769"/>
    <cellStyle name="20% - Accent3 5 2 3" xfId="7955"/>
    <cellStyle name="20% - Accent3 5 2 3 2" xfId="14149"/>
    <cellStyle name="20% - Accent3 5 2 3 3" xfId="20301"/>
    <cellStyle name="20% - Accent3 5 2 4" xfId="11083"/>
    <cellStyle name="20% - Accent3 5 2 5" xfId="17235"/>
    <cellStyle name="20% - Accent3 5 2 6" xfId="4779"/>
    <cellStyle name="20% - Accent3 5 3" xfId="5618"/>
    <cellStyle name="20% - Accent3 5 3 2" xfId="8721"/>
    <cellStyle name="20% - Accent3 5 3 2 2" xfId="14914"/>
    <cellStyle name="20% - Accent3 5 3 2 3" xfId="21066"/>
    <cellStyle name="20% - Accent3 5 3 3" xfId="11848"/>
    <cellStyle name="20% - Accent3 5 3 4" xfId="18000"/>
    <cellStyle name="20% - Accent3 5 4" xfId="7186"/>
    <cellStyle name="20% - Accent3 5 4 2" xfId="13380"/>
    <cellStyle name="20% - Accent3 5 4 3" xfId="19532"/>
    <cellStyle name="20% - Accent3 5 5" xfId="10314"/>
    <cellStyle name="20% - Accent3 5 6" xfId="16466"/>
    <cellStyle name="20% - Accent3 5 7" xfId="1341"/>
    <cellStyle name="20% - Accent3 5 8" xfId="22686"/>
    <cellStyle name="20% - Accent3 5 9" xfId="22947"/>
    <cellStyle name="20% - Accent3 6" xfId="606"/>
    <cellStyle name="20% - Accent3 6 2" xfId="1000"/>
    <cellStyle name="20% - Accent3 6 3" xfId="1342"/>
    <cellStyle name="20% - Accent3 6 4" xfId="22639"/>
    <cellStyle name="20% - Accent3 6 5" xfId="22963"/>
    <cellStyle name="20% - Accent3 7" xfId="630"/>
    <cellStyle name="20% - Accent3 7 2" xfId="1016"/>
    <cellStyle name="20% - Accent3 7 3" xfId="22806"/>
    <cellStyle name="20% - Accent3 7 4" xfId="22979"/>
    <cellStyle name="20% - Accent3 8" xfId="655"/>
    <cellStyle name="20% - Accent3 8 2" xfId="1032"/>
    <cellStyle name="20% - Accent3 8 3" xfId="22792"/>
    <cellStyle name="20% - Accent3 8 4" xfId="22995"/>
    <cellStyle name="20% - Accent3 9" xfId="694"/>
    <cellStyle name="20% - Accent3 9 2" xfId="1048"/>
    <cellStyle name="20% - Accent3 9 3" xfId="22700"/>
    <cellStyle name="20% - Accent3 9 4" xfId="23011"/>
    <cellStyle name="20% - Accent4" xfId="181" builtinId="42" customBuiltin="1"/>
    <cellStyle name="20% - Accent4 10" xfId="726"/>
    <cellStyle name="20% - Accent4 10 2" xfId="1066"/>
    <cellStyle name="20% - Accent4 10 3" xfId="22790"/>
    <cellStyle name="20% - Accent4 10 4" xfId="23029"/>
    <cellStyle name="20% - Accent4 11" xfId="753"/>
    <cellStyle name="20% - Accent4 11 2" xfId="1082"/>
    <cellStyle name="20% - Accent4 11 3" xfId="22692"/>
    <cellStyle name="20% - Accent4 11 4" xfId="23045"/>
    <cellStyle name="20% - Accent4 12" xfId="779"/>
    <cellStyle name="20% - Accent4 12 2" xfId="1098"/>
    <cellStyle name="20% - Accent4 12 3" xfId="22799"/>
    <cellStyle name="20% - Accent4 12 4" xfId="23061"/>
    <cellStyle name="20% - Accent4 13" xfId="803"/>
    <cellStyle name="20% - Accent4 13 2" xfId="1114"/>
    <cellStyle name="20% - Accent4 13 3" xfId="22656"/>
    <cellStyle name="20% - Accent4 13 4" xfId="23077"/>
    <cellStyle name="20% - Accent4 14" xfId="822"/>
    <cellStyle name="20% - Accent4 14 2" xfId="1130"/>
    <cellStyle name="20% - Accent4 14 3" xfId="22777"/>
    <cellStyle name="20% - Accent4 14 4" xfId="23093"/>
    <cellStyle name="20% - Accent4 15" xfId="838"/>
    <cellStyle name="20% - Accent4 15 2" xfId="1146"/>
    <cellStyle name="20% - Accent4 15 3" xfId="22669"/>
    <cellStyle name="20% - Accent4 15 4" xfId="23109"/>
    <cellStyle name="20% - Accent4 16" xfId="862"/>
    <cellStyle name="20% - Accent4 17" xfId="22825"/>
    <cellStyle name="20% - Accent4 2" xfId="499"/>
    <cellStyle name="20% - Accent4 2 2" xfId="938"/>
    <cellStyle name="20% - Accent4 2 2 2" xfId="6405"/>
    <cellStyle name="20% - Accent4 2 2 2 2" xfId="9491"/>
    <cellStyle name="20% - Accent4 2 2 2 2 2" xfId="15684"/>
    <cellStyle name="20% - Accent4 2 2 2 2 3" xfId="21836"/>
    <cellStyle name="20% - Accent4 2 2 2 3" xfId="12618"/>
    <cellStyle name="20% - Accent4 2 2 2 4" xfId="18770"/>
    <cellStyle name="20% - Accent4 2 2 3" xfId="7956"/>
    <cellStyle name="20% - Accent4 2 2 3 2" xfId="14150"/>
    <cellStyle name="20% - Accent4 2 2 3 3" xfId="20302"/>
    <cellStyle name="20% - Accent4 2 2 4" xfId="11084"/>
    <cellStyle name="20% - Accent4 2 2 5" xfId="17236"/>
    <cellStyle name="20% - Accent4 2 2 6" xfId="4780"/>
    <cellStyle name="20% - Accent4 2 3" xfId="5619"/>
    <cellStyle name="20% - Accent4 2 3 2" xfId="8722"/>
    <cellStyle name="20% - Accent4 2 3 2 2" xfId="14915"/>
    <cellStyle name="20% - Accent4 2 3 2 3" xfId="21067"/>
    <cellStyle name="20% - Accent4 2 3 3" xfId="11849"/>
    <cellStyle name="20% - Accent4 2 3 4" xfId="18001"/>
    <cellStyle name="20% - Accent4 2 4" xfId="7187"/>
    <cellStyle name="20% - Accent4 2 4 2" xfId="13381"/>
    <cellStyle name="20% - Accent4 2 4 3" xfId="19533"/>
    <cellStyle name="20% - Accent4 2 5" xfId="10315"/>
    <cellStyle name="20% - Accent4 2 6" xfId="16467"/>
    <cellStyle name="20% - Accent4 2 7" xfId="1343"/>
    <cellStyle name="20% - Accent4 2 8" xfId="22901"/>
    <cellStyle name="20% - Accent4 3" xfId="529"/>
    <cellStyle name="20% - Accent4 3 2" xfId="954"/>
    <cellStyle name="20% - Accent4 3 2 2" xfId="6406"/>
    <cellStyle name="20% - Accent4 3 2 2 2" xfId="9492"/>
    <cellStyle name="20% - Accent4 3 2 2 2 2" xfId="15685"/>
    <cellStyle name="20% - Accent4 3 2 2 2 3" xfId="21837"/>
    <cellStyle name="20% - Accent4 3 2 2 3" xfId="12619"/>
    <cellStyle name="20% - Accent4 3 2 2 4" xfId="18771"/>
    <cellStyle name="20% - Accent4 3 2 3" xfId="7957"/>
    <cellStyle name="20% - Accent4 3 2 3 2" xfId="14151"/>
    <cellStyle name="20% - Accent4 3 2 3 3" xfId="20303"/>
    <cellStyle name="20% - Accent4 3 2 4" xfId="11085"/>
    <cellStyle name="20% - Accent4 3 2 5" xfId="17237"/>
    <cellStyle name="20% - Accent4 3 2 6" xfId="4781"/>
    <cellStyle name="20% - Accent4 3 3" xfId="5620"/>
    <cellStyle name="20% - Accent4 3 3 2" xfId="8723"/>
    <cellStyle name="20% - Accent4 3 3 2 2" xfId="14916"/>
    <cellStyle name="20% - Accent4 3 3 2 3" xfId="21068"/>
    <cellStyle name="20% - Accent4 3 3 3" xfId="11850"/>
    <cellStyle name="20% - Accent4 3 3 4" xfId="18002"/>
    <cellStyle name="20% - Accent4 3 4" xfId="7188"/>
    <cellStyle name="20% - Accent4 3 4 2" xfId="13382"/>
    <cellStyle name="20% - Accent4 3 4 3" xfId="19534"/>
    <cellStyle name="20% - Accent4 3 5" xfId="10316"/>
    <cellStyle name="20% - Accent4 3 6" xfId="16468"/>
    <cellStyle name="20% - Accent4 3 7" xfId="1344"/>
    <cellStyle name="20% - Accent4 3 8" xfId="22917"/>
    <cellStyle name="20% - Accent4 4" xfId="556"/>
    <cellStyle name="20% - Accent4 4 2" xfId="970"/>
    <cellStyle name="20% - Accent4 4 2 2" xfId="6407"/>
    <cellStyle name="20% - Accent4 4 2 2 2" xfId="9493"/>
    <cellStyle name="20% - Accent4 4 2 2 2 2" xfId="15686"/>
    <cellStyle name="20% - Accent4 4 2 2 2 3" xfId="21838"/>
    <cellStyle name="20% - Accent4 4 2 2 3" xfId="12620"/>
    <cellStyle name="20% - Accent4 4 2 2 4" xfId="18772"/>
    <cellStyle name="20% - Accent4 4 2 3" xfId="7958"/>
    <cellStyle name="20% - Accent4 4 2 3 2" xfId="14152"/>
    <cellStyle name="20% - Accent4 4 2 3 3" xfId="20304"/>
    <cellStyle name="20% - Accent4 4 2 4" xfId="11086"/>
    <cellStyle name="20% - Accent4 4 2 5" xfId="17238"/>
    <cellStyle name="20% - Accent4 4 2 6" xfId="4782"/>
    <cellStyle name="20% - Accent4 4 3" xfId="5621"/>
    <cellStyle name="20% - Accent4 4 3 2" xfId="8724"/>
    <cellStyle name="20% - Accent4 4 3 2 2" xfId="14917"/>
    <cellStyle name="20% - Accent4 4 3 2 3" xfId="21069"/>
    <cellStyle name="20% - Accent4 4 3 3" xfId="11851"/>
    <cellStyle name="20% - Accent4 4 3 4" xfId="18003"/>
    <cellStyle name="20% - Accent4 4 4" xfId="7189"/>
    <cellStyle name="20% - Accent4 4 4 2" xfId="13383"/>
    <cellStyle name="20% - Accent4 4 4 3" xfId="19535"/>
    <cellStyle name="20% - Accent4 4 5" xfId="10317"/>
    <cellStyle name="20% - Accent4 4 6" xfId="16469"/>
    <cellStyle name="20% - Accent4 4 7" xfId="1345"/>
    <cellStyle name="20% - Accent4 4 8" xfId="22933"/>
    <cellStyle name="20% - Accent4 5" xfId="584"/>
    <cellStyle name="20% - Accent4 5 2" xfId="986"/>
    <cellStyle name="20% - Accent4 5 2 2" xfId="6408"/>
    <cellStyle name="20% - Accent4 5 2 2 2" xfId="9494"/>
    <cellStyle name="20% - Accent4 5 2 2 2 2" xfId="15687"/>
    <cellStyle name="20% - Accent4 5 2 2 2 3" xfId="21839"/>
    <cellStyle name="20% - Accent4 5 2 2 3" xfId="12621"/>
    <cellStyle name="20% - Accent4 5 2 2 4" xfId="18773"/>
    <cellStyle name="20% - Accent4 5 2 3" xfId="7959"/>
    <cellStyle name="20% - Accent4 5 2 3 2" xfId="14153"/>
    <cellStyle name="20% - Accent4 5 2 3 3" xfId="20305"/>
    <cellStyle name="20% - Accent4 5 2 4" xfId="11087"/>
    <cellStyle name="20% - Accent4 5 2 5" xfId="17239"/>
    <cellStyle name="20% - Accent4 5 2 6" xfId="4783"/>
    <cellStyle name="20% - Accent4 5 3" xfId="5622"/>
    <cellStyle name="20% - Accent4 5 3 2" xfId="8725"/>
    <cellStyle name="20% - Accent4 5 3 2 2" xfId="14918"/>
    <cellStyle name="20% - Accent4 5 3 2 3" xfId="21070"/>
    <cellStyle name="20% - Accent4 5 3 3" xfId="11852"/>
    <cellStyle name="20% - Accent4 5 3 4" xfId="18004"/>
    <cellStyle name="20% - Accent4 5 4" xfId="7190"/>
    <cellStyle name="20% - Accent4 5 4 2" xfId="13384"/>
    <cellStyle name="20% - Accent4 5 4 3" xfId="19536"/>
    <cellStyle name="20% - Accent4 5 5" xfId="10318"/>
    <cellStyle name="20% - Accent4 5 6" xfId="16470"/>
    <cellStyle name="20% - Accent4 5 7" xfId="1346"/>
    <cellStyle name="20% - Accent4 5 8" xfId="22610"/>
    <cellStyle name="20% - Accent4 5 9" xfId="22949"/>
    <cellStyle name="20% - Accent4 6" xfId="609"/>
    <cellStyle name="20% - Accent4 6 2" xfId="1002"/>
    <cellStyle name="20% - Accent4 6 3" xfId="1347"/>
    <cellStyle name="20% - Accent4 6 4" xfId="22773"/>
    <cellStyle name="20% - Accent4 6 5" xfId="22965"/>
    <cellStyle name="20% - Accent4 7" xfId="634"/>
    <cellStyle name="20% - Accent4 7 2" xfId="1018"/>
    <cellStyle name="20% - Accent4 7 3" xfId="22788"/>
    <cellStyle name="20% - Accent4 7 4" xfId="22981"/>
    <cellStyle name="20% - Accent4 8" xfId="659"/>
    <cellStyle name="20% - Accent4 8 2" xfId="1034"/>
    <cellStyle name="20% - Accent4 8 3" xfId="22812"/>
    <cellStyle name="20% - Accent4 8 4" xfId="22997"/>
    <cellStyle name="20% - Accent4 9" xfId="698"/>
    <cellStyle name="20% - Accent4 9 2" xfId="1050"/>
    <cellStyle name="20% - Accent4 9 3" xfId="22647"/>
    <cellStyle name="20% - Accent4 9 4" xfId="23013"/>
    <cellStyle name="20% - Accent5" xfId="185" builtinId="46" customBuiltin="1"/>
    <cellStyle name="20% - Accent5 10" xfId="730"/>
    <cellStyle name="20% - Accent5 10 2" xfId="1068"/>
    <cellStyle name="20% - Accent5 10 3" xfId="22760"/>
    <cellStyle name="20% - Accent5 10 4" xfId="23031"/>
    <cellStyle name="20% - Accent5 11" xfId="756"/>
    <cellStyle name="20% - Accent5 11 2" xfId="1084"/>
    <cellStyle name="20% - Accent5 11 3" xfId="22725"/>
    <cellStyle name="20% - Accent5 11 4" xfId="23047"/>
    <cellStyle name="20% - Accent5 12" xfId="782"/>
    <cellStyle name="20% - Accent5 12 2" xfId="1100"/>
    <cellStyle name="20% - Accent5 12 3" xfId="22685"/>
    <cellStyle name="20% - Accent5 12 4" xfId="23063"/>
    <cellStyle name="20% - Accent5 13" xfId="806"/>
    <cellStyle name="20% - Accent5 13 2" xfId="1116"/>
    <cellStyle name="20% - Accent5 13 3" xfId="22663"/>
    <cellStyle name="20% - Accent5 13 4" xfId="23079"/>
    <cellStyle name="20% - Accent5 14" xfId="824"/>
    <cellStyle name="20% - Accent5 14 2" xfId="1132"/>
    <cellStyle name="20% - Accent5 14 3" xfId="22716"/>
    <cellStyle name="20% - Accent5 14 4" xfId="23095"/>
    <cellStyle name="20% - Accent5 15" xfId="840"/>
    <cellStyle name="20% - Accent5 15 2" xfId="1148"/>
    <cellStyle name="20% - Accent5 15 3" xfId="22679"/>
    <cellStyle name="20% - Accent5 15 4" xfId="23111"/>
    <cellStyle name="20% - Accent5 16" xfId="864"/>
    <cellStyle name="20% - Accent5 17" xfId="22827"/>
    <cellStyle name="20% - Accent5 2" xfId="503"/>
    <cellStyle name="20% - Accent5 2 2" xfId="940"/>
    <cellStyle name="20% - Accent5 2 2 2" xfId="6409"/>
    <cellStyle name="20% - Accent5 2 2 2 2" xfId="9495"/>
    <cellStyle name="20% - Accent5 2 2 2 2 2" xfId="15688"/>
    <cellStyle name="20% - Accent5 2 2 2 2 3" xfId="21840"/>
    <cellStyle name="20% - Accent5 2 2 2 3" xfId="12622"/>
    <cellStyle name="20% - Accent5 2 2 2 4" xfId="18774"/>
    <cellStyle name="20% - Accent5 2 2 3" xfId="7960"/>
    <cellStyle name="20% - Accent5 2 2 3 2" xfId="14154"/>
    <cellStyle name="20% - Accent5 2 2 3 3" xfId="20306"/>
    <cellStyle name="20% - Accent5 2 2 4" xfId="11088"/>
    <cellStyle name="20% - Accent5 2 2 5" xfId="17240"/>
    <cellStyle name="20% - Accent5 2 2 6" xfId="4784"/>
    <cellStyle name="20% - Accent5 2 3" xfId="5623"/>
    <cellStyle name="20% - Accent5 2 3 2" xfId="8726"/>
    <cellStyle name="20% - Accent5 2 3 2 2" xfId="14919"/>
    <cellStyle name="20% - Accent5 2 3 2 3" xfId="21071"/>
    <cellStyle name="20% - Accent5 2 3 3" xfId="11853"/>
    <cellStyle name="20% - Accent5 2 3 4" xfId="18005"/>
    <cellStyle name="20% - Accent5 2 4" xfId="7191"/>
    <cellStyle name="20% - Accent5 2 4 2" xfId="13385"/>
    <cellStyle name="20% - Accent5 2 4 3" xfId="19537"/>
    <cellStyle name="20% - Accent5 2 5" xfId="10319"/>
    <cellStyle name="20% - Accent5 2 6" xfId="16471"/>
    <cellStyle name="20% - Accent5 2 7" xfId="1348"/>
    <cellStyle name="20% - Accent5 2 8" xfId="22903"/>
    <cellStyle name="20% - Accent5 3" xfId="533"/>
    <cellStyle name="20% - Accent5 3 2" xfId="956"/>
    <cellStyle name="20% - Accent5 3 2 2" xfId="6410"/>
    <cellStyle name="20% - Accent5 3 2 2 2" xfId="9496"/>
    <cellStyle name="20% - Accent5 3 2 2 2 2" xfId="15689"/>
    <cellStyle name="20% - Accent5 3 2 2 2 3" xfId="21841"/>
    <cellStyle name="20% - Accent5 3 2 2 3" xfId="12623"/>
    <cellStyle name="20% - Accent5 3 2 2 4" xfId="18775"/>
    <cellStyle name="20% - Accent5 3 2 3" xfId="7961"/>
    <cellStyle name="20% - Accent5 3 2 3 2" xfId="14155"/>
    <cellStyle name="20% - Accent5 3 2 3 3" xfId="20307"/>
    <cellStyle name="20% - Accent5 3 2 4" xfId="11089"/>
    <cellStyle name="20% - Accent5 3 2 5" xfId="17241"/>
    <cellStyle name="20% - Accent5 3 2 6" xfId="4785"/>
    <cellStyle name="20% - Accent5 3 3" xfId="5624"/>
    <cellStyle name="20% - Accent5 3 3 2" xfId="8727"/>
    <cellStyle name="20% - Accent5 3 3 2 2" xfId="14920"/>
    <cellStyle name="20% - Accent5 3 3 2 3" xfId="21072"/>
    <cellStyle name="20% - Accent5 3 3 3" xfId="11854"/>
    <cellStyle name="20% - Accent5 3 3 4" xfId="18006"/>
    <cellStyle name="20% - Accent5 3 4" xfId="7192"/>
    <cellStyle name="20% - Accent5 3 4 2" xfId="13386"/>
    <cellStyle name="20% - Accent5 3 4 3" xfId="19538"/>
    <cellStyle name="20% - Accent5 3 5" xfId="10320"/>
    <cellStyle name="20% - Accent5 3 6" xfId="16472"/>
    <cellStyle name="20% - Accent5 3 7" xfId="1349"/>
    <cellStyle name="20% - Accent5 3 8" xfId="22919"/>
    <cellStyle name="20% - Accent5 4" xfId="560"/>
    <cellStyle name="20% - Accent5 4 2" xfId="972"/>
    <cellStyle name="20% - Accent5 4 2 2" xfId="6411"/>
    <cellStyle name="20% - Accent5 4 2 2 2" xfId="9497"/>
    <cellStyle name="20% - Accent5 4 2 2 2 2" xfId="15690"/>
    <cellStyle name="20% - Accent5 4 2 2 2 3" xfId="21842"/>
    <cellStyle name="20% - Accent5 4 2 2 3" xfId="12624"/>
    <cellStyle name="20% - Accent5 4 2 2 4" xfId="18776"/>
    <cellStyle name="20% - Accent5 4 2 3" xfId="7962"/>
    <cellStyle name="20% - Accent5 4 2 3 2" xfId="14156"/>
    <cellStyle name="20% - Accent5 4 2 3 3" xfId="20308"/>
    <cellStyle name="20% - Accent5 4 2 4" xfId="11090"/>
    <cellStyle name="20% - Accent5 4 2 5" xfId="17242"/>
    <cellStyle name="20% - Accent5 4 2 6" xfId="4786"/>
    <cellStyle name="20% - Accent5 4 3" xfId="5625"/>
    <cellStyle name="20% - Accent5 4 3 2" xfId="8728"/>
    <cellStyle name="20% - Accent5 4 3 2 2" xfId="14921"/>
    <cellStyle name="20% - Accent5 4 3 2 3" xfId="21073"/>
    <cellStyle name="20% - Accent5 4 3 3" xfId="11855"/>
    <cellStyle name="20% - Accent5 4 3 4" xfId="18007"/>
    <cellStyle name="20% - Accent5 4 4" xfId="7193"/>
    <cellStyle name="20% - Accent5 4 4 2" xfId="13387"/>
    <cellStyle name="20% - Accent5 4 4 3" xfId="19539"/>
    <cellStyle name="20% - Accent5 4 5" xfId="10321"/>
    <cellStyle name="20% - Accent5 4 6" xfId="16473"/>
    <cellStyle name="20% - Accent5 4 7" xfId="1350"/>
    <cellStyle name="20% - Accent5 4 8" xfId="22935"/>
    <cellStyle name="20% - Accent5 5" xfId="587"/>
    <cellStyle name="20% - Accent5 5 2" xfId="988"/>
    <cellStyle name="20% - Accent5 5 3" xfId="1351"/>
    <cellStyle name="20% - Accent5 5 4" xfId="22596"/>
    <cellStyle name="20% - Accent5 5 5" xfId="22951"/>
    <cellStyle name="20% - Accent5 6" xfId="613"/>
    <cellStyle name="20% - Accent5 6 2" xfId="1004"/>
    <cellStyle name="20% - Accent5 6 3" xfId="22757"/>
    <cellStyle name="20% - Accent5 6 4" xfId="22967"/>
    <cellStyle name="20% - Accent5 7" xfId="637"/>
    <cellStyle name="20% - Accent5 7 2" xfId="1020"/>
    <cellStyle name="20% - Accent5 7 3" xfId="22772"/>
    <cellStyle name="20% - Accent5 7 4" xfId="22983"/>
    <cellStyle name="20% - Accent5 8" xfId="662"/>
    <cellStyle name="20% - Accent5 8 2" xfId="1036"/>
    <cellStyle name="20% - Accent5 8 3" xfId="22801"/>
    <cellStyle name="20% - Accent5 8 4" xfId="22999"/>
    <cellStyle name="20% - Accent5 9" xfId="702"/>
    <cellStyle name="20% - Accent5 9 2" xfId="1052"/>
    <cellStyle name="20% - Accent5 9 3" xfId="22696"/>
    <cellStyle name="20% - Accent5 9 4" xfId="23015"/>
    <cellStyle name="20% - Accent6" xfId="189" builtinId="50" customBuiltin="1"/>
    <cellStyle name="20% - Accent6 10" xfId="734"/>
    <cellStyle name="20% - Accent6 10 2" xfId="1070"/>
    <cellStyle name="20% - Accent6 10 3" xfId="22691"/>
    <cellStyle name="20% - Accent6 10 4" xfId="23033"/>
    <cellStyle name="20% - Accent6 11" xfId="760"/>
    <cellStyle name="20% - Accent6 11 2" xfId="1086"/>
    <cellStyle name="20% - Accent6 11 3" xfId="22666"/>
    <cellStyle name="20% - Accent6 11 4" xfId="23049"/>
    <cellStyle name="20% - Accent6 12" xfId="785"/>
    <cellStyle name="20% - Accent6 12 2" xfId="1102"/>
    <cellStyle name="20% - Accent6 12 3" xfId="22688"/>
    <cellStyle name="20% - Accent6 12 4" xfId="23065"/>
    <cellStyle name="20% - Accent6 13" xfId="809"/>
    <cellStyle name="20% - Accent6 13 2" xfId="1118"/>
    <cellStyle name="20% - Accent6 13 3" xfId="22730"/>
    <cellStyle name="20% - Accent6 13 4" xfId="23081"/>
    <cellStyle name="20% - Accent6 14" xfId="826"/>
    <cellStyle name="20% - Accent6 14 2" xfId="1134"/>
    <cellStyle name="20% - Accent6 14 3" xfId="22611"/>
    <cellStyle name="20% - Accent6 14 4" xfId="23097"/>
    <cellStyle name="20% - Accent6 15" xfId="842"/>
    <cellStyle name="20% - Accent6 15 2" xfId="1150"/>
    <cellStyle name="20% - Accent6 15 3" xfId="22591"/>
    <cellStyle name="20% - Accent6 15 4" xfId="23113"/>
    <cellStyle name="20% - Accent6 16" xfId="866"/>
    <cellStyle name="20% - Accent6 17" xfId="22829"/>
    <cellStyle name="20% - Accent6 2" xfId="507"/>
    <cellStyle name="20% - Accent6 2 2" xfId="942"/>
    <cellStyle name="20% - Accent6 2 2 2" xfId="6412"/>
    <cellStyle name="20% - Accent6 2 2 2 2" xfId="9498"/>
    <cellStyle name="20% - Accent6 2 2 2 2 2" xfId="15691"/>
    <cellStyle name="20% - Accent6 2 2 2 2 3" xfId="21843"/>
    <cellStyle name="20% - Accent6 2 2 2 3" xfId="12625"/>
    <cellStyle name="20% - Accent6 2 2 2 4" xfId="18777"/>
    <cellStyle name="20% - Accent6 2 2 3" xfId="7963"/>
    <cellStyle name="20% - Accent6 2 2 3 2" xfId="14157"/>
    <cellStyle name="20% - Accent6 2 2 3 3" xfId="20309"/>
    <cellStyle name="20% - Accent6 2 2 4" xfId="11091"/>
    <cellStyle name="20% - Accent6 2 2 5" xfId="17243"/>
    <cellStyle name="20% - Accent6 2 2 6" xfId="4787"/>
    <cellStyle name="20% - Accent6 2 3" xfId="5626"/>
    <cellStyle name="20% - Accent6 2 3 2" xfId="8729"/>
    <cellStyle name="20% - Accent6 2 3 2 2" xfId="14922"/>
    <cellStyle name="20% - Accent6 2 3 2 3" xfId="21074"/>
    <cellStyle name="20% - Accent6 2 3 3" xfId="11856"/>
    <cellStyle name="20% - Accent6 2 3 4" xfId="18008"/>
    <cellStyle name="20% - Accent6 2 4" xfId="7194"/>
    <cellStyle name="20% - Accent6 2 4 2" xfId="13388"/>
    <cellStyle name="20% - Accent6 2 4 3" xfId="19540"/>
    <cellStyle name="20% - Accent6 2 5" xfId="10322"/>
    <cellStyle name="20% - Accent6 2 6" xfId="16474"/>
    <cellStyle name="20% - Accent6 2 7" xfId="1352"/>
    <cellStyle name="20% - Accent6 2 8" xfId="22905"/>
    <cellStyle name="20% - Accent6 3" xfId="537"/>
    <cellStyle name="20% - Accent6 3 2" xfId="958"/>
    <cellStyle name="20% - Accent6 3 2 2" xfId="6413"/>
    <cellStyle name="20% - Accent6 3 2 2 2" xfId="9499"/>
    <cellStyle name="20% - Accent6 3 2 2 2 2" xfId="15692"/>
    <cellStyle name="20% - Accent6 3 2 2 2 3" xfId="21844"/>
    <cellStyle name="20% - Accent6 3 2 2 3" xfId="12626"/>
    <cellStyle name="20% - Accent6 3 2 2 4" xfId="18778"/>
    <cellStyle name="20% - Accent6 3 2 3" xfId="7964"/>
    <cellStyle name="20% - Accent6 3 2 3 2" xfId="14158"/>
    <cellStyle name="20% - Accent6 3 2 3 3" xfId="20310"/>
    <cellStyle name="20% - Accent6 3 2 4" xfId="11092"/>
    <cellStyle name="20% - Accent6 3 2 5" xfId="17244"/>
    <cellStyle name="20% - Accent6 3 2 6" xfId="4788"/>
    <cellStyle name="20% - Accent6 3 3" xfId="5627"/>
    <cellStyle name="20% - Accent6 3 3 2" xfId="8730"/>
    <cellStyle name="20% - Accent6 3 3 2 2" xfId="14923"/>
    <cellStyle name="20% - Accent6 3 3 2 3" xfId="21075"/>
    <cellStyle name="20% - Accent6 3 3 3" xfId="11857"/>
    <cellStyle name="20% - Accent6 3 3 4" xfId="18009"/>
    <cellStyle name="20% - Accent6 3 4" xfId="7195"/>
    <cellStyle name="20% - Accent6 3 4 2" xfId="13389"/>
    <cellStyle name="20% - Accent6 3 4 3" xfId="19541"/>
    <cellStyle name="20% - Accent6 3 5" xfId="10323"/>
    <cellStyle name="20% - Accent6 3 6" xfId="16475"/>
    <cellStyle name="20% - Accent6 3 7" xfId="1353"/>
    <cellStyle name="20% - Accent6 3 8" xfId="22921"/>
    <cellStyle name="20% - Accent6 4" xfId="564"/>
    <cellStyle name="20% - Accent6 4 2" xfId="974"/>
    <cellStyle name="20% - Accent6 4 2 2" xfId="6414"/>
    <cellStyle name="20% - Accent6 4 2 2 2" xfId="9500"/>
    <cellStyle name="20% - Accent6 4 2 2 2 2" xfId="15693"/>
    <cellStyle name="20% - Accent6 4 2 2 2 3" xfId="21845"/>
    <cellStyle name="20% - Accent6 4 2 2 3" xfId="12627"/>
    <cellStyle name="20% - Accent6 4 2 2 4" xfId="18779"/>
    <cellStyle name="20% - Accent6 4 2 3" xfId="7965"/>
    <cellStyle name="20% - Accent6 4 2 3 2" xfId="14159"/>
    <cellStyle name="20% - Accent6 4 2 3 3" xfId="20311"/>
    <cellStyle name="20% - Accent6 4 2 4" xfId="11093"/>
    <cellStyle name="20% - Accent6 4 2 5" xfId="17245"/>
    <cellStyle name="20% - Accent6 4 2 6" xfId="4789"/>
    <cellStyle name="20% - Accent6 4 3" xfId="5628"/>
    <cellStyle name="20% - Accent6 4 3 2" xfId="8731"/>
    <cellStyle name="20% - Accent6 4 3 2 2" xfId="14924"/>
    <cellStyle name="20% - Accent6 4 3 2 3" xfId="21076"/>
    <cellStyle name="20% - Accent6 4 3 3" xfId="11858"/>
    <cellStyle name="20% - Accent6 4 3 4" xfId="18010"/>
    <cellStyle name="20% - Accent6 4 4" xfId="7196"/>
    <cellStyle name="20% - Accent6 4 4 2" xfId="13390"/>
    <cellStyle name="20% - Accent6 4 4 3" xfId="19542"/>
    <cellStyle name="20% - Accent6 4 5" xfId="10324"/>
    <cellStyle name="20% - Accent6 4 6" xfId="16476"/>
    <cellStyle name="20% - Accent6 4 7" xfId="1354"/>
    <cellStyle name="20% - Accent6 4 8" xfId="22937"/>
    <cellStyle name="20% - Accent6 5" xfId="590"/>
    <cellStyle name="20% - Accent6 5 2" xfId="990"/>
    <cellStyle name="20% - Accent6 5 3" xfId="1355"/>
    <cellStyle name="20% - Accent6 5 4" xfId="22590"/>
    <cellStyle name="20% - Accent6 5 5" xfId="22953"/>
    <cellStyle name="20% - Accent6 6" xfId="617"/>
    <cellStyle name="20% - Accent6 6 2" xfId="1006"/>
    <cellStyle name="20% - Accent6 6 3" xfId="22740"/>
    <cellStyle name="20% - Accent6 6 4" xfId="22969"/>
    <cellStyle name="20% - Accent6 7" xfId="641"/>
    <cellStyle name="20% - Accent6 7 2" xfId="1022"/>
    <cellStyle name="20% - Accent6 7 3" xfId="22665"/>
    <cellStyle name="20% - Accent6 7 4" xfId="22985"/>
    <cellStyle name="20% - Accent6 8" xfId="666"/>
    <cellStyle name="20% - Accent6 8 2" xfId="1038"/>
    <cellStyle name="20% - Accent6 8 3" xfId="22662"/>
    <cellStyle name="20% - Accent6 8 4" xfId="23001"/>
    <cellStyle name="20% - Accent6 9" xfId="706"/>
    <cellStyle name="20% - Accent6 9 2" xfId="1054"/>
    <cellStyle name="20% - Accent6 9 3" xfId="22617"/>
    <cellStyle name="20% - Accent6 9 4" xfId="23017"/>
    <cellStyle name="40% - Accent1" xfId="170" builtinId="31" customBuiltin="1"/>
    <cellStyle name="40% - Accent1 10" xfId="716"/>
    <cellStyle name="40% - Accent1 10 2" xfId="1061"/>
    <cellStyle name="40% - Accent1 10 3" xfId="22627"/>
    <cellStyle name="40% - Accent1 10 4" xfId="23024"/>
    <cellStyle name="40% - Accent1 11" xfId="744"/>
    <cellStyle name="40% - Accent1 11 2" xfId="1077"/>
    <cellStyle name="40% - Accent1 11 3" xfId="22809"/>
    <cellStyle name="40% - Accent1 11 4" xfId="23040"/>
    <cellStyle name="40% - Accent1 12" xfId="770"/>
    <cellStyle name="40% - Accent1 12 2" xfId="1093"/>
    <cellStyle name="40% - Accent1 12 3" xfId="22758"/>
    <cellStyle name="40% - Accent1 12 4" xfId="23056"/>
    <cellStyle name="40% - Accent1 13" xfId="795"/>
    <cellStyle name="40% - Accent1 13 2" xfId="1109"/>
    <cellStyle name="40% - Accent1 13 3" xfId="22714"/>
    <cellStyle name="40% - Accent1 13 4" xfId="23072"/>
    <cellStyle name="40% - Accent1 14" xfId="817"/>
    <cellStyle name="40% - Accent1 14 2" xfId="1125"/>
    <cellStyle name="40% - Accent1 14 3" xfId="22786"/>
    <cellStyle name="40% - Accent1 14 4" xfId="23088"/>
    <cellStyle name="40% - Accent1 15" xfId="833"/>
    <cellStyle name="40% - Accent1 15 2" xfId="1141"/>
    <cellStyle name="40% - Accent1 15 3" xfId="22677"/>
    <cellStyle name="40% - Accent1 15 4" xfId="23104"/>
    <cellStyle name="40% - Accent1 16" xfId="857"/>
    <cellStyle name="40% - Accent1 17" xfId="22820"/>
    <cellStyle name="40% - Accent1 2" xfId="488"/>
    <cellStyle name="40% - Accent1 2 2" xfId="933"/>
    <cellStyle name="40% - Accent1 2 2 2" xfId="6415"/>
    <cellStyle name="40% - Accent1 2 2 2 2" xfId="9501"/>
    <cellStyle name="40% - Accent1 2 2 2 2 2" xfId="15694"/>
    <cellStyle name="40% - Accent1 2 2 2 2 3" xfId="21846"/>
    <cellStyle name="40% - Accent1 2 2 2 3" xfId="12628"/>
    <cellStyle name="40% - Accent1 2 2 2 4" xfId="18780"/>
    <cellStyle name="40% - Accent1 2 2 3" xfId="7966"/>
    <cellStyle name="40% - Accent1 2 2 3 2" xfId="14160"/>
    <cellStyle name="40% - Accent1 2 2 3 3" xfId="20312"/>
    <cellStyle name="40% - Accent1 2 2 4" xfId="11094"/>
    <cellStyle name="40% - Accent1 2 2 5" xfId="17246"/>
    <cellStyle name="40% - Accent1 2 2 6" xfId="4790"/>
    <cellStyle name="40% - Accent1 2 3" xfId="5629"/>
    <cellStyle name="40% - Accent1 2 3 2" xfId="8732"/>
    <cellStyle name="40% - Accent1 2 3 2 2" xfId="14925"/>
    <cellStyle name="40% - Accent1 2 3 2 3" xfId="21077"/>
    <cellStyle name="40% - Accent1 2 3 3" xfId="11859"/>
    <cellStyle name="40% - Accent1 2 3 4" xfId="18011"/>
    <cellStyle name="40% - Accent1 2 4" xfId="7197"/>
    <cellStyle name="40% - Accent1 2 4 2" xfId="13391"/>
    <cellStyle name="40% - Accent1 2 4 3" xfId="19543"/>
    <cellStyle name="40% - Accent1 2 5" xfId="10325"/>
    <cellStyle name="40% - Accent1 2 6" xfId="16477"/>
    <cellStyle name="40% - Accent1 2 7" xfId="1356"/>
    <cellStyle name="40% - Accent1 2 8" xfId="22896"/>
    <cellStyle name="40% - Accent1 3" xfId="519"/>
    <cellStyle name="40% - Accent1 3 2" xfId="949"/>
    <cellStyle name="40% - Accent1 3 2 2" xfId="6416"/>
    <cellStyle name="40% - Accent1 3 2 2 2" xfId="9502"/>
    <cellStyle name="40% - Accent1 3 2 2 2 2" xfId="15695"/>
    <cellStyle name="40% - Accent1 3 2 2 2 3" xfId="21847"/>
    <cellStyle name="40% - Accent1 3 2 2 3" xfId="12629"/>
    <cellStyle name="40% - Accent1 3 2 2 4" xfId="18781"/>
    <cellStyle name="40% - Accent1 3 2 3" xfId="7967"/>
    <cellStyle name="40% - Accent1 3 2 3 2" xfId="14161"/>
    <cellStyle name="40% - Accent1 3 2 3 3" xfId="20313"/>
    <cellStyle name="40% - Accent1 3 2 4" xfId="11095"/>
    <cellStyle name="40% - Accent1 3 2 5" xfId="17247"/>
    <cellStyle name="40% - Accent1 3 2 6" xfId="4791"/>
    <cellStyle name="40% - Accent1 3 3" xfId="5630"/>
    <cellStyle name="40% - Accent1 3 3 2" xfId="8733"/>
    <cellStyle name="40% - Accent1 3 3 2 2" xfId="14926"/>
    <cellStyle name="40% - Accent1 3 3 2 3" xfId="21078"/>
    <cellStyle name="40% - Accent1 3 3 3" xfId="11860"/>
    <cellStyle name="40% - Accent1 3 3 4" xfId="18012"/>
    <cellStyle name="40% - Accent1 3 4" xfId="7198"/>
    <cellStyle name="40% - Accent1 3 4 2" xfId="13392"/>
    <cellStyle name="40% - Accent1 3 4 3" xfId="19544"/>
    <cellStyle name="40% - Accent1 3 5" xfId="10326"/>
    <cellStyle name="40% - Accent1 3 6" xfId="16478"/>
    <cellStyle name="40% - Accent1 3 7" xfId="1357"/>
    <cellStyle name="40% - Accent1 3 8" xfId="22912"/>
    <cellStyle name="40% - Accent1 4" xfId="547"/>
    <cellStyle name="40% - Accent1 4 2" xfId="965"/>
    <cellStyle name="40% - Accent1 4 2 2" xfId="6417"/>
    <cellStyle name="40% - Accent1 4 2 2 2" xfId="9503"/>
    <cellStyle name="40% - Accent1 4 2 2 2 2" xfId="15696"/>
    <cellStyle name="40% - Accent1 4 2 2 2 3" xfId="21848"/>
    <cellStyle name="40% - Accent1 4 2 2 3" xfId="12630"/>
    <cellStyle name="40% - Accent1 4 2 2 4" xfId="18782"/>
    <cellStyle name="40% - Accent1 4 2 3" xfId="7968"/>
    <cellStyle name="40% - Accent1 4 2 3 2" xfId="14162"/>
    <cellStyle name="40% - Accent1 4 2 3 3" xfId="20314"/>
    <cellStyle name="40% - Accent1 4 2 4" xfId="11096"/>
    <cellStyle name="40% - Accent1 4 2 5" xfId="17248"/>
    <cellStyle name="40% - Accent1 4 2 6" xfId="4792"/>
    <cellStyle name="40% - Accent1 4 3" xfId="5631"/>
    <cellStyle name="40% - Accent1 4 3 2" xfId="8734"/>
    <cellStyle name="40% - Accent1 4 3 2 2" xfId="14927"/>
    <cellStyle name="40% - Accent1 4 3 2 3" xfId="21079"/>
    <cellStyle name="40% - Accent1 4 3 3" xfId="11861"/>
    <cellStyle name="40% - Accent1 4 3 4" xfId="18013"/>
    <cellStyle name="40% - Accent1 4 4" xfId="7199"/>
    <cellStyle name="40% - Accent1 4 4 2" xfId="13393"/>
    <cellStyle name="40% - Accent1 4 4 3" xfId="19545"/>
    <cellStyle name="40% - Accent1 4 5" xfId="10327"/>
    <cellStyle name="40% - Accent1 4 6" xfId="16479"/>
    <cellStyle name="40% - Accent1 4 7" xfId="1358"/>
    <cellStyle name="40% - Accent1 4 8" xfId="22928"/>
    <cellStyle name="40% - Accent1 5" xfId="574"/>
    <cellStyle name="40% - Accent1 5 2" xfId="981"/>
    <cellStyle name="40% - Accent1 5 2 2" xfId="6418"/>
    <cellStyle name="40% - Accent1 5 2 2 2" xfId="9504"/>
    <cellStyle name="40% - Accent1 5 2 2 2 2" xfId="15697"/>
    <cellStyle name="40% - Accent1 5 2 2 2 3" xfId="21849"/>
    <cellStyle name="40% - Accent1 5 2 2 3" xfId="12631"/>
    <cellStyle name="40% - Accent1 5 2 2 4" xfId="18783"/>
    <cellStyle name="40% - Accent1 5 2 3" xfId="7969"/>
    <cellStyle name="40% - Accent1 5 2 3 2" xfId="14163"/>
    <cellStyle name="40% - Accent1 5 2 3 3" xfId="20315"/>
    <cellStyle name="40% - Accent1 5 2 4" xfId="11097"/>
    <cellStyle name="40% - Accent1 5 2 5" xfId="17249"/>
    <cellStyle name="40% - Accent1 5 2 6" xfId="4793"/>
    <cellStyle name="40% - Accent1 5 3" xfId="5632"/>
    <cellStyle name="40% - Accent1 5 3 2" xfId="8735"/>
    <cellStyle name="40% - Accent1 5 3 2 2" xfId="14928"/>
    <cellStyle name="40% - Accent1 5 3 2 3" xfId="21080"/>
    <cellStyle name="40% - Accent1 5 3 3" xfId="11862"/>
    <cellStyle name="40% - Accent1 5 3 4" xfId="18014"/>
    <cellStyle name="40% - Accent1 5 4" xfId="7200"/>
    <cellStyle name="40% - Accent1 5 4 2" xfId="13394"/>
    <cellStyle name="40% - Accent1 5 4 3" xfId="19546"/>
    <cellStyle name="40% - Accent1 5 5" xfId="10328"/>
    <cellStyle name="40% - Accent1 5 6" xfId="16480"/>
    <cellStyle name="40% - Accent1 5 7" xfId="1359"/>
    <cellStyle name="40% - Accent1 5 8" xfId="22594"/>
    <cellStyle name="40% - Accent1 5 9" xfId="22944"/>
    <cellStyle name="40% - Accent1 6" xfId="601"/>
    <cellStyle name="40% - Accent1 6 2" xfId="997"/>
    <cellStyle name="40% - Accent1 6 3" xfId="1360"/>
    <cellStyle name="40% - Accent1 6 4" xfId="22612"/>
    <cellStyle name="40% - Accent1 6 5" xfId="22960"/>
    <cellStyle name="40% - Accent1 7" xfId="625"/>
    <cellStyle name="40% - Accent1 7 2" xfId="1013"/>
    <cellStyle name="40% - Accent1 7 3" xfId="22704"/>
    <cellStyle name="40% - Accent1 7 4" xfId="22976"/>
    <cellStyle name="40% - Accent1 8" xfId="649"/>
    <cellStyle name="40% - Accent1 8 2" xfId="1029"/>
    <cellStyle name="40% - Accent1 8 3" xfId="22719"/>
    <cellStyle name="40% - Accent1 8 4" xfId="22992"/>
    <cellStyle name="40% - Accent1 9" xfId="687"/>
    <cellStyle name="40% - Accent1 9 2" xfId="1045"/>
    <cellStyle name="40% - Accent1 9 3" xfId="22606"/>
    <cellStyle name="40% - Accent1 9 4" xfId="23008"/>
    <cellStyle name="40% - Accent2" xfId="174" builtinId="35" customBuiltin="1"/>
    <cellStyle name="40% - Accent2 10" xfId="719"/>
    <cellStyle name="40% - Accent2 10 2" xfId="1063"/>
    <cellStyle name="40% - Accent2 10 3" xfId="22802"/>
    <cellStyle name="40% - Accent2 10 4" xfId="23026"/>
    <cellStyle name="40% - Accent2 11" xfId="747"/>
    <cellStyle name="40% - Accent2 11 2" xfId="1079"/>
    <cellStyle name="40% - Accent2 11 3" xfId="1219"/>
    <cellStyle name="40% - Accent2 11 4" xfId="23042"/>
    <cellStyle name="40% - Accent2 12" xfId="773"/>
    <cellStyle name="40% - Accent2 12 2" xfId="1095"/>
    <cellStyle name="40% - Accent2 12 3" xfId="22622"/>
    <cellStyle name="40% - Accent2 12 4" xfId="23058"/>
    <cellStyle name="40% - Accent2 13" xfId="797"/>
    <cellStyle name="40% - Accent2 13 2" xfId="1111"/>
    <cellStyle name="40% - Accent2 13 3" xfId="22603"/>
    <cellStyle name="40% - Accent2 13 4" xfId="23074"/>
    <cellStyle name="40% - Accent2 14" xfId="819"/>
    <cellStyle name="40% - Accent2 14 2" xfId="1127"/>
    <cellStyle name="40% - Accent2 14 3" xfId="22750"/>
    <cellStyle name="40% - Accent2 14 4" xfId="23090"/>
    <cellStyle name="40% - Accent2 15" xfId="835"/>
    <cellStyle name="40% - Accent2 15 2" xfId="1143"/>
    <cellStyle name="40% - Accent2 15 3" xfId="22732"/>
    <cellStyle name="40% - Accent2 15 4" xfId="23106"/>
    <cellStyle name="40% - Accent2 16" xfId="859"/>
    <cellStyle name="40% - Accent2 17" xfId="22822"/>
    <cellStyle name="40% - Accent2 2" xfId="492"/>
    <cellStyle name="40% - Accent2 2 2" xfId="935"/>
    <cellStyle name="40% - Accent2 2 2 2" xfId="6419"/>
    <cellStyle name="40% - Accent2 2 2 2 2" xfId="9505"/>
    <cellStyle name="40% - Accent2 2 2 2 2 2" xfId="15698"/>
    <cellStyle name="40% - Accent2 2 2 2 2 3" xfId="21850"/>
    <cellStyle name="40% - Accent2 2 2 2 3" xfId="12632"/>
    <cellStyle name="40% - Accent2 2 2 2 4" xfId="18784"/>
    <cellStyle name="40% - Accent2 2 2 3" xfId="7970"/>
    <cellStyle name="40% - Accent2 2 2 3 2" xfId="14164"/>
    <cellStyle name="40% - Accent2 2 2 3 3" xfId="20316"/>
    <cellStyle name="40% - Accent2 2 2 4" xfId="11098"/>
    <cellStyle name="40% - Accent2 2 2 5" xfId="17250"/>
    <cellStyle name="40% - Accent2 2 2 6" xfId="4794"/>
    <cellStyle name="40% - Accent2 2 3" xfId="5633"/>
    <cellStyle name="40% - Accent2 2 3 2" xfId="8736"/>
    <cellStyle name="40% - Accent2 2 3 2 2" xfId="14929"/>
    <cellStyle name="40% - Accent2 2 3 2 3" xfId="21081"/>
    <cellStyle name="40% - Accent2 2 3 3" xfId="11863"/>
    <cellStyle name="40% - Accent2 2 3 4" xfId="18015"/>
    <cellStyle name="40% - Accent2 2 4" xfId="7201"/>
    <cellStyle name="40% - Accent2 2 4 2" xfId="13395"/>
    <cellStyle name="40% - Accent2 2 4 3" xfId="19547"/>
    <cellStyle name="40% - Accent2 2 5" xfId="10329"/>
    <cellStyle name="40% - Accent2 2 6" xfId="16481"/>
    <cellStyle name="40% - Accent2 2 7" xfId="1361"/>
    <cellStyle name="40% - Accent2 2 8" xfId="22898"/>
    <cellStyle name="40% - Accent2 3" xfId="522"/>
    <cellStyle name="40% - Accent2 3 2" xfId="951"/>
    <cellStyle name="40% - Accent2 3 2 2" xfId="6420"/>
    <cellStyle name="40% - Accent2 3 2 2 2" xfId="9506"/>
    <cellStyle name="40% - Accent2 3 2 2 2 2" xfId="15699"/>
    <cellStyle name="40% - Accent2 3 2 2 2 3" xfId="21851"/>
    <cellStyle name="40% - Accent2 3 2 2 3" xfId="12633"/>
    <cellStyle name="40% - Accent2 3 2 2 4" xfId="18785"/>
    <cellStyle name="40% - Accent2 3 2 3" xfId="7971"/>
    <cellStyle name="40% - Accent2 3 2 3 2" xfId="14165"/>
    <cellStyle name="40% - Accent2 3 2 3 3" xfId="20317"/>
    <cellStyle name="40% - Accent2 3 2 4" xfId="11099"/>
    <cellStyle name="40% - Accent2 3 2 5" xfId="17251"/>
    <cellStyle name="40% - Accent2 3 2 6" xfId="4795"/>
    <cellStyle name="40% - Accent2 3 3" xfId="5634"/>
    <cellStyle name="40% - Accent2 3 3 2" xfId="8737"/>
    <cellStyle name="40% - Accent2 3 3 2 2" xfId="14930"/>
    <cellStyle name="40% - Accent2 3 3 2 3" xfId="21082"/>
    <cellStyle name="40% - Accent2 3 3 3" xfId="11864"/>
    <cellStyle name="40% - Accent2 3 3 4" xfId="18016"/>
    <cellStyle name="40% - Accent2 3 4" xfId="7202"/>
    <cellStyle name="40% - Accent2 3 4 2" xfId="13396"/>
    <cellStyle name="40% - Accent2 3 4 3" xfId="19548"/>
    <cellStyle name="40% - Accent2 3 5" xfId="10330"/>
    <cellStyle name="40% - Accent2 3 6" xfId="16482"/>
    <cellStyle name="40% - Accent2 3 7" xfId="1362"/>
    <cellStyle name="40% - Accent2 3 8" xfId="22914"/>
    <cellStyle name="40% - Accent2 4" xfId="550"/>
    <cellStyle name="40% - Accent2 4 2" xfId="967"/>
    <cellStyle name="40% - Accent2 4 2 2" xfId="6421"/>
    <cellStyle name="40% - Accent2 4 2 2 2" xfId="9507"/>
    <cellStyle name="40% - Accent2 4 2 2 2 2" xfId="15700"/>
    <cellStyle name="40% - Accent2 4 2 2 2 3" xfId="21852"/>
    <cellStyle name="40% - Accent2 4 2 2 3" xfId="12634"/>
    <cellStyle name="40% - Accent2 4 2 2 4" xfId="18786"/>
    <cellStyle name="40% - Accent2 4 2 3" xfId="7972"/>
    <cellStyle name="40% - Accent2 4 2 3 2" xfId="14166"/>
    <cellStyle name="40% - Accent2 4 2 3 3" xfId="20318"/>
    <cellStyle name="40% - Accent2 4 2 4" xfId="11100"/>
    <cellStyle name="40% - Accent2 4 2 5" xfId="17252"/>
    <cellStyle name="40% - Accent2 4 2 6" xfId="4796"/>
    <cellStyle name="40% - Accent2 4 3" xfId="5635"/>
    <cellStyle name="40% - Accent2 4 3 2" xfId="8738"/>
    <cellStyle name="40% - Accent2 4 3 2 2" xfId="14931"/>
    <cellStyle name="40% - Accent2 4 3 2 3" xfId="21083"/>
    <cellStyle name="40% - Accent2 4 3 3" xfId="11865"/>
    <cellStyle name="40% - Accent2 4 3 4" xfId="18017"/>
    <cellStyle name="40% - Accent2 4 4" xfId="7203"/>
    <cellStyle name="40% - Accent2 4 4 2" xfId="13397"/>
    <cellStyle name="40% - Accent2 4 4 3" xfId="19549"/>
    <cellStyle name="40% - Accent2 4 5" xfId="10331"/>
    <cellStyle name="40% - Accent2 4 6" xfId="16483"/>
    <cellStyle name="40% - Accent2 4 7" xfId="1363"/>
    <cellStyle name="40% - Accent2 4 8" xfId="22930"/>
    <cellStyle name="40% - Accent2 5" xfId="577"/>
    <cellStyle name="40% - Accent2 5 2" xfId="983"/>
    <cellStyle name="40% - Accent2 5 3" xfId="1364"/>
    <cellStyle name="40% - Accent2 5 4" xfId="22682"/>
    <cellStyle name="40% - Accent2 5 5" xfId="22946"/>
    <cellStyle name="40% - Accent2 6" xfId="604"/>
    <cellStyle name="40% - Accent2 6 2" xfId="999"/>
    <cellStyle name="40% - Accent2 6 3" xfId="22718"/>
    <cellStyle name="40% - Accent2 6 4" xfId="22962"/>
    <cellStyle name="40% - Accent2 7" xfId="628"/>
    <cellStyle name="40% - Accent2 7 2" xfId="1015"/>
    <cellStyle name="40% - Accent2 7 3" xfId="22722"/>
    <cellStyle name="40% - Accent2 7 4" xfId="22978"/>
    <cellStyle name="40% - Accent2 8" xfId="652"/>
    <cellStyle name="40% - Accent2 8 2" xfId="1031"/>
    <cellStyle name="40% - Accent2 8 3" xfId="22784"/>
    <cellStyle name="40% - Accent2 8 4" xfId="22994"/>
    <cellStyle name="40% - Accent2 9" xfId="691"/>
    <cellStyle name="40% - Accent2 9 2" xfId="1047"/>
    <cellStyle name="40% - Accent2 9 3" xfId="22619"/>
    <cellStyle name="40% - Accent2 9 4" xfId="23010"/>
    <cellStyle name="40% - Accent3" xfId="178" builtinId="39" customBuiltin="1"/>
    <cellStyle name="40% - Accent3 10" xfId="723"/>
    <cellStyle name="40% - Accent3 10 2" xfId="1065"/>
    <cellStyle name="40% - Accent3 10 3" xfId="22626"/>
    <cellStyle name="40% - Accent3 10 4" xfId="23028"/>
    <cellStyle name="40% - Accent3 11" xfId="750"/>
    <cellStyle name="40% - Accent3 11 2" xfId="1081"/>
    <cellStyle name="40% - Accent3 11 3" xfId="22724"/>
    <cellStyle name="40% - Accent3 11 4" xfId="23044"/>
    <cellStyle name="40% - Accent3 12" xfId="776"/>
    <cellStyle name="40% - Accent3 12 2" xfId="1097"/>
    <cellStyle name="40% - Accent3 12 3" xfId="22712"/>
    <cellStyle name="40% - Accent3 12 4" xfId="23060"/>
    <cellStyle name="40% - Accent3 13" xfId="800"/>
    <cellStyle name="40% - Accent3 13 2" xfId="1113"/>
    <cellStyle name="40% - Accent3 13 3" xfId="22787"/>
    <cellStyle name="40% - Accent3 13 4" xfId="23076"/>
    <cellStyle name="40% - Accent3 14" xfId="821"/>
    <cellStyle name="40% - Accent3 14 2" xfId="1129"/>
    <cellStyle name="40% - Accent3 14 3" xfId="22658"/>
    <cellStyle name="40% - Accent3 14 4" xfId="23092"/>
    <cellStyle name="40% - Accent3 15" xfId="837"/>
    <cellStyle name="40% - Accent3 15 2" xfId="1145"/>
    <cellStyle name="40% - Accent3 15 3" xfId="22668"/>
    <cellStyle name="40% - Accent3 15 4" xfId="23108"/>
    <cellStyle name="40% - Accent3 16" xfId="861"/>
    <cellStyle name="40% - Accent3 17" xfId="22824"/>
    <cellStyle name="40% - Accent3 2" xfId="496"/>
    <cellStyle name="40% - Accent3 2 2" xfId="937"/>
    <cellStyle name="40% - Accent3 2 2 2" xfId="6422"/>
    <cellStyle name="40% - Accent3 2 2 2 2" xfId="9508"/>
    <cellStyle name="40% - Accent3 2 2 2 2 2" xfId="15701"/>
    <cellStyle name="40% - Accent3 2 2 2 2 3" xfId="21853"/>
    <cellStyle name="40% - Accent3 2 2 2 3" xfId="12635"/>
    <cellStyle name="40% - Accent3 2 2 2 4" xfId="18787"/>
    <cellStyle name="40% - Accent3 2 2 3" xfId="7973"/>
    <cellStyle name="40% - Accent3 2 2 3 2" xfId="14167"/>
    <cellStyle name="40% - Accent3 2 2 3 3" xfId="20319"/>
    <cellStyle name="40% - Accent3 2 2 4" xfId="11101"/>
    <cellStyle name="40% - Accent3 2 2 5" xfId="17253"/>
    <cellStyle name="40% - Accent3 2 2 6" xfId="4797"/>
    <cellStyle name="40% - Accent3 2 3" xfId="5636"/>
    <cellStyle name="40% - Accent3 2 3 2" xfId="8739"/>
    <cellStyle name="40% - Accent3 2 3 2 2" xfId="14932"/>
    <cellStyle name="40% - Accent3 2 3 2 3" xfId="21084"/>
    <cellStyle name="40% - Accent3 2 3 3" xfId="11866"/>
    <cellStyle name="40% - Accent3 2 3 4" xfId="18018"/>
    <cellStyle name="40% - Accent3 2 4" xfId="7204"/>
    <cellStyle name="40% - Accent3 2 4 2" xfId="13398"/>
    <cellStyle name="40% - Accent3 2 4 3" xfId="19550"/>
    <cellStyle name="40% - Accent3 2 5" xfId="10332"/>
    <cellStyle name="40% - Accent3 2 6" xfId="16484"/>
    <cellStyle name="40% - Accent3 2 7" xfId="1365"/>
    <cellStyle name="40% - Accent3 2 8" xfId="22900"/>
    <cellStyle name="40% - Accent3 3" xfId="526"/>
    <cellStyle name="40% - Accent3 3 2" xfId="953"/>
    <cellStyle name="40% - Accent3 3 2 2" xfId="6423"/>
    <cellStyle name="40% - Accent3 3 2 2 2" xfId="9509"/>
    <cellStyle name="40% - Accent3 3 2 2 2 2" xfId="15702"/>
    <cellStyle name="40% - Accent3 3 2 2 2 3" xfId="21854"/>
    <cellStyle name="40% - Accent3 3 2 2 3" xfId="12636"/>
    <cellStyle name="40% - Accent3 3 2 2 4" xfId="18788"/>
    <cellStyle name="40% - Accent3 3 2 3" xfId="7974"/>
    <cellStyle name="40% - Accent3 3 2 3 2" xfId="14168"/>
    <cellStyle name="40% - Accent3 3 2 3 3" xfId="20320"/>
    <cellStyle name="40% - Accent3 3 2 4" xfId="11102"/>
    <cellStyle name="40% - Accent3 3 2 5" xfId="17254"/>
    <cellStyle name="40% - Accent3 3 2 6" xfId="4798"/>
    <cellStyle name="40% - Accent3 3 3" xfId="5637"/>
    <cellStyle name="40% - Accent3 3 3 2" xfId="8740"/>
    <cellStyle name="40% - Accent3 3 3 2 2" xfId="14933"/>
    <cellStyle name="40% - Accent3 3 3 2 3" xfId="21085"/>
    <cellStyle name="40% - Accent3 3 3 3" xfId="11867"/>
    <cellStyle name="40% - Accent3 3 3 4" xfId="18019"/>
    <cellStyle name="40% - Accent3 3 4" xfId="7205"/>
    <cellStyle name="40% - Accent3 3 4 2" xfId="13399"/>
    <cellStyle name="40% - Accent3 3 4 3" xfId="19551"/>
    <cellStyle name="40% - Accent3 3 5" xfId="10333"/>
    <cellStyle name="40% - Accent3 3 6" xfId="16485"/>
    <cellStyle name="40% - Accent3 3 7" xfId="1366"/>
    <cellStyle name="40% - Accent3 3 8" xfId="22916"/>
    <cellStyle name="40% - Accent3 4" xfId="553"/>
    <cellStyle name="40% - Accent3 4 2" xfId="969"/>
    <cellStyle name="40% - Accent3 4 2 2" xfId="6424"/>
    <cellStyle name="40% - Accent3 4 2 2 2" xfId="9510"/>
    <cellStyle name="40% - Accent3 4 2 2 2 2" xfId="15703"/>
    <cellStyle name="40% - Accent3 4 2 2 2 3" xfId="21855"/>
    <cellStyle name="40% - Accent3 4 2 2 3" xfId="12637"/>
    <cellStyle name="40% - Accent3 4 2 2 4" xfId="18789"/>
    <cellStyle name="40% - Accent3 4 2 3" xfId="7975"/>
    <cellStyle name="40% - Accent3 4 2 3 2" xfId="14169"/>
    <cellStyle name="40% - Accent3 4 2 3 3" xfId="20321"/>
    <cellStyle name="40% - Accent3 4 2 4" xfId="11103"/>
    <cellStyle name="40% - Accent3 4 2 5" xfId="17255"/>
    <cellStyle name="40% - Accent3 4 2 6" xfId="4799"/>
    <cellStyle name="40% - Accent3 4 3" xfId="5638"/>
    <cellStyle name="40% - Accent3 4 3 2" xfId="8741"/>
    <cellStyle name="40% - Accent3 4 3 2 2" xfId="14934"/>
    <cellStyle name="40% - Accent3 4 3 2 3" xfId="21086"/>
    <cellStyle name="40% - Accent3 4 3 3" xfId="11868"/>
    <cellStyle name="40% - Accent3 4 3 4" xfId="18020"/>
    <cellStyle name="40% - Accent3 4 4" xfId="7206"/>
    <cellStyle name="40% - Accent3 4 4 2" xfId="13400"/>
    <cellStyle name="40% - Accent3 4 4 3" xfId="19552"/>
    <cellStyle name="40% - Accent3 4 5" xfId="10334"/>
    <cellStyle name="40% - Accent3 4 6" xfId="16486"/>
    <cellStyle name="40% - Accent3 4 7" xfId="1367"/>
    <cellStyle name="40% - Accent3 4 8" xfId="22932"/>
    <cellStyle name="40% - Accent3 5" xfId="581"/>
    <cellStyle name="40% - Accent3 5 2" xfId="985"/>
    <cellStyle name="40% - Accent3 5 2 2" xfId="6425"/>
    <cellStyle name="40% - Accent3 5 2 2 2" xfId="9511"/>
    <cellStyle name="40% - Accent3 5 2 2 2 2" xfId="15704"/>
    <cellStyle name="40% - Accent3 5 2 2 2 3" xfId="21856"/>
    <cellStyle name="40% - Accent3 5 2 2 3" xfId="12638"/>
    <cellStyle name="40% - Accent3 5 2 2 4" xfId="18790"/>
    <cellStyle name="40% - Accent3 5 2 3" xfId="7976"/>
    <cellStyle name="40% - Accent3 5 2 3 2" xfId="14170"/>
    <cellStyle name="40% - Accent3 5 2 3 3" xfId="20322"/>
    <cellStyle name="40% - Accent3 5 2 4" xfId="11104"/>
    <cellStyle name="40% - Accent3 5 2 5" xfId="17256"/>
    <cellStyle name="40% - Accent3 5 2 6" xfId="4800"/>
    <cellStyle name="40% - Accent3 5 3" xfId="5639"/>
    <cellStyle name="40% - Accent3 5 3 2" xfId="8742"/>
    <cellStyle name="40% - Accent3 5 3 2 2" xfId="14935"/>
    <cellStyle name="40% - Accent3 5 3 2 3" xfId="21087"/>
    <cellStyle name="40% - Accent3 5 3 3" xfId="11869"/>
    <cellStyle name="40% - Accent3 5 3 4" xfId="18021"/>
    <cellStyle name="40% - Accent3 5 4" xfId="7207"/>
    <cellStyle name="40% - Accent3 5 4 2" xfId="13401"/>
    <cellStyle name="40% - Accent3 5 4 3" xfId="19553"/>
    <cellStyle name="40% - Accent3 5 5" xfId="10335"/>
    <cellStyle name="40% - Accent3 5 6" xfId="16487"/>
    <cellStyle name="40% - Accent3 5 7" xfId="1368"/>
    <cellStyle name="40% - Accent3 5 8" xfId="22630"/>
    <cellStyle name="40% - Accent3 5 9" xfId="22948"/>
    <cellStyle name="40% - Accent3 6" xfId="607"/>
    <cellStyle name="40% - Accent3 6 2" xfId="1001"/>
    <cellStyle name="40% - Accent3 6 3" xfId="1369"/>
    <cellStyle name="40% - Accent3 6 4" xfId="22805"/>
    <cellStyle name="40% - Accent3 6 5" xfId="22964"/>
    <cellStyle name="40% - Accent3 7" xfId="631"/>
    <cellStyle name="40% - Accent3 7 2" xfId="1017"/>
    <cellStyle name="40% - Accent3 7 3" xfId="22599"/>
    <cellStyle name="40% - Accent3 7 4" xfId="22980"/>
    <cellStyle name="40% - Accent3 8" xfId="656"/>
    <cellStyle name="40% - Accent3 8 2" xfId="1033"/>
    <cellStyle name="40% - Accent3 8 3" xfId="22721"/>
    <cellStyle name="40% - Accent3 8 4" xfId="22996"/>
    <cellStyle name="40% - Accent3 9" xfId="695"/>
    <cellStyle name="40% - Accent3 9 2" xfId="1049"/>
    <cellStyle name="40% - Accent3 9 3" xfId="22717"/>
    <cellStyle name="40% - Accent3 9 4" xfId="23012"/>
    <cellStyle name="40% - Accent4" xfId="182" builtinId="43" customBuiltin="1"/>
    <cellStyle name="40% - Accent4 10" xfId="727"/>
    <cellStyle name="40% - Accent4 10 2" xfId="1067"/>
    <cellStyle name="40% - Accent4 10 3" xfId="22649"/>
    <cellStyle name="40% - Accent4 10 4" xfId="23030"/>
    <cellStyle name="40% - Accent4 11" xfId="754"/>
    <cellStyle name="40% - Accent4 11 2" xfId="1083"/>
    <cellStyle name="40% - Accent4 11 3" xfId="22602"/>
    <cellStyle name="40% - Accent4 11 4" xfId="23046"/>
    <cellStyle name="40% - Accent4 12" xfId="780"/>
    <cellStyle name="40% - Accent4 12 2" xfId="1099"/>
    <cellStyle name="40% - Accent4 12 3" xfId="22661"/>
    <cellStyle name="40% - Accent4 12 4" xfId="23062"/>
    <cellStyle name="40% - Accent4 13" xfId="804"/>
    <cellStyle name="40% - Accent4 13 2" xfId="1115"/>
    <cellStyle name="40% - Accent4 13 3" xfId="22683"/>
    <cellStyle name="40% - Accent4 13 4" xfId="23078"/>
    <cellStyle name="40% - Accent4 14" xfId="823"/>
    <cellStyle name="40% - Accent4 14 2" xfId="1131"/>
    <cellStyle name="40% - Accent4 14 3" xfId="22771"/>
    <cellStyle name="40% - Accent4 14 4" xfId="23094"/>
    <cellStyle name="40% - Accent4 15" xfId="839"/>
    <cellStyle name="40% - Accent4 15 2" xfId="1147"/>
    <cellStyle name="40% - Accent4 15 3" xfId="22643"/>
    <cellStyle name="40% - Accent4 15 4" xfId="23110"/>
    <cellStyle name="40% - Accent4 16" xfId="863"/>
    <cellStyle name="40% - Accent4 17" xfId="22826"/>
    <cellStyle name="40% - Accent4 2" xfId="500"/>
    <cellStyle name="40% - Accent4 2 2" xfId="939"/>
    <cellStyle name="40% - Accent4 2 2 2" xfId="6426"/>
    <cellStyle name="40% - Accent4 2 2 2 2" xfId="9512"/>
    <cellStyle name="40% - Accent4 2 2 2 2 2" xfId="15705"/>
    <cellStyle name="40% - Accent4 2 2 2 2 3" xfId="21857"/>
    <cellStyle name="40% - Accent4 2 2 2 3" xfId="12639"/>
    <cellStyle name="40% - Accent4 2 2 2 4" xfId="18791"/>
    <cellStyle name="40% - Accent4 2 2 3" xfId="7977"/>
    <cellStyle name="40% - Accent4 2 2 3 2" xfId="14171"/>
    <cellStyle name="40% - Accent4 2 2 3 3" xfId="20323"/>
    <cellStyle name="40% - Accent4 2 2 4" xfId="11105"/>
    <cellStyle name="40% - Accent4 2 2 5" xfId="17257"/>
    <cellStyle name="40% - Accent4 2 2 6" xfId="4801"/>
    <cellStyle name="40% - Accent4 2 3" xfId="5640"/>
    <cellStyle name="40% - Accent4 2 3 2" xfId="8743"/>
    <cellStyle name="40% - Accent4 2 3 2 2" xfId="14936"/>
    <cellStyle name="40% - Accent4 2 3 2 3" xfId="21088"/>
    <cellStyle name="40% - Accent4 2 3 3" xfId="11870"/>
    <cellStyle name="40% - Accent4 2 3 4" xfId="18022"/>
    <cellStyle name="40% - Accent4 2 4" xfId="7208"/>
    <cellStyle name="40% - Accent4 2 4 2" xfId="13402"/>
    <cellStyle name="40% - Accent4 2 4 3" xfId="19554"/>
    <cellStyle name="40% - Accent4 2 5" xfId="10336"/>
    <cellStyle name="40% - Accent4 2 6" xfId="16488"/>
    <cellStyle name="40% - Accent4 2 7" xfId="1370"/>
    <cellStyle name="40% - Accent4 2 8" xfId="22902"/>
    <cellStyle name="40% - Accent4 3" xfId="530"/>
    <cellStyle name="40% - Accent4 3 2" xfId="955"/>
    <cellStyle name="40% - Accent4 3 2 2" xfId="6427"/>
    <cellStyle name="40% - Accent4 3 2 2 2" xfId="9513"/>
    <cellStyle name="40% - Accent4 3 2 2 2 2" xfId="15706"/>
    <cellStyle name="40% - Accent4 3 2 2 2 3" xfId="21858"/>
    <cellStyle name="40% - Accent4 3 2 2 3" xfId="12640"/>
    <cellStyle name="40% - Accent4 3 2 2 4" xfId="18792"/>
    <cellStyle name="40% - Accent4 3 2 3" xfId="7978"/>
    <cellStyle name="40% - Accent4 3 2 3 2" xfId="14172"/>
    <cellStyle name="40% - Accent4 3 2 3 3" xfId="20324"/>
    <cellStyle name="40% - Accent4 3 2 4" xfId="11106"/>
    <cellStyle name="40% - Accent4 3 2 5" xfId="17258"/>
    <cellStyle name="40% - Accent4 3 2 6" xfId="4802"/>
    <cellStyle name="40% - Accent4 3 3" xfId="5641"/>
    <cellStyle name="40% - Accent4 3 3 2" xfId="8744"/>
    <cellStyle name="40% - Accent4 3 3 2 2" xfId="14937"/>
    <cellStyle name="40% - Accent4 3 3 2 3" xfId="21089"/>
    <cellStyle name="40% - Accent4 3 3 3" xfId="11871"/>
    <cellStyle name="40% - Accent4 3 3 4" xfId="18023"/>
    <cellStyle name="40% - Accent4 3 4" xfId="7209"/>
    <cellStyle name="40% - Accent4 3 4 2" xfId="13403"/>
    <cellStyle name="40% - Accent4 3 4 3" xfId="19555"/>
    <cellStyle name="40% - Accent4 3 5" xfId="10337"/>
    <cellStyle name="40% - Accent4 3 6" xfId="16489"/>
    <cellStyle name="40% - Accent4 3 7" xfId="1371"/>
    <cellStyle name="40% - Accent4 3 8" xfId="22918"/>
    <cellStyle name="40% - Accent4 4" xfId="557"/>
    <cellStyle name="40% - Accent4 4 2" xfId="971"/>
    <cellStyle name="40% - Accent4 4 2 2" xfId="6428"/>
    <cellStyle name="40% - Accent4 4 2 2 2" xfId="9514"/>
    <cellStyle name="40% - Accent4 4 2 2 2 2" xfId="15707"/>
    <cellStyle name="40% - Accent4 4 2 2 2 3" xfId="21859"/>
    <cellStyle name="40% - Accent4 4 2 2 3" xfId="12641"/>
    <cellStyle name="40% - Accent4 4 2 2 4" xfId="18793"/>
    <cellStyle name="40% - Accent4 4 2 3" xfId="7979"/>
    <cellStyle name="40% - Accent4 4 2 3 2" xfId="14173"/>
    <cellStyle name="40% - Accent4 4 2 3 3" xfId="20325"/>
    <cellStyle name="40% - Accent4 4 2 4" xfId="11107"/>
    <cellStyle name="40% - Accent4 4 2 5" xfId="17259"/>
    <cellStyle name="40% - Accent4 4 2 6" xfId="4803"/>
    <cellStyle name="40% - Accent4 4 3" xfId="5642"/>
    <cellStyle name="40% - Accent4 4 3 2" xfId="8745"/>
    <cellStyle name="40% - Accent4 4 3 2 2" xfId="14938"/>
    <cellStyle name="40% - Accent4 4 3 2 3" xfId="21090"/>
    <cellStyle name="40% - Accent4 4 3 3" xfId="11872"/>
    <cellStyle name="40% - Accent4 4 3 4" xfId="18024"/>
    <cellStyle name="40% - Accent4 4 4" xfId="7210"/>
    <cellStyle name="40% - Accent4 4 4 2" xfId="13404"/>
    <cellStyle name="40% - Accent4 4 4 3" xfId="19556"/>
    <cellStyle name="40% - Accent4 4 5" xfId="10338"/>
    <cellStyle name="40% - Accent4 4 6" xfId="16490"/>
    <cellStyle name="40% - Accent4 4 7" xfId="1372"/>
    <cellStyle name="40% - Accent4 4 8" xfId="22934"/>
    <cellStyle name="40% - Accent4 5" xfId="585"/>
    <cellStyle name="40% - Accent4 5 2" xfId="987"/>
    <cellStyle name="40% - Accent4 5 2 2" xfId="6429"/>
    <cellStyle name="40% - Accent4 5 2 2 2" xfId="9515"/>
    <cellStyle name="40% - Accent4 5 2 2 2 2" xfId="15708"/>
    <cellStyle name="40% - Accent4 5 2 2 2 3" xfId="21860"/>
    <cellStyle name="40% - Accent4 5 2 2 3" xfId="12642"/>
    <cellStyle name="40% - Accent4 5 2 2 4" xfId="18794"/>
    <cellStyle name="40% - Accent4 5 2 3" xfId="7980"/>
    <cellStyle name="40% - Accent4 5 2 3 2" xfId="14174"/>
    <cellStyle name="40% - Accent4 5 2 3 3" xfId="20326"/>
    <cellStyle name="40% - Accent4 5 2 4" xfId="11108"/>
    <cellStyle name="40% - Accent4 5 2 5" xfId="17260"/>
    <cellStyle name="40% - Accent4 5 2 6" xfId="4804"/>
    <cellStyle name="40% - Accent4 5 3" xfId="5643"/>
    <cellStyle name="40% - Accent4 5 3 2" xfId="8746"/>
    <cellStyle name="40% - Accent4 5 3 2 2" xfId="14939"/>
    <cellStyle name="40% - Accent4 5 3 2 3" xfId="21091"/>
    <cellStyle name="40% - Accent4 5 3 3" xfId="11873"/>
    <cellStyle name="40% - Accent4 5 3 4" xfId="18025"/>
    <cellStyle name="40% - Accent4 5 4" xfId="7211"/>
    <cellStyle name="40% - Accent4 5 4 2" xfId="13405"/>
    <cellStyle name="40% - Accent4 5 4 3" xfId="19557"/>
    <cellStyle name="40% - Accent4 5 5" xfId="10339"/>
    <cellStyle name="40% - Accent4 5 6" xfId="16491"/>
    <cellStyle name="40% - Accent4 5 7" xfId="1373"/>
    <cellStyle name="40% - Accent4 5 8" xfId="22756"/>
    <cellStyle name="40% - Accent4 5 9" xfId="22950"/>
    <cellStyle name="40% - Accent4 6" xfId="610"/>
    <cellStyle name="40% - Accent4 6 2" xfId="1003"/>
    <cellStyle name="40% - Accent4 6 3" xfId="1374"/>
    <cellStyle name="40% - Accent4 6 4" xfId="22693"/>
    <cellStyle name="40% - Accent4 6 5" xfId="22966"/>
    <cellStyle name="40% - Accent4 7" xfId="635"/>
    <cellStyle name="40% - Accent4 7 2" xfId="1019"/>
    <cellStyle name="40% - Accent4 7 3" xfId="22676"/>
    <cellStyle name="40% - Accent4 7 4" xfId="22982"/>
    <cellStyle name="40% - Accent4 8" xfId="660"/>
    <cellStyle name="40% - Accent4 8 2" xfId="1035"/>
    <cellStyle name="40% - Accent4 8 3" xfId="22614"/>
    <cellStyle name="40% - Accent4 8 4" xfId="22998"/>
    <cellStyle name="40% - Accent4 9" xfId="699"/>
    <cellStyle name="40% - Accent4 9 2" xfId="1051"/>
    <cellStyle name="40% - Accent4 9 3" xfId="22652"/>
    <cellStyle name="40% - Accent4 9 4" xfId="23014"/>
    <cellStyle name="40% - Accent5" xfId="186" builtinId="47" customBuiltin="1"/>
    <cellStyle name="40% - Accent5 10" xfId="731"/>
    <cellStyle name="40% - Accent5 10 2" xfId="1069"/>
    <cellStyle name="40% - Accent5 10 3" xfId="22797"/>
    <cellStyle name="40% - Accent5 10 4" xfId="23032"/>
    <cellStyle name="40% - Accent5 11" xfId="757"/>
    <cellStyle name="40% - Accent5 11 2" xfId="1085"/>
    <cellStyle name="40% - Accent5 11 3" xfId="22793"/>
    <cellStyle name="40% - Accent5 11 4" xfId="23048"/>
    <cellStyle name="40% - Accent5 12" xfId="783"/>
    <cellStyle name="40% - Accent5 12 2" xfId="1101"/>
    <cellStyle name="40% - Accent5 12 3" xfId="22780"/>
    <cellStyle name="40% - Accent5 12 4" xfId="23064"/>
    <cellStyle name="40% - Accent5 13" xfId="807"/>
    <cellStyle name="40% - Accent5 13 2" xfId="1117"/>
    <cellStyle name="40% - Accent5 13 3" xfId="22743"/>
    <cellStyle name="40% - Accent5 13 4" xfId="23080"/>
    <cellStyle name="40% - Accent5 14" xfId="825"/>
    <cellStyle name="40% - Accent5 14 2" xfId="1133"/>
    <cellStyle name="40% - Accent5 14 3" xfId="22609"/>
    <cellStyle name="40% - Accent5 14 4" xfId="23096"/>
    <cellStyle name="40% - Accent5 15" xfId="841"/>
    <cellStyle name="40% - Accent5 15 2" xfId="1149"/>
    <cellStyle name="40% - Accent5 15 3" xfId="22600"/>
    <cellStyle name="40% - Accent5 15 4" xfId="23112"/>
    <cellStyle name="40% - Accent5 16" xfId="865"/>
    <cellStyle name="40% - Accent5 17" xfId="22828"/>
    <cellStyle name="40% - Accent5 2" xfId="504"/>
    <cellStyle name="40% - Accent5 2 2" xfId="941"/>
    <cellStyle name="40% - Accent5 2 2 2" xfId="6430"/>
    <cellStyle name="40% - Accent5 2 2 2 2" xfId="9516"/>
    <cellStyle name="40% - Accent5 2 2 2 2 2" xfId="15709"/>
    <cellStyle name="40% - Accent5 2 2 2 2 3" xfId="21861"/>
    <cellStyle name="40% - Accent5 2 2 2 3" xfId="12643"/>
    <cellStyle name="40% - Accent5 2 2 2 4" xfId="18795"/>
    <cellStyle name="40% - Accent5 2 2 3" xfId="7981"/>
    <cellStyle name="40% - Accent5 2 2 3 2" xfId="14175"/>
    <cellStyle name="40% - Accent5 2 2 3 3" xfId="20327"/>
    <cellStyle name="40% - Accent5 2 2 4" xfId="11109"/>
    <cellStyle name="40% - Accent5 2 2 5" xfId="17261"/>
    <cellStyle name="40% - Accent5 2 2 6" xfId="4805"/>
    <cellStyle name="40% - Accent5 2 3" xfId="5644"/>
    <cellStyle name="40% - Accent5 2 3 2" xfId="8747"/>
    <cellStyle name="40% - Accent5 2 3 2 2" xfId="14940"/>
    <cellStyle name="40% - Accent5 2 3 2 3" xfId="21092"/>
    <cellStyle name="40% - Accent5 2 3 3" xfId="11874"/>
    <cellStyle name="40% - Accent5 2 3 4" xfId="18026"/>
    <cellStyle name="40% - Accent5 2 4" xfId="7212"/>
    <cellStyle name="40% - Accent5 2 4 2" xfId="13406"/>
    <cellStyle name="40% - Accent5 2 4 3" xfId="19558"/>
    <cellStyle name="40% - Accent5 2 5" xfId="10340"/>
    <cellStyle name="40% - Accent5 2 6" xfId="16492"/>
    <cellStyle name="40% - Accent5 2 7" xfId="1375"/>
    <cellStyle name="40% - Accent5 2 8" xfId="22904"/>
    <cellStyle name="40% - Accent5 3" xfId="534"/>
    <cellStyle name="40% - Accent5 3 2" xfId="957"/>
    <cellStyle name="40% - Accent5 3 2 2" xfId="6431"/>
    <cellStyle name="40% - Accent5 3 2 2 2" xfId="9517"/>
    <cellStyle name="40% - Accent5 3 2 2 2 2" xfId="15710"/>
    <cellStyle name="40% - Accent5 3 2 2 2 3" xfId="21862"/>
    <cellStyle name="40% - Accent5 3 2 2 3" xfId="12644"/>
    <cellStyle name="40% - Accent5 3 2 2 4" xfId="18796"/>
    <cellStyle name="40% - Accent5 3 2 3" xfId="7982"/>
    <cellStyle name="40% - Accent5 3 2 3 2" xfId="14176"/>
    <cellStyle name="40% - Accent5 3 2 3 3" xfId="20328"/>
    <cellStyle name="40% - Accent5 3 2 4" xfId="11110"/>
    <cellStyle name="40% - Accent5 3 2 5" xfId="17262"/>
    <cellStyle name="40% - Accent5 3 2 6" xfId="4806"/>
    <cellStyle name="40% - Accent5 3 3" xfId="5645"/>
    <cellStyle name="40% - Accent5 3 3 2" xfId="8748"/>
    <cellStyle name="40% - Accent5 3 3 2 2" xfId="14941"/>
    <cellStyle name="40% - Accent5 3 3 2 3" xfId="21093"/>
    <cellStyle name="40% - Accent5 3 3 3" xfId="11875"/>
    <cellStyle name="40% - Accent5 3 3 4" xfId="18027"/>
    <cellStyle name="40% - Accent5 3 4" xfId="7213"/>
    <cellStyle name="40% - Accent5 3 4 2" xfId="13407"/>
    <cellStyle name="40% - Accent5 3 4 3" xfId="19559"/>
    <cellStyle name="40% - Accent5 3 5" xfId="10341"/>
    <cellStyle name="40% - Accent5 3 6" xfId="16493"/>
    <cellStyle name="40% - Accent5 3 7" xfId="1376"/>
    <cellStyle name="40% - Accent5 3 8" xfId="22920"/>
    <cellStyle name="40% - Accent5 4" xfId="561"/>
    <cellStyle name="40% - Accent5 4 2" xfId="973"/>
    <cellStyle name="40% - Accent5 4 2 2" xfId="6432"/>
    <cellStyle name="40% - Accent5 4 2 2 2" xfId="9518"/>
    <cellStyle name="40% - Accent5 4 2 2 2 2" xfId="15711"/>
    <cellStyle name="40% - Accent5 4 2 2 2 3" xfId="21863"/>
    <cellStyle name="40% - Accent5 4 2 2 3" xfId="12645"/>
    <cellStyle name="40% - Accent5 4 2 2 4" xfId="18797"/>
    <cellStyle name="40% - Accent5 4 2 3" xfId="7983"/>
    <cellStyle name="40% - Accent5 4 2 3 2" xfId="14177"/>
    <cellStyle name="40% - Accent5 4 2 3 3" xfId="20329"/>
    <cellStyle name="40% - Accent5 4 2 4" xfId="11111"/>
    <cellStyle name="40% - Accent5 4 2 5" xfId="17263"/>
    <cellStyle name="40% - Accent5 4 2 6" xfId="4807"/>
    <cellStyle name="40% - Accent5 4 3" xfId="5646"/>
    <cellStyle name="40% - Accent5 4 3 2" xfId="8749"/>
    <cellStyle name="40% - Accent5 4 3 2 2" xfId="14942"/>
    <cellStyle name="40% - Accent5 4 3 2 3" xfId="21094"/>
    <cellStyle name="40% - Accent5 4 3 3" xfId="11876"/>
    <cellStyle name="40% - Accent5 4 3 4" xfId="18028"/>
    <cellStyle name="40% - Accent5 4 4" xfId="7214"/>
    <cellStyle name="40% - Accent5 4 4 2" xfId="13408"/>
    <cellStyle name="40% - Accent5 4 4 3" xfId="19560"/>
    <cellStyle name="40% - Accent5 4 5" xfId="10342"/>
    <cellStyle name="40% - Accent5 4 6" xfId="16494"/>
    <cellStyle name="40% - Accent5 4 7" xfId="1377"/>
    <cellStyle name="40% - Accent5 4 8" xfId="22936"/>
    <cellStyle name="40% - Accent5 5" xfId="588"/>
    <cellStyle name="40% - Accent5 5 2" xfId="989"/>
    <cellStyle name="40% - Accent5 5 3" xfId="1378"/>
    <cellStyle name="40% - Accent5 5 4" xfId="22690"/>
    <cellStyle name="40% - Accent5 5 5" xfId="22952"/>
    <cellStyle name="40% - Accent5 6" xfId="614"/>
    <cellStyle name="40% - Accent5 6 2" xfId="1005"/>
    <cellStyle name="40% - Accent5 6 3" xfId="22726"/>
    <cellStyle name="40% - Accent5 6 4" xfId="22968"/>
    <cellStyle name="40% - Accent5 7" xfId="638"/>
    <cellStyle name="40% - Accent5 7 2" xfId="1021"/>
    <cellStyle name="40% - Accent5 7 3" xfId="22744"/>
    <cellStyle name="40% - Accent5 7 4" xfId="22984"/>
    <cellStyle name="40% - Accent5 8" xfId="663"/>
    <cellStyle name="40% - Accent5 8 2" xfId="1037"/>
    <cellStyle name="40% - Accent5 8 3" xfId="1163"/>
    <cellStyle name="40% - Accent5 8 4" xfId="23000"/>
    <cellStyle name="40% - Accent5 9" xfId="703"/>
    <cellStyle name="40% - Accent5 9 2" xfId="1053"/>
    <cellStyle name="40% - Accent5 9 3" xfId="22642"/>
    <cellStyle name="40% - Accent5 9 4" xfId="23016"/>
    <cellStyle name="40% - Accent6" xfId="190" builtinId="51" customBuiltin="1"/>
    <cellStyle name="40% - Accent6 10" xfId="735"/>
    <cellStyle name="40% - Accent6 10 2" xfId="1071"/>
    <cellStyle name="40% - Accent6 10 3" xfId="22776"/>
    <cellStyle name="40% - Accent6 10 4" xfId="23034"/>
    <cellStyle name="40% - Accent6 11" xfId="761"/>
    <cellStyle name="40% - Accent6 11 2" xfId="1087"/>
    <cellStyle name="40% - Accent6 11 3" xfId="22713"/>
    <cellStyle name="40% - Accent6 11 4" xfId="23050"/>
    <cellStyle name="40% - Accent6 12" xfId="786"/>
    <cellStyle name="40% - Accent6 12 2" xfId="1103"/>
    <cellStyle name="40% - Accent6 12 3" xfId="22635"/>
    <cellStyle name="40% - Accent6 12 4" xfId="23066"/>
    <cellStyle name="40% - Accent6 13" xfId="810"/>
    <cellStyle name="40% - Accent6 13 2" xfId="1119"/>
    <cellStyle name="40% - Accent6 13 3" xfId="22747"/>
    <cellStyle name="40% - Accent6 13 4" xfId="23082"/>
    <cellStyle name="40% - Accent6 14" xfId="827"/>
    <cellStyle name="40% - Accent6 14 2" xfId="1135"/>
    <cellStyle name="40% - Accent6 14 3" xfId="22738"/>
    <cellStyle name="40% - Accent6 14 4" xfId="23098"/>
    <cellStyle name="40% - Accent6 15" xfId="843"/>
    <cellStyle name="40% - Accent6 15 2" xfId="1151"/>
    <cellStyle name="40% - Accent6 15 3" xfId="22808"/>
    <cellStyle name="40% - Accent6 15 4" xfId="23114"/>
    <cellStyle name="40% - Accent6 16" xfId="867"/>
    <cellStyle name="40% - Accent6 17" xfId="22830"/>
    <cellStyle name="40% - Accent6 2" xfId="508"/>
    <cellStyle name="40% - Accent6 2 2" xfId="943"/>
    <cellStyle name="40% - Accent6 2 2 2" xfId="6433"/>
    <cellStyle name="40% - Accent6 2 2 2 2" xfId="9519"/>
    <cellStyle name="40% - Accent6 2 2 2 2 2" xfId="15712"/>
    <cellStyle name="40% - Accent6 2 2 2 2 3" xfId="21864"/>
    <cellStyle name="40% - Accent6 2 2 2 3" xfId="12646"/>
    <cellStyle name="40% - Accent6 2 2 2 4" xfId="18798"/>
    <cellStyle name="40% - Accent6 2 2 3" xfId="7984"/>
    <cellStyle name="40% - Accent6 2 2 3 2" xfId="14178"/>
    <cellStyle name="40% - Accent6 2 2 3 3" xfId="20330"/>
    <cellStyle name="40% - Accent6 2 2 4" xfId="11112"/>
    <cellStyle name="40% - Accent6 2 2 5" xfId="17264"/>
    <cellStyle name="40% - Accent6 2 2 6" xfId="4808"/>
    <cellStyle name="40% - Accent6 2 3" xfId="5647"/>
    <cellStyle name="40% - Accent6 2 3 2" xfId="8750"/>
    <cellStyle name="40% - Accent6 2 3 2 2" xfId="14943"/>
    <cellStyle name="40% - Accent6 2 3 2 3" xfId="21095"/>
    <cellStyle name="40% - Accent6 2 3 3" xfId="11877"/>
    <cellStyle name="40% - Accent6 2 3 4" xfId="18029"/>
    <cellStyle name="40% - Accent6 2 4" xfId="7215"/>
    <cellStyle name="40% - Accent6 2 4 2" xfId="13409"/>
    <cellStyle name="40% - Accent6 2 4 3" xfId="19561"/>
    <cellStyle name="40% - Accent6 2 5" xfId="10343"/>
    <cellStyle name="40% - Accent6 2 6" xfId="16495"/>
    <cellStyle name="40% - Accent6 2 7" xfId="1379"/>
    <cellStyle name="40% - Accent6 2 8" xfId="22906"/>
    <cellStyle name="40% - Accent6 3" xfId="538"/>
    <cellStyle name="40% - Accent6 3 2" xfId="959"/>
    <cellStyle name="40% - Accent6 3 2 2" xfId="6434"/>
    <cellStyle name="40% - Accent6 3 2 2 2" xfId="9520"/>
    <cellStyle name="40% - Accent6 3 2 2 2 2" xfId="15713"/>
    <cellStyle name="40% - Accent6 3 2 2 2 3" xfId="21865"/>
    <cellStyle name="40% - Accent6 3 2 2 3" xfId="12647"/>
    <cellStyle name="40% - Accent6 3 2 2 4" xfId="18799"/>
    <cellStyle name="40% - Accent6 3 2 3" xfId="7985"/>
    <cellStyle name="40% - Accent6 3 2 3 2" xfId="14179"/>
    <cellStyle name="40% - Accent6 3 2 3 3" xfId="20331"/>
    <cellStyle name="40% - Accent6 3 2 4" xfId="11113"/>
    <cellStyle name="40% - Accent6 3 2 5" xfId="17265"/>
    <cellStyle name="40% - Accent6 3 2 6" xfId="4809"/>
    <cellStyle name="40% - Accent6 3 3" xfId="5648"/>
    <cellStyle name="40% - Accent6 3 3 2" xfId="8751"/>
    <cellStyle name="40% - Accent6 3 3 2 2" xfId="14944"/>
    <cellStyle name="40% - Accent6 3 3 2 3" xfId="21096"/>
    <cellStyle name="40% - Accent6 3 3 3" xfId="11878"/>
    <cellStyle name="40% - Accent6 3 3 4" xfId="18030"/>
    <cellStyle name="40% - Accent6 3 4" xfId="7216"/>
    <cellStyle name="40% - Accent6 3 4 2" xfId="13410"/>
    <cellStyle name="40% - Accent6 3 4 3" xfId="19562"/>
    <cellStyle name="40% - Accent6 3 5" xfId="10344"/>
    <cellStyle name="40% - Accent6 3 6" xfId="16496"/>
    <cellStyle name="40% - Accent6 3 7" xfId="1380"/>
    <cellStyle name="40% - Accent6 3 8" xfId="22922"/>
    <cellStyle name="40% - Accent6 4" xfId="565"/>
    <cellStyle name="40% - Accent6 4 2" xfId="975"/>
    <cellStyle name="40% - Accent6 4 2 2" xfId="6435"/>
    <cellStyle name="40% - Accent6 4 2 2 2" xfId="9521"/>
    <cellStyle name="40% - Accent6 4 2 2 2 2" xfId="15714"/>
    <cellStyle name="40% - Accent6 4 2 2 2 3" xfId="21866"/>
    <cellStyle name="40% - Accent6 4 2 2 3" xfId="12648"/>
    <cellStyle name="40% - Accent6 4 2 2 4" xfId="18800"/>
    <cellStyle name="40% - Accent6 4 2 3" xfId="7986"/>
    <cellStyle name="40% - Accent6 4 2 3 2" xfId="14180"/>
    <cellStyle name="40% - Accent6 4 2 3 3" xfId="20332"/>
    <cellStyle name="40% - Accent6 4 2 4" xfId="11114"/>
    <cellStyle name="40% - Accent6 4 2 5" xfId="17266"/>
    <cellStyle name="40% - Accent6 4 2 6" xfId="4810"/>
    <cellStyle name="40% - Accent6 4 3" xfId="5649"/>
    <cellStyle name="40% - Accent6 4 3 2" xfId="8752"/>
    <cellStyle name="40% - Accent6 4 3 2 2" xfId="14945"/>
    <cellStyle name="40% - Accent6 4 3 2 3" xfId="21097"/>
    <cellStyle name="40% - Accent6 4 3 3" xfId="11879"/>
    <cellStyle name="40% - Accent6 4 3 4" xfId="18031"/>
    <cellStyle name="40% - Accent6 4 4" xfId="7217"/>
    <cellStyle name="40% - Accent6 4 4 2" xfId="13411"/>
    <cellStyle name="40% - Accent6 4 4 3" xfId="19563"/>
    <cellStyle name="40% - Accent6 4 5" xfId="10345"/>
    <cellStyle name="40% - Accent6 4 6" xfId="16497"/>
    <cellStyle name="40% - Accent6 4 7" xfId="1381"/>
    <cellStyle name="40% - Accent6 4 8" xfId="22938"/>
    <cellStyle name="40% - Accent6 5" xfId="591"/>
    <cellStyle name="40% - Accent6 5 2" xfId="991"/>
    <cellStyle name="40% - Accent6 5 2 2" xfId="6436"/>
    <cellStyle name="40% - Accent6 5 2 2 2" xfId="9522"/>
    <cellStyle name="40% - Accent6 5 2 2 2 2" xfId="15715"/>
    <cellStyle name="40% - Accent6 5 2 2 2 3" xfId="21867"/>
    <cellStyle name="40% - Accent6 5 2 2 3" xfId="12649"/>
    <cellStyle name="40% - Accent6 5 2 2 4" xfId="18801"/>
    <cellStyle name="40% - Accent6 5 2 3" xfId="7987"/>
    <cellStyle name="40% - Accent6 5 2 3 2" xfId="14181"/>
    <cellStyle name="40% - Accent6 5 2 3 3" xfId="20333"/>
    <cellStyle name="40% - Accent6 5 2 4" xfId="11115"/>
    <cellStyle name="40% - Accent6 5 2 5" xfId="17267"/>
    <cellStyle name="40% - Accent6 5 2 6" xfId="4811"/>
    <cellStyle name="40% - Accent6 5 3" xfId="5650"/>
    <cellStyle name="40% - Accent6 5 3 2" xfId="8753"/>
    <cellStyle name="40% - Accent6 5 3 2 2" xfId="14946"/>
    <cellStyle name="40% - Accent6 5 3 2 3" xfId="21098"/>
    <cellStyle name="40% - Accent6 5 3 3" xfId="11880"/>
    <cellStyle name="40% - Accent6 5 3 4" xfId="18032"/>
    <cellStyle name="40% - Accent6 5 4" xfId="7218"/>
    <cellStyle name="40% - Accent6 5 4 2" xfId="13412"/>
    <cellStyle name="40% - Accent6 5 4 3" xfId="19564"/>
    <cellStyle name="40% - Accent6 5 5" xfId="10346"/>
    <cellStyle name="40% - Accent6 5 6" xfId="16498"/>
    <cellStyle name="40% - Accent6 5 7" xfId="1382"/>
    <cellStyle name="40% - Accent6 5 8" xfId="22720"/>
    <cellStyle name="40% - Accent6 5 9" xfId="22954"/>
    <cellStyle name="40% - Accent6 6" xfId="618"/>
    <cellStyle name="40% - Accent6 6 2" xfId="1007"/>
    <cellStyle name="40% - Accent6 6 3" xfId="1383"/>
    <cellStyle name="40% - Accent6 6 4" xfId="22616"/>
    <cellStyle name="40% - Accent6 6 5" xfId="22970"/>
    <cellStyle name="40% - Accent6 7" xfId="642"/>
    <cellStyle name="40% - Accent6 7 2" xfId="1023"/>
    <cellStyle name="40% - Accent6 7 3" xfId="22785"/>
    <cellStyle name="40% - Accent6 7 4" xfId="22986"/>
    <cellStyle name="40% - Accent6 8" xfId="667"/>
    <cellStyle name="40% - Accent6 8 2" xfId="1039"/>
    <cellStyle name="40% - Accent6 8 3" xfId="22648"/>
    <cellStyle name="40% - Accent6 8 4" xfId="23002"/>
    <cellStyle name="40% - Accent6 9" xfId="707"/>
    <cellStyle name="40% - Accent6 9 2" xfId="1055"/>
    <cellStyle name="40% - Accent6 9 3" xfId="22593"/>
    <cellStyle name="40% - Accent6 9 4" xfId="23018"/>
    <cellStyle name="60% - Accent1" xfId="171" builtinId="32" customBuiltin="1"/>
    <cellStyle name="60% - Accent1 2" xfId="1384"/>
    <cellStyle name="60% - Accent1 3" xfId="1385"/>
    <cellStyle name="60% - Accent1 4" xfId="1386"/>
    <cellStyle name="60% - Accent1 5" xfId="1387"/>
    <cellStyle name="60% - Accent1 6" xfId="1388"/>
    <cellStyle name="60% - Accent2" xfId="175" builtinId="36" customBuiltin="1"/>
    <cellStyle name="60% - Accent2 2" xfId="1389"/>
    <cellStyle name="60% - Accent2 3" xfId="1390"/>
    <cellStyle name="60% - Accent2 4" xfId="1391"/>
    <cellStyle name="60% - Accent2 5" xfId="1392"/>
    <cellStyle name="60% - Accent3" xfId="179" builtinId="40" customBuiltin="1"/>
    <cellStyle name="60% - Accent3 2" xfId="1393"/>
    <cellStyle name="60% - Accent3 3" xfId="1394"/>
    <cellStyle name="60% - Accent3 4" xfId="1395"/>
    <cellStyle name="60% - Accent3 5" xfId="1396"/>
    <cellStyle name="60% - Accent3 6" xfId="1397"/>
    <cellStyle name="60% - Accent4" xfId="183" builtinId="44" customBuiltin="1"/>
    <cellStyle name="60% - Accent4 2" xfId="1398"/>
    <cellStyle name="60% - Accent4 3" xfId="1399"/>
    <cellStyle name="60% - Accent4 4" xfId="1400"/>
    <cellStyle name="60% - Accent4 5" xfId="1401"/>
    <cellStyle name="60% - Accent4 6" xfId="1402"/>
    <cellStyle name="60% - Accent5" xfId="187" builtinId="48" customBuiltin="1"/>
    <cellStyle name="60% - Accent5 2" xfId="1403"/>
    <cellStyle name="60% - Accent5 3" xfId="1404"/>
    <cellStyle name="60% - Accent5 4" xfId="1405"/>
    <cellStyle name="60% - Accent5 5" xfId="1406"/>
    <cellStyle name="60% - Accent6" xfId="191" builtinId="52" customBuiltin="1"/>
    <cellStyle name="60% - Accent6 2" xfId="1407"/>
    <cellStyle name="60% - Accent6 3" xfId="1408"/>
    <cellStyle name="60% - Accent6 4" xfId="1409"/>
    <cellStyle name="60% - Accent6 5" xfId="1410"/>
    <cellStyle name="60% - Accent6 6" xfId="1411"/>
    <cellStyle name="Accent1" xfId="168" builtinId="29" customBuiltin="1"/>
    <cellStyle name="Accent1 2" xfId="1412"/>
    <cellStyle name="Accent1 3" xfId="1413"/>
    <cellStyle name="Accent1 4" xfId="1414"/>
    <cellStyle name="Accent1 5" xfId="1415"/>
    <cellStyle name="Accent1 6" xfId="1416"/>
    <cellStyle name="Accent2" xfId="172" builtinId="33" customBuiltin="1"/>
    <cellStyle name="Accent2 2" xfId="1417"/>
    <cellStyle name="Accent2 3" xfId="1418"/>
    <cellStyle name="Accent2 4" xfId="1419"/>
    <cellStyle name="Accent2 5" xfId="1420"/>
    <cellStyle name="Accent2 6" xfId="1421"/>
    <cellStyle name="Accent3" xfId="176" builtinId="37" customBuiltin="1"/>
    <cellStyle name="Accent3 2" xfId="1422"/>
    <cellStyle name="Accent3 3" xfId="1423"/>
    <cellStyle name="Accent3 4" xfId="1424"/>
    <cellStyle name="Accent3 5" xfId="1425"/>
    <cellStyle name="Accent3 6" xfId="1426"/>
    <cellStyle name="Accent4" xfId="180" builtinId="41" customBuiltin="1"/>
    <cellStyle name="Accent4 2" xfId="1427"/>
    <cellStyle name="Accent4 3" xfId="1428"/>
    <cellStyle name="Accent4 4" xfId="1429"/>
    <cellStyle name="Accent4 5" xfId="1430"/>
    <cellStyle name="Accent4 6" xfId="1431"/>
    <cellStyle name="Accent5" xfId="184" builtinId="45" customBuiltin="1"/>
    <cellStyle name="Accent5 2" xfId="1432"/>
    <cellStyle name="Accent5 3" xfId="1433"/>
    <cellStyle name="Accent5 4" xfId="1434"/>
    <cellStyle name="Accent5 5" xfId="1435"/>
    <cellStyle name="Accent6" xfId="188" builtinId="49" customBuiltin="1"/>
    <cellStyle name="Accent6 2" xfId="1436"/>
    <cellStyle name="Accent6 3" xfId="1437"/>
    <cellStyle name="Accent6 4" xfId="1438"/>
    <cellStyle name="Accent6 5" xfId="1439"/>
    <cellStyle name="alarm" xfId="1440"/>
    <cellStyle name="assumption" xfId="1441"/>
    <cellStyle name="assumption 2" xfId="1442"/>
    <cellStyle name="Bad" xfId="158" builtinId="27" customBuiltin="1"/>
    <cellStyle name="Bad 2" xfId="1443"/>
    <cellStyle name="Bad 3" xfId="1444"/>
    <cellStyle name="Bad 4" xfId="1445"/>
    <cellStyle name="Bad 5" xfId="1446"/>
    <cellStyle name="Bad 6" xfId="1447"/>
    <cellStyle name="Blank" xfId="1448"/>
    <cellStyle name="Calculation" xfId="162" builtinId="22" customBuiltin="1"/>
    <cellStyle name="Calculation 2" xfId="1449"/>
    <cellStyle name="Calculation 3" xfId="1450"/>
    <cellStyle name="Calculation 4" xfId="1451"/>
    <cellStyle name="Calculation 5" xfId="1452"/>
    <cellStyle name="Calculation 6" xfId="1453"/>
    <cellStyle name="Calculation 6 2" xfId="5515"/>
    <cellStyle name="Calculation 6 2 2" xfId="7137"/>
    <cellStyle name="Calculation 6 3" xfId="5557"/>
    <cellStyle name="Calculation 6 3 2" xfId="6269"/>
    <cellStyle name="Calculation 6 4" xfId="5528"/>
    <cellStyle name="Calculation 6 4 2" xfId="6206"/>
    <cellStyle name="Calculation 6 5" xfId="5509"/>
    <cellStyle name="Calculation 6 5 2" xfId="6203"/>
    <cellStyle name="Calculation 6 6" xfId="7140"/>
    <cellStyle name="Centered Heading" xfId="1454"/>
    <cellStyle name="Centered Heading 2" xfId="1455"/>
    <cellStyle name="Centered Heading 3" xfId="1456"/>
    <cellStyle name="Check Cell" xfId="164" builtinId="23" customBuiltin="1"/>
    <cellStyle name="Check Cell 2" xfId="1457"/>
    <cellStyle name="Check Cell 3" xfId="1458"/>
    <cellStyle name="Check Cell 4" xfId="1459"/>
    <cellStyle name="Check Cell 5" xfId="1460"/>
    <cellStyle name="Column Header" xfId="1461"/>
    <cellStyle name="ColumnAttributeAbovePrompt" xfId="1193"/>
    <cellStyle name="ColumnAttributePrompt" xfId="1194"/>
    <cellStyle name="ColumnAttributeValue" xfId="1195"/>
    <cellStyle name="ColumnHeadingPrompt" xfId="1196"/>
    <cellStyle name="ColumnHeadingValue" xfId="1197"/>
    <cellStyle name="Comma" xfId="1" builtinId="3"/>
    <cellStyle name="Comma [0] 2" xfId="2"/>
    <cellStyle name="Comma [0] 2 2" xfId="4629"/>
    <cellStyle name="Comma [0] 2 3" xfId="1322"/>
    <cellStyle name="Comma [0] 3" xfId="1198"/>
    <cellStyle name="Comma [0] 4" xfId="1291"/>
    <cellStyle name="Comma [0] 5" xfId="4626"/>
    <cellStyle name="Comma [0] 6" xfId="4734"/>
    <cellStyle name="Comma [0] 7" xfId="7147"/>
    <cellStyle name="Comma [0] 8" xfId="10275"/>
    <cellStyle name="Comma [0] 9" xfId="1184"/>
    <cellStyle name="Comma 0" xfId="1462"/>
    <cellStyle name="Comma 0.0" xfId="1463"/>
    <cellStyle name="Comma 0.00" xfId="1464"/>
    <cellStyle name="Comma 0.000" xfId="1465"/>
    <cellStyle name="Comma 10" xfId="135"/>
    <cellStyle name="Comma 10 2" xfId="877"/>
    <cellStyle name="Comma 10 2 2" xfId="1468"/>
    <cellStyle name="Comma 10 2 3" xfId="1469"/>
    <cellStyle name="Comma 10 2 4" xfId="1467"/>
    <cellStyle name="Comma 10 3" xfId="1470"/>
    <cellStyle name="Comma 10 4" xfId="4715"/>
    <cellStyle name="Comma 10 5" xfId="1466"/>
    <cellStyle name="Comma 10 6" xfId="1302"/>
    <cellStyle name="Comma 10 7" xfId="22695"/>
    <cellStyle name="Comma 10 8" xfId="22840"/>
    <cellStyle name="Comma 10 9" xfId="226"/>
    <cellStyle name="Comma 100" xfId="1471"/>
    <cellStyle name="Comma 101" xfId="1472"/>
    <cellStyle name="Comma 102" xfId="1473"/>
    <cellStyle name="Comma 103" xfId="1474"/>
    <cellStyle name="Comma 104" xfId="1475"/>
    <cellStyle name="Comma 105" xfId="1476"/>
    <cellStyle name="Comma 106" xfId="1477"/>
    <cellStyle name="Comma 107" xfId="1478"/>
    <cellStyle name="Comma 108" xfId="1479"/>
    <cellStyle name="Comma 109" xfId="1480"/>
    <cellStyle name="Comma 11" xfId="150"/>
    <cellStyle name="Comma 11 10" xfId="228"/>
    <cellStyle name="Comma 11 2" xfId="879"/>
    <cellStyle name="Comma 11 2 2" xfId="1482"/>
    <cellStyle name="Comma 11 3" xfId="1483"/>
    <cellStyle name="Comma 11 3 2" xfId="1484"/>
    <cellStyle name="Comma 11 3 3" xfId="1485"/>
    <cellStyle name="Comma 11 4" xfId="1486"/>
    <cellStyle name="Comma 11 5" xfId="4711"/>
    <cellStyle name="Comma 11 6" xfId="1481"/>
    <cellStyle name="Comma 11 7" xfId="1298"/>
    <cellStyle name="Comma 11 8" xfId="22813"/>
    <cellStyle name="Comma 11 9" xfId="22842"/>
    <cellStyle name="Comma 110" xfId="1487"/>
    <cellStyle name="Comma 111" xfId="1488"/>
    <cellStyle name="Comma 112" xfId="1489"/>
    <cellStyle name="Comma 113" xfId="1490"/>
    <cellStyle name="Comma 114" xfId="1491"/>
    <cellStyle name="Comma 115" xfId="1492"/>
    <cellStyle name="Comma 116" xfId="1493"/>
    <cellStyle name="Comma 117" xfId="1494"/>
    <cellStyle name="Comma 118" xfId="1495"/>
    <cellStyle name="Comma 119" xfId="1496"/>
    <cellStyle name="Comma 12" xfId="129"/>
    <cellStyle name="Comma 12 2" xfId="881"/>
    <cellStyle name="Comma 12 2 2" xfId="1499"/>
    <cellStyle name="Comma 12 2 3" xfId="1500"/>
    <cellStyle name="Comma 12 2 4" xfId="1498"/>
    <cellStyle name="Comma 12 3" xfId="1501"/>
    <cellStyle name="Comma 12 4" xfId="1497"/>
    <cellStyle name="Comma 12 5" xfId="22746"/>
    <cellStyle name="Comma 12 6" xfId="22844"/>
    <cellStyle name="Comma 12 7" xfId="230"/>
    <cellStyle name="Comma 120" xfId="1502"/>
    <cellStyle name="Comma 121" xfId="1503"/>
    <cellStyle name="Comma 122" xfId="1504"/>
    <cellStyle name="Comma 123" xfId="1505"/>
    <cellStyle name="Comma 124" xfId="1506"/>
    <cellStyle name="Comma 125" xfId="1507"/>
    <cellStyle name="Comma 126" xfId="1508"/>
    <cellStyle name="Comma 127" xfId="1509"/>
    <cellStyle name="Comma 128" xfId="1510"/>
    <cellStyle name="Comma 129" xfId="1511"/>
    <cellStyle name="Comma 13" xfId="134"/>
    <cellStyle name="Comma 13 2" xfId="882"/>
    <cellStyle name="Comma 13 2 2" xfId="1514"/>
    <cellStyle name="Comma 13 2 3" xfId="1515"/>
    <cellStyle name="Comma 13 2 4" xfId="1513"/>
    <cellStyle name="Comma 13 3" xfId="1512"/>
    <cellStyle name="Comma 13 4" xfId="22741"/>
    <cellStyle name="Comma 13 5" xfId="22845"/>
    <cellStyle name="Comma 13 6" xfId="231"/>
    <cellStyle name="Comma 130" xfId="1516"/>
    <cellStyle name="Comma 131" xfId="1517"/>
    <cellStyle name="Comma 132" xfId="1518"/>
    <cellStyle name="Comma 133" xfId="1519"/>
    <cellStyle name="Comma 134" xfId="1520"/>
    <cellStyle name="Comma 135" xfId="1521"/>
    <cellStyle name="Comma 136" xfId="1522"/>
    <cellStyle name="Comma 137" xfId="1523"/>
    <cellStyle name="Comma 138" xfId="1524"/>
    <cellStyle name="Comma 139" xfId="1525"/>
    <cellStyle name="Comma 14" xfId="124"/>
    <cellStyle name="Comma 14 2" xfId="880"/>
    <cellStyle name="Comma 14 3" xfId="1526"/>
    <cellStyle name="Comma 14 4" xfId="22769"/>
    <cellStyle name="Comma 14 5" xfId="22843"/>
    <cellStyle name="Comma 14 6" xfId="229"/>
    <cellStyle name="Comma 140" xfId="1527"/>
    <cellStyle name="Comma 141" xfId="1528"/>
    <cellStyle name="Comma 141 2" xfId="1529"/>
    <cellStyle name="Comma 141 2 2" xfId="1530"/>
    <cellStyle name="Comma 141 2 2 2" xfId="1531"/>
    <cellStyle name="Comma 141 2 3" xfId="1532"/>
    <cellStyle name="Comma 141 3" xfId="1533"/>
    <cellStyle name="Comma 141 3 2" xfId="1534"/>
    <cellStyle name="Comma 141 4" xfId="1535"/>
    <cellStyle name="Comma 141 4 2" xfId="1536"/>
    <cellStyle name="Comma 141 5" xfId="1537"/>
    <cellStyle name="Comma 142" xfId="1538"/>
    <cellStyle name="Comma 142 2" xfId="1539"/>
    <cellStyle name="Comma 142 2 2" xfId="1540"/>
    <cellStyle name="Comma 142 2 2 2" xfId="1541"/>
    <cellStyle name="Comma 142 2 3" xfId="1542"/>
    <cellStyle name="Comma 142 3" xfId="1543"/>
    <cellStyle name="Comma 142 3 2" xfId="1544"/>
    <cellStyle name="Comma 142 4" xfId="1545"/>
    <cellStyle name="Comma 142 4 2" xfId="1546"/>
    <cellStyle name="Comma 142 5" xfId="1547"/>
    <cellStyle name="Comma 143" xfId="1548"/>
    <cellStyle name="Comma 143 2" xfId="4812"/>
    <cellStyle name="Comma 143 2 2" xfId="6437"/>
    <cellStyle name="Comma 143 2 2 2" xfId="9523"/>
    <cellStyle name="Comma 143 2 2 2 2" xfId="15716"/>
    <cellStyle name="Comma 143 2 2 2 3" xfId="21868"/>
    <cellStyle name="Comma 143 2 2 3" xfId="12650"/>
    <cellStyle name="Comma 143 2 2 4" xfId="18802"/>
    <cellStyle name="Comma 143 2 3" xfId="7988"/>
    <cellStyle name="Comma 143 2 3 2" xfId="14182"/>
    <cellStyle name="Comma 143 2 3 3" xfId="20334"/>
    <cellStyle name="Comma 143 2 4" xfId="11116"/>
    <cellStyle name="Comma 143 2 5" xfId="17268"/>
    <cellStyle name="Comma 143 3" xfId="5651"/>
    <cellStyle name="Comma 143 3 2" xfId="8754"/>
    <cellStyle name="Comma 143 3 2 2" xfId="14947"/>
    <cellStyle name="Comma 143 3 2 3" xfId="21099"/>
    <cellStyle name="Comma 143 3 3" xfId="11881"/>
    <cellStyle name="Comma 143 3 4" xfId="18033"/>
    <cellStyle name="Comma 143 4" xfId="7219"/>
    <cellStyle name="Comma 143 4 2" xfId="13413"/>
    <cellStyle name="Comma 143 4 3" xfId="19565"/>
    <cellStyle name="Comma 143 5" xfId="10347"/>
    <cellStyle name="Comma 143 6" xfId="16499"/>
    <cellStyle name="Comma 144" xfId="1549"/>
    <cellStyle name="Comma 144 2" xfId="4813"/>
    <cellStyle name="Comma 144 2 2" xfId="6438"/>
    <cellStyle name="Comma 144 2 2 2" xfId="9524"/>
    <cellStyle name="Comma 144 2 2 2 2" xfId="15717"/>
    <cellStyle name="Comma 144 2 2 2 3" xfId="21869"/>
    <cellStyle name="Comma 144 2 2 3" xfId="12651"/>
    <cellStyle name="Comma 144 2 2 4" xfId="18803"/>
    <cellStyle name="Comma 144 2 3" xfId="7989"/>
    <cellStyle name="Comma 144 2 3 2" xfId="14183"/>
    <cellStyle name="Comma 144 2 3 3" xfId="20335"/>
    <cellStyle name="Comma 144 2 4" xfId="11117"/>
    <cellStyle name="Comma 144 2 5" xfId="17269"/>
    <cellStyle name="Comma 144 3" xfId="5652"/>
    <cellStyle name="Comma 144 3 2" xfId="8755"/>
    <cellStyle name="Comma 144 3 2 2" xfId="14948"/>
    <cellStyle name="Comma 144 3 2 3" xfId="21100"/>
    <cellStyle name="Comma 144 3 3" xfId="11882"/>
    <cellStyle name="Comma 144 3 4" xfId="18034"/>
    <cellStyle name="Comma 144 4" xfId="7220"/>
    <cellStyle name="Comma 144 4 2" xfId="13414"/>
    <cellStyle name="Comma 144 4 3" xfId="19566"/>
    <cellStyle name="Comma 144 5" xfId="10348"/>
    <cellStyle name="Comma 144 6" xfId="16500"/>
    <cellStyle name="Comma 145" xfId="1550"/>
    <cellStyle name="Comma 145 2" xfId="4814"/>
    <cellStyle name="Comma 145 2 2" xfId="6439"/>
    <cellStyle name="Comma 145 2 2 2" xfId="9525"/>
    <cellStyle name="Comma 145 2 2 2 2" xfId="15718"/>
    <cellStyle name="Comma 145 2 2 2 3" xfId="21870"/>
    <cellStyle name="Comma 145 2 2 3" xfId="12652"/>
    <cellStyle name="Comma 145 2 2 4" xfId="18804"/>
    <cellStyle name="Comma 145 2 3" xfId="7990"/>
    <cellStyle name="Comma 145 2 3 2" xfId="14184"/>
    <cellStyle name="Comma 145 2 3 3" xfId="20336"/>
    <cellStyle name="Comma 145 2 4" xfId="11118"/>
    <cellStyle name="Comma 145 2 5" xfId="17270"/>
    <cellStyle name="Comma 145 3" xfId="5653"/>
    <cellStyle name="Comma 145 3 2" xfId="8756"/>
    <cellStyle name="Comma 145 3 2 2" xfId="14949"/>
    <cellStyle name="Comma 145 3 2 3" xfId="21101"/>
    <cellStyle name="Comma 145 3 3" xfId="11883"/>
    <cellStyle name="Comma 145 3 4" xfId="18035"/>
    <cellStyle name="Comma 145 4" xfId="7221"/>
    <cellStyle name="Comma 145 4 2" xfId="13415"/>
    <cellStyle name="Comma 145 4 3" xfId="19567"/>
    <cellStyle name="Comma 145 5" xfId="10349"/>
    <cellStyle name="Comma 145 6" xfId="16501"/>
    <cellStyle name="Comma 146" xfId="1551"/>
    <cellStyle name="Comma 146 2" xfId="4815"/>
    <cellStyle name="Comma 146 2 2" xfId="6440"/>
    <cellStyle name="Comma 146 2 2 2" xfId="9526"/>
    <cellStyle name="Comma 146 2 2 2 2" xfId="15719"/>
    <cellStyle name="Comma 146 2 2 2 3" xfId="21871"/>
    <cellStyle name="Comma 146 2 2 3" xfId="12653"/>
    <cellStyle name="Comma 146 2 2 4" xfId="18805"/>
    <cellStyle name="Comma 146 2 3" xfId="7991"/>
    <cellStyle name="Comma 146 2 3 2" xfId="14185"/>
    <cellStyle name="Comma 146 2 3 3" xfId="20337"/>
    <cellStyle name="Comma 146 2 4" xfId="11119"/>
    <cellStyle name="Comma 146 2 5" xfId="17271"/>
    <cellStyle name="Comma 146 3" xfId="5654"/>
    <cellStyle name="Comma 146 3 2" xfId="8757"/>
    <cellStyle name="Comma 146 3 2 2" xfId="14950"/>
    <cellStyle name="Comma 146 3 2 3" xfId="21102"/>
    <cellStyle name="Comma 146 3 3" xfId="11884"/>
    <cellStyle name="Comma 146 3 4" xfId="18036"/>
    <cellStyle name="Comma 146 4" xfId="7222"/>
    <cellStyle name="Comma 146 4 2" xfId="13416"/>
    <cellStyle name="Comma 146 4 3" xfId="19568"/>
    <cellStyle name="Comma 146 5" xfId="10350"/>
    <cellStyle name="Comma 146 6" xfId="16502"/>
    <cellStyle name="Comma 147" xfId="1552"/>
    <cellStyle name="Comma 147 2" xfId="4816"/>
    <cellStyle name="Comma 147 2 2" xfId="6441"/>
    <cellStyle name="Comma 147 2 2 2" xfId="9527"/>
    <cellStyle name="Comma 147 2 2 2 2" xfId="15720"/>
    <cellStyle name="Comma 147 2 2 2 3" xfId="21872"/>
    <cellStyle name="Comma 147 2 2 3" xfId="12654"/>
    <cellStyle name="Comma 147 2 2 4" xfId="18806"/>
    <cellStyle name="Comma 147 2 3" xfId="7992"/>
    <cellStyle name="Comma 147 2 3 2" xfId="14186"/>
    <cellStyle name="Comma 147 2 3 3" xfId="20338"/>
    <cellStyle name="Comma 147 2 4" xfId="11120"/>
    <cellStyle name="Comma 147 2 5" xfId="17272"/>
    <cellStyle name="Comma 147 3" xfId="5655"/>
    <cellStyle name="Comma 147 3 2" xfId="8758"/>
    <cellStyle name="Comma 147 3 2 2" xfId="14951"/>
    <cellStyle name="Comma 147 3 2 3" xfId="21103"/>
    <cellStyle name="Comma 147 3 3" xfId="11885"/>
    <cellStyle name="Comma 147 3 4" xfId="18037"/>
    <cellStyle name="Comma 147 4" xfId="7223"/>
    <cellStyle name="Comma 147 4 2" xfId="13417"/>
    <cellStyle name="Comma 147 4 3" xfId="19569"/>
    <cellStyle name="Comma 147 5" xfId="10351"/>
    <cellStyle name="Comma 147 6" xfId="16503"/>
    <cellStyle name="Comma 148" xfId="1553"/>
    <cellStyle name="Comma 148 2" xfId="4817"/>
    <cellStyle name="Comma 148 2 2" xfId="6442"/>
    <cellStyle name="Comma 148 2 2 2" xfId="9528"/>
    <cellStyle name="Comma 148 2 2 2 2" xfId="15721"/>
    <cellStyle name="Comma 148 2 2 2 3" xfId="21873"/>
    <cellStyle name="Comma 148 2 2 3" xfId="12655"/>
    <cellStyle name="Comma 148 2 2 4" xfId="18807"/>
    <cellStyle name="Comma 148 2 3" xfId="7993"/>
    <cellStyle name="Comma 148 2 3 2" xfId="14187"/>
    <cellStyle name="Comma 148 2 3 3" xfId="20339"/>
    <cellStyle name="Comma 148 2 4" xfId="11121"/>
    <cellStyle name="Comma 148 2 5" xfId="17273"/>
    <cellStyle name="Comma 148 3" xfId="5656"/>
    <cellStyle name="Comma 148 3 2" xfId="8759"/>
    <cellStyle name="Comma 148 3 2 2" xfId="14952"/>
    <cellStyle name="Comma 148 3 2 3" xfId="21104"/>
    <cellStyle name="Comma 148 3 3" xfId="11886"/>
    <cellStyle name="Comma 148 3 4" xfId="18038"/>
    <cellStyle name="Comma 148 4" xfId="7224"/>
    <cellStyle name="Comma 148 4 2" xfId="13418"/>
    <cellStyle name="Comma 148 4 3" xfId="19570"/>
    <cellStyle name="Comma 148 5" xfId="10352"/>
    <cellStyle name="Comma 148 6" xfId="16504"/>
    <cellStyle name="Comma 149" xfId="1554"/>
    <cellStyle name="Comma 149 2" xfId="4818"/>
    <cellStyle name="Comma 149 2 2" xfId="6443"/>
    <cellStyle name="Comma 149 2 2 2" xfId="9529"/>
    <cellStyle name="Comma 149 2 2 2 2" xfId="15722"/>
    <cellStyle name="Comma 149 2 2 2 3" xfId="21874"/>
    <cellStyle name="Comma 149 2 2 3" xfId="12656"/>
    <cellStyle name="Comma 149 2 2 4" xfId="18808"/>
    <cellStyle name="Comma 149 2 3" xfId="7994"/>
    <cellStyle name="Comma 149 2 3 2" xfId="14188"/>
    <cellStyle name="Comma 149 2 3 3" xfId="20340"/>
    <cellStyle name="Comma 149 2 4" xfId="11122"/>
    <cellStyle name="Comma 149 2 5" xfId="17274"/>
    <cellStyle name="Comma 149 3" xfId="5657"/>
    <cellStyle name="Comma 149 3 2" xfId="8760"/>
    <cellStyle name="Comma 149 3 2 2" xfId="14953"/>
    <cellStyle name="Comma 149 3 2 3" xfId="21105"/>
    <cellStyle name="Comma 149 3 3" xfId="11887"/>
    <cellStyle name="Comma 149 3 4" xfId="18039"/>
    <cellStyle name="Comma 149 4" xfId="7225"/>
    <cellStyle name="Comma 149 4 2" xfId="13419"/>
    <cellStyle name="Comma 149 4 3" xfId="19571"/>
    <cellStyle name="Comma 149 5" xfId="10353"/>
    <cellStyle name="Comma 149 6" xfId="16505"/>
    <cellStyle name="Comma 15" xfId="232"/>
    <cellStyle name="Comma 15 2" xfId="883"/>
    <cellStyle name="Comma 15 2 2" xfId="1556"/>
    <cellStyle name="Comma 15 3" xfId="1555"/>
    <cellStyle name="Comma 15 4" xfId="22621"/>
    <cellStyle name="Comma 15 5" xfId="22846"/>
    <cellStyle name="Comma 150" xfId="1557"/>
    <cellStyle name="Comma 150 2" xfId="4819"/>
    <cellStyle name="Comma 150 2 2" xfId="6444"/>
    <cellStyle name="Comma 150 2 2 2" xfId="9530"/>
    <cellStyle name="Comma 150 2 2 2 2" xfId="15723"/>
    <cellStyle name="Comma 150 2 2 2 3" xfId="21875"/>
    <cellStyle name="Comma 150 2 2 3" xfId="12657"/>
    <cellStyle name="Comma 150 2 2 4" xfId="18809"/>
    <cellStyle name="Comma 150 2 3" xfId="7995"/>
    <cellStyle name="Comma 150 2 3 2" xfId="14189"/>
    <cellStyle name="Comma 150 2 3 3" xfId="20341"/>
    <cellStyle name="Comma 150 2 4" xfId="11123"/>
    <cellStyle name="Comma 150 2 5" xfId="17275"/>
    <cellStyle name="Comma 150 3" xfId="5658"/>
    <cellStyle name="Comma 150 3 2" xfId="8761"/>
    <cellStyle name="Comma 150 3 2 2" xfId="14954"/>
    <cellStyle name="Comma 150 3 2 3" xfId="21106"/>
    <cellStyle name="Comma 150 3 3" xfId="11888"/>
    <cellStyle name="Comma 150 3 4" xfId="18040"/>
    <cellStyle name="Comma 150 4" xfId="7226"/>
    <cellStyle name="Comma 150 4 2" xfId="13420"/>
    <cellStyle name="Comma 150 4 3" xfId="19572"/>
    <cellStyle name="Comma 150 5" xfId="10354"/>
    <cellStyle name="Comma 150 6" xfId="16506"/>
    <cellStyle name="Comma 151" xfId="1558"/>
    <cellStyle name="Comma 151 2" xfId="4820"/>
    <cellStyle name="Comma 151 2 2" xfId="6445"/>
    <cellStyle name="Comma 151 2 2 2" xfId="9531"/>
    <cellStyle name="Comma 151 2 2 2 2" xfId="15724"/>
    <cellStyle name="Comma 151 2 2 2 3" xfId="21876"/>
    <cellStyle name="Comma 151 2 2 3" xfId="12658"/>
    <cellStyle name="Comma 151 2 2 4" xfId="18810"/>
    <cellStyle name="Comma 151 2 3" xfId="7996"/>
    <cellStyle name="Comma 151 2 3 2" xfId="14190"/>
    <cellStyle name="Comma 151 2 3 3" xfId="20342"/>
    <cellStyle name="Comma 151 2 4" xfId="11124"/>
    <cellStyle name="Comma 151 2 5" xfId="17276"/>
    <cellStyle name="Comma 151 3" xfId="5659"/>
    <cellStyle name="Comma 151 3 2" xfId="8762"/>
    <cellStyle name="Comma 151 3 2 2" xfId="14955"/>
    <cellStyle name="Comma 151 3 2 3" xfId="21107"/>
    <cellStyle name="Comma 151 3 3" xfId="11889"/>
    <cellStyle name="Comma 151 3 4" xfId="18041"/>
    <cellStyle name="Comma 151 4" xfId="7227"/>
    <cellStyle name="Comma 151 4 2" xfId="13421"/>
    <cellStyle name="Comma 151 4 3" xfId="19573"/>
    <cellStyle name="Comma 151 5" xfId="10355"/>
    <cellStyle name="Comma 151 6" xfId="16507"/>
    <cellStyle name="Comma 152" xfId="1559"/>
    <cellStyle name="Comma 152 2" xfId="4821"/>
    <cellStyle name="Comma 152 2 2" xfId="6446"/>
    <cellStyle name="Comma 152 2 2 2" xfId="9532"/>
    <cellStyle name="Comma 152 2 2 2 2" xfId="15725"/>
    <cellStyle name="Comma 152 2 2 2 3" xfId="21877"/>
    <cellStyle name="Comma 152 2 2 3" xfId="12659"/>
    <cellStyle name="Comma 152 2 2 4" xfId="18811"/>
    <cellStyle name="Comma 152 2 3" xfId="7997"/>
    <cellStyle name="Comma 152 2 3 2" xfId="14191"/>
    <cellStyle name="Comma 152 2 3 3" xfId="20343"/>
    <cellStyle name="Comma 152 2 4" xfId="11125"/>
    <cellStyle name="Comma 152 2 5" xfId="17277"/>
    <cellStyle name="Comma 152 3" xfId="5660"/>
    <cellStyle name="Comma 152 3 2" xfId="8763"/>
    <cellStyle name="Comma 152 3 2 2" xfId="14956"/>
    <cellStyle name="Comma 152 3 2 3" xfId="21108"/>
    <cellStyle name="Comma 152 3 3" xfId="11890"/>
    <cellStyle name="Comma 152 3 4" xfId="18042"/>
    <cellStyle name="Comma 152 4" xfId="7228"/>
    <cellStyle name="Comma 152 4 2" xfId="13422"/>
    <cellStyle name="Comma 152 4 3" xfId="19574"/>
    <cellStyle name="Comma 152 5" xfId="10356"/>
    <cellStyle name="Comma 152 6" xfId="16508"/>
    <cellStyle name="Comma 153" xfId="1560"/>
    <cellStyle name="Comma 153 2" xfId="4822"/>
    <cellStyle name="Comma 153 2 2" xfId="6447"/>
    <cellStyle name="Comma 153 2 2 2" xfId="9533"/>
    <cellStyle name="Comma 153 2 2 2 2" xfId="15726"/>
    <cellStyle name="Comma 153 2 2 2 3" xfId="21878"/>
    <cellStyle name="Comma 153 2 2 3" xfId="12660"/>
    <cellStyle name="Comma 153 2 2 4" xfId="18812"/>
    <cellStyle name="Comma 153 2 3" xfId="7998"/>
    <cellStyle name="Comma 153 2 3 2" xfId="14192"/>
    <cellStyle name="Comma 153 2 3 3" xfId="20344"/>
    <cellStyle name="Comma 153 2 4" xfId="11126"/>
    <cellStyle name="Comma 153 2 5" xfId="17278"/>
    <cellStyle name="Comma 153 3" xfId="5661"/>
    <cellStyle name="Comma 153 3 2" xfId="8764"/>
    <cellStyle name="Comma 153 3 2 2" xfId="14957"/>
    <cellStyle name="Comma 153 3 2 3" xfId="21109"/>
    <cellStyle name="Comma 153 3 3" xfId="11891"/>
    <cellStyle name="Comma 153 3 4" xfId="18043"/>
    <cellStyle name="Comma 153 4" xfId="7229"/>
    <cellStyle name="Comma 153 4 2" xfId="13423"/>
    <cellStyle name="Comma 153 4 3" xfId="19575"/>
    <cellStyle name="Comma 153 5" xfId="10357"/>
    <cellStyle name="Comma 153 6" xfId="16509"/>
    <cellStyle name="Comma 154" xfId="1561"/>
    <cellStyle name="Comma 154 2" xfId="1562"/>
    <cellStyle name="Comma 155" xfId="1563"/>
    <cellStyle name="Comma 155 2" xfId="1564"/>
    <cellStyle name="Comma 156" xfId="1565"/>
    <cellStyle name="Comma 156 2" xfId="1566"/>
    <cellStyle name="Comma 157" xfId="1567"/>
    <cellStyle name="Comma 158" xfId="1568"/>
    <cellStyle name="Comma 159" xfId="1569"/>
    <cellStyle name="Comma 16" xfId="233"/>
    <cellStyle name="Comma 16 2" xfId="884"/>
    <cellStyle name="Comma 16 3" xfId="1570"/>
    <cellStyle name="Comma 16 4" xfId="22815"/>
    <cellStyle name="Comma 16 5" xfId="22847"/>
    <cellStyle name="Comma 160" xfId="1571"/>
    <cellStyle name="Comma 161" xfId="1572"/>
    <cellStyle name="Comma 162" xfId="1573"/>
    <cellStyle name="Comma 163" xfId="1574"/>
    <cellStyle name="Comma 164" xfId="1575"/>
    <cellStyle name="Comma 165" xfId="1576"/>
    <cellStyle name="Comma 166" xfId="1577"/>
    <cellStyle name="Comma 167" xfId="1578"/>
    <cellStyle name="Comma 168" xfId="1579"/>
    <cellStyle name="Comma 169" xfId="1580"/>
    <cellStyle name="Comma 17" xfId="234"/>
    <cellStyle name="Comma 17 2" xfId="885"/>
    <cellStyle name="Comma 17 3" xfId="1581"/>
    <cellStyle name="Comma 17 4" xfId="22615"/>
    <cellStyle name="Comma 17 5" xfId="22848"/>
    <cellStyle name="Comma 170" xfId="1582"/>
    <cellStyle name="Comma 171" xfId="1583"/>
    <cellStyle name="Comma 172" xfId="1584"/>
    <cellStyle name="Comma 173" xfId="1585"/>
    <cellStyle name="Comma 174" xfId="1586"/>
    <cellStyle name="Comma 175" xfId="1587"/>
    <cellStyle name="Comma 176" xfId="1588"/>
    <cellStyle name="Comma 177" xfId="1589"/>
    <cellStyle name="Comma 178" xfId="1590"/>
    <cellStyle name="Comma 179" xfId="1591"/>
    <cellStyle name="Comma 18" xfId="236"/>
    <cellStyle name="Comma 18 2" xfId="887"/>
    <cellStyle name="Comma 18 3" xfId="1592"/>
    <cellStyle name="Comma 18 4" xfId="22761"/>
    <cellStyle name="Comma 18 5" xfId="22850"/>
    <cellStyle name="Comma 180" xfId="1593"/>
    <cellStyle name="Comma 181" xfId="1594"/>
    <cellStyle name="Comma 182" xfId="1595"/>
    <cellStyle name="Comma 182 2" xfId="4823"/>
    <cellStyle name="Comma 182 2 2" xfId="6448"/>
    <cellStyle name="Comma 182 2 2 2" xfId="9534"/>
    <cellStyle name="Comma 182 2 2 2 2" xfId="15727"/>
    <cellStyle name="Comma 182 2 2 2 3" xfId="21879"/>
    <cellStyle name="Comma 182 2 2 3" xfId="12661"/>
    <cellStyle name="Comma 182 2 2 4" xfId="18813"/>
    <cellStyle name="Comma 182 2 3" xfId="7999"/>
    <cellStyle name="Comma 182 2 3 2" xfId="14193"/>
    <cellStyle name="Comma 182 2 3 3" xfId="20345"/>
    <cellStyle name="Comma 182 2 4" xfId="11127"/>
    <cellStyle name="Comma 182 2 5" xfId="17279"/>
    <cellStyle name="Comma 182 3" xfId="5662"/>
    <cellStyle name="Comma 182 3 2" xfId="8765"/>
    <cellStyle name="Comma 182 3 2 2" xfId="14958"/>
    <cellStyle name="Comma 182 3 2 3" xfId="21110"/>
    <cellStyle name="Comma 182 3 3" xfId="11892"/>
    <cellStyle name="Comma 182 3 4" xfId="18044"/>
    <cellStyle name="Comma 182 4" xfId="7230"/>
    <cellStyle name="Comma 182 4 2" xfId="13424"/>
    <cellStyle name="Comma 182 4 3" xfId="19576"/>
    <cellStyle name="Comma 182 5" xfId="10358"/>
    <cellStyle name="Comma 182 6" xfId="16510"/>
    <cellStyle name="Comma 183" xfId="1596"/>
    <cellStyle name="Comma 184" xfId="1321"/>
    <cellStyle name="Comma 185" xfId="4625"/>
    <cellStyle name="Comma 186" xfId="1318"/>
    <cellStyle name="Comma 186 2" xfId="4765"/>
    <cellStyle name="Comma 186 2 2" xfId="6390"/>
    <cellStyle name="Comma 186 2 2 2" xfId="9476"/>
    <cellStyle name="Comma 186 2 2 2 2" xfId="15669"/>
    <cellStyle name="Comma 186 2 2 2 3" xfId="21821"/>
    <cellStyle name="Comma 186 2 2 3" xfId="12603"/>
    <cellStyle name="Comma 186 2 2 4" xfId="18755"/>
    <cellStyle name="Comma 186 2 3" xfId="7941"/>
    <cellStyle name="Comma 186 2 3 2" xfId="14135"/>
    <cellStyle name="Comma 186 2 3 3" xfId="20287"/>
    <cellStyle name="Comma 186 2 4" xfId="11069"/>
    <cellStyle name="Comma 186 2 5" xfId="17221"/>
    <cellStyle name="Comma 186 3" xfId="5604"/>
    <cellStyle name="Comma 186 3 2" xfId="8707"/>
    <cellStyle name="Comma 186 3 2 2" xfId="14900"/>
    <cellStyle name="Comma 186 3 2 3" xfId="21052"/>
    <cellStyle name="Comma 186 3 3" xfId="11834"/>
    <cellStyle name="Comma 186 3 4" xfId="17986"/>
    <cellStyle name="Comma 186 4" xfId="7172"/>
    <cellStyle name="Comma 186 4 2" xfId="13366"/>
    <cellStyle name="Comma 186 4 3" xfId="19518"/>
    <cellStyle name="Comma 186 5" xfId="10300"/>
    <cellStyle name="Comma 186 6" xfId="16452"/>
    <cellStyle name="Comma 187" xfId="4729"/>
    <cellStyle name="Comma 187 2" xfId="4735"/>
    <cellStyle name="Comma 187 3" xfId="6361"/>
    <cellStyle name="Comma 187 3 2" xfId="9447"/>
    <cellStyle name="Comma 187 3 2 2" xfId="15640"/>
    <cellStyle name="Comma 187 3 2 3" xfId="21792"/>
    <cellStyle name="Comma 187 3 3" xfId="12574"/>
    <cellStyle name="Comma 187 3 4" xfId="18726"/>
    <cellStyle name="Comma 187 4" xfId="7912"/>
    <cellStyle name="Comma 187 4 2" xfId="14106"/>
    <cellStyle name="Comma 187 4 3" xfId="20258"/>
    <cellStyle name="Comma 187 5" xfId="11040"/>
    <cellStyle name="Comma 187 6" xfId="17192"/>
    <cellStyle name="Comma 188" xfId="5506"/>
    <cellStyle name="Comma 189" xfId="5572"/>
    <cellStyle name="Comma 19" xfId="237"/>
    <cellStyle name="Comma 19 2" xfId="888"/>
    <cellStyle name="Comma 19 3" xfId="1597"/>
    <cellStyle name="Comma 19 4" xfId="22654"/>
    <cellStyle name="Comma 19 5" xfId="22851"/>
    <cellStyle name="Comma 190" xfId="5514"/>
    <cellStyle name="Comma 191" xfId="5563"/>
    <cellStyle name="Comma 192" xfId="5507"/>
    <cellStyle name="Comma 193" xfId="5569"/>
    <cellStyle name="Comma 194" xfId="5516"/>
    <cellStyle name="Comma 195" xfId="5561"/>
    <cellStyle name="Comma 196" xfId="5529"/>
    <cellStyle name="Comma 197" xfId="5548"/>
    <cellStyle name="Comma 198" xfId="5531"/>
    <cellStyle name="Comma 199" xfId="5542"/>
    <cellStyle name="Comma 2" xfId="3"/>
    <cellStyle name="Comma 2 10" xfId="309"/>
    <cellStyle name="Comma 2 10 2" xfId="4630"/>
    <cellStyle name="Comma 2 10 3" xfId="1599"/>
    <cellStyle name="Comma 2 10 4" xfId="1199"/>
    <cellStyle name="Comma 2 11" xfId="356"/>
    <cellStyle name="Comma 2 11 2" xfId="4631"/>
    <cellStyle name="Comma 2 11 3" xfId="1600"/>
    <cellStyle name="Comma 2 11 4" xfId="1200"/>
    <cellStyle name="Comma 2 12" xfId="371"/>
    <cellStyle name="Comma 2 12 2" xfId="4632"/>
    <cellStyle name="Comma 2 12 3" xfId="1601"/>
    <cellStyle name="Comma 2 12 4" xfId="1201"/>
    <cellStyle name="Comma 2 13" xfId="386"/>
    <cellStyle name="Comma 2 13 2" xfId="4633"/>
    <cellStyle name="Comma 2 13 3" xfId="1602"/>
    <cellStyle name="Comma 2 13 4" xfId="1202"/>
    <cellStyle name="Comma 2 14" xfId="401"/>
    <cellStyle name="Comma 2 14 2" xfId="4634"/>
    <cellStyle name="Comma 2 14 3" xfId="1603"/>
    <cellStyle name="Comma 2 14 4" xfId="1203"/>
    <cellStyle name="Comma 2 15" xfId="413"/>
    <cellStyle name="Comma 2 15 2" xfId="4635"/>
    <cellStyle name="Comma 2 15 3" xfId="1604"/>
    <cellStyle name="Comma 2 15 4" xfId="1204"/>
    <cellStyle name="Comma 2 16" xfId="419"/>
    <cellStyle name="Comma 2 16 2" xfId="4636"/>
    <cellStyle name="Comma 2 16 3" xfId="1605"/>
    <cellStyle name="Comma 2 16 4" xfId="1205"/>
    <cellStyle name="Comma 2 17" xfId="454"/>
    <cellStyle name="Comma 2 17 2" xfId="4637"/>
    <cellStyle name="Comma 2 17 3" xfId="1606"/>
    <cellStyle name="Comma 2 17 4" xfId="1206"/>
    <cellStyle name="Comma 2 18" xfId="482"/>
    <cellStyle name="Comma 2 18 2" xfId="4638"/>
    <cellStyle name="Comma 2 18 3" xfId="1607"/>
    <cellStyle name="Comma 2 18 4" xfId="1207"/>
    <cellStyle name="Comma 2 19" xfId="451"/>
    <cellStyle name="Comma 2 19 2" xfId="4639"/>
    <cellStyle name="Comma 2 19 3" xfId="1608"/>
    <cellStyle name="Comma 2 19 4" xfId="1208"/>
    <cellStyle name="Comma 2 2" xfId="4"/>
    <cellStyle name="Comma 2 2 10" xfId="1609"/>
    <cellStyle name="Comma 2 2 10 2" xfId="4825"/>
    <cellStyle name="Comma 2 2 10 2 2" xfId="6450"/>
    <cellStyle name="Comma 2 2 10 2 2 2" xfId="9536"/>
    <cellStyle name="Comma 2 2 10 2 2 2 2" xfId="15729"/>
    <cellStyle name="Comma 2 2 10 2 2 2 3" xfId="21881"/>
    <cellStyle name="Comma 2 2 10 2 2 3" xfId="12663"/>
    <cellStyle name="Comma 2 2 10 2 2 4" xfId="18815"/>
    <cellStyle name="Comma 2 2 10 2 3" xfId="8001"/>
    <cellStyle name="Comma 2 2 10 2 3 2" xfId="14195"/>
    <cellStyle name="Comma 2 2 10 2 3 3" xfId="20347"/>
    <cellStyle name="Comma 2 2 10 2 4" xfId="11129"/>
    <cellStyle name="Comma 2 2 10 2 5" xfId="17281"/>
    <cellStyle name="Comma 2 2 10 3" xfId="5664"/>
    <cellStyle name="Comma 2 2 10 3 2" xfId="8767"/>
    <cellStyle name="Comma 2 2 10 3 2 2" xfId="14960"/>
    <cellStyle name="Comma 2 2 10 3 2 3" xfId="21112"/>
    <cellStyle name="Comma 2 2 10 3 3" xfId="11894"/>
    <cellStyle name="Comma 2 2 10 3 4" xfId="18046"/>
    <cellStyle name="Comma 2 2 10 4" xfId="7232"/>
    <cellStyle name="Comma 2 2 10 4 2" xfId="13426"/>
    <cellStyle name="Comma 2 2 10 4 3" xfId="19578"/>
    <cellStyle name="Comma 2 2 10 5" xfId="10360"/>
    <cellStyle name="Comma 2 2 10 6" xfId="16512"/>
    <cellStyle name="Comma 2 2 11" xfId="1610"/>
    <cellStyle name="Comma 2 2 11 2" xfId="4826"/>
    <cellStyle name="Comma 2 2 11 2 2" xfId="6451"/>
    <cellStyle name="Comma 2 2 11 2 2 2" xfId="9537"/>
    <cellStyle name="Comma 2 2 11 2 2 2 2" xfId="15730"/>
    <cellStyle name="Comma 2 2 11 2 2 2 3" xfId="21882"/>
    <cellStyle name="Comma 2 2 11 2 2 3" xfId="12664"/>
    <cellStyle name="Comma 2 2 11 2 2 4" xfId="18816"/>
    <cellStyle name="Comma 2 2 11 2 3" xfId="8002"/>
    <cellStyle name="Comma 2 2 11 2 3 2" xfId="14196"/>
    <cellStyle name="Comma 2 2 11 2 3 3" xfId="20348"/>
    <cellStyle name="Comma 2 2 11 2 4" xfId="11130"/>
    <cellStyle name="Comma 2 2 11 2 5" xfId="17282"/>
    <cellStyle name="Comma 2 2 11 3" xfId="5665"/>
    <cellStyle name="Comma 2 2 11 3 2" xfId="8768"/>
    <cellStyle name="Comma 2 2 11 3 2 2" xfId="14961"/>
    <cellStyle name="Comma 2 2 11 3 2 3" xfId="21113"/>
    <cellStyle name="Comma 2 2 11 3 3" xfId="11895"/>
    <cellStyle name="Comma 2 2 11 3 4" xfId="18047"/>
    <cellStyle name="Comma 2 2 11 4" xfId="7233"/>
    <cellStyle name="Comma 2 2 11 4 2" xfId="13427"/>
    <cellStyle name="Comma 2 2 11 4 3" xfId="19579"/>
    <cellStyle name="Comma 2 2 11 5" xfId="10361"/>
    <cellStyle name="Comma 2 2 11 6" xfId="16513"/>
    <cellStyle name="Comma 2 2 12" xfId="1611"/>
    <cellStyle name="Comma 2 2 12 2" xfId="4827"/>
    <cellStyle name="Comma 2 2 12 2 2" xfId="6452"/>
    <cellStyle name="Comma 2 2 12 2 2 2" xfId="9538"/>
    <cellStyle name="Comma 2 2 12 2 2 2 2" xfId="15731"/>
    <cellStyle name="Comma 2 2 12 2 2 2 3" xfId="21883"/>
    <cellStyle name="Comma 2 2 12 2 2 3" xfId="12665"/>
    <cellStyle name="Comma 2 2 12 2 2 4" xfId="18817"/>
    <cellStyle name="Comma 2 2 12 2 3" xfId="8003"/>
    <cellStyle name="Comma 2 2 12 2 3 2" xfId="14197"/>
    <cellStyle name="Comma 2 2 12 2 3 3" xfId="20349"/>
    <cellStyle name="Comma 2 2 12 2 4" xfId="11131"/>
    <cellStyle name="Comma 2 2 12 2 5" xfId="17283"/>
    <cellStyle name="Comma 2 2 12 3" xfId="5666"/>
    <cellStyle name="Comma 2 2 12 3 2" xfId="8769"/>
    <cellStyle name="Comma 2 2 12 3 2 2" xfId="14962"/>
    <cellStyle name="Comma 2 2 12 3 2 3" xfId="21114"/>
    <cellStyle name="Comma 2 2 12 3 3" xfId="11896"/>
    <cellStyle name="Comma 2 2 12 3 4" xfId="18048"/>
    <cellStyle name="Comma 2 2 12 4" xfId="7234"/>
    <cellStyle name="Comma 2 2 12 4 2" xfId="13428"/>
    <cellStyle name="Comma 2 2 12 4 3" xfId="19580"/>
    <cellStyle name="Comma 2 2 12 5" xfId="10362"/>
    <cellStyle name="Comma 2 2 12 6" xfId="16514"/>
    <cellStyle name="Comma 2 2 13" xfId="1612"/>
    <cellStyle name="Comma 2 2 13 2" xfId="4828"/>
    <cellStyle name="Comma 2 2 13 2 2" xfId="6453"/>
    <cellStyle name="Comma 2 2 13 2 2 2" xfId="9539"/>
    <cellStyle name="Comma 2 2 13 2 2 2 2" xfId="15732"/>
    <cellStyle name="Comma 2 2 13 2 2 2 3" xfId="21884"/>
    <cellStyle name="Comma 2 2 13 2 2 3" xfId="12666"/>
    <cellStyle name="Comma 2 2 13 2 2 4" xfId="18818"/>
    <cellStyle name="Comma 2 2 13 2 3" xfId="8004"/>
    <cellStyle name="Comma 2 2 13 2 3 2" xfId="14198"/>
    <cellStyle name="Comma 2 2 13 2 3 3" xfId="20350"/>
    <cellStyle name="Comma 2 2 13 2 4" xfId="11132"/>
    <cellStyle name="Comma 2 2 13 2 5" xfId="17284"/>
    <cellStyle name="Comma 2 2 13 3" xfId="5667"/>
    <cellStyle name="Comma 2 2 13 3 2" xfId="8770"/>
    <cellStyle name="Comma 2 2 13 3 2 2" xfId="14963"/>
    <cellStyle name="Comma 2 2 13 3 2 3" xfId="21115"/>
    <cellStyle name="Comma 2 2 13 3 3" xfId="11897"/>
    <cellStyle name="Comma 2 2 13 3 4" xfId="18049"/>
    <cellStyle name="Comma 2 2 13 4" xfId="7235"/>
    <cellStyle name="Comma 2 2 13 4 2" xfId="13429"/>
    <cellStyle name="Comma 2 2 13 4 3" xfId="19581"/>
    <cellStyle name="Comma 2 2 13 5" xfId="10363"/>
    <cellStyle name="Comma 2 2 13 6" xfId="16515"/>
    <cellStyle name="Comma 2 2 14" xfId="1613"/>
    <cellStyle name="Comma 2 2 14 2" xfId="4829"/>
    <cellStyle name="Comma 2 2 14 2 2" xfId="6454"/>
    <cellStyle name="Comma 2 2 14 2 2 2" xfId="9540"/>
    <cellStyle name="Comma 2 2 14 2 2 2 2" xfId="15733"/>
    <cellStyle name="Comma 2 2 14 2 2 2 3" xfId="21885"/>
    <cellStyle name="Comma 2 2 14 2 2 3" xfId="12667"/>
    <cellStyle name="Comma 2 2 14 2 2 4" xfId="18819"/>
    <cellStyle name="Comma 2 2 14 2 3" xfId="8005"/>
    <cellStyle name="Comma 2 2 14 2 3 2" xfId="14199"/>
    <cellStyle name="Comma 2 2 14 2 3 3" xfId="20351"/>
    <cellStyle name="Comma 2 2 14 2 4" xfId="11133"/>
    <cellStyle name="Comma 2 2 14 2 5" xfId="17285"/>
    <cellStyle name="Comma 2 2 14 3" xfId="5668"/>
    <cellStyle name="Comma 2 2 14 3 2" xfId="8771"/>
    <cellStyle name="Comma 2 2 14 3 2 2" xfId="14964"/>
    <cellStyle name="Comma 2 2 14 3 2 3" xfId="21116"/>
    <cellStyle name="Comma 2 2 14 3 3" xfId="11898"/>
    <cellStyle name="Comma 2 2 14 3 4" xfId="18050"/>
    <cellStyle name="Comma 2 2 14 4" xfId="7236"/>
    <cellStyle name="Comma 2 2 14 4 2" xfId="13430"/>
    <cellStyle name="Comma 2 2 14 4 3" xfId="19582"/>
    <cellStyle name="Comma 2 2 14 5" xfId="10364"/>
    <cellStyle name="Comma 2 2 14 6" xfId="16516"/>
    <cellStyle name="Comma 2 2 15" xfId="1614"/>
    <cellStyle name="Comma 2 2 15 2" xfId="4830"/>
    <cellStyle name="Comma 2 2 15 2 2" xfId="6455"/>
    <cellStyle name="Comma 2 2 15 2 2 2" xfId="9541"/>
    <cellStyle name="Comma 2 2 15 2 2 2 2" xfId="15734"/>
    <cellStyle name="Comma 2 2 15 2 2 2 3" xfId="21886"/>
    <cellStyle name="Comma 2 2 15 2 2 3" xfId="12668"/>
    <cellStyle name="Comma 2 2 15 2 2 4" xfId="18820"/>
    <cellStyle name="Comma 2 2 15 2 3" xfId="8006"/>
    <cellStyle name="Comma 2 2 15 2 3 2" xfId="14200"/>
    <cellStyle name="Comma 2 2 15 2 3 3" xfId="20352"/>
    <cellStyle name="Comma 2 2 15 2 4" xfId="11134"/>
    <cellStyle name="Comma 2 2 15 2 5" xfId="17286"/>
    <cellStyle name="Comma 2 2 15 3" xfId="5669"/>
    <cellStyle name="Comma 2 2 15 3 2" xfId="8772"/>
    <cellStyle name="Comma 2 2 15 3 2 2" xfId="14965"/>
    <cellStyle name="Comma 2 2 15 3 2 3" xfId="21117"/>
    <cellStyle name="Comma 2 2 15 3 3" xfId="11899"/>
    <cellStyle name="Comma 2 2 15 3 4" xfId="18051"/>
    <cellStyle name="Comma 2 2 15 4" xfId="7237"/>
    <cellStyle name="Comma 2 2 15 4 2" xfId="13431"/>
    <cellStyle name="Comma 2 2 15 4 3" xfId="19583"/>
    <cellStyle name="Comma 2 2 15 5" xfId="10365"/>
    <cellStyle name="Comma 2 2 15 6" xfId="16517"/>
    <cellStyle name="Comma 2 2 16" xfId="1615"/>
    <cellStyle name="Comma 2 2 16 2" xfId="4831"/>
    <cellStyle name="Comma 2 2 16 2 2" xfId="6456"/>
    <cellStyle name="Comma 2 2 16 2 2 2" xfId="9542"/>
    <cellStyle name="Comma 2 2 16 2 2 2 2" xfId="15735"/>
    <cellStyle name="Comma 2 2 16 2 2 2 3" xfId="21887"/>
    <cellStyle name="Comma 2 2 16 2 2 3" xfId="12669"/>
    <cellStyle name="Comma 2 2 16 2 2 4" xfId="18821"/>
    <cellStyle name="Comma 2 2 16 2 3" xfId="8007"/>
    <cellStyle name="Comma 2 2 16 2 3 2" xfId="14201"/>
    <cellStyle name="Comma 2 2 16 2 3 3" xfId="20353"/>
    <cellStyle name="Comma 2 2 16 2 4" xfId="11135"/>
    <cellStyle name="Comma 2 2 16 2 5" xfId="17287"/>
    <cellStyle name="Comma 2 2 16 3" xfId="5670"/>
    <cellStyle name="Comma 2 2 16 3 2" xfId="8773"/>
    <cellStyle name="Comma 2 2 16 3 2 2" xfId="14966"/>
    <cellStyle name="Comma 2 2 16 3 2 3" xfId="21118"/>
    <cellStyle name="Comma 2 2 16 3 3" xfId="11900"/>
    <cellStyle name="Comma 2 2 16 3 4" xfId="18052"/>
    <cellStyle name="Comma 2 2 16 4" xfId="7238"/>
    <cellStyle name="Comma 2 2 16 4 2" xfId="13432"/>
    <cellStyle name="Comma 2 2 16 4 3" xfId="19584"/>
    <cellStyle name="Comma 2 2 16 5" xfId="10366"/>
    <cellStyle name="Comma 2 2 16 6" xfId="16518"/>
    <cellStyle name="Comma 2 2 17" xfId="1616"/>
    <cellStyle name="Comma 2 2 17 2" xfId="4832"/>
    <cellStyle name="Comma 2 2 17 2 2" xfId="6457"/>
    <cellStyle name="Comma 2 2 17 2 2 2" xfId="9543"/>
    <cellStyle name="Comma 2 2 17 2 2 2 2" xfId="15736"/>
    <cellStyle name="Comma 2 2 17 2 2 2 3" xfId="21888"/>
    <cellStyle name="Comma 2 2 17 2 2 3" xfId="12670"/>
    <cellStyle name="Comma 2 2 17 2 2 4" xfId="18822"/>
    <cellStyle name="Comma 2 2 17 2 3" xfId="8008"/>
    <cellStyle name="Comma 2 2 17 2 3 2" xfId="14202"/>
    <cellStyle name="Comma 2 2 17 2 3 3" xfId="20354"/>
    <cellStyle name="Comma 2 2 17 2 4" xfId="11136"/>
    <cellStyle name="Comma 2 2 17 2 5" xfId="17288"/>
    <cellStyle name="Comma 2 2 17 3" xfId="5671"/>
    <cellStyle name="Comma 2 2 17 3 2" xfId="8774"/>
    <cellStyle name="Comma 2 2 17 3 2 2" xfId="14967"/>
    <cellStyle name="Comma 2 2 17 3 2 3" xfId="21119"/>
    <cellStyle name="Comma 2 2 17 3 3" xfId="11901"/>
    <cellStyle name="Comma 2 2 17 3 4" xfId="18053"/>
    <cellStyle name="Comma 2 2 17 4" xfId="7239"/>
    <cellStyle name="Comma 2 2 17 4 2" xfId="13433"/>
    <cellStyle name="Comma 2 2 17 4 3" xfId="19585"/>
    <cellStyle name="Comma 2 2 17 5" xfId="10367"/>
    <cellStyle name="Comma 2 2 17 6" xfId="16519"/>
    <cellStyle name="Comma 2 2 18" xfId="1617"/>
    <cellStyle name="Comma 2 2 19" xfId="23132"/>
    <cellStyle name="Comma 2 2 2" xfId="1618"/>
    <cellStyle name="Comma 2 2 2 2" xfId="1619"/>
    <cellStyle name="Comma 2 2 2 2 10" xfId="16520"/>
    <cellStyle name="Comma 2 2 2 2 2" xfId="1620"/>
    <cellStyle name="Comma 2 2 2 2 2 2" xfId="4834"/>
    <cellStyle name="Comma 2 2 2 2 2 2 2" xfId="6459"/>
    <cellStyle name="Comma 2 2 2 2 2 2 2 2" xfId="9545"/>
    <cellStyle name="Comma 2 2 2 2 2 2 2 2 2" xfId="15738"/>
    <cellStyle name="Comma 2 2 2 2 2 2 2 2 3" xfId="21890"/>
    <cellStyle name="Comma 2 2 2 2 2 2 2 3" xfId="12672"/>
    <cellStyle name="Comma 2 2 2 2 2 2 2 4" xfId="18824"/>
    <cellStyle name="Comma 2 2 2 2 2 2 3" xfId="8010"/>
    <cellStyle name="Comma 2 2 2 2 2 2 3 2" xfId="14204"/>
    <cellStyle name="Comma 2 2 2 2 2 2 3 3" xfId="20356"/>
    <cellStyle name="Comma 2 2 2 2 2 2 4" xfId="11138"/>
    <cellStyle name="Comma 2 2 2 2 2 2 5" xfId="17290"/>
    <cellStyle name="Comma 2 2 2 2 2 3" xfId="5673"/>
    <cellStyle name="Comma 2 2 2 2 2 3 2" xfId="8776"/>
    <cellStyle name="Comma 2 2 2 2 2 3 2 2" xfId="14969"/>
    <cellStyle name="Comma 2 2 2 2 2 3 2 3" xfId="21121"/>
    <cellStyle name="Comma 2 2 2 2 2 3 3" xfId="11903"/>
    <cellStyle name="Comma 2 2 2 2 2 3 4" xfId="18055"/>
    <cellStyle name="Comma 2 2 2 2 2 4" xfId="7241"/>
    <cellStyle name="Comma 2 2 2 2 2 4 2" xfId="13435"/>
    <cellStyle name="Comma 2 2 2 2 2 4 3" xfId="19587"/>
    <cellStyle name="Comma 2 2 2 2 2 5" xfId="10369"/>
    <cellStyle name="Comma 2 2 2 2 2 6" xfId="16521"/>
    <cellStyle name="Comma 2 2 2 2 3" xfId="1621"/>
    <cellStyle name="Comma 2 2 2 2 3 2" xfId="4835"/>
    <cellStyle name="Comma 2 2 2 2 3 2 2" xfId="6460"/>
    <cellStyle name="Comma 2 2 2 2 3 2 2 2" xfId="9546"/>
    <cellStyle name="Comma 2 2 2 2 3 2 2 2 2" xfId="15739"/>
    <cellStyle name="Comma 2 2 2 2 3 2 2 2 3" xfId="21891"/>
    <cellStyle name="Comma 2 2 2 2 3 2 2 3" xfId="12673"/>
    <cellStyle name="Comma 2 2 2 2 3 2 2 4" xfId="18825"/>
    <cellStyle name="Comma 2 2 2 2 3 2 3" xfId="8011"/>
    <cellStyle name="Comma 2 2 2 2 3 2 3 2" xfId="14205"/>
    <cellStyle name="Comma 2 2 2 2 3 2 3 3" xfId="20357"/>
    <cellStyle name="Comma 2 2 2 2 3 2 4" xfId="11139"/>
    <cellStyle name="Comma 2 2 2 2 3 2 5" xfId="17291"/>
    <cellStyle name="Comma 2 2 2 2 3 3" xfId="5674"/>
    <cellStyle name="Comma 2 2 2 2 3 3 2" xfId="8777"/>
    <cellStyle name="Comma 2 2 2 2 3 3 2 2" xfId="14970"/>
    <cellStyle name="Comma 2 2 2 2 3 3 2 3" xfId="21122"/>
    <cellStyle name="Comma 2 2 2 2 3 3 3" xfId="11904"/>
    <cellStyle name="Comma 2 2 2 2 3 3 4" xfId="18056"/>
    <cellStyle name="Comma 2 2 2 2 3 4" xfId="7242"/>
    <cellStyle name="Comma 2 2 2 2 3 4 2" xfId="13436"/>
    <cellStyle name="Comma 2 2 2 2 3 4 3" xfId="19588"/>
    <cellStyle name="Comma 2 2 2 2 3 5" xfId="10370"/>
    <cellStyle name="Comma 2 2 2 2 3 6" xfId="16522"/>
    <cellStyle name="Comma 2 2 2 2 4" xfId="1622"/>
    <cellStyle name="Comma 2 2 2 2 4 2" xfId="4836"/>
    <cellStyle name="Comma 2 2 2 2 4 2 2" xfId="6461"/>
    <cellStyle name="Comma 2 2 2 2 4 2 2 2" xfId="9547"/>
    <cellStyle name="Comma 2 2 2 2 4 2 2 2 2" xfId="15740"/>
    <cellStyle name="Comma 2 2 2 2 4 2 2 2 3" xfId="21892"/>
    <cellStyle name="Comma 2 2 2 2 4 2 2 3" xfId="12674"/>
    <cellStyle name="Comma 2 2 2 2 4 2 2 4" xfId="18826"/>
    <cellStyle name="Comma 2 2 2 2 4 2 3" xfId="8012"/>
    <cellStyle name="Comma 2 2 2 2 4 2 3 2" xfId="14206"/>
    <cellStyle name="Comma 2 2 2 2 4 2 3 3" xfId="20358"/>
    <cellStyle name="Comma 2 2 2 2 4 2 4" xfId="11140"/>
    <cellStyle name="Comma 2 2 2 2 4 2 5" xfId="17292"/>
    <cellStyle name="Comma 2 2 2 2 4 3" xfId="5675"/>
    <cellStyle name="Comma 2 2 2 2 4 3 2" xfId="8778"/>
    <cellStyle name="Comma 2 2 2 2 4 3 2 2" xfId="14971"/>
    <cellStyle name="Comma 2 2 2 2 4 3 2 3" xfId="21123"/>
    <cellStyle name="Comma 2 2 2 2 4 3 3" xfId="11905"/>
    <cellStyle name="Comma 2 2 2 2 4 3 4" xfId="18057"/>
    <cellStyle name="Comma 2 2 2 2 4 4" xfId="7243"/>
    <cellStyle name="Comma 2 2 2 2 4 4 2" xfId="13437"/>
    <cellStyle name="Comma 2 2 2 2 4 4 3" xfId="19589"/>
    <cellStyle name="Comma 2 2 2 2 4 5" xfId="10371"/>
    <cellStyle name="Comma 2 2 2 2 4 6" xfId="16523"/>
    <cellStyle name="Comma 2 2 2 2 5" xfId="1623"/>
    <cellStyle name="Comma 2 2 2 2 5 2" xfId="4837"/>
    <cellStyle name="Comma 2 2 2 2 5 2 2" xfId="6462"/>
    <cellStyle name="Comma 2 2 2 2 5 2 2 2" xfId="9548"/>
    <cellStyle name="Comma 2 2 2 2 5 2 2 2 2" xfId="15741"/>
    <cellStyle name="Comma 2 2 2 2 5 2 2 2 3" xfId="21893"/>
    <cellStyle name="Comma 2 2 2 2 5 2 2 3" xfId="12675"/>
    <cellStyle name="Comma 2 2 2 2 5 2 2 4" xfId="18827"/>
    <cellStyle name="Comma 2 2 2 2 5 2 3" xfId="8013"/>
    <cellStyle name="Comma 2 2 2 2 5 2 3 2" xfId="14207"/>
    <cellStyle name="Comma 2 2 2 2 5 2 3 3" xfId="20359"/>
    <cellStyle name="Comma 2 2 2 2 5 2 4" xfId="11141"/>
    <cellStyle name="Comma 2 2 2 2 5 2 5" xfId="17293"/>
    <cellStyle name="Comma 2 2 2 2 5 3" xfId="5676"/>
    <cellStyle name="Comma 2 2 2 2 5 3 2" xfId="8779"/>
    <cellStyle name="Comma 2 2 2 2 5 3 2 2" xfId="14972"/>
    <cellStyle name="Comma 2 2 2 2 5 3 2 3" xfId="21124"/>
    <cellStyle name="Comma 2 2 2 2 5 3 3" xfId="11906"/>
    <cellStyle name="Comma 2 2 2 2 5 3 4" xfId="18058"/>
    <cellStyle name="Comma 2 2 2 2 5 4" xfId="7244"/>
    <cellStyle name="Comma 2 2 2 2 5 4 2" xfId="13438"/>
    <cellStyle name="Comma 2 2 2 2 5 4 3" xfId="19590"/>
    <cellStyle name="Comma 2 2 2 2 5 5" xfId="10372"/>
    <cellStyle name="Comma 2 2 2 2 5 6" xfId="16524"/>
    <cellStyle name="Comma 2 2 2 2 6" xfId="4833"/>
    <cellStyle name="Comma 2 2 2 2 6 2" xfId="6458"/>
    <cellStyle name="Comma 2 2 2 2 6 2 2" xfId="9544"/>
    <cellStyle name="Comma 2 2 2 2 6 2 2 2" xfId="15737"/>
    <cellStyle name="Comma 2 2 2 2 6 2 2 3" xfId="21889"/>
    <cellStyle name="Comma 2 2 2 2 6 2 3" xfId="12671"/>
    <cellStyle name="Comma 2 2 2 2 6 2 4" xfId="18823"/>
    <cellStyle name="Comma 2 2 2 2 6 3" xfId="8009"/>
    <cellStyle name="Comma 2 2 2 2 6 3 2" xfId="14203"/>
    <cellStyle name="Comma 2 2 2 2 6 3 3" xfId="20355"/>
    <cellStyle name="Comma 2 2 2 2 6 4" xfId="11137"/>
    <cellStyle name="Comma 2 2 2 2 6 5" xfId="17289"/>
    <cellStyle name="Comma 2 2 2 2 7" xfId="5672"/>
    <cellStyle name="Comma 2 2 2 2 7 2" xfId="8775"/>
    <cellStyle name="Comma 2 2 2 2 7 2 2" xfId="14968"/>
    <cellStyle name="Comma 2 2 2 2 7 2 3" xfId="21120"/>
    <cellStyle name="Comma 2 2 2 2 7 3" xfId="11902"/>
    <cellStyle name="Comma 2 2 2 2 7 4" xfId="18054"/>
    <cellStyle name="Comma 2 2 2 2 8" xfId="7240"/>
    <cellStyle name="Comma 2 2 2 2 8 2" xfId="13434"/>
    <cellStyle name="Comma 2 2 2 2 8 3" xfId="19586"/>
    <cellStyle name="Comma 2 2 2 2 9" xfId="10368"/>
    <cellStyle name="Comma 2 2 2 3" xfId="1624"/>
    <cellStyle name="Comma 2 2 2 3 2" xfId="4838"/>
    <cellStyle name="Comma 2 2 2 3 2 2" xfId="6463"/>
    <cellStyle name="Comma 2 2 2 3 2 2 2" xfId="9549"/>
    <cellStyle name="Comma 2 2 2 3 2 2 2 2" xfId="15742"/>
    <cellStyle name="Comma 2 2 2 3 2 2 2 3" xfId="21894"/>
    <cellStyle name="Comma 2 2 2 3 2 2 3" xfId="12676"/>
    <cellStyle name="Comma 2 2 2 3 2 2 4" xfId="18828"/>
    <cellStyle name="Comma 2 2 2 3 2 3" xfId="8014"/>
    <cellStyle name="Comma 2 2 2 3 2 3 2" xfId="14208"/>
    <cellStyle name="Comma 2 2 2 3 2 3 3" xfId="20360"/>
    <cellStyle name="Comma 2 2 2 3 2 4" xfId="11142"/>
    <cellStyle name="Comma 2 2 2 3 2 5" xfId="17294"/>
    <cellStyle name="Comma 2 2 2 3 3" xfId="5677"/>
    <cellStyle name="Comma 2 2 2 3 3 2" xfId="8780"/>
    <cellStyle name="Comma 2 2 2 3 3 2 2" xfId="14973"/>
    <cellStyle name="Comma 2 2 2 3 3 2 3" xfId="21125"/>
    <cellStyle name="Comma 2 2 2 3 3 3" xfId="11907"/>
    <cellStyle name="Comma 2 2 2 3 3 4" xfId="18059"/>
    <cellStyle name="Comma 2 2 2 3 4" xfId="7245"/>
    <cellStyle name="Comma 2 2 2 3 4 2" xfId="13439"/>
    <cellStyle name="Comma 2 2 2 3 4 3" xfId="19591"/>
    <cellStyle name="Comma 2 2 2 3 5" xfId="10373"/>
    <cellStyle name="Comma 2 2 2 3 6" xfId="16525"/>
    <cellStyle name="Comma 2 2 2 4" xfId="1625"/>
    <cellStyle name="Comma 2 2 2 4 2" xfId="4839"/>
    <cellStyle name="Comma 2 2 2 4 2 2" xfId="6464"/>
    <cellStyle name="Comma 2 2 2 4 2 2 2" xfId="9550"/>
    <cellStyle name="Comma 2 2 2 4 2 2 2 2" xfId="15743"/>
    <cellStyle name="Comma 2 2 2 4 2 2 2 3" xfId="21895"/>
    <cellStyle name="Comma 2 2 2 4 2 2 3" xfId="12677"/>
    <cellStyle name="Comma 2 2 2 4 2 2 4" xfId="18829"/>
    <cellStyle name="Comma 2 2 2 4 2 3" xfId="8015"/>
    <cellStyle name="Comma 2 2 2 4 2 3 2" xfId="14209"/>
    <cellStyle name="Comma 2 2 2 4 2 3 3" xfId="20361"/>
    <cellStyle name="Comma 2 2 2 4 2 4" xfId="11143"/>
    <cellStyle name="Comma 2 2 2 4 2 5" xfId="17295"/>
    <cellStyle name="Comma 2 2 2 4 3" xfId="5678"/>
    <cellStyle name="Comma 2 2 2 4 3 2" xfId="8781"/>
    <cellStyle name="Comma 2 2 2 4 3 2 2" xfId="14974"/>
    <cellStyle name="Comma 2 2 2 4 3 2 3" xfId="21126"/>
    <cellStyle name="Comma 2 2 2 4 3 3" xfId="11908"/>
    <cellStyle name="Comma 2 2 2 4 3 4" xfId="18060"/>
    <cellStyle name="Comma 2 2 2 4 4" xfId="7246"/>
    <cellStyle name="Comma 2 2 2 4 4 2" xfId="13440"/>
    <cellStyle name="Comma 2 2 2 4 4 3" xfId="19592"/>
    <cellStyle name="Comma 2 2 2 4 5" xfId="10374"/>
    <cellStyle name="Comma 2 2 2 4 6" xfId="16526"/>
    <cellStyle name="Comma 2 2 2 5" xfId="1626"/>
    <cellStyle name="Comma 2 2 2 5 2" xfId="4840"/>
    <cellStyle name="Comma 2 2 2 5 2 2" xfId="6465"/>
    <cellStyle name="Comma 2 2 2 5 2 2 2" xfId="9551"/>
    <cellStyle name="Comma 2 2 2 5 2 2 2 2" xfId="15744"/>
    <cellStyle name="Comma 2 2 2 5 2 2 2 3" xfId="21896"/>
    <cellStyle name="Comma 2 2 2 5 2 2 3" xfId="12678"/>
    <cellStyle name="Comma 2 2 2 5 2 2 4" xfId="18830"/>
    <cellStyle name="Comma 2 2 2 5 2 3" xfId="8016"/>
    <cellStyle name="Comma 2 2 2 5 2 3 2" xfId="14210"/>
    <cellStyle name="Comma 2 2 2 5 2 3 3" xfId="20362"/>
    <cellStyle name="Comma 2 2 2 5 2 4" xfId="11144"/>
    <cellStyle name="Comma 2 2 2 5 2 5" xfId="17296"/>
    <cellStyle name="Comma 2 2 2 5 3" xfId="5679"/>
    <cellStyle name="Comma 2 2 2 5 3 2" xfId="8782"/>
    <cellStyle name="Comma 2 2 2 5 3 2 2" xfId="14975"/>
    <cellStyle name="Comma 2 2 2 5 3 2 3" xfId="21127"/>
    <cellStyle name="Comma 2 2 2 5 3 3" xfId="11909"/>
    <cellStyle name="Comma 2 2 2 5 3 4" xfId="18061"/>
    <cellStyle name="Comma 2 2 2 5 4" xfId="7247"/>
    <cellStyle name="Comma 2 2 2 5 4 2" xfId="13441"/>
    <cellStyle name="Comma 2 2 2 5 4 3" xfId="19593"/>
    <cellStyle name="Comma 2 2 2 5 5" xfId="10375"/>
    <cellStyle name="Comma 2 2 2 5 6" xfId="16527"/>
    <cellStyle name="Comma 2 2 2 6" xfId="1627"/>
    <cellStyle name="Comma 2 2 2 6 2" xfId="4841"/>
    <cellStyle name="Comma 2 2 2 6 2 2" xfId="6466"/>
    <cellStyle name="Comma 2 2 2 6 2 2 2" xfId="9552"/>
    <cellStyle name="Comma 2 2 2 6 2 2 2 2" xfId="15745"/>
    <cellStyle name="Comma 2 2 2 6 2 2 2 3" xfId="21897"/>
    <cellStyle name="Comma 2 2 2 6 2 2 3" xfId="12679"/>
    <cellStyle name="Comma 2 2 2 6 2 2 4" xfId="18831"/>
    <cellStyle name="Comma 2 2 2 6 2 3" xfId="8017"/>
    <cellStyle name="Comma 2 2 2 6 2 3 2" xfId="14211"/>
    <cellStyle name="Comma 2 2 2 6 2 3 3" xfId="20363"/>
    <cellStyle name="Comma 2 2 2 6 2 4" xfId="11145"/>
    <cellStyle name="Comma 2 2 2 6 2 5" xfId="17297"/>
    <cellStyle name="Comma 2 2 2 6 3" xfId="5680"/>
    <cellStyle name="Comma 2 2 2 6 3 2" xfId="8783"/>
    <cellStyle name="Comma 2 2 2 6 3 2 2" xfId="14976"/>
    <cellStyle name="Comma 2 2 2 6 3 2 3" xfId="21128"/>
    <cellStyle name="Comma 2 2 2 6 3 3" xfId="11910"/>
    <cellStyle name="Comma 2 2 2 6 3 4" xfId="18062"/>
    <cellStyle name="Comma 2 2 2 6 4" xfId="7248"/>
    <cellStyle name="Comma 2 2 2 6 4 2" xfId="13442"/>
    <cellStyle name="Comma 2 2 2 6 4 3" xfId="19594"/>
    <cellStyle name="Comma 2 2 2 6 5" xfId="10376"/>
    <cellStyle name="Comma 2 2 2 6 6" xfId="16528"/>
    <cellStyle name="Comma 2 2 2 7" xfId="1628"/>
    <cellStyle name="Comma 2 2 2 8" xfId="1629"/>
    <cellStyle name="Comma 2 2 2 9" xfId="23133"/>
    <cellStyle name="Comma 2 2 3" xfId="1630"/>
    <cellStyle name="Comma 2 2 3 10" xfId="16529"/>
    <cellStyle name="Comma 2 2 3 11" xfId="23134"/>
    <cellStyle name="Comma 2 2 3 2" xfId="1631"/>
    <cellStyle name="Comma 2 2 3 2 2" xfId="1632"/>
    <cellStyle name="Comma 2 2 3 2 2 2" xfId="4843"/>
    <cellStyle name="Comma 2 2 3 2 2 2 2" xfId="6468"/>
    <cellStyle name="Comma 2 2 3 2 2 2 2 2" xfId="9554"/>
    <cellStyle name="Comma 2 2 3 2 2 2 2 2 2" xfId="15747"/>
    <cellStyle name="Comma 2 2 3 2 2 2 2 2 3" xfId="21899"/>
    <cellStyle name="Comma 2 2 3 2 2 2 2 3" xfId="12681"/>
    <cellStyle name="Comma 2 2 3 2 2 2 2 4" xfId="18833"/>
    <cellStyle name="Comma 2 2 3 2 2 2 3" xfId="8019"/>
    <cellStyle name="Comma 2 2 3 2 2 2 3 2" xfId="14213"/>
    <cellStyle name="Comma 2 2 3 2 2 2 3 3" xfId="20365"/>
    <cellStyle name="Comma 2 2 3 2 2 2 4" xfId="11147"/>
    <cellStyle name="Comma 2 2 3 2 2 2 5" xfId="17299"/>
    <cellStyle name="Comma 2 2 3 2 2 3" xfId="5682"/>
    <cellStyle name="Comma 2 2 3 2 2 3 2" xfId="8785"/>
    <cellStyle name="Comma 2 2 3 2 2 3 2 2" xfId="14978"/>
    <cellStyle name="Comma 2 2 3 2 2 3 2 3" xfId="21130"/>
    <cellStyle name="Comma 2 2 3 2 2 3 3" xfId="11912"/>
    <cellStyle name="Comma 2 2 3 2 2 3 4" xfId="18064"/>
    <cellStyle name="Comma 2 2 3 2 2 4" xfId="7250"/>
    <cellStyle name="Comma 2 2 3 2 2 4 2" xfId="13444"/>
    <cellStyle name="Comma 2 2 3 2 2 4 3" xfId="19596"/>
    <cellStyle name="Comma 2 2 3 2 2 5" xfId="10378"/>
    <cellStyle name="Comma 2 2 3 2 2 6" xfId="16530"/>
    <cellStyle name="Comma 2 2 3 2 3" xfId="1633"/>
    <cellStyle name="Comma 2 2 3 2 3 2" xfId="4844"/>
    <cellStyle name="Comma 2 2 3 2 3 2 2" xfId="6469"/>
    <cellStyle name="Comma 2 2 3 2 3 2 2 2" xfId="9555"/>
    <cellStyle name="Comma 2 2 3 2 3 2 2 2 2" xfId="15748"/>
    <cellStyle name="Comma 2 2 3 2 3 2 2 2 3" xfId="21900"/>
    <cellStyle name="Comma 2 2 3 2 3 2 2 3" xfId="12682"/>
    <cellStyle name="Comma 2 2 3 2 3 2 2 4" xfId="18834"/>
    <cellStyle name="Comma 2 2 3 2 3 2 3" xfId="8020"/>
    <cellStyle name="Comma 2 2 3 2 3 2 3 2" xfId="14214"/>
    <cellStyle name="Comma 2 2 3 2 3 2 3 3" xfId="20366"/>
    <cellStyle name="Comma 2 2 3 2 3 2 4" xfId="11148"/>
    <cellStyle name="Comma 2 2 3 2 3 2 5" xfId="17300"/>
    <cellStyle name="Comma 2 2 3 2 3 3" xfId="5683"/>
    <cellStyle name="Comma 2 2 3 2 3 3 2" xfId="8786"/>
    <cellStyle name="Comma 2 2 3 2 3 3 2 2" xfId="14979"/>
    <cellStyle name="Comma 2 2 3 2 3 3 2 3" xfId="21131"/>
    <cellStyle name="Comma 2 2 3 2 3 3 3" xfId="11913"/>
    <cellStyle name="Comma 2 2 3 2 3 3 4" xfId="18065"/>
    <cellStyle name="Comma 2 2 3 2 3 4" xfId="7251"/>
    <cellStyle name="Comma 2 2 3 2 3 4 2" xfId="13445"/>
    <cellStyle name="Comma 2 2 3 2 3 4 3" xfId="19597"/>
    <cellStyle name="Comma 2 2 3 2 3 5" xfId="10379"/>
    <cellStyle name="Comma 2 2 3 2 3 6" xfId="16531"/>
    <cellStyle name="Comma 2 2 3 2 4" xfId="1634"/>
    <cellStyle name="Comma 2 2 3 2 4 2" xfId="4845"/>
    <cellStyle name="Comma 2 2 3 2 4 2 2" xfId="6470"/>
    <cellStyle name="Comma 2 2 3 2 4 2 2 2" xfId="9556"/>
    <cellStyle name="Comma 2 2 3 2 4 2 2 2 2" xfId="15749"/>
    <cellStyle name="Comma 2 2 3 2 4 2 2 2 3" xfId="21901"/>
    <cellStyle name="Comma 2 2 3 2 4 2 2 3" xfId="12683"/>
    <cellStyle name="Comma 2 2 3 2 4 2 2 4" xfId="18835"/>
    <cellStyle name="Comma 2 2 3 2 4 2 3" xfId="8021"/>
    <cellStyle name="Comma 2 2 3 2 4 2 3 2" xfId="14215"/>
    <cellStyle name="Comma 2 2 3 2 4 2 3 3" xfId="20367"/>
    <cellStyle name="Comma 2 2 3 2 4 2 4" xfId="11149"/>
    <cellStyle name="Comma 2 2 3 2 4 2 5" xfId="17301"/>
    <cellStyle name="Comma 2 2 3 2 4 3" xfId="5684"/>
    <cellStyle name="Comma 2 2 3 2 4 3 2" xfId="8787"/>
    <cellStyle name="Comma 2 2 3 2 4 3 2 2" xfId="14980"/>
    <cellStyle name="Comma 2 2 3 2 4 3 2 3" xfId="21132"/>
    <cellStyle name="Comma 2 2 3 2 4 3 3" xfId="11914"/>
    <cellStyle name="Comma 2 2 3 2 4 3 4" xfId="18066"/>
    <cellStyle name="Comma 2 2 3 2 4 4" xfId="7252"/>
    <cellStyle name="Comma 2 2 3 2 4 4 2" xfId="13446"/>
    <cellStyle name="Comma 2 2 3 2 4 4 3" xfId="19598"/>
    <cellStyle name="Comma 2 2 3 2 4 5" xfId="10380"/>
    <cellStyle name="Comma 2 2 3 2 4 6" xfId="16532"/>
    <cellStyle name="Comma 2 2 3 2 5" xfId="1635"/>
    <cellStyle name="Comma 2 2 3 2 5 2" xfId="4846"/>
    <cellStyle name="Comma 2 2 3 2 5 2 2" xfId="6471"/>
    <cellStyle name="Comma 2 2 3 2 5 2 2 2" xfId="9557"/>
    <cellStyle name="Comma 2 2 3 2 5 2 2 2 2" xfId="15750"/>
    <cellStyle name="Comma 2 2 3 2 5 2 2 2 3" xfId="21902"/>
    <cellStyle name="Comma 2 2 3 2 5 2 2 3" xfId="12684"/>
    <cellStyle name="Comma 2 2 3 2 5 2 2 4" xfId="18836"/>
    <cellStyle name="Comma 2 2 3 2 5 2 3" xfId="8022"/>
    <cellStyle name="Comma 2 2 3 2 5 2 3 2" xfId="14216"/>
    <cellStyle name="Comma 2 2 3 2 5 2 3 3" xfId="20368"/>
    <cellStyle name="Comma 2 2 3 2 5 2 4" xfId="11150"/>
    <cellStyle name="Comma 2 2 3 2 5 2 5" xfId="17302"/>
    <cellStyle name="Comma 2 2 3 2 5 3" xfId="5685"/>
    <cellStyle name="Comma 2 2 3 2 5 3 2" xfId="8788"/>
    <cellStyle name="Comma 2 2 3 2 5 3 2 2" xfId="14981"/>
    <cellStyle name="Comma 2 2 3 2 5 3 2 3" xfId="21133"/>
    <cellStyle name="Comma 2 2 3 2 5 3 3" xfId="11915"/>
    <cellStyle name="Comma 2 2 3 2 5 3 4" xfId="18067"/>
    <cellStyle name="Comma 2 2 3 2 5 4" xfId="7253"/>
    <cellStyle name="Comma 2 2 3 2 5 4 2" xfId="13447"/>
    <cellStyle name="Comma 2 2 3 2 5 4 3" xfId="19599"/>
    <cellStyle name="Comma 2 2 3 2 5 5" xfId="10381"/>
    <cellStyle name="Comma 2 2 3 2 5 6" xfId="16533"/>
    <cellStyle name="Comma 2 2 3 3" xfId="1636"/>
    <cellStyle name="Comma 2 2 3 3 2" xfId="4847"/>
    <cellStyle name="Comma 2 2 3 3 2 2" xfId="6472"/>
    <cellStyle name="Comma 2 2 3 3 2 2 2" xfId="9558"/>
    <cellStyle name="Comma 2 2 3 3 2 2 2 2" xfId="15751"/>
    <cellStyle name="Comma 2 2 3 3 2 2 2 3" xfId="21903"/>
    <cellStyle name="Comma 2 2 3 3 2 2 3" xfId="12685"/>
    <cellStyle name="Comma 2 2 3 3 2 2 4" xfId="18837"/>
    <cellStyle name="Comma 2 2 3 3 2 3" xfId="8023"/>
    <cellStyle name="Comma 2 2 3 3 2 3 2" xfId="14217"/>
    <cellStyle name="Comma 2 2 3 3 2 3 3" xfId="20369"/>
    <cellStyle name="Comma 2 2 3 3 2 4" xfId="11151"/>
    <cellStyle name="Comma 2 2 3 3 2 5" xfId="17303"/>
    <cellStyle name="Comma 2 2 3 3 3" xfId="5686"/>
    <cellStyle name="Comma 2 2 3 3 3 2" xfId="8789"/>
    <cellStyle name="Comma 2 2 3 3 3 2 2" xfId="14982"/>
    <cellStyle name="Comma 2 2 3 3 3 2 3" xfId="21134"/>
    <cellStyle name="Comma 2 2 3 3 3 3" xfId="11916"/>
    <cellStyle name="Comma 2 2 3 3 3 4" xfId="18068"/>
    <cellStyle name="Comma 2 2 3 3 4" xfId="7254"/>
    <cellStyle name="Comma 2 2 3 3 4 2" xfId="13448"/>
    <cellStyle name="Comma 2 2 3 3 4 3" xfId="19600"/>
    <cellStyle name="Comma 2 2 3 3 5" xfId="10382"/>
    <cellStyle name="Comma 2 2 3 3 6" xfId="16534"/>
    <cellStyle name="Comma 2 2 3 4" xfId="1637"/>
    <cellStyle name="Comma 2 2 3 4 2" xfId="1638"/>
    <cellStyle name="Comma 2 2 3 5" xfId="1639"/>
    <cellStyle name="Comma 2 2 3 5 2" xfId="1640"/>
    <cellStyle name="Comma 2 2 3 6" xfId="4842"/>
    <cellStyle name="Comma 2 2 3 6 2" xfId="6467"/>
    <cellStyle name="Comma 2 2 3 6 2 2" xfId="9553"/>
    <cellStyle name="Comma 2 2 3 6 2 2 2" xfId="15746"/>
    <cellStyle name="Comma 2 2 3 6 2 2 3" xfId="21898"/>
    <cellStyle name="Comma 2 2 3 6 2 3" xfId="12680"/>
    <cellStyle name="Comma 2 2 3 6 2 4" xfId="18832"/>
    <cellStyle name="Comma 2 2 3 6 3" xfId="8018"/>
    <cellStyle name="Comma 2 2 3 6 3 2" xfId="14212"/>
    <cellStyle name="Comma 2 2 3 6 3 3" xfId="20364"/>
    <cellStyle name="Comma 2 2 3 6 4" xfId="11146"/>
    <cellStyle name="Comma 2 2 3 6 5" xfId="17298"/>
    <cellStyle name="Comma 2 2 3 7" xfId="5681"/>
    <cellStyle name="Comma 2 2 3 7 2" xfId="8784"/>
    <cellStyle name="Comma 2 2 3 7 2 2" xfId="14977"/>
    <cellStyle name="Comma 2 2 3 7 2 3" xfId="21129"/>
    <cellStyle name="Comma 2 2 3 7 3" xfId="11911"/>
    <cellStyle name="Comma 2 2 3 7 4" xfId="18063"/>
    <cellStyle name="Comma 2 2 3 8" xfId="7249"/>
    <cellStyle name="Comma 2 2 3 8 2" xfId="13443"/>
    <cellStyle name="Comma 2 2 3 8 3" xfId="19595"/>
    <cellStyle name="Comma 2 2 3 9" xfId="10377"/>
    <cellStyle name="Comma 2 2 4" xfId="1641"/>
    <cellStyle name="Comma 2 2 4 2" xfId="1642"/>
    <cellStyle name="Comma 2 2 4 2 2" xfId="4848"/>
    <cellStyle name="Comma 2 2 4 2 2 2" xfId="6473"/>
    <cellStyle name="Comma 2 2 4 2 2 2 2" xfId="9559"/>
    <cellStyle name="Comma 2 2 4 2 2 2 2 2" xfId="15752"/>
    <cellStyle name="Comma 2 2 4 2 2 2 2 3" xfId="21904"/>
    <cellStyle name="Comma 2 2 4 2 2 2 3" xfId="12686"/>
    <cellStyle name="Comma 2 2 4 2 2 2 4" xfId="18838"/>
    <cellStyle name="Comma 2 2 4 2 2 3" xfId="8024"/>
    <cellStyle name="Comma 2 2 4 2 2 3 2" xfId="14218"/>
    <cellStyle name="Comma 2 2 4 2 2 3 3" xfId="20370"/>
    <cellStyle name="Comma 2 2 4 2 2 4" xfId="11152"/>
    <cellStyle name="Comma 2 2 4 2 2 5" xfId="17304"/>
    <cellStyle name="Comma 2 2 4 2 3" xfId="5687"/>
    <cellStyle name="Comma 2 2 4 2 3 2" xfId="8790"/>
    <cellStyle name="Comma 2 2 4 2 3 2 2" xfId="14983"/>
    <cellStyle name="Comma 2 2 4 2 3 2 3" xfId="21135"/>
    <cellStyle name="Comma 2 2 4 2 3 3" xfId="11917"/>
    <cellStyle name="Comma 2 2 4 2 3 4" xfId="18069"/>
    <cellStyle name="Comma 2 2 4 2 4" xfId="7255"/>
    <cellStyle name="Comma 2 2 4 2 4 2" xfId="13449"/>
    <cellStyle name="Comma 2 2 4 2 4 3" xfId="19601"/>
    <cellStyle name="Comma 2 2 4 2 5" xfId="10383"/>
    <cellStyle name="Comma 2 2 4 2 6" xfId="16535"/>
    <cellStyle name="Comma 2 2 4 3" xfId="1643"/>
    <cellStyle name="Comma 2 2 4 4" xfId="1644"/>
    <cellStyle name="Comma 2 2 5" xfId="1645"/>
    <cellStyle name="Comma 2 2 5 2" xfId="4849"/>
    <cellStyle name="Comma 2 2 5 2 2" xfId="6474"/>
    <cellStyle name="Comma 2 2 5 2 2 2" xfId="9560"/>
    <cellStyle name="Comma 2 2 5 2 2 2 2" xfId="15753"/>
    <cellStyle name="Comma 2 2 5 2 2 2 3" xfId="21905"/>
    <cellStyle name="Comma 2 2 5 2 2 3" xfId="12687"/>
    <cellStyle name="Comma 2 2 5 2 2 4" xfId="18839"/>
    <cellStyle name="Comma 2 2 5 2 3" xfId="8025"/>
    <cellStyle name="Comma 2 2 5 2 3 2" xfId="14219"/>
    <cellStyle name="Comma 2 2 5 2 3 3" xfId="20371"/>
    <cellStyle name="Comma 2 2 5 2 4" xfId="11153"/>
    <cellStyle name="Comma 2 2 5 2 5" xfId="17305"/>
    <cellStyle name="Comma 2 2 5 3" xfId="5688"/>
    <cellStyle name="Comma 2 2 5 3 2" xfId="8791"/>
    <cellStyle name="Comma 2 2 5 3 2 2" xfId="14984"/>
    <cellStyle name="Comma 2 2 5 3 2 3" xfId="21136"/>
    <cellStyle name="Comma 2 2 5 3 3" xfId="11918"/>
    <cellStyle name="Comma 2 2 5 3 4" xfId="18070"/>
    <cellStyle name="Comma 2 2 5 4" xfId="7256"/>
    <cellStyle name="Comma 2 2 5 4 2" xfId="13450"/>
    <cellStyle name="Comma 2 2 5 4 3" xfId="19602"/>
    <cellStyle name="Comma 2 2 5 5" xfId="10384"/>
    <cellStyle name="Comma 2 2 5 6" xfId="16536"/>
    <cellStyle name="Comma 2 2 6" xfId="1646"/>
    <cellStyle name="Comma 2 2 6 2" xfId="4850"/>
    <cellStyle name="Comma 2 2 6 2 2" xfId="6475"/>
    <cellStyle name="Comma 2 2 6 2 2 2" xfId="9561"/>
    <cellStyle name="Comma 2 2 6 2 2 2 2" xfId="15754"/>
    <cellStyle name="Comma 2 2 6 2 2 2 3" xfId="21906"/>
    <cellStyle name="Comma 2 2 6 2 2 3" xfId="12688"/>
    <cellStyle name="Comma 2 2 6 2 2 4" xfId="18840"/>
    <cellStyle name="Comma 2 2 6 2 3" xfId="8026"/>
    <cellStyle name="Comma 2 2 6 2 3 2" xfId="14220"/>
    <cellStyle name="Comma 2 2 6 2 3 3" xfId="20372"/>
    <cellStyle name="Comma 2 2 6 2 4" xfId="11154"/>
    <cellStyle name="Comma 2 2 6 2 5" xfId="17306"/>
    <cellStyle name="Comma 2 2 6 3" xfId="5689"/>
    <cellStyle name="Comma 2 2 6 3 2" xfId="8792"/>
    <cellStyle name="Comma 2 2 6 3 2 2" xfId="14985"/>
    <cellStyle name="Comma 2 2 6 3 2 3" xfId="21137"/>
    <cellStyle name="Comma 2 2 6 3 3" xfId="11919"/>
    <cellStyle name="Comma 2 2 6 3 4" xfId="18071"/>
    <cellStyle name="Comma 2 2 6 4" xfId="7257"/>
    <cellStyle name="Comma 2 2 6 4 2" xfId="13451"/>
    <cellStyle name="Comma 2 2 6 4 3" xfId="19603"/>
    <cellStyle name="Comma 2 2 6 5" xfId="10385"/>
    <cellStyle name="Comma 2 2 6 6" xfId="16537"/>
    <cellStyle name="Comma 2 2 7" xfId="1647"/>
    <cellStyle name="Comma 2 2 7 2" xfId="4851"/>
    <cellStyle name="Comma 2 2 7 2 2" xfId="6476"/>
    <cellStyle name="Comma 2 2 7 2 2 2" xfId="9562"/>
    <cellStyle name="Comma 2 2 7 2 2 2 2" xfId="15755"/>
    <cellStyle name="Comma 2 2 7 2 2 2 3" xfId="21907"/>
    <cellStyle name="Comma 2 2 7 2 2 3" xfId="12689"/>
    <cellStyle name="Comma 2 2 7 2 2 4" xfId="18841"/>
    <cellStyle name="Comma 2 2 7 2 3" xfId="8027"/>
    <cellStyle name="Comma 2 2 7 2 3 2" xfId="14221"/>
    <cellStyle name="Comma 2 2 7 2 3 3" xfId="20373"/>
    <cellStyle name="Comma 2 2 7 2 4" xfId="11155"/>
    <cellStyle name="Comma 2 2 7 2 5" xfId="17307"/>
    <cellStyle name="Comma 2 2 7 3" xfId="5690"/>
    <cellStyle name="Comma 2 2 7 3 2" xfId="8793"/>
    <cellStyle name="Comma 2 2 7 3 2 2" xfId="14986"/>
    <cellStyle name="Comma 2 2 7 3 2 3" xfId="21138"/>
    <cellStyle name="Comma 2 2 7 3 3" xfId="11920"/>
    <cellStyle name="Comma 2 2 7 3 4" xfId="18072"/>
    <cellStyle name="Comma 2 2 7 4" xfId="7258"/>
    <cellStyle name="Comma 2 2 7 4 2" xfId="13452"/>
    <cellStyle name="Comma 2 2 7 4 3" xfId="19604"/>
    <cellStyle name="Comma 2 2 7 5" xfId="10386"/>
    <cellStyle name="Comma 2 2 7 6" xfId="16538"/>
    <cellStyle name="Comma 2 2 8" xfId="1648"/>
    <cellStyle name="Comma 2 2 8 2" xfId="4852"/>
    <cellStyle name="Comma 2 2 8 2 2" xfId="6477"/>
    <cellStyle name="Comma 2 2 8 2 2 2" xfId="9563"/>
    <cellStyle name="Comma 2 2 8 2 2 2 2" xfId="15756"/>
    <cellStyle name="Comma 2 2 8 2 2 2 3" xfId="21908"/>
    <cellStyle name="Comma 2 2 8 2 2 3" xfId="12690"/>
    <cellStyle name="Comma 2 2 8 2 2 4" xfId="18842"/>
    <cellStyle name="Comma 2 2 8 2 3" xfId="8028"/>
    <cellStyle name="Comma 2 2 8 2 3 2" xfId="14222"/>
    <cellStyle name="Comma 2 2 8 2 3 3" xfId="20374"/>
    <cellStyle name="Comma 2 2 8 2 4" xfId="11156"/>
    <cellStyle name="Comma 2 2 8 2 5" xfId="17308"/>
    <cellStyle name="Comma 2 2 8 3" xfId="5691"/>
    <cellStyle name="Comma 2 2 8 3 2" xfId="8794"/>
    <cellStyle name="Comma 2 2 8 3 2 2" xfId="14987"/>
    <cellStyle name="Comma 2 2 8 3 2 3" xfId="21139"/>
    <cellStyle name="Comma 2 2 8 3 3" xfId="11921"/>
    <cellStyle name="Comma 2 2 8 3 4" xfId="18073"/>
    <cellStyle name="Comma 2 2 8 4" xfId="7259"/>
    <cellStyle name="Comma 2 2 8 4 2" xfId="13453"/>
    <cellStyle name="Comma 2 2 8 4 3" xfId="19605"/>
    <cellStyle name="Comma 2 2 8 5" xfId="10387"/>
    <cellStyle name="Comma 2 2 8 6" xfId="16539"/>
    <cellStyle name="Comma 2 2 9" xfId="1649"/>
    <cellStyle name="Comma 2 2 9 2" xfId="4853"/>
    <cellStyle name="Comma 2 2 9 2 2" xfId="6478"/>
    <cellStyle name="Comma 2 2 9 2 2 2" xfId="9564"/>
    <cellStyle name="Comma 2 2 9 2 2 2 2" xfId="15757"/>
    <cellStyle name="Comma 2 2 9 2 2 2 3" xfId="21909"/>
    <cellStyle name="Comma 2 2 9 2 2 3" xfId="12691"/>
    <cellStyle name="Comma 2 2 9 2 2 4" xfId="18843"/>
    <cellStyle name="Comma 2 2 9 2 3" xfId="8029"/>
    <cellStyle name="Comma 2 2 9 2 3 2" xfId="14223"/>
    <cellStyle name="Comma 2 2 9 2 3 3" xfId="20375"/>
    <cellStyle name="Comma 2 2 9 2 4" xfId="11157"/>
    <cellStyle name="Comma 2 2 9 2 5" xfId="17309"/>
    <cellStyle name="Comma 2 2 9 3" xfId="5692"/>
    <cellStyle name="Comma 2 2 9 3 2" xfId="8795"/>
    <cellStyle name="Comma 2 2 9 3 2 2" xfId="14988"/>
    <cellStyle name="Comma 2 2 9 3 2 3" xfId="21140"/>
    <cellStyle name="Comma 2 2 9 3 3" xfId="11922"/>
    <cellStyle name="Comma 2 2 9 3 4" xfId="18074"/>
    <cellStyle name="Comma 2 2 9 4" xfId="7260"/>
    <cellStyle name="Comma 2 2 9 4 2" xfId="13454"/>
    <cellStyle name="Comma 2 2 9 4 3" xfId="19606"/>
    <cellStyle name="Comma 2 2 9 5" xfId="10388"/>
    <cellStyle name="Comma 2 2 9 6" xfId="16540"/>
    <cellStyle name="Comma 2 20" xfId="480"/>
    <cellStyle name="Comma 2 20 2" xfId="1650"/>
    <cellStyle name="Comma 2 21" xfId="493"/>
    <cellStyle name="Comma 2 21 2" xfId="1651"/>
    <cellStyle name="Comma 2 22" xfId="535"/>
    <cellStyle name="Comma 2 22 2" xfId="1652"/>
    <cellStyle name="Comma 2 23" xfId="544"/>
    <cellStyle name="Comma 2 23 2" xfId="4824"/>
    <cellStyle name="Comma 2 23 2 2" xfId="6449"/>
    <cellStyle name="Comma 2 23 2 2 2" xfId="9535"/>
    <cellStyle name="Comma 2 23 2 2 2 2" xfId="15728"/>
    <cellStyle name="Comma 2 23 2 2 2 3" xfId="21880"/>
    <cellStyle name="Comma 2 23 2 2 3" xfId="12662"/>
    <cellStyle name="Comma 2 23 2 2 4" xfId="18814"/>
    <cellStyle name="Comma 2 23 2 3" xfId="8000"/>
    <cellStyle name="Comma 2 23 2 3 2" xfId="14194"/>
    <cellStyle name="Comma 2 23 2 3 3" xfId="20346"/>
    <cellStyle name="Comma 2 23 2 4" xfId="11128"/>
    <cellStyle name="Comma 2 23 2 5" xfId="17280"/>
    <cellStyle name="Comma 2 23 3" xfId="5663"/>
    <cellStyle name="Comma 2 23 3 2" xfId="8766"/>
    <cellStyle name="Comma 2 23 3 2 2" xfId="14959"/>
    <cellStyle name="Comma 2 23 3 2 3" xfId="21111"/>
    <cellStyle name="Comma 2 23 3 3" xfId="11893"/>
    <cellStyle name="Comma 2 23 3 4" xfId="18045"/>
    <cellStyle name="Comma 2 23 4" xfId="7231"/>
    <cellStyle name="Comma 2 23 4 2" xfId="13425"/>
    <cellStyle name="Comma 2 23 4 3" xfId="19577"/>
    <cellStyle name="Comma 2 23 5" xfId="10359"/>
    <cellStyle name="Comma 2 23 6" xfId="16511"/>
    <cellStyle name="Comma 2 23 7" xfId="1598"/>
    <cellStyle name="Comma 2 24" xfId="626"/>
    <cellStyle name="Comma 2 24 2" xfId="10224"/>
    <cellStyle name="Comma 2 25" xfId="678"/>
    <cellStyle name="Comma 2 26" xfId="680"/>
    <cellStyle name="Comma 2 27" xfId="578"/>
    <cellStyle name="Comma 2 28" xfId="700"/>
    <cellStyle name="Comma 2 29" xfId="732"/>
    <cellStyle name="Comma 2 3" xfId="151"/>
    <cellStyle name="Comma 2 3 10" xfId="210"/>
    <cellStyle name="Comma 2 3 11" xfId="23135"/>
    <cellStyle name="Comma 2 3 2" xfId="869"/>
    <cellStyle name="Comma 2 3 2 2" xfId="1654"/>
    <cellStyle name="Comma 2 3 3" xfId="1655"/>
    <cellStyle name="Comma 2 3 4" xfId="4640"/>
    <cellStyle name="Comma 2 3 5" xfId="1653"/>
    <cellStyle name="Comma 2 3 6" xfId="10255"/>
    <cellStyle name="Comma 2 3 7" xfId="1209"/>
    <cellStyle name="Comma 2 3 8" xfId="22748"/>
    <cellStyle name="Comma 2 3 9" xfId="22832"/>
    <cellStyle name="Comma 2 30" xfId="758"/>
    <cellStyle name="Comma 2 31" xfId="192"/>
    <cellStyle name="Comma 2 4" xfId="245"/>
    <cellStyle name="Comma 2 4 2" xfId="1657"/>
    <cellStyle name="Comma 2 4 3" xfId="1658"/>
    <cellStyle name="Comma 2 4 4" xfId="1659"/>
    <cellStyle name="Comma 2 4 4 2" xfId="1660"/>
    <cellStyle name="Comma 2 4 5" xfId="1661"/>
    <cellStyle name="Comma 2 4 5 2" xfId="1662"/>
    <cellStyle name="Comma 2 4 6" xfId="1656"/>
    <cellStyle name="Comma 2 4 7" xfId="1210"/>
    <cellStyle name="Comma 2 4 8" xfId="23136"/>
    <cellStyle name="Comma 2 5" xfId="273"/>
    <cellStyle name="Comma 2 5 2" xfId="1664"/>
    <cellStyle name="Comma 2 5 3" xfId="1665"/>
    <cellStyle name="Comma 2 5 4" xfId="4641"/>
    <cellStyle name="Comma 2 5 5" xfId="1663"/>
    <cellStyle name="Comma 2 5 6" xfId="1211"/>
    <cellStyle name="Comma 2 5 7" xfId="23137"/>
    <cellStyle name="Comma 2 6" xfId="265"/>
    <cellStyle name="Comma 2 6 2" xfId="1667"/>
    <cellStyle name="Comma 2 6 3" xfId="1668"/>
    <cellStyle name="Comma 2 6 4" xfId="1666"/>
    <cellStyle name="Comma 2 6 5" xfId="1212"/>
    <cellStyle name="Comma 2 6 6" xfId="23138"/>
    <cellStyle name="Comma 2 7" xfId="288"/>
    <cellStyle name="Comma 2 7 2" xfId="4642"/>
    <cellStyle name="Comma 2 7 3" xfId="1669"/>
    <cellStyle name="Comma 2 7 4" xfId="1213"/>
    <cellStyle name="Comma 2 8" xfId="293"/>
    <cellStyle name="Comma 2 8 2" xfId="4643"/>
    <cellStyle name="Comma 2 8 3" xfId="1670"/>
    <cellStyle name="Comma 2 8 4" xfId="1214"/>
    <cellStyle name="Comma 2 9" xfId="287"/>
    <cellStyle name="Comma 2 9 2" xfId="4644"/>
    <cellStyle name="Comma 2 9 3" xfId="1671"/>
    <cellStyle name="Comma 2 9 4" xfId="1215"/>
    <cellStyle name="Comma 20" xfId="238"/>
    <cellStyle name="Comma 20 2" xfId="889"/>
    <cellStyle name="Comma 20 3" xfId="1672"/>
    <cellStyle name="Comma 20 4" xfId="22762"/>
    <cellStyle name="Comma 20 5" xfId="22852"/>
    <cellStyle name="Comma 200" xfId="5552"/>
    <cellStyle name="Comma 201" xfId="5520"/>
    <cellStyle name="Comma 202" xfId="5532"/>
    <cellStyle name="Comma 203" xfId="5541"/>
    <cellStyle name="Comma 204" xfId="4742"/>
    <cellStyle name="Comma 204 2" xfId="6367"/>
    <cellStyle name="Comma 204 2 2" xfId="9453"/>
    <cellStyle name="Comma 204 2 2 2" xfId="15646"/>
    <cellStyle name="Comma 204 2 2 3" xfId="21798"/>
    <cellStyle name="Comma 204 2 3" xfId="12580"/>
    <cellStyle name="Comma 204 2 4" xfId="18732"/>
    <cellStyle name="Comma 204 3" xfId="7918"/>
    <cellStyle name="Comma 204 3 2" xfId="14112"/>
    <cellStyle name="Comma 204 3 3" xfId="20264"/>
    <cellStyle name="Comma 204 4" xfId="11046"/>
    <cellStyle name="Comma 204 5" xfId="17198"/>
    <cellStyle name="Comma 205" xfId="5577"/>
    <cellStyle name="Comma 205 2" xfId="8681"/>
    <cellStyle name="Comma 205 2 2" xfId="14875"/>
    <cellStyle name="Comma 205 2 3" xfId="21027"/>
    <cellStyle name="Comma 205 3" xfId="11809"/>
    <cellStyle name="Comma 205 4" xfId="17961"/>
    <cellStyle name="Comma 206" xfId="5579"/>
    <cellStyle name="Comma 206 2" xfId="8683"/>
    <cellStyle name="Comma 206 2 2" xfId="14876"/>
    <cellStyle name="Comma 206 2 3" xfId="21028"/>
    <cellStyle name="Comma 206 3" xfId="11810"/>
    <cellStyle name="Comma 206 4" xfId="17962"/>
    <cellStyle name="Comma 207" xfId="7146"/>
    <cellStyle name="Comma 208" xfId="10217"/>
    <cellStyle name="Comma 209" xfId="10219"/>
    <cellStyle name="Comma 21" xfId="239"/>
    <cellStyle name="Comma 21 2" xfId="890"/>
    <cellStyle name="Comma 21 3" xfId="1673"/>
    <cellStyle name="Comma 21 4" xfId="22752"/>
    <cellStyle name="Comma 21 5" xfId="22853"/>
    <cellStyle name="Comma 210" xfId="10274"/>
    <cellStyle name="Comma 211" xfId="1183"/>
    <cellStyle name="Comma 212" xfId="1192"/>
    <cellStyle name="Comma 213" xfId="22585"/>
    <cellStyle name="Comma 214" xfId="22583"/>
    <cellStyle name="Comma 215" xfId="22588"/>
    <cellStyle name="Comma 216" xfId="1158"/>
    <cellStyle name="Comma 217" xfId="1165"/>
    <cellStyle name="Comma 218" xfId="22629"/>
    <cellStyle name="Comma 219" xfId="22640"/>
    <cellStyle name="Comma 22" xfId="235"/>
    <cellStyle name="Comma 22 2" xfId="886"/>
    <cellStyle name="Comma 22 3" xfId="1674"/>
    <cellStyle name="Comma 22 4" xfId="22637"/>
    <cellStyle name="Comma 22 5" xfId="22849"/>
    <cellStyle name="Comma 220" xfId="22754"/>
    <cellStyle name="Comma 221" xfId="22763"/>
    <cellStyle name="Comma 222" xfId="22674"/>
    <cellStyle name="Comma 223" xfId="22618"/>
    <cellStyle name="Comma 224" xfId="23129"/>
    <cellStyle name="Comma 225" xfId="23232"/>
    <cellStyle name="Comma 23" xfId="240"/>
    <cellStyle name="Comma 23 2" xfId="891"/>
    <cellStyle name="Comma 23 3" xfId="1675"/>
    <cellStyle name="Comma 23 4" xfId="22804"/>
    <cellStyle name="Comma 23 5" xfId="22854"/>
    <cellStyle name="Comma 23 6" xfId="23139"/>
    <cellStyle name="Comma 24" xfId="1676"/>
    <cellStyle name="Comma 25" xfId="1677"/>
    <cellStyle name="Comma 26" xfId="1678"/>
    <cellStyle name="Comma 27" xfId="1679"/>
    <cellStyle name="Comma 28" xfId="1680"/>
    <cellStyle name="Comma 29" xfId="1681"/>
    <cellStyle name="Comma 3" xfId="5"/>
    <cellStyle name="Comma 3 10" xfId="387"/>
    <cellStyle name="Comma 3 10 2" xfId="4854"/>
    <cellStyle name="Comma 3 10 2 2" xfId="6479"/>
    <cellStyle name="Comma 3 10 2 2 2" xfId="9565"/>
    <cellStyle name="Comma 3 10 2 2 2 2" xfId="15758"/>
    <cellStyle name="Comma 3 10 2 2 2 3" xfId="21910"/>
    <cellStyle name="Comma 3 10 2 2 3" xfId="12692"/>
    <cellStyle name="Comma 3 10 2 2 4" xfId="18844"/>
    <cellStyle name="Comma 3 10 2 3" xfId="8030"/>
    <cellStyle name="Comma 3 10 2 3 2" xfId="14224"/>
    <cellStyle name="Comma 3 10 2 3 3" xfId="20376"/>
    <cellStyle name="Comma 3 10 2 4" xfId="11158"/>
    <cellStyle name="Comma 3 10 2 5" xfId="17310"/>
    <cellStyle name="Comma 3 10 3" xfId="5693"/>
    <cellStyle name="Comma 3 10 3 2" xfId="8796"/>
    <cellStyle name="Comma 3 10 3 2 2" xfId="14989"/>
    <cellStyle name="Comma 3 10 3 2 3" xfId="21141"/>
    <cellStyle name="Comma 3 10 3 3" xfId="11923"/>
    <cellStyle name="Comma 3 10 3 4" xfId="18075"/>
    <cellStyle name="Comma 3 10 4" xfId="7261"/>
    <cellStyle name="Comma 3 10 4 2" xfId="13455"/>
    <cellStyle name="Comma 3 10 4 3" xfId="19607"/>
    <cellStyle name="Comma 3 10 5" xfId="10389"/>
    <cellStyle name="Comma 3 10 6" xfId="16541"/>
    <cellStyle name="Comma 3 10 7" xfId="1682"/>
    <cellStyle name="Comma 3 11" xfId="402"/>
    <cellStyle name="Comma 3 11 2" xfId="4855"/>
    <cellStyle name="Comma 3 11 2 2" xfId="6480"/>
    <cellStyle name="Comma 3 11 2 2 2" xfId="9566"/>
    <cellStyle name="Comma 3 11 2 2 2 2" xfId="15759"/>
    <cellStyle name="Comma 3 11 2 2 2 3" xfId="21911"/>
    <cellStyle name="Comma 3 11 2 2 3" xfId="12693"/>
    <cellStyle name="Comma 3 11 2 2 4" xfId="18845"/>
    <cellStyle name="Comma 3 11 2 3" xfId="8031"/>
    <cellStyle name="Comma 3 11 2 3 2" xfId="14225"/>
    <cellStyle name="Comma 3 11 2 3 3" xfId="20377"/>
    <cellStyle name="Comma 3 11 2 4" xfId="11159"/>
    <cellStyle name="Comma 3 11 2 5" xfId="17311"/>
    <cellStyle name="Comma 3 11 3" xfId="5694"/>
    <cellStyle name="Comma 3 11 3 2" xfId="8797"/>
    <cellStyle name="Comma 3 11 3 2 2" xfId="14990"/>
    <cellStyle name="Comma 3 11 3 2 3" xfId="21142"/>
    <cellStyle name="Comma 3 11 3 3" xfId="11924"/>
    <cellStyle name="Comma 3 11 3 4" xfId="18076"/>
    <cellStyle name="Comma 3 11 4" xfId="7262"/>
    <cellStyle name="Comma 3 11 4 2" xfId="13456"/>
    <cellStyle name="Comma 3 11 4 3" xfId="19608"/>
    <cellStyle name="Comma 3 11 5" xfId="10390"/>
    <cellStyle name="Comma 3 11 6" xfId="16542"/>
    <cellStyle name="Comma 3 11 7" xfId="1683"/>
    <cellStyle name="Comma 3 12" xfId="414"/>
    <cellStyle name="Comma 3 12 2" xfId="4856"/>
    <cellStyle name="Comma 3 12 2 2" xfId="6481"/>
    <cellStyle name="Comma 3 12 2 2 2" xfId="9567"/>
    <cellStyle name="Comma 3 12 2 2 2 2" xfId="15760"/>
    <cellStyle name="Comma 3 12 2 2 2 3" xfId="21912"/>
    <cellStyle name="Comma 3 12 2 2 3" xfId="12694"/>
    <cellStyle name="Comma 3 12 2 2 4" xfId="18846"/>
    <cellStyle name="Comma 3 12 2 3" xfId="8032"/>
    <cellStyle name="Comma 3 12 2 3 2" xfId="14226"/>
    <cellStyle name="Comma 3 12 2 3 3" xfId="20378"/>
    <cellStyle name="Comma 3 12 2 4" xfId="11160"/>
    <cellStyle name="Comma 3 12 2 5" xfId="17312"/>
    <cellStyle name="Comma 3 12 3" xfId="5695"/>
    <cellStyle name="Comma 3 12 3 2" xfId="8798"/>
    <cellStyle name="Comma 3 12 3 2 2" xfId="14991"/>
    <cellStyle name="Comma 3 12 3 2 3" xfId="21143"/>
    <cellStyle name="Comma 3 12 3 3" xfId="11925"/>
    <cellStyle name="Comma 3 12 3 4" xfId="18077"/>
    <cellStyle name="Comma 3 12 4" xfId="7263"/>
    <cellStyle name="Comma 3 12 4 2" xfId="13457"/>
    <cellStyle name="Comma 3 12 4 3" xfId="19609"/>
    <cellStyle name="Comma 3 12 5" xfId="10391"/>
    <cellStyle name="Comma 3 12 6" xfId="16543"/>
    <cellStyle name="Comma 3 12 7" xfId="1684"/>
    <cellStyle name="Comma 3 13" xfId="426"/>
    <cellStyle name="Comma 3 13 2" xfId="4857"/>
    <cellStyle name="Comma 3 13 2 2" xfId="6482"/>
    <cellStyle name="Comma 3 13 2 2 2" xfId="9568"/>
    <cellStyle name="Comma 3 13 2 2 2 2" xfId="15761"/>
    <cellStyle name="Comma 3 13 2 2 2 3" xfId="21913"/>
    <cellStyle name="Comma 3 13 2 2 3" xfId="12695"/>
    <cellStyle name="Comma 3 13 2 2 4" xfId="18847"/>
    <cellStyle name="Comma 3 13 2 3" xfId="8033"/>
    <cellStyle name="Comma 3 13 2 3 2" xfId="14227"/>
    <cellStyle name="Comma 3 13 2 3 3" xfId="20379"/>
    <cellStyle name="Comma 3 13 2 4" xfId="11161"/>
    <cellStyle name="Comma 3 13 2 5" xfId="17313"/>
    <cellStyle name="Comma 3 13 3" xfId="5696"/>
    <cellStyle name="Comma 3 13 3 2" xfId="8799"/>
    <cellStyle name="Comma 3 13 3 2 2" xfId="14992"/>
    <cellStyle name="Comma 3 13 3 2 3" xfId="21144"/>
    <cellStyle name="Comma 3 13 3 3" xfId="11926"/>
    <cellStyle name="Comma 3 13 3 4" xfId="18078"/>
    <cellStyle name="Comma 3 13 4" xfId="7264"/>
    <cellStyle name="Comma 3 13 4 2" xfId="13458"/>
    <cellStyle name="Comma 3 13 4 3" xfId="19610"/>
    <cellStyle name="Comma 3 13 5" xfId="10392"/>
    <cellStyle name="Comma 3 13 6" xfId="16544"/>
    <cellStyle name="Comma 3 13 7" xfId="1685"/>
    <cellStyle name="Comma 3 14" xfId="438"/>
    <cellStyle name="Comma 3 14 2" xfId="4858"/>
    <cellStyle name="Comma 3 14 2 2" xfId="6483"/>
    <cellStyle name="Comma 3 14 2 2 2" xfId="9569"/>
    <cellStyle name="Comma 3 14 2 2 2 2" xfId="15762"/>
    <cellStyle name="Comma 3 14 2 2 2 3" xfId="21914"/>
    <cellStyle name="Comma 3 14 2 2 3" xfId="12696"/>
    <cellStyle name="Comma 3 14 2 2 4" xfId="18848"/>
    <cellStyle name="Comma 3 14 2 3" xfId="8034"/>
    <cellStyle name="Comma 3 14 2 3 2" xfId="14228"/>
    <cellStyle name="Comma 3 14 2 3 3" xfId="20380"/>
    <cellStyle name="Comma 3 14 2 4" xfId="11162"/>
    <cellStyle name="Comma 3 14 2 5" xfId="17314"/>
    <cellStyle name="Comma 3 14 3" xfId="5697"/>
    <cellStyle name="Comma 3 14 3 2" xfId="8800"/>
    <cellStyle name="Comma 3 14 3 2 2" xfId="14993"/>
    <cellStyle name="Comma 3 14 3 2 3" xfId="21145"/>
    <cellStyle name="Comma 3 14 3 3" xfId="11927"/>
    <cellStyle name="Comma 3 14 3 4" xfId="18079"/>
    <cellStyle name="Comma 3 14 4" xfId="7265"/>
    <cellStyle name="Comma 3 14 4 2" xfId="13459"/>
    <cellStyle name="Comma 3 14 4 3" xfId="19611"/>
    <cellStyle name="Comma 3 14 5" xfId="10393"/>
    <cellStyle name="Comma 3 14 6" xfId="16545"/>
    <cellStyle name="Comma 3 14 7" xfId="1686"/>
    <cellStyle name="Comma 3 15" xfId="459"/>
    <cellStyle name="Comma 3 15 2" xfId="4859"/>
    <cellStyle name="Comma 3 15 2 2" xfId="6484"/>
    <cellStyle name="Comma 3 15 2 2 2" xfId="9570"/>
    <cellStyle name="Comma 3 15 2 2 2 2" xfId="15763"/>
    <cellStyle name="Comma 3 15 2 2 2 3" xfId="21915"/>
    <cellStyle name="Comma 3 15 2 2 3" xfId="12697"/>
    <cellStyle name="Comma 3 15 2 2 4" xfId="18849"/>
    <cellStyle name="Comma 3 15 2 3" xfId="8035"/>
    <cellStyle name="Comma 3 15 2 3 2" xfId="14229"/>
    <cellStyle name="Comma 3 15 2 3 3" xfId="20381"/>
    <cellStyle name="Comma 3 15 2 4" xfId="11163"/>
    <cellStyle name="Comma 3 15 2 5" xfId="17315"/>
    <cellStyle name="Comma 3 15 3" xfId="5698"/>
    <cellStyle name="Comma 3 15 3 2" xfId="8801"/>
    <cellStyle name="Comma 3 15 3 2 2" xfId="14994"/>
    <cellStyle name="Comma 3 15 3 2 3" xfId="21146"/>
    <cellStyle name="Comma 3 15 3 3" xfId="11928"/>
    <cellStyle name="Comma 3 15 3 4" xfId="18080"/>
    <cellStyle name="Comma 3 15 4" xfId="7266"/>
    <cellStyle name="Comma 3 15 4 2" xfId="13460"/>
    <cellStyle name="Comma 3 15 4 3" xfId="19612"/>
    <cellStyle name="Comma 3 15 5" xfId="10394"/>
    <cellStyle name="Comma 3 15 6" xfId="16546"/>
    <cellStyle name="Comma 3 15 7" xfId="1687"/>
    <cellStyle name="Comma 3 16" xfId="476"/>
    <cellStyle name="Comma 3 16 2" xfId="4860"/>
    <cellStyle name="Comma 3 16 2 2" xfId="6485"/>
    <cellStyle name="Comma 3 16 2 2 2" xfId="9571"/>
    <cellStyle name="Comma 3 16 2 2 2 2" xfId="15764"/>
    <cellStyle name="Comma 3 16 2 2 2 3" xfId="21916"/>
    <cellStyle name="Comma 3 16 2 2 3" xfId="12698"/>
    <cellStyle name="Comma 3 16 2 2 4" xfId="18850"/>
    <cellStyle name="Comma 3 16 2 3" xfId="8036"/>
    <cellStyle name="Comma 3 16 2 3 2" xfId="14230"/>
    <cellStyle name="Comma 3 16 2 3 3" xfId="20382"/>
    <cellStyle name="Comma 3 16 2 4" xfId="11164"/>
    <cellStyle name="Comma 3 16 2 5" xfId="17316"/>
    <cellStyle name="Comma 3 16 3" xfId="5699"/>
    <cellStyle name="Comma 3 16 3 2" xfId="8802"/>
    <cellStyle name="Comma 3 16 3 2 2" xfId="14995"/>
    <cellStyle name="Comma 3 16 3 2 3" xfId="21147"/>
    <cellStyle name="Comma 3 16 3 3" xfId="11929"/>
    <cellStyle name="Comma 3 16 3 4" xfId="18081"/>
    <cellStyle name="Comma 3 16 4" xfId="7267"/>
    <cellStyle name="Comma 3 16 4 2" xfId="13461"/>
    <cellStyle name="Comma 3 16 4 3" xfId="19613"/>
    <cellStyle name="Comma 3 16 5" xfId="10395"/>
    <cellStyle name="Comma 3 16 6" xfId="16547"/>
    <cellStyle name="Comma 3 16 7" xfId="1688"/>
    <cellStyle name="Comma 3 17" xfId="490"/>
    <cellStyle name="Comma 3 17 2" xfId="4861"/>
    <cellStyle name="Comma 3 17 2 2" xfId="6486"/>
    <cellStyle name="Comma 3 17 2 2 2" xfId="9572"/>
    <cellStyle name="Comma 3 17 2 2 2 2" xfId="15765"/>
    <cellStyle name="Comma 3 17 2 2 2 3" xfId="21917"/>
    <cellStyle name="Comma 3 17 2 2 3" xfId="12699"/>
    <cellStyle name="Comma 3 17 2 2 4" xfId="18851"/>
    <cellStyle name="Comma 3 17 2 3" xfId="8037"/>
    <cellStyle name="Comma 3 17 2 3 2" xfId="14231"/>
    <cellStyle name="Comma 3 17 2 3 3" xfId="20383"/>
    <cellStyle name="Comma 3 17 2 4" xfId="11165"/>
    <cellStyle name="Comma 3 17 2 5" xfId="17317"/>
    <cellStyle name="Comma 3 17 3" xfId="5700"/>
    <cellStyle name="Comma 3 17 3 2" xfId="8803"/>
    <cellStyle name="Comma 3 17 3 2 2" xfId="14996"/>
    <cellStyle name="Comma 3 17 3 2 3" xfId="21148"/>
    <cellStyle name="Comma 3 17 3 3" xfId="11930"/>
    <cellStyle name="Comma 3 17 3 4" xfId="18082"/>
    <cellStyle name="Comma 3 17 4" xfId="7268"/>
    <cellStyle name="Comma 3 17 4 2" xfId="13462"/>
    <cellStyle name="Comma 3 17 4 3" xfId="19614"/>
    <cellStyle name="Comma 3 17 5" xfId="10396"/>
    <cellStyle name="Comma 3 17 6" xfId="16548"/>
    <cellStyle name="Comma 3 17 7" xfId="1689"/>
    <cellStyle name="Comma 3 18" xfId="532"/>
    <cellStyle name="Comma 3 18 2" xfId="4862"/>
    <cellStyle name="Comma 3 18 2 2" xfId="6487"/>
    <cellStyle name="Comma 3 18 2 2 2" xfId="9573"/>
    <cellStyle name="Comma 3 18 2 2 2 2" xfId="15766"/>
    <cellStyle name="Comma 3 18 2 2 2 3" xfId="21918"/>
    <cellStyle name="Comma 3 18 2 2 3" xfId="12700"/>
    <cellStyle name="Comma 3 18 2 2 4" xfId="18852"/>
    <cellStyle name="Comma 3 18 2 3" xfId="8038"/>
    <cellStyle name="Comma 3 18 2 3 2" xfId="14232"/>
    <cellStyle name="Comma 3 18 2 3 3" xfId="20384"/>
    <cellStyle name="Comma 3 18 2 4" xfId="11166"/>
    <cellStyle name="Comma 3 18 2 5" xfId="17318"/>
    <cellStyle name="Comma 3 18 3" xfId="5701"/>
    <cellStyle name="Comma 3 18 3 2" xfId="8804"/>
    <cellStyle name="Comma 3 18 3 2 2" xfId="14997"/>
    <cellStyle name="Comma 3 18 3 2 3" xfId="21149"/>
    <cellStyle name="Comma 3 18 3 3" xfId="11931"/>
    <cellStyle name="Comma 3 18 3 4" xfId="18083"/>
    <cellStyle name="Comma 3 18 4" xfId="7269"/>
    <cellStyle name="Comma 3 18 4 2" xfId="13463"/>
    <cellStyle name="Comma 3 18 4 3" xfId="19615"/>
    <cellStyle name="Comma 3 18 5" xfId="10397"/>
    <cellStyle name="Comma 3 18 6" xfId="16549"/>
    <cellStyle name="Comma 3 18 7" xfId="1690"/>
    <cellStyle name="Comma 3 19" xfId="559"/>
    <cellStyle name="Comma 3 19 2" xfId="4863"/>
    <cellStyle name="Comma 3 19 2 2" xfId="6488"/>
    <cellStyle name="Comma 3 19 2 2 2" xfId="9574"/>
    <cellStyle name="Comma 3 19 2 2 2 2" xfId="15767"/>
    <cellStyle name="Comma 3 19 2 2 2 3" xfId="21919"/>
    <cellStyle name="Comma 3 19 2 2 3" xfId="12701"/>
    <cellStyle name="Comma 3 19 2 2 4" xfId="18853"/>
    <cellStyle name="Comma 3 19 2 3" xfId="8039"/>
    <cellStyle name="Comma 3 19 2 3 2" xfId="14233"/>
    <cellStyle name="Comma 3 19 2 3 3" xfId="20385"/>
    <cellStyle name="Comma 3 19 2 4" xfId="11167"/>
    <cellStyle name="Comma 3 19 2 5" xfId="17319"/>
    <cellStyle name="Comma 3 19 3" xfId="5702"/>
    <cellStyle name="Comma 3 19 3 2" xfId="8805"/>
    <cellStyle name="Comma 3 19 3 2 2" xfId="14998"/>
    <cellStyle name="Comma 3 19 3 2 3" xfId="21150"/>
    <cellStyle name="Comma 3 19 3 3" xfId="11932"/>
    <cellStyle name="Comma 3 19 3 4" xfId="18084"/>
    <cellStyle name="Comma 3 19 4" xfId="7270"/>
    <cellStyle name="Comma 3 19 4 2" xfId="13464"/>
    <cellStyle name="Comma 3 19 4 3" xfId="19616"/>
    <cellStyle name="Comma 3 19 5" xfId="10398"/>
    <cellStyle name="Comma 3 19 6" xfId="16550"/>
    <cellStyle name="Comma 3 19 7" xfId="1691"/>
    <cellStyle name="Comma 3 2" xfId="55"/>
    <cellStyle name="Comma 3 2 2" xfId="250"/>
    <cellStyle name="Comma 3 2 2 2" xfId="4864"/>
    <cellStyle name="Comma 3 2 2 2 2" xfId="6489"/>
    <cellStyle name="Comma 3 2 2 2 2 2" xfId="9575"/>
    <cellStyle name="Comma 3 2 2 2 2 2 2" xfId="15768"/>
    <cellStyle name="Comma 3 2 2 2 2 2 3" xfId="21920"/>
    <cellStyle name="Comma 3 2 2 2 2 3" xfId="12702"/>
    <cellStyle name="Comma 3 2 2 2 2 4" xfId="18854"/>
    <cellStyle name="Comma 3 2 2 2 3" xfId="8040"/>
    <cellStyle name="Comma 3 2 2 2 3 2" xfId="14234"/>
    <cellStyle name="Comma 3 2 2 2 3 3" xfId="20386"/>
    <cellStyle name="Comma 3 2 2 2 4" xfId="11168"/>
    <cellStyle name="Comma 3 2 2 2 5" xfId="17320"/>
    <cellStyle name="Comma 3 2 2 3" xfId="5703"/>
    <cellStyle name="Comma 3 2 2 3 2" xfId="8806"/>
    <cellStyle name="Comma 3 2 2 3 2 2" xfId="14999"/>
    <cellStyle name="Comma 3 2 2 3 2 3" xfId="21151"/>
    <cellStyle name="Comma 3 2 2 3 3" xfId="11933"/>
    <cellStyle name="Comma 3 2 2 3 4" xfId="18085"/>
    <cellStyle name="Comma 3 2 2 4" xfId="7271"/>
    <cellStyle name="Comma 3 2 2 4 2" xfId="13465"/>
    <cellStyle name="Comma 3 2 2 4 3" xfId="19617"/>
    <cellStyle name="Comma 3 2 2 5" xfId="10399"/>
    <cellStyle name="Comma 3 2 2 6" xfId="16551"/>
    <cellStyle name="Comma 3 2 2 7" xfId="1693"/>
    <cellStyle name="Comma 3 2 3" xfId="1694"/>
    <cellStyle name="Comma 3 2 3 2" xfId="4865"/>
    <cellStyle name="Comma 3 2 3 2 2" xfId="6490"/>
    <cellStyle name="Comma 3 2 3 2 2 2" xfId="9576"/>
    <cellStyle name="Comma 3 2 3 2 2 2 2" xfId="15769"/>
    <cellStyle name="Comma 3 2 3 2 2 2 3" xfId="21921"/>
    <cellStyle name="Comma 3 2 3 2 2 3" xfId="12703"/>
    <cellStyle name="Comma 3 2 3 2 2 4" xfId="18855"/>
    <cellStyle name="Comma 3 2 3 2 3" xfId="8041"/>
    <cellStyle name="Comma 3 2 3 2 3 2" xfId="14235"/>
    <cellStyle name="Comma 3 2 3 2 3 3" xfId="20387"/>
    <cellStyle name="Comma 3 2 3 2 4" xfId="11169"/>
    <cellStyle name="Comma 3 2 3 2 5" xfId="17321"/>
    <cellStyle name="Comma 3 2 3 3" xfId="5704"/>
    <cellStyle name="Comma 3 2 3 3 2" xfId="8807"/>
    <cellStyle name="Comma 3 2 3 3 2 2" xfId="15000"/>
    <cellStyle name="Comma 3 2 3 3 2 3" xfId="21152"/>
    <cellStyle name="Comma 3 2 3 3 3" xfId="11934"/>
    <cellStyle name="Comma 3 2 3 3 4" xfId="18086"/>
    <cellStyle name="Comma 3 2 3 4" xfId="7272"/>
    <cellStyle name="Comma 3 2 3 4 2" xfId="13466"/>
    <cellStyle name="Comma 3 2 3 4 3" xfId="19618"/>
    <cellStyle name="Comma 3 2 3 5" xfId="10400"/>
    <cellStyle name="Comma 3 2 3 6" xfId="16552"/>
    <cellStyle name="Comma 3 2 4" xfId="1695"/>
    <cellStyle name="Comma 3 2 4 2" xfId="4866"/>
    <cellStyle name="Comma 3 2 4 2 2" xfId="6491"/>
    <cellStyle name="Comma 3 2 4 2 2 2" xfId="9577"/>
    <cellStyle name="Comma 3 2 4 2 2 2 2" xfId="15770"/>
    <cellStyle name="Comma 3 2 4 2 2 2 3" xfId="21922"/>
    <cellStyle name="Comma 3 2 4 2 2 3" xfId="12704"/>
    <cellStyle name="Comma 3 2 4 2 2 4" xfId="18856"/>
    <cellStyle name="Comma 3 2 4 2 3" xfId="8042"/>
    <cellStyle name="Comma 3 2 4 2 3 2" xfId="14236"/>
    <cellStyle name="Comma 3 2 4 2 3 3" xfId="20388"/>
    <cellStyle name="Comma 3 2 4 2 4" xfId="11170"/>
    <cellStyle name="Comma 3 2 4 2 5" xfId="17322"/>
    <cellStyle name="Comma 3 2 4 3" xfId="5705"/>
    <cellStyle name="Comma 3 2 4 3 2" xfId="8808"/>
    <cellStyle name="Comma 3 2 4 3 2 2" xfId="15001"/>
    <cellStyle name="Comma 3 2 4 3 2 3" xfId="21153"/>
    <cellStyle name="Comma 3 2 4 3 3" xfId="11935"/>
    <cellStyle name="Comma 3 2 4 3 4" xfId="18087"/>
    <cellStyle name="Comma 3 2 4 4" xfId="7273"/>
    <cellStyle name="Comma 3 2 4 4 2" xfId="13467"/>
    <cellStyle name="Comma 3 2 4 4 3" xfId="19619"/>
    <cellStyle name="Comma 3 2 4 5" xfId="10401"/>
    <cellStyle name="Comma 3 2 4 6" xfId="16553"/>
    <cellStyle name="Comma 3 2 5" xfId="1696"/>
    <cellStyle name="Comma 3 2 5 2" xfId="4867"/>
    <cellStyle name="Comma 3 2 5 2 2" xfId="6492"/>
    <cellStyle name="Comma 3 2 5 2 2 2" xfId="9578"/>
    <cellStyle name="Comma 3 2 5 2 2 2 2" xfId="15771"/>
    <cellStyle name="Comma 3 2 5 2 2 2 3" xfId="21923"/>
    <cellStyle name="Comma 3 2 5 2 2 3" xfId="12705"/>
    <cellStyle name="Comma 3 2 5 2 2 4" xfId="18857"/>
    <cellStyle name="Comma 3 2 5 2 3" xfId="8043"/>
    <cellStyle name="Comma 3 2 5 2 3 2" xfId="14237"/>
    <cellStyle name="Comma 3 2 5 2 3 3" xfId="20389"/>
    <cellStyle name="Comma 3 2 5 2 4" xfId="11171"/>
    <cellStyle name="Comma 3 2 5 2 5" xfId="17323"/>
    <cellStyle name="Comma 3 2 5 3" xfId="5706"/>
    <cellStyle name="Comma 3 2 5 3 2" xfId="8809"/>
    <cellStyle name="Comma 3 2 5 3 2 2" xfId="15002"/>
    <cellStyle name="Comma 3 2 5 3 2 3" xfId="21154"/>
    <cellStyle name="Comma 3 2 5 3 3" xfId="11936"/>
    <cellStyle name="Comma 3 2 5 3 4" xfId="18088"/>
    <cellStyle name="Comma 3 2 5 4" xfId="7274"/>
    <cellStyle name="Comma 3 2 5 4 2" xfId="13468"/>
    <cellStyle name="Comma 3 2 5 4 3" xfId="19620"/>
    <cellStyle name="Comma 3 2 5 5" xfId="10402"/>
    <cellStyle name="Comma 3 2 5 6" xfId="16554"/>
    <cellStyle name="Comma 3 2 6" xfId="1697"/>
    <cellStyle name="Comma 3 2 7" xfId="1698"/>
    <cellStyle name="Comma 3 2 7 2" xfId="1699"/>
    <cellStyle name="Comma 3 2 7 3" xfId="1700"/>
    <cellStyle name="Comma 3 2 7 4" xfId="1701"/>
    <cellStyle name="Comma 3 2 8" xfId="1692"/>
    <cellStyle name="Comma 3 20" xfId="586"/>
    <cellStyle name="Comma 3 20 2" xfId="4868"/>
    <cellStyle name="Comma 3 20 2 2" xfId="6493"/>
    <cellStyle name="Comma 3 20 2 2 2" xfId="9579"/>
    <cellStyle name="Comma 3 20 2 2 2 2" xfId="15772"/>
    <cellStyle name="Comma 3 20 2 2 2 3" xfId="21924"/>
    <cellStyle name="Comma 3 20 2 2 3" xfId="12706"/>
    <cellStyle name="Comma 3 20 2 2 4" xfId="18858"/>
    <cellStyle name="Comma 3 20 2 3" xfId="8044"/>
    <cellStyle name="Comma 3 20 2 3 2" xfId="14238"/>
    <cellStyle name="Comma 3 20 2 3 3" xfId="20390"/>
    <cellStyle name="Comma 3 20 2 4" xfId="11172"/>
    <cellStyle name="Comma 3 20 2 5" xfId="17324"/>
    <cellStyle name="Comma 3 20 3" xfId="5707"/>
    <cellStyle name="Comma 3 20 3 2" xfId="8810"/>
    <cellStyle name="Comma 3 20 3 2 2" xfId="15003"/>
    <cellStyle name="Comma 3 20 3 2 3" xfId="21155"/>
    <cellStyle name="Comma 3 20 3 3" xfId="11937"/>
    <cellStyle name="Comma 3 20 3 4" xfId="18089"/>
    <cellStyle name="Comma 3 20 4" xfId="7275"/>
    <cellStyle name="Comma 3 20 4 2" xfId="13469"/>
    <cellStyle name="Comma 3 20 4 3" xfId="19621"/>
    <cellStyle name="Comma 3 20 5" xfId="10403"/>
    <cellStyle name="Comma 3 20 6" xfId="16555"/>
    <cellStyle name="Comma 3 20 7" xfId="1702"/>
    <cellStyle name="Comma 3 21" xfId="608"/>
    <cellStyle name="Comma 3 21 2" xfId="4869"/>
    <cellStyle name="Comma 3 21 2 2" xfId="6494"/>
    <cellStyle name="Comma 3 21 2 2 2" xfId="9580"/>
    <cellStyle name="Comma 3 21 2 2 2 2" xfId="15773"/>
    <cellStyle name="Comma 3 21 2 2 2 3" xfId="21925"/>
    <cellStyle name="Comma 3 21 2 2 3" xfId="12707"/>
    <cellStyle name="Comma 3 21 2 2 4" xfId="18859"/>
    <cellStyle name="Comma 3 21 2 3" xfId="8045"/>
    <cellStyle name="Comma 3 21 2 3 2" xfId="14239"/>
    <cellStyle name="Comma 3 21 2 3 3" xfId="20391"/>
    <cellStyle name="Comma 3 21 2 4" xfId="11173"/>
    <cellStyle name="Comma 3 21 2 5" xfId="17325"/>
    <cellStyle name="Comma 3 21 3" xfId="5708"/>
    <cellStyle name="Comma 3 21 3 2" xfId="8811"/>
    <cellStyle name="Comma 3 21 3 2 2" xfId="15004"/>
    <cellStyle name="Comma 3 21 3 2 3" xfId="21156"/>
    <cellStyle name="Comma 3 21 3 3" xfId="11938"/>
    <cellStyle name="Comma 3 21 3 4" xfId="18090"/>
    <cellStyle name="Comma 3 21 4" xfId="7276"/>
    <cellStyle name="Comma 3 21 4 2" xfId="13470"/>
    <cellStyle name="Comma 3 21 4 3" xfId="19622"/>
    <cellStyle name="Comma 3 21 5" xfId="10404"/>
    <cellStyle name="Comma 3 21 6" xfId="16556"/>
    <cellStyle name="Comma 3 21 7" xfId="1703"/>
    <cellStyle name="Comma 3 22" xfId="639"/>
    <cellStyle name="Comma 3 22 2" xfId="1704"/>
    <cellStyle name="Comma 3 23" xfId="673"/>
    <cellStyle name="Comma 3 23 2" xfId="1705"/>
    <cellStyle name="Comma 3 24" xfId="697"/>
    <cellStyle name="Comma 3 25" xfId="729"/>
    <cellStyle name="Comma 3 26" xfId="755"/>
    <cellStyle name="Comma 3 27" xfId="781"/>
    <cellStyle name="Comma 3 28" xfId="805"/>
    <cellStyle name="Comma 3 29" xfId="850"/>
    <cellStyle name="Comma 3 3" xfId="213"/>
    <cellStyle name="Comma 3 3 10" xfId="16557"/>
    <cellStyle name="Comma 3 3 11" xfId="1706"/>
    <cellStyle name="Comma 3 3 2" xfId="275"/>
    <cellStyle name="Comma 3 3 2 2" xfId="4871"/>
    <cellStyle name="Comma 3 3 2 2 2" xfId="6496"/>
    <cellStyle name="Comma 3 3 2 2 2 2" xfId="9582"/>
    <cellStyle name="Comma 3 3 2 2 2 2 2" xfId="15775"/>
    <cellStyle name="Comma 3 3 2 2 2 2 3" xfId="21927"/>
    <cellStyle name="Comma 3 3 2 2 2 3" xfId="12709"/>
    <cellStyle name="Comma 3 3 2 2 2 4" xfId="18861"/>
    <cellStyle name="Comma 3 3 2 2 3" xfId="8047"/>
    <cellStyle name="Comma 3 3 2 2 3 2" xfId="14241"/>
    <cellStyle name="Comma 3 3 2 2 3 3" xfId="20393"/>
    <cellStyle name="Comma 3 3 2 2 4" xfId="11175"/>
    <cellStyle name="Comma 3 3 2 2 5" xfId="17327"/>
    <cellStyle name="Comma 3 3 2 3" xfId="5710"/>
    <cellStyle name="Comma 3 3 2 3 2" xfId="8813"/>
    <cellStyle name="Comma 3 3 2 3 2 2" xfId="15006"/>
    <cellStyle name="Comma 3 3 2 3 2 3" xfId="21158"/>
    <cellStyle name="Comma 3 3 2 3 3" xfId="11940"/>
    <cellStyle name="Comma 3 3 2 3 4" xfId="18092"/>
    <cellStyle name="Comma 3 3 2 4" xfId="7278"/>
    <cellStyle name="Comma 3 3 2 4 2" xfId="13472"/>
    <cellStyle name="Comma 3 3 2 4 3" xfId="19624"/>
    <cellStyle name="Comma 3 3 2 5" xfId="10406"/>
    <cellStyle name="Comma 3 3 2 6" xfId="16558"/>
    <cellStyle name="Comma 3 3 2 7" xfId="1707"/>
    <cellStyle name="Comma 3 3 3" xfId="1708"/>
    <cellStyle name="Comma 3 3 3 2" xfId="4872"/>
    <cellStyle name="Comma 3 3 3 2 2" xfId="6497"/>
    <cellStyle name="Comma 3 3 3 2 2 2" xfId="9583"/>
    <cellStyle name="Comma 3 3 3 2 2 2 2" xfId="15776"/>
    <cellStyle name="Comma 3 3 3 2 2 2 3" xfId="21928"/>
    <cellStyle name="Comma 3 3 3 2 2 3" xfId="12710"/>
    <cellStyle name="Comma 3 3 3 2 2 4" xfId="18862"/>
    <cellStyle name="Comma 3 3 3 2 3" xfId="8048"/>
    <cellStyle name="Comma 3 3 3 2 3 2" xfId="14242"/>
    <cellStyle name="Comma 3 3 3 2 3 3" xfId="20394"/>
    <cellStyle name="Comma 3 3 3 2 4" xfId="11176"/>
    <cellStyle name="Comma 3 3 3 2 5" xfId="17328"/>
    <cellStyle name="Comma 3 3 3 3" xfId="5711"/>
    <cellStyle name="Comma 3 3 3 3 2" xfId="8814"/>
    <cellStyle name="Comma 3 3 3 3 2 2" xfId="15007"/>
    <cellStyle name="Comma 3 3 3 3 2 3" xfId="21159"/>
    <cellStyle name="Comma 3 3 3 3 3" xfId="11941"/>
    <cellStyle name="Comma 3 3 3 3 4" xfId="18093"/>
    <cellStyle name="Comma 3 3 3 4" xfId="7279"/>
    <cellStyle name="Comma 3 3 3 4 2" xfId="13473"/>
    <cellStyle name="Comma 3 3 3 4 3" xfId="19625"/>
    <cellStyle name="Comma 3 3 3 5" xfId="10407"/>
    <cellStyle name="Comma 3 3 3 6" xfId="16559"/>
    <cellStyle name="Comma 3 3 4" xfId="1709"/>
    <cellStyle name="Comma 3 3 4 2" xfId="4873"/>
    <cellStyle name="Comma 3 3 4 2 2" xfId="6498"/>
    <cellStyle name="Comma 3 3 4 2 2 2" xfId="9584"/>
    <cellStyle name="Comma 3 3 4 2 2 2 2" xfId="15777"/>
    <cellStyle name="Comma 3 3 4 2 2 2 3" xfId="21929"/>
    <cellStyle name="Comma 3 3 4 2 2 3" xfId="12711"/>
    <cellStyle name="Comma 3 3 4 2 2 4" xfId="18863"/>
    <cellStyle name="Comma 3 3 4 2 3" xfId="8049"/>
    <cellStyle name="Comma 3 3 4 2 3 2" xfId="14243"/>
    <cellStyle name="Comma 3 3 4 2 3 3" xfId="20395"/>
    <cellStyle name="Comma 3 3 4 2 4" xfId="11177"/>
    <cellStyle name="Comma 3 3 4 2 5" xfId="17329"/>
    <cellStyle name="Comma 3 3 4 3" xfId="5712"/>
    <cellStyle name="Comma 3 3 4 3 2" xfId="8815"/>
    <cellStyle name="Comma 3 3 4 3 2 2" xfId="15008"/>
    <cellStyle name="Comma 3 3 4 3 2 3" xfId="21160"/>
    <cellStyle name="Comma 3 3 4 3 3" xfId="11942"/>
    <cellStyle name="Comma 3 3 4 3 4" xfId="18094"/>
    <cellStyle name="Comma 3 3 4 4" xfId="7280"/>
    <cellStyle name="Comma 3 3 4 4 2" xfId="13474"/>
    <cellStyle name="Comma 3 3 4 4 3" xfId="19626"/>
    <cellStyle name="Comma 3 3 4 5" xfId="10408"/>
    <cellStyle name="Comma 3 3 4 6" xfId="16560"/>
    <cellStyle name="Comma 3 3 5" xfId="1710"/>
    <cellStyle name="Comma 3 3 5 2" xfId="4874"/>
    <cellStyle name="Comma 3 3 5 2 2" xfId="6499"/>
    <cellStyle name="Comma 3 3 5 2 2 2" xfId="9585"/>
    <cellStyle name="Comma 3 3 5 2 2 2 2" xfId="15778"/>
    <cellStyle name="Comma 3 3 5 2 2 2 3" xfId="21930"/>
    <cellStyle name="Comma 3 3 5 2 2 3" xfId="12712"/>
    <cellStyle name="Comma 3 3 5 2 2 4" xfId="18864"/>
    <cellStyle name="Comma 3 3 5 2 3" xfId="8050"/>
    <cellStyle name="Comma 3 3 5 2 3 2" xfId="14244"/>
    <cellStyle name="Comma 3 3 5 2 3 3" xfId="20396"/>
    <cellStyle name="Comma 3 3 5 2 4" xfId="11178"/>
    <cellStyle name="Comma 3 3 5 2 5" xfId="17330"/>
    <cellStyle name="Comma 3 3 5 3" xfId="5713"/>
    <cellStyle name="Comma 3 3 5 3 2" xfId="8816"/>
    <cellStyle name="Comma 3 3 5 3 2 2" xfId="15009"/>
    <cellStyle name="Comma 3 3 5 3 2 3" xfId="21161"/>
    <cellStyle name="Comma 3 3 5 3 3" xfId="11943"/>
    <cellStyle name="Comma 3 3 5 3 4" xfId="18095"/>
    <cellStyle name="Comma 3 3 5 4" xfId="7281"/>
    <cellStyle name="Comma 3 3 5 4 2" xfId="13475"/>
    <cellStyle name="Comma 3 3 5 4 3" xfId="19627"/>
    <cellStyle name="Comma 3 3 5 5" xfId="10409"/>
    <cellStyle name="Comma 3 3 5 6" xfId="16561"/>
    <cellStyle name="Comma 3 3 6" xfId="4870"/>
    <cellStyle name="Comma 3 3 6 2" xfId="6495"/>
    <cellStyle name="Comma 3 3 6 2 2" xfId="9581"/>
    <cellStyle name="Comma 3 3 6 2 2 2" xfId="15774"/>
    <cellStyle name="Comma 3 3 6 2 2 3" xfId="21926"/>
    <cellStyle name="Comma 3 3 6 2 3" xfId="12708"/>
    <cellStyle name="Comma 3 3 6 2 4" xfId="18860"/>
    <cellStyle name="Comma 3 3 6 3" xfId="8046"/>
    <cellStyle name="Comma 3 3 6 3 2" xfId="14240"/>
    <cellStyle name="Comma 3 3 6 3 3" xfId="20392"/>
    <cellStyle name="Comma 3 3 6 4" xfId="11174"/>
    <cellStyle name="Comma 3 3 6 5" xfId="17326"/>
    <cellStyle name="Comma 3 3 7" xfId="5709"/>
    <cellStyle name="Comma 3 3 7 2" xfId="8812"/>
    <cellStyle name="Comma 3 3 7 2 2" xfId="15005"/>
    <cellStyle name="Comma 3 3 7 2 3" xfId="21157"/>
    <cellStyle name="Comma 3 3 7 3" xfId="11939"/>
    <cellStyle name="Comma 3 3 7 4" xfId="18091"/>
    <cellStyle name="Comma 3 3 8" xfId="7277"/>
    <cellStyle name="Comma 3 3 8 2" xfId="13471"/>
    <cellStyle name="Comma 3 3 8 3" xfId="19623"/>
    <cellStyle name="Comma 3 3 9" xfId="10405"/>
    <cellStyle name="Comma 3 30" xfId="853"/>
    <cellStyle name="Comma 3 31" xfId="22816"/>
    <cellStyle name="Comma 3 32" xfId="195"/>
    <cellStyle name="Comma 3 33" xfId="23140"/>
    <cellStyle name="Comma 3 4" xfId="282"/>
    <cellStyle name="Comma 3 4 2" xfId="1712"/>
    <cellStyle name="Comma 3 4 2 2" xfId="4876"/>
    <cellStyle name="Comma 3 4 2 2 2" xfId="6501"/>
    <cellStyle name="Comma 3 4 2 2 2 2" xfId="9587"/>
    <cellStyle name="Comma 3 4 2 2 2 2 2" xfId="15780"/>
    <cellStyle name="Comma 3 4 2 2 2 2 3" xfId="21932"/>
    <cellStyle name="Comma 3 4 2 2 2 3" xfId="12714"/>
    <cellStyle name="Comma 3 4 2 2 2 4" xfId="18866"/>
    <cellStyle name="Comma 3 4 2 2 3" xfId="8052"/>
    <cellStyle name="Comma 3 4 2 2 3 2" xfId="14246"/>
    <cellStyle name="Comma 3 4 2 2 3 3" xfId="20398"/>
    <cellStyle name="Comma 3 4 2 2 4" xfId="11180"/>
    <cellStyle name="Comma 3 4 2 2 5" xfId="17332"/>
    <cellStyle name="Comma 3 4 2 3" xfId="5715"/>
    <cellStyle name="Comma 3 4 2 3 2" xfId="8818"/>
    <cellStyle name="Comma 3 4 2 3 2 2" xfId="15011"/>
    <cellStyle name="Comma 3 4 2 3 2 3" xfId="21163"/>
    <cellStyle name="Comma 3 4 2 3 3" xfId="11945"/>
    <cellStyle name="Comma 3 4 2 3 4" xfId="18097"/>
    <cellStyle name="Comma 3 4 2 4" xfId="7283"/>
    <cellStyle name="Comma 3 4 2 4 2" xfId="13477"/>
    <cellStyle name="Comma 3 4 2 4 3" xfId="19629"/>
    <cellStyle name="Comma 3 4 2 5" xfId="10411"/>
    <cellStyle name="Comma 3 4 2 6" xfId="16563"/>
    <cellStyle name="Comma 3 4 3" xfId="4875"/>
    <cellStyle name="Comma 3 4 3 2" xfId="6500"/>
    <cellStyle name="Comma 3 4 3 2 2" xfId="9586"/>
    <cellStyle name="Comma 3 4 3 2 2 2" xfId="15779"/>
    <cellStyle name="Comma 3 4 3 2 2 3" xfId="21931"/>
    <cellStyle name="Comma 3 4 3 2 3" xfId="12713"/>
    <cellStyle name="Comma 3 4 3 2 4" xfId="18865"/>
    <cellStyle name="Comma 3 4 3 3" xfId="8051"/>
    <cellStyle name="Comma 3 4 3 3 2" xfId="14245"/>
    <cellStyle name="Comma 3 4 3 3 3" xfId="20397"/>
    <cellStyle name="Comma 3 4 3 4" xfId="11179"/>
    <cellStyle name="Comma 3 4 3 5" xfId="17331"/>
    <cellStyle name="Comma 3 4 4" xfId="5714"/>
    <cellStyle name="Comma 3 4 4 2" xfId="8817"/>
    <cellStyle name="Comma 3 4 4 2 2" xfId="15010"/>
    <cellStyle name="Comma 3 4 4 2 3" xfId="21162"/>
    <cellStyle name="Comma 3 4 4 3" xfId="11944"/>
    <cellStyle name="Comma 3 4 4 4" xfId="18096"/>
    <cellStyle name="Comma 3 4 5" xfId="7282"/>
    <cellStyle name="Comma 3 4 5 2" xfId="13476"/>
    <cellStyle name="Comma 3 4 5 3" xfId="19628"/>
    <cellStyle name="Comma 3 4 6" xfId="10410"/>
    <cellStyle name="Comma 3 4 7" xfId="16562"/>
    <cellStyle name="Comma 3 4 8" xfId="1711"/>
    <cellStyle name="Comma 3 5" xfId="295"/>
    <cellStyle name="Comma 3 5 2" xfId="1714"/>
    <cellStyle name="Comma 3 5 2 2" xfId="4878"/>
    <cellStyle name="Comma 3 5 2 2 2" xfId="6503"/>
    <cellStyle name="Comma 3 5 2 2 2 2" xfId="9589"/>
    <cellStyle name="Comma 3 5 2 2 2 2 2" xfId="15782"/>
    <cellStyle name="Comma 3 5 2 2 2 2 3" xfId="21934"/>
    <cellStyle name="Comma 3 5 2 2 2 3" xfId="12716"/>
    <cellStyle name="Comma 3 5 2 2 2 4" xfId="18868"/>
    <cellStyle name="Comma 3 5 2 2 3" xfId="8054"/>
    <cellStyle name="Comma 3 5 2 2 3 2" xfId="14248"/>
    <cellStyle name="Comma 3 5 2 2 3 3" xfId="20400"/>
    <cellStyle name="Comma 3 5 2 2 4" xfId="11182"/>
    <cellStyle name="Comma 3 5 2 2 5" xfId="17334"/>
    <cellStyle name="Comma 3 5 2 3" xfId="5717"/>
    <cellStyle name="Comma 3 5 2 3 2" xfId="8820"/>
    <cellStyle name="Comma 3 5 2 3 2 2" xfId="15013"/>
    <cellStyle name="Comma 3 5 2 3 2 3" xfId="21165"/>
    <cellStyle name="Comma 3 5 2 3 3" xfId="11947"/>
    <cellStyle name="Comma 3 5 2 3 4" xfId="18099"/>
    <cellStyle name="Comma 3 5 2 4" xfId="7285"/>
    <cellStyle name="Comma 3 5 2 4 2" xfId="13479"/>
    <cellStyle name="Comma 3 5 2 4 3" xfId="19631"/>
    <cellStyle name="Comma 3 5 2 5" xfId="10413"/>
    <cellStyle name="Comma 3 5 2 6" xfId="16565"/>
    <cellStyle name="Comma 3 5 3" xfId="4877"/>
    <cellStyle name="Comma 3 5 3 2" xfId="6502"/>
    <cellStyle name="Comma 3 5 3 2 2" xfId="9588"/>
    <cellStyle name="Comma 3 5 3 2 2 2" xfId="15781"/>
    <cellStyle name="Comma 3 5 3 2 2 3" xfId="21933"/>
    <cellStyle name="Comma 3 5 3 2 3" xfId="12715"/>
    <cellStyle name="Comma 3 5 3 2 4" xfId="18867"/>
    <cellStyle name="Comma 3 5 3 3" xfId="8053"/>
    <cellStyle name="Comma 3 5 3 3 2" xfId="14247"/>
    <cellStyle name="Comma 3 5 3 3 3" xfId="20399"/>
    <cellStyle name="Comma 3 5 3 4" xfId="11181"/>
    <cellStyle name="Comma 3 5 3 5" xfId="17333"/>
    <cellStyle name="Comma 3 5 4" xfId="5716"/>
    <cellStyle name="Comma 3 5 4 2" xfId="8819"/>
    <cellStyle name="Comma 3 5 4 2 2" xfId="15012"/>
    <cellStyle name="Comma 3 5 4 2 3" xfId="21164"/>
    <cellStyle name="Comma 3 5 4 3" xfId="11946"/>
    <cellStyle name="Comma 3 5 4 4" xfId="18098"/>
    <cellStyle name="Comma 3 5 5" xfId="7284"/>
    <cellStyle name="Comma 3 5 5 2" xfId="13478"/>
    <cellStyle name="Comma 3 5 5 3" xfId="19630"/>
    <cellStyle name="Comma 3 5 6" xfId="10412"/>
    <cellStyle name="Comma 3 5 7" xfId="16564"/>
    <cellStyle name="Comma 3 5 8" xfId="1713"/>
    <cellStyle name="Comma 3 6" xfId="303"/>
    <cellStyle name="Comma 3 6 2" xfId="1716"/>
    <cellStyle name="Comma 3 6 2 2" xfId="4880"/>
    <cellStyle name="Comma 3 6 2 2 2" xfId="6505"/>
    <cellStyle name="Comma 3 6 2 2 2 2" xfId="9591"/>
    <cellStyle name="Comma 3 6 2 2 2 2 2" xfId="15784"/>
    <cellStyle name="Comma 3 6 2 2 2 2 3" xfId="21936"/>
    <cellStyle name="Comma 3 6 2 2 2 3" xfId="12718"/>
    <cellStyle name="Comma 3 6 2 2 2 4" xfId="18870"/>
    <cellStyle name="Comma 3 6 2 2 3" xfId="8056"/>
    <cellStyle name="Comma 3 6 2 2 3 2" xfId="14250"/>
    <cellStyle name="Comma 3 6 2 2 3 3" xfId="20402"/>
    <cellStyle name="Comma 3 6 2 2 4" xfId="11184"/>
    <cellStyle name="Comma 3 6 2 2 5" xfId="17336"/>
    <cellStyle name="Comma 3 6 2 3" xfId="5719"/>
    <cellStyle name="Comma 3 6 2 3 2" xfId="8822"/>
    <cellStyle name="Comma 3 6 2 3 2 2" xfId="15015"/>
    <cellStyle name="Comma 3 6 2 3 2 3" xfId="21167"/>
    <cellStyle name="Comma 3 6 2 3 3" xfId="11949"/>
    <cellStyle name="Comma 3 6 2 3 4" xfId="18101"/>
    <cellStyle name="Comma 3 6 2 4" xfId="7287"/>
    <cellStyle name="Comma 3 6 2 4 2" xfId="13481"/>
    <cellStyle name="Comma 3 6 2 4 3" xfId="19633"/>
    <cellStyle name="Comma 3 6 2 5" xfId="10415"/>
    <cellStyle name="Comma 3 6 2 6" xfId="16567"/>
    <cellStyle name="Comma 3 6 3" xfId="4879"/>
    <cellStyle name="Comma 3 6 3 2" xfId="6504"/>
    <cellStyle name="Comma 3 6 3 2 2" xfId="9590"/>
    <cellStyle name="Comma 3 6 3 2 2 2" xfId="15783"/>
    <cellStyle name="Comma 3 6 3 2 2 3" xfId="21935"/>
    <cellStyle name="Comma 3 6 3 2 3" xfId="12717"/>
    <cellStyle name="Comma 3 6 3 2 4" xfId="18869"/>
    <cellStyle name="Comma 3 6 3 3" xfId="8055"/>
    <cellStyle name="Comma 3 6 3 3 2" xfId="14249"/>
    <cellStyle name="Comma 3 6 3 3 3" xfId="20401"/>
    <cellStyle name="Comma 3 6 3 4" xfId="11183"/>
    <cellStyle name="Comma 3 6 3 5" xfId="17335"/>
    <cellStyle name="Comma 3 6 4" xfId="5718"/>
    <cellStyle name="Comma 3 6 4 2" xfId="8821"/>
    <cellStyle name="Comma 3 6 4 2 2" xfId="15014"/>
    <cellStyle name="Comma 3 6 4 2 3" xfId="21166"/>
    <cellStyle name="Comma 3 6 4 3" xfId="11948"/>
    <cellStyle name="Comma 3 6 4 4" xfId="18100"/>
    <cellStyle name="Comma 3 6 5" xfId="7286"/>
    <cellStyle name="Comma 3 6 5 2" xfId="13480"/>
    <cellStyle name="Comma 3 6 5 3" xfId="19632"/>
    <cellStyle name="Comma 3 6 6" xfId="10414"/>
    <cellStyle name="Comma 3 6 7" xfId="16566"/>
    <cellStyle name="Comma 3 6 8" xfId="1715"/>
    <cellStyle name="Comma 3 7" xfId="338"/>
    <cellStyle name="Comma 3 7 2" xfId="4881"/>
    <cellStyle name="Comma 3 7 2 2" xfId="6506"/>
    <cellStyle name="Comma 3 7 2 2 2" xfId="9592"/>
    <cellStyle name="Comma 3 7 2 2 2 2" xfId="15785"/>
    <cellStyle name="Comma 3 7 2 2 2 3" xfId="21937"/>
    <cellStyle name="Comma 3 7 2 2 3" xfId="12719"/>
    <cellStyle name="Comma 3 7 2 2 4" xfId="18871"/>
    <cellStyle name="Comma 3 7 2 3" xfId="8057"/>
    <cellStyle name="Comma 3 7 2 3 2" xfId="14251"/>
    <cellStyle name="Comma 3 7 2 3 3" xfId="20403"/>
    <cellStyle name="Comma 3 7 2 4" xfId="11185"/>
    <cellStyle name="Comma 3 7 2 5" xfId="17337"/>
    <cellStyle name="Comma 3 7 3" xfId="5720"/>
    <cellStyle name="Comma 3 7 3 2" xfId="8823"/>
    <cellStyle name="Comma 3 7 3 2 2" xfId="15016"/>
    <cellStyle name="Comma 3 7 3 2 3" xfId="21168"/>
    <cellStyle name="Comma 3 7 3 3" xfId="11950"/>
    <cellStyle name="Comma 3 7 3 4" xfId="18102"/>
    <cellStyle name="Comma 3 7 4" xfId="7288"/>
    <cellStyle name="Comma 3 7 4 2" xfId="13482"/>
    <cellStyle name="Comma 3 7 4 3" xfId="19634"/>
    <cellStyle name="Comma 3 7 5" xfId="10416"/>
    <cellStyle name="Comma 3 7 6" xfId="16568"/>
    <cellStyle name="Comma 3 7 7" xfId="1717"/>
    <cellStyle name="Comma 3 8" xfId="357"/>
    <cellStyle name="Comma 3 8 2" xfId="4882"/>
    <cellStyle name="Comma 3 8 2 2" xfId="6507"/>
    <cellStyle name="Comma 3 8 2 2 2" xfId="9593"/>
    <cellStyle name="Comma 3 8 2 2 2 2" xfId="15786"/>
    <cellStyle name="Comma 3 8 2 2 2 3" xfId="21938"/>
    <cellStyle name="Comma 3 8 2 2 3" xfId="12720"/>
    <cellStyle name="Comma 3 8 2 2 4" xfId="18872"/>
    <cellStyle name="Comma 3 8 2 3" xfId="8058"/>
    <cellStyle name="Comma 3 8 2 3 2" xfId="14252"/>
    <cellStyle name="Comma 3 8 2 3 3" xfId="20404"/>
    <cellStyle name="Comma 3 8 2 4" xfId="11186"/>
    <cellStyle name="Comma 3 8 2 5" xfId="17338"/>
    <cellStyle name="Comma 3 8 3" xfId="5721"/>
    <cellStyle name="Comma 3 8 3 2" xfId="8824"/>
    <cellStyle name="Comma 3 8 3 2 2" xfId="15017"/>
    <cellStyle name="Comma 3 8 3 2 3" xfId="21169"/>
    <cellStyle name="Comma 3 8 3 3" xfId="11951"/>
    <cellStyle name="Comma 3 8 3 4" xfId="18103"/>
    <cellStyle name="Comma 3 8 4" xfId="7289"/>
    <cellStyle name="Comma 3 8 4 2" xfId="13483"/>
    <cellStyle name="Comma 3 8 4 3" xfId="19635"/>
    <cellStyle name="Comma 3 8 5" xfId="10417"/>
    <cellStyle name="Comma 3 8 6" xfId="16569"/>
    <cellStyle name="Comma 3 8 7" xfId="1718"/>
    <cellStyle name="Comma 3 9" xfId="372"/>
    <cellStyle name="Comma 3 9 2" xfId="4883"/>
    <cellStyle name="Comma 3 9 2 2" xfId="6508"/>
    <cellStyle name="Comma 3 9 2 2 2" xfId="9594"/>
    <cellStyle name="Comma 3 9 2 2 2 2" xfId="15787"/>
    <cellStyle name="Comma 3 9 2 2 2 3" xfId="21939"/>
    <cellStyle name="Comma 3 9 2 2 3" xfId="12721"/>
    <cellStyle name="Comma 3 9 2 2 4" xfId="18873"/>
    <cellStyle name="Comma 3 9 2 3" xfId="8059"/>
    <cellStyle name="Comma 3 9 2 3 2" xfId="14253"/>
    <cellStyle name="Comma 3 9 2 3 3" xfId="20405"/>
    <cellStyle name="Comma 3 9 2 4" xfId="11187"/>
    <cellStyle name="Comma 3 9 2 5" xfId="17339"/>
    <cellStyle name="Comma 3 9 3" xfId="5722"/>
    <cellStyle name="Comma 3 9 3 2" xfId="8825"/>
    <cellStyle name="Comma 3 9 3 2 2" xfId="15018"/>
    <cellStyle name="Comma 3 9 3 2 3" xfId="21170"/>
    <cellStyle name="Comma 3 9 3 3" xfId="11952"/>
    <cellStyle name="Comma 3 9 3 4" xfId="18104"/>
    <cellStyle name="Comma 3 9 4" xfId="7290"/>
    <cellStyle name="Comma 3 9 4 2" xfId="13484"/>
    <cellStyle name="Comma 3 9 4 3" xfId="19636"/>
    <cellStyle name="Comma 3 9 5" xfId="10418"/>
    <cellStyle name="Comma 3 9 6" xfId="16570"/>
    <cellStyle name="Comma 3 9 7" xfId="1719"/>
    <cellStyle name="Comma 30" xfId="1720"/>
    <cellStyle name="Comma 31" xfId="1721"/>
    <cellStyle name="Comma 32" xfId="1722"/>
    <cellStyle name="Comma 33" xfId="1723"/>
    <cellStyle name="Comma 34" xfId="1724"/>
    <cellStyle name="Comma 35" xfId="1725"/>
    <cellStyle name="Comma 36" xfId="1726"/>
    <cellStyle name="Comma 37" xfId="1727"/>
    <cellStyle name="Comma 38" xfId="1728"/>
    <cellStyle name="Comma 39" xfId="1729"/>
    <cellStyle name="Comma 4" xfId="6"/>
    <cellStyle name="Comma 4 10" xfId="374"/>
    <cellStyle name="Comma 4 11" xfId="390"/>
    <cellStyle name="Comma 4 12" xfId="404"/>
    <cellStyle name="Comma 4 13" xfId="416"/>
    <cellStyle name="Comma 4 14" xfId="435"/>
    <cellStyle name="Comma 4 15" xfId="462"/>
    <cellStyle name="Comma 4 16" xfId="466"/>
    <cellStyle name="Comma 4 17" xfId="509"/>
    <cellStyle name="Comma 4 18" xfId="524"/>
    <cellStyle name="Comma 4 19" xfId="551"/>
    <cellStyle name="Comma 4 2" xfId="7"/>
    <cellStyle name="Comma 4 2 2" xfId="86"/>
    <cellStyle name="Comma 4 2 2 2" xfId="1732"/>
    <cellStyle name="Comma 4 2 2 3" xfId="1733"/>
    <cellStyle name="Comma 4 2 2 4" xfId="1731"/>
    <cellStyle name="Comma 4 2 3" xfId="10245"/>
    <cellStyle name="Comma 4 2 3 2" xfId="16417"/>
    <cellStyle name="Comma 4 2 3 3" xfId="22569"/>
    <cellStyle name="Comma 4 2 4" xfId="1730"/>
    <cellStyle name="Comma 4 2 5" xfId="253"/>
    <cellStyle name="Comma 4 2 6" xfId="23142"/>
    <cellStyle name="Comma 4 20" xfId="579"/>
    <cellStyle name="Comma 4 21" xfId="575"/>
    <cellStyle name="Comma 4 22" xfId="661"/>
    <cellStyle name="Comma 4 23" xfId="668"/>
    <cellStyle name="Comma 4 24" xfId="689"/>
    <cellStyle name="Comma 4 25" xfId="721"/>
    <cellStyle name="Comma 4 26" xfId="748"/>
    <cellStyle name="Comma 4 27" xfId="774"/>
    <cellStyle name="Comma 4 28" xfId="798"/>
    <cellStyle name="Comma 4 29" xfId="872"/>
    <cellStyle name="Comma 4 3" xfId="85"/>
    <cellStyle name="Comma 4 3 2" xfId="274"/>
    <cellStyle name="Comma 4 3 3" xfId="23143"/>
    <cellStyle name="Comma 4 30" xfId="1167"/>
    <cellStyle name="Comma 4 31" xfId="22835"/>
    <cellStyle name="Comma 4 32" xfId="217"/>
    <cellStyle name="Comma 4 33" xfId="23141"/>
    <cellStyle name="Comma 4 4" xfId="292"/>
    <cellStyle name="Comma 4 4 2" xfId="1734"/>
    <cellStyle name="Comma 4 5" xfId="294"/>
    <cellStyle name="Comma 4 5 2" xfId="4645"/>
    <cellStyle name="Comma 4 6" xfId="326"/>
    <cellStyle name="Comma 4 7" xfId="323"/>
    <cellStyle name="Comma 4 7 2" xfId="16408"/>
    <cellStyle name="Comma 4 7 3" xfId="22560"/>
    <cellStyle name="Comma 4 7 4" xfId="10225"/>
    <cellStyle name="Comma 4 8" xfId="340"/>
    <cellStyle name="Comma 4 8 2" xfId="1216"/>
    <cellStyle name="Comma 4 9" xfId="359"/>
    <cellStyle name="Comma 40" xfId="1735"/>
    <cellStyle name="Comma 41" xfId="1736"/>
    <cellStyle name="Comma 42" xfId="1737"/>
    <cellStyle name="Comma 43" xfId="1738"/>
    <cellStyle name="Comma 43 10" xfId="1739"/>
    <cellStyle name="Comma 43 10 2" xfId="1740"/>
    <cellStyle name="Comma 43 11" xfId="1741"/>
    <cellStyle name="Comma 43 11 2" xfId="1742"/>
    <cellStyle name="Comma 43 12" xfId="1743"/>
    <cellStyle name="Comma 43 2" xfId="1744"/>
    <cellStyle name="Comma 43 2 2" xfId="1745"/>
    <cellStyle name="Comma 43 2 2 2" xfId="1746"/>
    <cellStyle name="Comma 43 2 2 2 2" xfId="1747"/>
    <cellStyle name="Comma 43 2 2 3" xfId="1748"/>
    <cellStyle name="Comma 43 2 3" xfId="1749"/>
    <cellStyle name="Comma 43 2 3 2" xfId="1750"/>
    <cellStyle name="Comma 43 2 4" xfId="1751"/>
    <cellStyle name="Comma 43 2 4 2" xfId="1752"/>
    <cellStyle name="Comma 43 2 5" xfId="1753"/>
    <cellStyle name="Comma 43 3" xfId="1754"/>
    <cellStyle name="Comma 43 3 2" xfId="1755"/>
    <cellStyle name="Comma 43 3 2 2" xfId="1756"/>
    <cellStyle name="Comma 43 3 2 2 2" xfId="1757"/>
    <cellStyle name="Comma 43 3 2 3" xfId="1758"/>
    <cellStyle name="Comma 43 3 3" xfId="1759"/>
    <cellStyle name="Comma 43 3 3 2" xfId="1760"/>
    <cellStyle name="Comma 43 3 4" xfId="1761"/>
    <cellStyle name="Comma 43 3 4 2" xfId="1762"/>
    <cellStyle name="Comma 43 3 5" xfId="1763"/>
    <cellStyle name="Comma 43 4" xfId="1764"/>
    <cellStyle name="Comma 43 4 2" xfId="1765"/>
    <cellStyle name="Comma 43 4 2 2" xfId="1766"/>
    <cellStyle name="Comma 43 4 2 2 2" xfId="1767"/>
    <cellStyle name="Comma 43 4 2 3" xfId="1768"/>
    <cellStyle name="Comma 43 4 3" xfId="1769"/>
    <cellStyle name="Comma 43 4 3 2" xfId="1770"/>
    <cellStyle name="Comma 43 4 4" xfId="1771"/>
    <cellStyle name="Comma 43 4 4 2" xfId="1772"/>
    <cellStyle name="Comma 43 4 5" xfId="1773"/>
    <cellStyle name="Comma 43 5" xfId="1774"/>
    <cellStyle name="Comma 43 5 2" xfId="1775"/>
    <cellStyle name="Comma 43 5 2 2" xfId="1776"/>
    <cellStyle name="Comma 43 5 2 2 2" xfId="1777"/>
    <cellStyle name="Comma 43 5 2 3" xfId="1778"/>
    <cellStyle name="Comma 43 5 3" xfId="1779"/>
    <cellStyle name="Comma 43 5 3 2" xfId="1780"/>
    <cellStyle name="Comma 43 5 4" xfId="1781"/>
    <cellStyle name="Comma 43 5 4 2" xfId="1782"/>
    <cellStyle name="Comma 43 5 5" xfId="1783"/>
    <cellStyle name="Comma 43 6" xfId="1784"/>
    <cellStyle name="Comma 43 6 2" xfId="1785"/>
    <cellStyle name="Comma 43 6 2 2" xfId="1786"/>
    <cellStyle name="Comma 43 6 2 2 2" xfId="1787"/>
    <cellStyle name="Comma 43 6 2 3" xfId="1788"/>
    <cellStyle name="Comma 43 6 3" xfId="1789"/>
    <cellStyle name="Comma 43 6 3 2" xfId="1790"/>
    <cellStyle name="Comma 43 6 4" xfId="1791"/>
    <cellStyle name="Comma 43 6 4 2" xfId="1792"/>
    <cellStyle name="Comma 43 6 5" xfId="1793"/>
    <cellStyle name="Comma 43 7" xfId="1794"/>
    <cellStyle name="Comma 43 7 2" xfId="1795"/>
    <cellStyle name="Comma 43 7 2 2" xfId="1796"/>
    <cellStyle name="Comma 43 7 2 2 2" xfId="1797"/>
    <cellStyle name="Comma 43 7 2 3" xfId="1798"/>
    <cellStyle name="Comma 43 7 3" xfId="1799"/>
    <cellStyle name="Comma 43 7 3 2" xfId="1800"/>
    <cellStyle name="Comma 43 7 4" xfId="1801"/>
    <cellStyle name="Comma 43 8" xfId="1802"/>
    <cellStyle name="Comma 43 8 2" xfId="1803"/>
    <cellStyle name="Comma 43 8 2 2" xfId="1804"/>
    <cellStyle name="Comma 43 8 2 2 2" xfId="1805"/>
    <cellStyle name="Comma 43 8 2 3" xfId="1806"/>
    <cellStyle name="Comma 43 8 3" xfId="1807"/>
    <cellStyle name="Comma 43 8 3 2" xfId="1808"/>
    <cellStyle name="Comma 43 8 4" xfId="1809"/>
    <cellStyle name="Comma 43 9" xfId="1810"/>
    <cellStyle name="Comma 43 9 2" xfId="1811"/>
    <cellStyle name="Comma 43 9 2 2" xfId="1812"/>
    <cellStyle name="Comma 43 9 3" xfId="1813"/>
    <cellStyle name="Comma 44" xfId="1814"/>
    <cellStyle name="Comma 44 10" xfId="1815"/>
    <cellStyle name="Comma 44 10 2" xfId="1816"/>
    <cellStyle name="Comma 44 11" xfId="1817"/>
    <cellStyle name="Comma 44 11 2" xfId="1818"/>
    <cellStyle name="Comma 44 12" xfId="1819"/>
    <cellStyle name="Comma 44 2" xfId="1820"/>
    <cellStyle name="Comma 44 2 2" xfId="1821"/>
    <cellStyle name="Comma 44 2 2 2" xfId="1822"/>
    <cellStyle name="Comma 44 2 2 2 2" xfId="1823"/>
    <cellStyle name="Comma 44 2 2 3" xfId="1824"/>
    <cellStyle name="Comma 44 2 3" xfId="1825"/>
    <cellStyle name="Comma 44 2 3 2" xfId="1826"/>
    <cellStyle name="Comma 44 2 4" xfId="1827"/>
    <cellStyle name="Comma 44 2 4 2" xfId="1828"/>
    <cellStyle name="Comma 44 2 5" xfId="1829"/>
    <cellStyle name="Comma 44 3" xfId="1830"/>
    <cellStyle name="Comma 44 3 2" xfId="1831"/>
    <cellStyle name="Comma 44 3 2 2" xfId="1832"/>
    <cellStyle name="Comma 44 3 2 2 2" xfId="1833"/>
    <cellStyle name="Comma 44 3 2 3" xfId="1834"/>
    <cellStyle name="Comma 44 3 3" xfId="1835"/>
    <cellStyle name="Comma 44 3 3 2" xfId="1836"/>
    <cellStyle name="Comma 44 3 4" xfId="1837"/>
    <cellStyle name="Comma 44 3 4 2" xfId="1838"/>
    <cellStyle name="Comma 44 3 5" xfId="1839"/>
    <cellStyle name="Comma 44 4" xfId="1840"/>
    <cellStyle name="Comma 44 4 2" xfId="1841"/>
    <cellStyle name="Comma 44 4 2 2" xfId="1842"/>
    <cellStyle name="Comma 44 4 2 2 2" xfId="1843"/>
    <cellStyle name="Comma 44 4 2 3" xfId="1844"/>
    <cellStyle name="Comma 44 4 3" xfId="1845"/>
    <cellStyle name="Comma 44 4 3 2" xfId="1846"/>
    <cellStyle name="Comma 44 4 4" xfId="1847"/>
    <cellStyle name="Comma 44 4 4 2" xfId="1848"/>
    <cellStyle name="Comma 44 4 5" xfId="1849"/>
    <cellStyle name="Comma 44 5" xfId="1850"/>
    <cellStyle name="Comma 44 5 2" xfId="1851"/>
    <cellStyle name="Comma 44 5 2 2" xfId="1852"/>
    <cellStyle name="Comma 44 5 2 2 2" xfId="1853"/>
    <cellStyle name="Comma 44 5 2 3" xfId="1854"/>
    <cellStyle name="Comma 44 5 3" xfId="1855"/>
    <cellStyle name="Comma 44 5 3 2" xfId="1856"/>
    <cellStyle name="Comma 44 5 4" xfId="1857"/>
    <cellStyle name="Comma 44 5 4 2" xfId="1858"/>
    <cellStyle name="Comma 44 5 5" xfId="1859"/>
    <cellStyle name="Comma 44 6" xfId="1860"/>
    <cellStyle name="Comma 44 6 2" xfId="1861"/>
    <cellStyle name="Comma 44 6 2 2" xfId="1862"/>
    <cellStyle name="Comma 44 6 2 2 2" xfId="1863"/>
    <cellStyle name="Comma 44 6 2 3" xfId="1864"/>
    <cellStyle name="Comma 44 6 3" xfId="1865"/>
    <cellStyle name="Comma 44 6 3 2" xfId="1866"/>
    <cellStyle name="Comma 44 6 4" xfId="1867"/>
    <cellStyle name="Comma 44 6 4 2" xfId="1868"/>
    <cellStyle name="Comma 44 6 5" xfId="1869"/>
    <cellStyle name="Comma 44 7" xfId="1870"/>
    <cellStyle name="Comma 44 7 2" xfId="1871"/>
    <cellStyle name="Comma 44 7 2 2" xfId="1872"/>
    <cellStyle name="Comma 44 7 2 2 2" xfId="1873"/>
    <cellStyle name="Comma 44 7 2 3" xfId="1874"/>
    <cellStyle name="Comma 44 7 3" xfId="1875"/>
    <cellStyle name="Comma 44 7 3 2" xfId="1876"/>
    <cellStyle name="Comma 44 7 4" xfId="1877"/>
    <cellStyle name="Comma 44 8" xfId="1878"/>
    <cellStyle name="Comma 44 8 2" xfId="1879"/>
    <cellStyle name="Comma 44 8 2 2" xfId="1880"/>
    <cellStyle name="Comma 44 8 2 2 2" xfId="1881"/>
    <cellStyle name="Comma 44 8 2 3" xfId="1882"/>
    <cellStyle name="Comma 44 8 3" xfId="1883"/>
    <cellStyle name="Comma 44 8 3 2" xfId="1884"/>
    <cellStyle name="Comma 44 8 4" xfId="1885"/>
    <cellStyle name="Comma 44 9" xfId="1886"/>
    <cellStyle name="Comma 44 9 2" xfId="1887"/>
    <cellStyle name="Comma 44 9 2 2" xfId="1888"/>
    <cellStyle name="Comma 44 9 3" xfId="1889"/>
    <cellStyle name="Comma 45" xfId="1890"/>
    <cellStyle name="Comma 45 10" xfId="1891"/>
    <cellStyle name="Comma 45 10 2" xfId="1892"/>
    <cellStyle name="Comma 45 11" xfId="1893"/>
    <cellStyle name="Comma 45 11 2" xfId="1894"/>
    <cellStyle name="Comma 45 12" xfId="1895"/>
    <cellStyle name="Comma 45 2" xfId="1896"/>
    <cellStyle name="Comma 45 2 2" xfId="1897"/>
    <cellStyle name="Comma 45 2 2 2" xfId="1898"/>
    <cellStyle name="Comma 45 2 2 2 2" xfId="1899"/>
    <cellStyle name="Comma 45 2 2 3" xfId="1900"/>
    <cellStyle name="Comma 45 2 3" xfId="1901"/>
    <cellStyle name="Comma 45 2 3 2" xfId="1902"/>
    <cellStyle name="Comma 45 2 4" xfId="1903"/>
    <cellStyle name="Comma 45 2 4 2" xfId="1904"/>
    <cellStyle name="Comma 45 2 5" xfId="1905"/>
    <cellStyle name="Comma 45 3" xfId="1906"/>
    <cellStyle name="Comma 45 3 2" xfId="1907"/>
    <cellStyle name="Comma 45 3 2 2" xfId="1908"/>
    <cellStyle name="Comma 45 3 2 2 2" xfId="1909"/>
    <cellStyle name="Comma 45 3 2 3" xfId="1910"/>
    <cellStyle name="Comma 45 3 3" xfId="1911"/>
    <cellStyle name="Comma 45 3 3 2" xfId="1912"/>
    <cellStyle name="Comma 45 3 4" xfId="1913"/>
    <cellStyle name="Comma 45 3 4 2" xfId="1914"/>
    <cellStyle name="Comma 45 3 5" xfId="1915"/>
    <cellStyle name="Comma 45 4" xfId="1916"/>
    <cellStyle name="Comma 45 4 2" xfId="1917"/>
    <cellStyle name="Comma 45 4 2 2" xfId="1918"/>
    <cellStyle name="Comma 45 4 2 2 2" xfId="1919"/>
    <cellStyle name="Comma 45 4 2 3" xfId="1920"/>
    <cellStyle name="Comma 45 4 3" xfId="1921"/>
    <cellStyle name="Comma 45 4 3 2" xfId="1922"/>
    <cellStyle name="Comma 45 4 4" xfId="1923"/>
    <cellStyle name="Comma 45 4 4 2" xfId="1924"/>
    <cellStyle name="Comma 45 4 5" xfId="1925"/>
    <cellStyle name="Comma 45 5" xfId="1926"/>
    <cellStyle name="Comma 45 5 2" xfId="1927"/>
    <cellStyle name="Comma 45 5 2 2" xfId="1928"/>
    <cellStyle name="Comma 45 5 2 2 2" xfId="1929"/>
    <cellStyle name="Comma 45 5 2 3" xfId="1930"/>
    <cellStyle name="Comma 45 5 3" xfId="1931"/>
    <cellStyle name="Comma 45 5 3 2" xfId="1932"/>
    <cellStyle name="Comma 45 5 4" xfId="1933"/>
    <cellStyle name="Comma 45 5 4 2" xfId="1934"/>
    <cellStyle name="Comma 45 5 5" xfId="1935"/>
    <cellStyle name="Comma 45 6" xfId="1936"/>
    <cellStyle name="Comma 45 6 2" xfId="1937"/>
    <cellStyle name="Comma 45 6 2 2" xfId="1938"/>
    <cellStyle name="Comma 45 6 2 2 2" xfId="1939"/>
    <cellStyle name="Comma 45 6 2 3" xfId="1940"/>
    <cellStyle name="Comma 45 6 3" xfId="1941"/>
    <cellStyle name="Comma 45 6 3 2" xfId="1942"/>
    <cellStyle name="Comma 45 6 4" xfId="1943"/>
    <cellStyle name="Comma 45 6 4 2" xfId="1944"/>
    <cellStyle name="Comma 45 6 5" xfId="1945"/>
    <cellStyle name="Comma 45 7" xfId="1946"/>
    <cellStyle name="Comma 45 7 2" xfId="1947"/>
    <cellStyle name="Comma 45 7 2 2" xfId="1948"/>
    <cellStyle name="Comma 45 7 2 2 2" xfId="1949"/>
    <cellStyle name="Comma 45 7 2 3" xfId="1950"/>
    <cellStyle name="Comma 45 7 3" xfId="1951"/>
    <cellStyle name="Comma 45 7 3 2" xfId="1952"/>
    <cellStyle name="Comma 45 7 4" xfId="1953"/>
    <cellStyle name="Comma 45 8" xfId="1954"/>
    <cellStyle name="Comma 45 8 2" xfId="1955"/>
    <cellStyle name="Comma 45 8 2 2" xfId="1956"/>
    <cellStyle name="Comma 45 8 2 2 2" xfId="1957"/>
    <cellStyle name="Comma 45 8 2 3" xfId="1958"/>
    <cellStyle name="Comma 45 8 3" xfId="1959"/>
    <cellStyle name="Comma 45 8 3 2" xfId="1960"/>
    <cellStyle name="Comma 45 8 4" xfId="1961"/>
    <cellStyle name="Comma 45 9" xfId="1962"/>
    <cellStyle name="Comma 45 9 2" xfId="1963"/>
    <cellStyle name="Comma 45 9 2 2" xfId="1964"/>
    <cellStyle name="Comma 45 9 3" xfId="1965"/>
    <cellStyle name="Comma 46" xfId="1966"/>
    <cellStyle name="Comma 46 10" xfId="1967"/>
    <cellStyle name="Comma 46 10 2" xfId="1968"/>
    <cellStyle name="Comma 46 11" xfId="1969"/>
    <cellStyle name="Comma 46 11 2" xfId="1970"/>
    <cellStyle name="Comma 46 12" xfId="1971"/>
    <cellStyle name="Comma 46 2" xfId="1972"/>
    <cellStyle name="Comma 46 2 2" xfId="1973"/>
    <cellStyle name="Comma 46 2 2 2" xfId="1974"/>
    <cellStyle name="Comma 46 2 2 2 2" xfId="1975"/>
    <cellStyle name="Comma 46 2 2 3" xfId="1976"/>
    <cellStyle name="Comma 46 2 3" xfId="1977"/>
    <cellStyle name="Comma 46 2 3 2" xfId="1978"/>
    <cellStyle name="Comma 46 2 4" xfId="1979"/>
    <cellStyle name="Comma 46 2 4 2" xfId="1980"/>
    <cellStyle name="Comma 46 2 5" xfId="1981"/>
    <cellStyle name="Comma 46 3" xfId="1982"/>
    <cellStyle name="Comma 46 3 2" xfId="1983"/>
    <cellStyle name="Comma 46 3 2 2" xfId="1984"/>
    <cellStyle name="Comma 46 3 2 2 2" xfId="1985"/>
    <cellStyle name="Comma 46 3 2 3" xfId="1986"/>
    <cellStyle name="Comma 46 3 3" xfId="1987"/>
    <cellStyle name="Comma 46 3 3 2" xfId="1988"/>
    <cellStyle name="Comma 46 3 4" xfId="1989"/>
    <cellStyle name="Comma 46 3 4 2" xfId="1990"/>
    <cellStyle name="Comma 46 3 5" xfId="1991"/>
    <cellStyle name="Comma 46 4" xfId="1992"/>
    <cellStyle name="Comma 46 4 2" xfId="1993"/>
    <cellStyle name="Comma 46 4 2 2" xfId="1994"/>
    <cellStyle name="Comma 46 4 2 2 2" xfId="1995"/>
    <cellStyle name="Comma 46 4 2 3" xfId="1996"/>
    <cellStyle name="Comma 46 4 3" xfId="1997"/>
    <cellStyle name="Comma 46 4 3 2" xfId="1998"/>
    <cellStyle name="Comma 46 4 4" xfId="1999"/>
    <cellStyle name="Comma 46 4 4 2" xfId="2000"/>
    <cellStyle name="Comma 46 4 5" xfId="2001"/>
    <cellStyle name="Comma 46 5" xfId="2002"/>
    <cellStyle name="Comma 46 5 2" xfId="2003"/>
    <cellStyle name="Comma 46 5 2 2" xfId="2004"/>
    <cellStyle name="Comma 46 5 2 2 2" xfId="2005"/>
    <cellStyle name="Comma 46 5 2 3" xfId="2006"/>
    <cellStyle name="Comma 46 5 3" xfId="2007"/>
    <cellStyle name="Comma 46 5 3 2" xfId="2008"/>
    <cellStyle name="Comma 46 5 4" xfId="2009"/>
    <cellStyle name="Comma 46 5 4 2" xfId="2010"/>
    <cellStyle name="Comma 46 5 5" xfId="2011"/>
    <cellStyle name="Comma 46 6" xfId="2012"/>
    <cellStyle name="Comma 46 6 2" xfId="2013"/>
    <cellStyle name="Comma 46 6 2 2" xfId="2014"/>
    <cellStyle name="Comma 46 6 2 2 2" xfId="2015"/>
    <cellStyle name="Comma 46 6 2 3" xfId="2016"/>
    <cellStyle name="Comma 46 6 3" xfId="2017"/>
    <cellStyle name="Comma 46 6 3 2" xfId="2018"/>
    <cellStyle name="Comma 46 6 4" xfId="2019"/>
    <cellStyle name="Comma 46 6 4 2" xfId="2020"/>
    <cellStyle name="Comma 46 6 5" xfId="2021"/>
    <cellStyle name="Comma 46 7" xfId="2022"/>
    <cellStyle name="Comma 46 7 2" xfId="2023"/>
    <cellStyle name="Comma 46 7 2 2" xfId="2024"/>
    <cellStyle name="Comma 46 7 2 2 2" xfId="2025"/>
    <cellStyle name="Comma 46 7 2 3" xfId="2026"/>
    <cellStyle name="Comma 46 7 3" xfId="2027"/>
    <cellStyle name="Comma 46 7 3 2" xfId="2028"/>
    <cellStyle name="Comma 46 7 4" xfId="2029"/>
    <cellStyle name="Comma 46 8" xfId="2030"/>
    <cellStyle name="Comma 46 8 2" xfId="2031"/>
    <cellStyle name="Comma 46 8 2 2" xfId="2032"/>
    <cellStyle name="Comma 46 8 2 2 2" xfId="2033"/>
    <cellStyle name="Comma 46 8 2 3" xfId="2034"/>
    <cellStyle name="Comma 46 8 3" xfId="2035"/>
    <cellStyle name="Comma 46 8 3 2" xfId="2036"/>
    <cellStyle name="Comma 46 8 4" xfId="2037"/>
    <cellStyle name="Comma 46 9" xfId="2038"/>
    <cellStyle name="Comma 46 9 2" xfId="2039"/>
    <cellStyle name="Comma 46 9 2 2" xfId="2040"/>
    <cellStyle name="Comma 46 9 3" xfId="2041"/>
    <cellStyle name="Comma 47" xfId="2042"/>
    <cellStyle name="Comma 47 10" xfId="2043"/>
    <cellStyle name="Comma 47 10 2" xfId="2044"/>
    <cellStyle name="Comma 47 11" xfId="2045"/>
    <cellStyle name="Comma 47 11 2" xfId="2046"/>
    <cellStyle name="Comma 47 12" xfId="2047"/>
    <cellStyle name="Comma 47 2" xfId="2048"/>
    <cellStyle name="Comma 47 2 2" xfId="2049"/>
    <cellStyle name="Comma 47 2 2 2" xfId="2050"/>
    <cellStyle name="Comma 47 2 2 2 2" xfId="2051"/>
    <cellStyle name="Comma 47 2 2 3" xfId="2052"/>
    <cellStyle name="Comma 47 2 3" xfId="2053"/>
    <cellStyle name="Comma 47 2 3 2" xfId="2054"/>
    <cellStyle name="Comma 47 2 4" xfId="2055"/>
    <cellStyle name="Comma 47 2 4 2" xfId="2056"/>
    <cellStyle name="Comma 47 2 5" xfId="2057"/>
    <cellStyle name="Comma 47 3" xfId="2058"/>
    <cellStyle name="Comma 47 3 2" xfId="2059"/>
    <cellStyle name="Comma 47 3 2 2" xfId="2060"/>
    <cellStyle name="Comma 47 3 2 2 2" xfId="2061"/>
    <cellStyle name="Comma 47 3 2 3" xfId="2062"/>
    <cellStyle name="Comma 47 3 3" xfId="2063"/>
    <cellStyle name="Comma 47 3 3 2" xfId="2064"/>
    <cellStyle name="Comma 47 3 4" xfId="2065"/>
    <cellStyle name="Comma 47 3 4 2" xfId="2066"/>
    <cellStyle name="Comma 47 3 5" xfId="2067"/>
    <cellStyle name="Comma 47 4" xfId="2068"/>
    <cellStyle name="Comma 47 4 2" xfId="2069"/>
    <cellStyle name="Comma 47 4 2 2" xfId="2070"/>
    <cellStyle name="Comma 47 4 2 2 2" xfId="2071"/>
    <cellStyle name="Comma 47 4 2 3" xfId="2072"/>
    <cellStyle name="Comma 47 4 3" xfId="2073"/>
    <cellStyle name="Comma 47 4 3 2" xfId="2074"/>
    <cellStyle name="Comma 47 4 4" xfId="2075"/>
    <cellStyle name="Comma 47 4 4 2" xfId="2076"/>
    <cellStyle name="Comma 47 4 5" xfId="2077"/>
    <cellStyle name="Comma 47 5" xfId="2078"/>
    <cellStyle name="Comma 47 5 2" xfId="2079"/>
    <cellStyle name="Comma 47 5 2 2" xfId="2080"/>
    <cellStyle name="Comma 47 5 2 2 2" xfId="2081"/>
    <cellStyle name="Comma 47 5 2 3" xfId="2082"/>
    <cellStyle name="Comma 47 5 3" xfId="2083"/>
    <cellStyle name="Comma 47 5 3 2" xfId="2084"/>
    <cellStyle name="Comma 47 5 4" xfId="2085"/>
    <cellStyle name="Comma 47 5 4 2" xfId="2086"/>
    <cellStyle name="Comma 47 5 5" xfId="2087"/>
    <cellStyle name="Comma 47 6" xfId="2088"/>
    <cellStyle name="Comma 47 6 2" xfId="2089"/>
    <cellStyle name="Comma 47 6 2 2" xfId="2090"/>
    <cellStyle name="Comma 47 6 2 2 2" xfId="2091"/>
    <cellStyle name="Comma 47 6 2 3" xfId="2092"/>
    <cellStyle name="Comma 47 6 3" xfId="2093"/>
    <cellStyle name="Comma 47 6 3 2" xfId="2094"/>
    <cellStyle name="Comma 47 6 4" xfId="2095"/>
    <cellStyle name="Comma 47 6 4 2" xfId="2096"/>
    <cellStyle name="Comma 47 6 5" xfId="2097"/>
    <cellStyle name="Comma 47 7" xfId="2098"/>
    <cellStyle name="Comma 47 7 2" xfId="2099"/>
    <cellStyle name="Comma 47 7 2 2" xfId="2100"/>
    <cellStyle name="Comma 47 7 2 2 2" xfId="2101"/>
    <cellStyle name="Comma 47 7 2 3" xfId="2102"/>
    <cellStyle name="Comma 47 7 3" xfId="2103"/>
    <cellStyle name="Comma 47 7 3 2" xfId="2104"/>
    <cellStyle name="Comma 47 7 4" xfId="2105"/>
    <cellStyle name="Comma 47 8" xfId="2106"/>
    <cellStyle name="Comma 47 8 2" xfId="2107"/>
    <cellStyle name="Comma 47 8 2 2" xfId="2108"/>
    <cellStyle name="Comma 47 8 2 2 2" xfId="2109"/>
    <cellStyle name="Comma 47 8 2 3" xfId="2110"/>
    <cellStyle name="Comma 47 8 3" xfId="2111"/>
    <cellStyle name="Comma 47 8 3 2" xfId="2112"/>
    <cellStyle name="Comma 47 8 4" xfId="2113"/>
    <cellStyle name="Comma 47 9" xfId="2114"/>
    <cellStyle name="Comma 47 9 2" xfId="2115"/>
    <cellStyle name="Comma 47 9 2 2" xfId="2116"/>
    <cellStyle name="Comma 47 9 3" xfId="2117"/>
    <cellStyle name="Comma 48" xfId="2118"/>
    <cellStyle name="Comma 48 10" xfId="2119"/>
    <cellStyle name="Comma 48 10 2" xfId="2120"/>
    <cellStyle name="Comma 48 11" xfId="2121"/>
    <cellStyle name="Comma 48 11 2" xfId="2122"/>
    <cellStyle name="Comma 48 12" xfId="2123"/>
    <cellStyle name="Comma 48 2" xfId="2124"/>
    <cellStyle name="Comma 48 2 2" xfId="2125"/>
    <cellStyle name="Comma 48 2 2 2" xfId="2126"/>
    <cellStyle name="Comma 48 2 2 2 2" xfId="2127"/>
    <cellStyle name="Comma 48 2 2 3" xfId="2128"/>
    <cellStyle name="Comma 48 2 3" xfId="2129"/>
    <cellStyle name="Comma 48 2 3 2" xfId="2130"/>
    <cellStyle name="Comma 48 2 4" xfId="2131"/>
    <cellStyle name="Comma 48 2 4 2" xfId="2132"/>
    <cellStyle name="Comma 48 2 5" xfId="2133"/>
    <cellStyle name="Comma 48 3" xfId="2134"/>
    <cellStyle name="Comma 48 3 2" xfId="2135"/>
    <cellStyle name="Comma 48 3 2 2" xfId="2136"/>
    <cellStyle name="Comma 48 3 2 2 2" xfId="2137"/>
    <cellStyle name="Comma 48 3 2 3" xfId="2138"/>
    <cellStyle name="Comma 48 3 3" xfId="2139"/>
    <cellStyle name="Comma 48 3 3 2" xfId="2140"/>
    <cellStyle name="Comma 48 3 4" xfId="2141"/>
    <cellStyle name="Comma 48 3 4 2" xfId="2142"/>
    <cellStyle name="Comma 48 3 5" xfId="2143"/>
    <cellStyle name="Comma 48 4" xfId="2144"/>
    <cellStyle name="Comma 48 4 2" xfId="2145"/>
    <cellStyle name="Comma 48 4 2 2" xfId="2146"/>
    <cellStyle name="Comma 48 4 2 2 2" xfId="2147"/>
    <cellStyle name="Comma 48 4 2 3" xfId="2148"/>
    <cellStyle name="Comma 48 4 3" xfId="2149"/>
    <cellStyle name="Comma 48 4 3 2" xfId="2150"/>
    <cellStyle name="Comma 48 4 4" xfId="2151"/>
    <cellStyle name="Comma 48 4 4 2" xfId="2152"/>
    <cellStyle name="Comma 48 4 5" xfId="2153"/>
    <cellStyle name="Comma 48 5" xfId="2154"/>
    <cellStyle name="Comma 48 5 2" xfId="2155"/>
    <cellStyle name="Comma 48 5 2 2" xfId="2156"/>
    <cellStyle name="Comma 48 5 2 2 2" xfId="2157"/>
    <cellStyle name="Comma 48 5 2 3" xfId="2158"/>
    <cellStyle name="Comma 48 5 3" xfId="2159"/>
    <cellStyle name="Comma 48 5 3 2" xfId="2160"/>
    <cellStyle name="Comma 48 5 4" xfId="2161"/>
    <cellStyle name="Comma 48 5 4 2" xfId="2162"/>
    <cellStyle name="Comma 48 5 5" xfId="2163"/>
    <cellStyle name="Comma 48 6" xfId="2164"/>
    <cellStyle name="Comma 48 6 2" xfId="2165"/>
    <cellStyle name="Comma 48 6 2 2" xfId="2166"/>
    <cellStyle name="Comma 48 6 2 2 2" xfId="2167"/>
    <cellStyle name="Comma 48 6 2 3" xfId="2168"/>
    <cellStyle name="Comma 48 6 3" xfId="2169"/>
    <cellStyle name="Comma 48 6 3 2" xfId="2170"/>
    <cellStyle name="Comma 48 6 4" xfId="2171"/>
    <cellStyle name="Comma 48 6 4 2" xfId="2172"/>
    <cellStyle name="Comma 48 6 5" xfId="2173"/>
    <cellStyle name="Comma 48 7" xfId="2174"/>
    <cellStyle name="Comma 48 7 2" xfId="2175"/>
    <cellStyle name="Comma 48 7 2 2" xfId="2176"/>
    <cellStyle name="Comma 48 7 2 2 2" xfId="2177"/>
    <cellStyle name="Comma 48 7 2 3" xfId="2178"/>
    <cellStyle name="Comma 48 7 3" xfId="2179"/>
    <cellStyle name="Comma 48 7 3 2" xfId="2180"/>
    <cellStyle name="Comma 48 7 4" xfId="2181"/>
    <cellStyle name="Comma 48 8" xfId="2182"/>
    <cellStyle name="Comma 48 8 2" xfId="2183"/>
    <cellStyle name="Comma 48 8 2 2" xfId="2184"/>
    <cellStyle name="Comma 48 8 2 2 2" xfId="2185"/>
    <cellStyle name="Comma 48 8 2 3" xfId="2186"/>
    <cellStyle name="Comma 48 8 3" xfId="2187"/>
    <cellStyle name="Comma 48 8 3 2" xfId="2188"/>
    <cellStyle name="Comma 48 8 4" xfId="2189"/>
    <cellStyle name="Comma 48 9" xfId="2190"/>
    <cellStyle name="Comma 48 9 2" xfId="2191"/>
    <cellStyle name="Comma 48 9 2 2" xfId="2192"/>
    <cellStyle name="Comma 48 9 3" xfId="2193"/>
    <cellStyle name="Comma 49" xfId="2194"/>
    <cellStyle name="Comma 49 10" xfId="2195"/>
    <cellStyle name="Comma 49 10 2" xfId="2196"/>
    <cellStyle name="Comma 49 11" xfId="2197"/>
    <cellStyle name="Comma 49 11 2" xfId="2198"/>
    <cellStyle name="Comma 49 12" xfId="2199"/>
    <cellStyle name="Comma 49 2" xfId="2200"/>
    <cellStyle name="Comma 49 2 2" xfId="2201"/>
    <cellStyle name="Comma 49 2 2 2" xfId="2202"/>
    <cellStyle name="Comma 49 2 2 2 2" xfId="2203"/>
    <cellStyle name="Comma 49 2 2 3" xfId="2204"/>
    <cellStyle name="Comma 49 2 3" xfId="2205"/>
    <cellStyle name="Comma 49 2 3 2" xfId="2206"/>
    <cellStyle name="Comma 49 2 4" xfId="2207"/>
    <cellStyle name="Comma 49 2 4 2" xfId="2208"/>
    <cellStyle name="Comma 49 2 5" xfId="2209"/>
    <cellStyle name="Comma 49 3" xfId="2210"/>
    <cellStyle name="Comma 49 3 2" xfId="2211"/>
    <cellStyle name="Comma 49 3 2 2" xfId="2212"/>
    <cellStyle name="Comma 49 3 2 2 2" xfId="2213"/>
    <cellStyle name="Comma 49 3 2 3" xfId="2214"/>
    <cellStyle name="Comma 49 3 3" xfId="2215"/>
    <cellStyle name="Comma 49 3 3 2" xfId="2216"/>
    <cellStyle name="Comma 49 3 4" xfId="2217"/>
    <cellStyle name="Comma 49 3 4 2" xfId="2218"/>
    <cellStyle name="Comma 49 3 5" xfId="2219"/>
    <cellStyle name="Comma 49 4" xfId="2220"/>
    <cellStyle name="Comma 49 4 2" xfId="2221"/>
    <cellStyle name="Comma 49 4 2 2" xfId="2222"/>
    <cellStyle name="Comma 49 4 2 2 2" xfId="2223"/>
    <cellStyle name="Comma 49 4 2 3" xfId="2224"/>
    <cellStyle name="Comma 49 4 3" xfId="2225"/>
    <cellStyle name="Comma 49 4 3 2" xfId="2226"/>
    <cellStyle name="Comma 49 4 4" xfId="2227"/>
    <cellStyle name="Comma 49 4 4 2" xfId="2228"/>
    <cellStyle name="Comma 49 4 5" xfId="2229"/>
    <cellStyle name="Comma 49 5" xfId="2230"/>
    <cellStyle name="Comma 49 5 2" xfId="2231"/>
    <cellStyle name="Comma 49 5 2 2" xfId="2232"/>
    <cellStyle name="Comma 49 5 2 2 2" xfId="2233"/>
    <cellStyle name="Comma 49 5 2 3" xfId="2234"/>
    <cellStyle name="Comma 49 5 3" xfId="2235"/>
    <cellStyle name="Comma 49 5 3 2" xfId="2236"/>
    <cellStyle name="Comma 49 5 4" xfId="2237"/>
    <cellStyle name="Comma 49 5 4 2" xfId="2238"/>
    <cellStyle name="Comma 49 5 5" xfId="2239"/>
    <cellStyle name="Comma 49 6" xfId="2240"/>
    <cellStyle name="Comma 49 6 2" xfId="2241"/>
    <cellStyle name="Comma 49 6 2 2" xfId="2242"/>
    <cellStyle name="Comma 49 6 2 2 2" xfId="2243"/>
    <cellStyle name="Comma 49 6 2 3" xfId="2244"/>
    <cellStyle name="Comma 49 6 3" xfId="2245"/>
    <cellStyle name="Comma 49 6 3 2" xfId="2246"/>
    <cellStyle name="Comma 49 6 4" xfId="2247"/>
    <cellStyle name="Comma 49 6 4 2" xfId="2248"/>
    <cellStyle name="Comma 49 6 5" xfId="2249"/>
    <cellStyle name="Comma 49 7" xfId="2250"/>
    <cellStyle name="Comma 49 7 2" xfId="2251"/>
    <cellStyle name="Comma 49 7 2 2" xfId="2252"/>
    <cellStyle name="Comma 49 7 2 2 2" xfId="2253"/>
    <cellStyle name="Comma 49 7 2 3" xfId="2254"/>
    <cellStyle name="Comma 49 7 3" xfId="2255"/>
    <cellStyle name="Comma 49 7 3 2" xfId="2256"/>
    <cellStyle name="Comma 49 7 4" xfId="2257"/>
    <cellStyle name="Comma 49 8" xfId="2258"/>
    <cellStyle name="Comma 49 8 2" xfId="2259"/>
    <cellStyle name="Comma 49 8 2 2" xfId="2260"/>
    <cellStyle name="Comma 49 8 2 2 2" xfId="2261"/>
    <cellStyle name="Comma 49 8 2 3" xfId="2262"/>
    <cellStyle name="Comma 49 8 3" xfId="2263"/>
    <cellStyle name="Comma 49 8 3 2" xfId="2264"/>
    <cellStyle name="Comma 49 8 4" xfId="2265"/>
    <cellStyle name="Comma 49 9" xfId="2266"/>
    <cellStyle name="Comma 49 9 2" xfId="2267"/>
    <cellStyle name="Comma 49 9 2 2" xfId="2268"/>
    <cellStyle name="Comma 49 9 3" xfId="2269"/>
    <cellStyle name="Comma 5" xfId="8"/>
    <cellStyle name="Comma 5 10" xfId="422"/>
    <cellStyle name="Comma 5 10 2" xfId="918"/>
    <cellStyle name="Comma 5 10 2 2" xfId="14879"/>
    <cellStyle name="Comma 5 10 2 3" xfId="21031"/>
    <cellStyle name="Comma 5 10 2 4" xfId="8686"/>
    <cellStyle name="Comma 5 10 3" xfId="11813"/>
    <cellStyle name="Comma 5 10 4" xfId="17965"/>
    <cellStyle name="Comma 5 10 5" xfId="5582"/>
    <cellStyle name="Comma 5 10 6" xfId="22881"/>
    <cellStyle name="Comma 5 11" xfId="433"/>
    <cellStyle name="Comma 5 11 2" xfId="921"/>
    <cellStyle name="Comma 5 11 2 2" xfId="13345"/>
    <cellStyle name="Comma 5 11 3" xfId="19497"/>
    <cellStyle name="Comma 5 11 4" xfId="7151"/>
    <cellStyle name="Comma 5 11 5" xfId="22884"/>
    <cellStyle name="Comma 5 12" xfId="441"/>
    <cellStyle name="Comma 5 12 2" xfId="924"/>
    <cellStyle name="Comma 5 12 3" xfId="10279"/>
    <cellStyle name="Comma 5 12 4" xfId="22887"/>
    <cellStyle name="Comma 5 13" xfId="444"/>
    <cellStyle name="Comma 5 13 2" xfId="927"/>
    <cellStyle name="Comma 5 13 3" xfId="16431"/>
    <cellStyle name="Comma 5 13 4" xfId="22890"/>
    <cellStyle name="Comma 5 14" xfId="447"/>
    <cellStyle name="Comma 5 14 2" xfId="930"/>
    <cellStyle name="Comma 5 14 3" xfId="1280"/>
    <cellStyle name="Comma 5 14 4" xfId="22893"/>
    <cellStyle name="Comma 5 15" xfId="512"/>
    <cellStyle name="Comma 5 15 2" xfId="946"/>
    <cellStyle name="Comma 5 15 3" xfId="22765"/>
    <cellStyle name="Comma 5 15 4" xfId="22909"/>
    <cellStyle name="Comma 5 16" xfId="542"/>
    <cellStyle name="Comma 5 16 2" xfId="962"/>
    <cellStyle name="Comma 5 16 3" xfId="22702"/>
    <cellStyle name="Comma 5 16 4" xfId="22925"/>
    <cellStyle name="Comma 5 17" xfId="569"/>
    <cellStyle name="Comma 5 17 2" xfId="978"/>
    <cellStyle name="Comma 5 17 3" xfId="22620"/>
    <cellStyle name="Comma 5 17 4" xfId="22941"/>
    <cellStyle name="Comma 5 18" xfId="595"/>
    <cellStyle name="Comma 5 18 2" xfId="994"/>
    <cellStyle name="Comma 5 18 3" xfId="22810"/>
    <cellStyle name="Comma 5 18 4" xfId="22957"/>
    <cellStyle name="Comma 5 19" xfId="621"/>
    <cellStyle name="Comma 5 19 2" xfId="1010"/>
    <cellStyle name="Comma 5 19 3" xfId="22671"/>
    <cellStyle name="Comma 5 19 4" xfId="22973"/>
    <cellStyle name="Comma 5 2" xfId="87"/>
    <cellStyle name="Comma 5 2 10" xfId="16437"/>
    <cellStyle name="Comma 5 2 11" xfId="1295"/>
    <cellStyle name="Comma 5 2 12" xfId="22857"/>
    <cellStyle name="Comma 5 2 13" xfId="298"/>
    <cellStyle name="Comma 5 2 2" xfId="894"/>
    <cellStyle name="Comma 5 2 2 2" xfId="4725"/>
    <cellStyle name="Comma 5 2 2 2 2" xfId="5501"/>
    <cellStyle name="Comma 5 2 2 2 2 2" xfId="7126"/>
    <cellStyle name="Comma 5 2 2 2 2 2 2" xfId="10212"/>
    <cellStyle name="Comma 5 2 2 2 2 2 2 2" xfId="16405"/>
    <cellStyle name="Comma 5 2 2 2 2 2 2 3" xfId="22557"/>
    <cellStyle name="Comma 5 2 2 2 2 2 3" xfId="13339"/>
    <cellStyle name="Comma 5 2 2 2 2 2 4" xfId="19491"/>
    <cellStyle name="Comma 5 2 2 2 2 3" xfId="8677"/>
    <cellStyle name="Comma 5 2 2 2 2 3 2" xfId="14871"/>
    <cellStyle name="Comma 5 2 2 2 2 3 3" xfId="21023"/>
    <cellStyle name="Comma 5 2 2 2 2 4" xfId="11805"/>
    <cellStyle name="Comma 5 2 2 2 2 5" xfId="17957"/>
    <cellStyle name="Comma 5 2 2 2 3" xfId="6357"/>
    <cellStyle name="Comma 5 2 2 2 3 2" xfId="9443"/>
    <cellStyle name="Comma 5 2 2 2 3 2 2" xfId="15636"/>
    <cellStyle name="Comma 5 2 2 2 3 2 3" xfId="21788"/>
    <cellStyle name="Comma 5 2 2 2 3 3" xfId="12570"/>
    <cellStyle name="Comma 5 2 2 2 3 4" xfId="18722"/>
    <cellStyle name="Comma 5 2 2 2 4" xfId="7908"/>
    <cellStyle name="Comma 5 2 2 2 4 2" xfId="14102"/>
    <cellStyle name="Comma 5 2 2 2 4 3" xfId="20254"/>
    <cellStyle name="Comma 5 2 2 2 5" xfId="11036"/>
    <cellStyle name="Comma 5 2 2 2 6" xfId="17188"/>
    <cellStyle name="Comma 5 2 2 3" xfId="2272"/>
    <cellStyle name="Comma 5 2 2 4" xfId="4761"/>
    <cellStyle name="Comma 5 2 2 4 2" xfId="6386"/>
    <cellStyle name="Comma 5 2 2 4 2 2" xfId="9472"/>
    <cellStyle name="Comma 5 2 2 4 2 2 2" xfId="15665"/>
    <cellStyle name="Comma 5 2 2 4 2 2 3" xfId="21817"/>
    <cellStyle name="Comma 5 2 2 4 2 3" xfId="12599"/>
    <cellStyle name="Comma 5 2 2 4 2 4" xfId="18751"/>
    <cellStyle name="Comma 5 2 2 4 3" xfId="7937"/>
    <cellStyle name="Comma 5 2 2 4 3 2" xfId="14131"/>
    <cellStyle name="Comma 5 2 2 4 3 3" xfId="20283"/>
    <cellStyle name="Comma 5 2 2 4 4" xfId="11065"/>
    <cellStyle name="Comma 5 2 2 4 5" xfId="17217"/>
    <cellStyle name="Comma 5 2 2 5" xfId="5600"/>
    <cellStyle name="Comma 5 2 2 5 2" xfId="8703"/>
    <cellStyle name="Comma 5 2 2 5 2 2" xfId="14896"/>
    <cellStyle name="Comma 5 2 2 5 2 3" xfId="21048"/>
    <cellStyle name="Comma 5 2 2 5 3" xfId="11830"/>
    <cellStyle name="Comma 5 2 2 5 4" xfId="17982"/>
    <cellStyle name="Comma 5 2 2 6" xfId="7168"/>
    <cellStyle name="Comma 5 2 2 6 2" xfId="13362"/>
    <cellStyle name="Comma 5 2 2 6 3" xfId="19514"/>
    <cellStyle name="Comma 5 2 2 7" xfId="10296"/>
    <cellStyle name="Comma 5 2 2 8" xfId="16448"/>
    <cellStyle name="Comma 5 2 2 9" xfId="1314"/>
    <cellStyle name="Comma 5 2 3" xfId="2273"/>
    <cellStyle name="Comma 5 2 4" xfId="4708"/>
    <cellStyle name="Comma 5 2 4 2" xfId="5492"/>
    <cellStyle name="Comma 5 2 4 2 2" xfId="7117"/>
    <cellStyle name="Comma 5 2 4 2 2 2" xfId="10203"/>
    <cellStyle name="Comma 5 2 4 2 2 2 2" xfId="16396"/>
    <cellStyle name="Comma 5 2 4 2 2 2 3" xfId="22548"/>
    <cellStyle name="Comma 5 2 4 2 2 3" xfId="13330"/>
    <cellStyle name="Comma 5 2 4 2 2 4" xfId="19482"/>
    <cellStyle name="Comma 5 2 4 2 3" xfId="8668"/>
    <cellStyle name="Comma 5 2 4 2 3 2" xfId="14862"/>
    <cellStyle name="Comma 5 2 4 2 3 3" xfId="21014"/>
    <cellStyle name="Comma 5 2 4 2 4" xfId="11796"/>
    <cellStyle name="Comma 5 2 4 2 5" xfId="17948"/>
    <cellStyle name="Comma 5 2 4 3" xfId="6348"/>
    <cellStyle name="Comma 5 2 4 3 2" xfId="9434"/>
    <cellStyle name="Comma 5 2 4 3 2 2" xfId="15627"/>
    <cellStyle name="Comma 5 2 4 3 2 3" xfId="21779"/>
    <cellStyle name="Comma 5 2 4 3 3" xfId="12561"/>
    <cellStyle name="Comma 5 2 4 3 4" xfId="18713"/>
    <cellStyle name="Comma 5 2 4 4" xfId="7899"/>
    <cellStyle name="Comma 5 2 4 4 2" xfId="14093"/>
    <cellStyle name="Comma 5 2 4 4 3" xfId="20245"/>
    <cellStyle name="Comma 5 2 4 5" xfId="11027"/>
    <cellStyle name="Comma 5 2 4 6" xfId="17179"/>
    <cellStyle name="Comma 5 2 5" xfId="2271"/>
    <cellStyle name="Comma 5 2 6" xfId="4750"/>
    <cellStyle name="Comma 5 2 6 2" xfId="6375"/>
    <cellStyle name="Comma 5 2 6 2 2" xfId="9461"/>
    <cellStyle name="Comma 5 2 6 2 2 2" xfId="15654"/>
    <cellStyle name="Comma 5 2 6 2 2 3" xfId="21806"/>
    <cellStyle name="Comma 5 2 6 2 3" xfId="12588"/>
    <cellStyle name="Comma 5 2 6 2 4" xfId="18740"/>
    <cellStyle name="Comma 5 2 6 3" xfId="7926"/>
    <cellStyle name="Comma 5 2 6 3 2" xfId="14120"/>
    <cellStyle name="Comma 5 2 6 3 3" xfId="20272"/>
    <cellStyle name="Comma 5 2 6 4" xfId="11054"/>
    <cellStyle name="Comma 5 2 6 5" xfId="17206"/>
    <cellStyle name="Comma 5 2 7" xfId="5588"/>
    <cellStyle name="Comma 5 2 7 2" xfId="8692"/>
    <cellStyle name="Comma 5 2 7 2 2" xfId="14885"/>
    <cellStyle name="Comma 5 2 7 2 3" xfId="21037"/>
    <cellStyle name="Comma 5 2 7 3" xfId="11819"/>
    <cellStyle name="Comma 5 2 7 4" xfId="17971"/>
    <cellStyle name="Comma 5 2 8" xfId="7157"/>
    <cellStyle name="Comma 5 2 8 2" xfId="13351"/>
    <cellStyle name="Comma 5 2 8 3" xfId="19503"/>
    <cellStyle name="Comma 5 2 9" xfId="10285"/>
    <cellStyle name="Comma 5 20" xfId="645"/>
    <cellStyle name="Comma 5 20 2" xfId="1026"/>
    <cellStyle name="Comma 5 20 3" xfId="22782"/>
    <cellStyle name="Comma 5 20 4" xfId="22989"/>
    <cellStyle name="Comma 5 21" xfId="671"/>
    <cellStyle name="Comma 5 21 2" xfId="1042"/>
    <cellStyle name="Comma 5 21 3" xfId="22767"/>
    <cellStyle name="Comma 5 21 4" xfId="23005"/>
    <cellStyle name="Comma 5 22" xfId="711"/>
    <cellStyle name="Comma 5 22 2" xfId="1058"/>
    <cellStyle name="Comma 5 22 3" xfId="22733"/>
    <cellStyle name="Comma 5 22 4" xfId="23021"/>
    <cellStyle name="Comma 5 23" xfId="739"/>
    <cellStyle name="Comma 5 23 2" xfId="1074"/>
    <cellStyle name="Comma 5 23 3" xfId="22734"/>
    <cellStyle name="Comma 5 23 4" xfId="23037"/>
    <cellStyle name="Comma 5 24" xfId="765"/>
    <cellStyle name="Comma 5 24 2" xfId="1090"/>
    <cellStyle name="Comma 5 24 3" xfId="22681"/>
    <cellStyle name="Comma 5 24 4" xfId="23053"/>
    <cellStyle name="Comma 5 25" xfId="790"/>
    <cellStyle name="Comma 5 25 2" xfId="1106"/>
    <cellStyle name="Comma 5 25 3" xfId="22706"/>
    <cellStyle name="Comma 5 25 4" xfId="23069"/>
    <cellStyle name="Comma 5 26" xfId="814"/>
    <cellStyle name="Comma 5 26 2" xfId="1122"/>
    <cellStyle name="Comma 5 26 3" xfId="22794"/>
    <cellStyle name="Comma 5 26 4" xfId="23085"/>
    <cellStyle name="Comma 5 27" xfId="830"/>
    <cellStyle name="Comma 5 27 2" xfId="1138"/>
    <cellStyle name="Comma 5 27 3" xfId="22698"/>
    <cellStyle name="Comma 5 27 4" xfId="23101"/>
    <cellStyle name="Comma 5 28" xfId="846"/>
    <cellStyle name="Comma 5 28 2" xfId="1154"/>
    <cellStyle name="Comma 5 28 3" xfId="22633"/>
    <cellStyle name="Comma 5 28 4" xfId="23117"/>
    <cellStyle name="Comma 5 29" xfId="873"/>
    <cellStyle name="Comma 5 3" xfId="321"/>
    <cellStyle name="Comma 5 3 10" xfId="22860"/>
    <cellStyle name="Comma 5 3 2" xfId="897"/>
    <cellStyle name="Comma 5 3 2 2" xfId="5496"/>
    <cellStyle name="Comma 5 3 2 2 2" xfId="7121"/>
    <cellStyle name="Comma 5 3 2 2 2 2" xfId="10207"/>
    <cellStyle name="Comma 5 3 2 2 2 2 2" xfId="16400"/>
    <cellStyle name="Comma 5 3 2 2 2 2 3" xfId="22552"/>
    <cellStyle name="Comma 5 3 2 2 2 3" xfId="13334"/>
    <cellStyle name="Comma 5 3 2 2 2 4" xfId="19486"/>
    <cellStyle name="Comma 5 3 2 2 3" xfId="8672"/>
    <cellStyle name="Comma 5 3 2 2 3 2" xfId="14866"/>
    <cellStyle name="Comma 5 3 2 2 3 3" xfId="21018"/>
    <cellStyle name="Comma 5 3 2 2 4" xfId="11800"/>
    <cellStyle name="Comma 5 3 2 2 5" xfId="17952"/>
    <cellStyle name="Comma 5 3 2 3" xfId="6352"/>
    <cellStyle name="Comma 5 3 2 3 2" xfId="9438"/>
    <cellStyle name="Comma 5 3 2 3 2 2" xfId="15631"/>
    <cellStyle name="Comma 5 3 2 3 2 3" xfId="21783"/>
    <cellStyle name="Comma 5 3 2 3 3" xfId="12565"/>
    <cellStyle name="Comma 5 3 2 3 4" xfId="18717"/>
    <cellStyle name="Comma 5 3 2 4" xfId="7903"/>
    <cellStyle name="Comma 5 3 2 4 2" xfId="14097"/>
    <cellStyle name="Comma 5 3 2 4 3" xfId="20249"/>
    <cellStyle name="Comma 5 3 2 5" xfId="11031"/>
    <cellStyle name="Comma 5 3 2 6" xfId="17183"/>
    <cellStyle name="Comma 5 3 2 7" xfId="4720"/>
    <cellStyle name="Comma 5 3 3" xfId="2274"/>
    <cellStyle name="Comma 5 3 4" xfId="4755"/>
    <cellStyle name="Comma 5 3 4 2" xfId="6380"/>
    <cellStyle name="Comma 5 3 4 2 2" xfId="9466"/>
    <cellStyle name="Comma 5 3 4 2 2 2" xfId="15659"/>
    <cellStyle name="Comma 5 3 4 2 2 3" xfId="21811"/>
    <cellStyle name="Comma 5 3 4 2 3" xfId="12593"/>
    <cellStyle name="Comma 5 3 4 2 4" xfId="18745"/>
    <cellStyle name="Comma 5 3 4 3" xfId="7931"/>
    <cellStyle name="Comma 5 3 4 3 2" xfId="14125"/>
    <cellStyle name="Comma 5 3 4 3 3" xfId="20277"/>
    <cellStyle name="Comma 5 3 4 4" xfId="11059"/>
    <cellStyle name="Comma 5 3 4 5" xfId="17211"/>
    <cellStyle name="Comma 5 3 5" xfId="5594"/>
    <cellStyle name="Comma 5 3 5 2" xfId="8697"/>
    <cellStyle name="Comma 5 3 5 2 2" xfId="14890"/>
    <cellStyle name="Comma 5 3 5 2 3" xfId="21042"/>
    <cellStyle name="Comma 5 3 5 3" xfId="11824"/>
    <cellStyle name="Comma 5 3 5 4" xfId="17976"/>
    <cellStyle name="Comma 5 3 6" xfId="7162"/>
    <cellStyle name="Comma 5 3 6 2" xfId="13356"/>
    <cellStyle name="Comma 5 3 6 3" xfId="19508"/>
    <cellStyle name="Comma 5 3 7" xfId="10290"/>
    <cellStyle name="Comma 5 3 8" xfId="16442"/>
    <cellStyle name="Comma 5 3 9" xfId="1308"/>
    <cellStyle name="Comma 5 30" xfId="1168"/>
    <cellStyle name="Comma 5 31" xfId="22836"/>
    <cellStyle name="Comma 5 32" xfId="219"/>
    <cellStyle name="Comma 5 4" xfId="336"/>
    <cellStyle name="Comma 5 4 2" xfId="900"/>
    <cellStyle name="Comma 5 4 3" xfId="2275"/>
    <cellStyle name="Comma 5 4 4" xfId="22608"/>
    <cellStyle name="Comma 5 4 5" xfId="22863"/>
    <cellStyle name="Comma 5 5" xfId="350"/>
    <cellStyle name="Comma 5 5 2" xfId="903"/>
    <cellStyle name="Comma 5 5 2 2" xfId="2277"/>
    <cellStyle name="Comma 5 5 3" xfId="2278"/>
    <cellStyle name="Comma 5 5 4" xfId="2276"/>
    <cellStyle name="Comma 5 5 5" xfId="22653"/>
    <cellStyle name="Comma 5 5 6" xfId="22866"/>
    <cellStyle name="Comma 5 6" xfId="366"/>
    <cellStyle name="Comma 5 6 2" xfId="906"/>
    <cellStyle name="Comma 5 6 3" xfId="2279"/>
    <cellStyle name="Comma 5 6 4" xfId="22811"/>
    <cellStyle name="Comma 5 6 5" xfId="22869"/>
    <cellStyle name="Comma 5 7" xfId="381"/>
    <cellStyle name="Comma 5 7 2" xfId="909"/>
    <cellStyle name="Comma 5 7 2 2" xfId="7113"/>
    <cellStyle name="Comma 5 7 2 2 2" xfId="10199"/>
    <cellStyle name="Comma 5 7 2 2 2 2" xfId="16392"/>
    <cellStyle name="Comma 5 7 2 2 2 3" xfId="22544"/>
    <cellStyle name="Comma 5 7 2 2 3" xfId="13326"/>
    <cellStyle name="Comma 5 7 2 2 4" xfId="19478"/>
    <cellStyle name="Comma 5 7 2 3" xfId="8664"/>
    <cellStyle name="Comma 5 7 2 3 2" xfId="14858"/>
    <cellStyle name="Comma 5 7 2 3 3" xfId="21010"/>
    <cellStyle name="Comma 5 7 2 4" xfId="11792"/>
    <cellStyle name="Comma 5 7 2 5" xfId="17944"/>
    <cellStyle name="Comma 5 7 2 6" xfId="5488"/>
    <cellStyle name="Comma 5 7 3" xfId="6344"/>
    <cellStyle name="Comma 5 7 3 2" xfId="9430"/>
    <cellStyle name="Comma 5 7 3 2 2" xfId="15623"/>
    <cellStyle name="Comma 5 7 3 2 3" xfId="21775"/>
    <cellStyle name="Comma 5 7 3 3" xfId="12557"/>
    <cellStyle name="Comma 5 7 3 4" xfId="18709"/>
    <cellStyle name="Comma 5 7 4" xfId="7895"/>
    <cellStyle name="Comma 5 7 4 2" xfId="14089"/>
    <cellStyle name="Comma 5 7 4 3" xfId="20241"/>
    <cellStyle name="Comma 5 7 5" xfId="11023"/>
    <cellStyle name="Comma 5 7 6" xfId="17175"/>
    <cellStyle name="Comma 5 7 7" xfId="4700"/>
    <cellStyle name="Comma 5 7 8" xfId="22872"/>
    <cellStyle name="Comma 5 8" xfId="397"/>
    <cellStyle name="Comma 5 8 2" xfId="912"/>
    <cellStyle name="Comma 5 8 3" xfId="2270"/>
    <cellStyle name="Comma 5 8 4" xfId="22715"/>
    <cellStyle name="Comma 5 8 5" xfId="22875"/>
    <cellStyle name="Comma 5 9" xfId="410"/>
    <cellStyle name="Comma 5 9 2" xfId="915"/>
    <cellStyle name="Comma 5 9 2 2" xfId="9455"/>
    <cellStyle name="Comma 5 9 2 2 2" xfId="15648"/>
    <cellStyle name="Comma 5 9 2 2 3" xfId="21800"/>
    <cellStyle name="Comma 5 9 2 3" xfId="12582"/>
    <cellStyle name="Comma 5 9 2 4" xfId="18734"/>
    <cellStyle name="Comma 5 9 2 5" xfId="6369"/>
    <cellStyle name="Comma 5 9 3" xfId="7920"/>
    <cellStyle name="Comma 5 9 3 2" xfId="14114"/>
    <cellStyle name="Comma 5 9 3 3" xfId="20266"/>
    <cellStyle name="Comma 5 9 4" xfId="11048"/>
    <cellStyle name="Comma 5 9 5" xfId="17200"/>
    <cellStyle name="Comma 5 9 6" xfId="4744"/>
    <cellStyle name="Comma 5 9 7" xfId="22878"/>
    <cellStyle name="Comma 50" xfId="2280"/>
    <cellStyle name="Comma 50 10" xfId="2281"/>
    <cellStyle name="Comma 50 10 2" xfId="2282"/>
    <cellStyle name="Comma 50 11" xfId="2283"/>
    <cellStyle name="Comma 50 11 2" xfId="2284"/>
    <cellStyle name="Comma 50 12" xfId="2285"/>
    <cellStyle name="Comma 50 2" xfId="2286"/>
    <cellStyle name="Comma 50 2 2" xfId="2287"/>
    <cellStyle name="Comma 50 2 2 2" xfId="2288"/>
    <cellStyle name="Comma 50 2 2 2 2" xfId="2289"/>
    <cellStyle name="Comma 50 2 2 3" xfId="2290"/>
    <cellStyle name="Comma 50 2 3" xfId="2291"/>
    <cellStyle name="Comma 50 2 3 2" xfId="2292"/>
    <cellStyle name="Comma 50 2 4" xfId="2293"/>
    <cellStyle name="Comma 50 2 4 2" xfId="2294"/>
    <cellStyle name="Comma 50 2 5" xfId="2295"/>
    <cellStyle name="Comma 50 3" xfId="2296"/>
    <cellStyle name="Comma 50 3 2" xfId="2297"/>
    <cellStyle name="Comma 50 3 2 2" xfId="2298"/>
    <cellStyle name="Comma 50 3 2 2 2" xfId="2299"/>
    <cellStyle name="Comma 50 3 2 3" xfId="2300"/>
    <cellStyle name="Comma 50 3 3" xfId="2301"/>
    <cellStyle name="Comma 50 3 3 2" xfId="2302"/>
    <cellStyle name="Comma 50 3 4" xfId="2303"/>
    <cellStyle name="Comma 50 3 4 2" xfId="2304"/>
    <cellStyle name="Comma 50 3 5" xfId="2305"/>
    <cellStyle name="Comma 50 4" xfId="2306"/>
    <cellStyle name="Comma 50 4 2" xfId="2307"/>
    <cellStyle name="Comma 50 4 2 2" xfId="2308"/>
    <cellStyle name="Comma 50 4 2 2 2" xfId="2309"/>
    <cellStyle name="Comma 50 4 2 3" xfId="2310"/>
    <cellStyle name="Comma 50 4 3" xfId="2311"/>
    <cellStyle name="Comma 50 4 3 2" xfId="2312"/>
    <cellStyle name="Comma 50 4 4" xfId="2313"/>
    <cellStyle name="Comma 50 4 4 2" xfId="2314"/>
    <cellStyle name="Comma 50 4 5" xfId="2315"/>
    <cellStyle name="Comma 50 5" xfId="2316"/>
    <cellStyle name="Comma 50 5 2" xfId="2317"/>
    <cellStyle name="Comma 50 5 2 2" xfId="2318"/>
    <cellStyle name="Comma 50 5 2 2 2" xfId="2319"/>
    <cellStyle name="Comma 50 5 2 3" xfId="2320"/>
    <cellStyle name="Comma 50 5 3" xfId="2321"/>
    <cellStyle name="Comma 50 5 3 2" xfId="2322"/>
    <cellStyle name="Comma 50 5 4" xfId="2323"/>
    <cellStyle name="Comma 50 5 4 2" xfId="2324"/>
    <cellStyle name="Comma 50 5 5" xfId="2325"/>
    <cellStyle name="Comma 50 6" xfId="2326"/>
    <cellStyle name="Comma 50 6 2" xfId="2327"/>
    <cellStyle name="Comma 50 6 2 2" xfId="2328"/>
    <cellStyle name="Comma 50 6 2 2 2" xfId="2329"/>
    <cellStyle name="Comma 50 6 2 3" xfId="2330"/>
    <cellStyle name="Comma 50 6 3" xfId="2331"/>
    <cellStyle name="Comma 50 6 3 2" xfId="2332"/>
    <cellStyle name="Comma 50 6 4" xfId="2333"/>
    <cellStyle name="Comma 50 6 4 2" xfId="2334"/>
    <cellStyle name="Comma 50 6 5" xfId="2335"/>
    <cellStyle name="Comma 50 7" xfId="2336"/>
    <cellStyle name="Comma 50 7 2" xfId="2337"/>
    <cellStyle name="Comma 50 7 2 2" xfId="2338"/>
    <cellStyle name="Comma 50 7 2 2 2" xfId="2339"/>
    <cellStyle name="Comma 50 7 2 3" xfId="2340"/>
    <cellStyle name="Comma 50 7 3" xfId="2341"/>
    <cellStyle name="Comma 50 7 3 2" xfId="2342"/>
    <cellStyle name="Comma 50 7 4" xfId="2343"/>
    <cellStyle name="Comma 50 8" xfId="2344"/>
    <cellStyle name="Comma 50 8 2" xfId="2345"/>
    <cellStyle name="Comma 50 8 2 2" xfId="2346"/>
    <cellStyle name="Comma 50 8 2 2 2" xfId="2347"/>
    <cellStyle name="Comma 50 8 2 3" xfId="2348"/>
    <cellStyle name="Comma 50 8 3" xfId="2349"/>
    <cellStyle name="Comma 50 8 3 2" xfId="2350"/>
    <cellStyle name="Comma 50 8 4" xfId="2351"/>
    <cellStyle name="Comma 50 9" xfId="2352"/>
    <cellStyle name="Comma 50 9 2" xfId="2353"/>
    <cellStyle name="Comma 50 9 2 2" xfId="2354"/>
    <cellStyle name="Comma 50 9 3" xfId="2355"/>
    <cellStyle name="Comma 51" xfId="2356"/>
    <cellStyle name="Comma 51 10" xfId="2357"/>
    <cellStyle name="Comma 51 10 2" xfId="2358"/>
    <cellStyle name="Comma 51 11" xfId="2359"/>
    <cellStyle name="Comma 51 11 2" xfId="2360"/>
    <cellStyle name="Comma 51 12" xfId="2361"/>
    <cellStyle name="Comma 51 2" xfId="2362"/>
    <cellStyle name="Comma 51 2 2" xfId="2363"/>
    <cellStyle name="Comma 51 2 2 2" xfId="2364"/>
    <cellStyle name="Comma 51 2 2 2 2" xfId="2365"/>
    <cellStyle name="Comma 51 2 2 3" xfId="2366"/>
    <cellStyle name="Comma 51 2 3" xfId="2367"/>
    <cellStyle name="Comma 51 2 3 2" xfId="2368"/>
    <cellStyle name="Comma 51 2 4" xfId="2369"/>
    <cellStyle name="Comma 51 2 4 2" xfId="2370"/>
    <cellStyle name="Comma 51 2 5" xfId="2371"/>
    <cellStyle name="Comma 51 3" xfId="2372"/>
    <cellStyle name="Comma 51 3 2" xfId="2373"/>
    <cellStyle name="Comma 51 3 2 2" xfId="2374"/>
    <cellStyle name="Comma 51 3 2 2 2" xfId="2375"/>
    <cellStyle name="Comma 51 3 2 3" xfId="2376"/>
    <cellStyle name="Comma 51 3 3" xfId="2377"/>
    <cellStyle name="Comma 51 3 3 2" xfId="2378"/>
    <cellStyle name="Comma 51 3 4" xfId="2379"/>
    <cellStyle name="Comma 51 3 4 2" xfId="2380"/>
    <cellStyle name="Comma 51 3 5" xfId="2381"/>
    <cellStyle name="Comma 51 4" xfId="2382"/>
    <cellStyle name="Comma 51 4 2" xfId="2383"/>
    <cellStyle name="Comma 51 4 2 2" xfId="2384"/>
    <cellStyle name="Comma 51 4 2 2 2" xfId="2385"/>
    <cellStyle name="Comma 51 4 2 3" xfId="2386"/>
    <cellStyle name="Comma 51 4 3" xfId="2387"/>
    <cellStyle name="Comma 51 4 3 2" xfId="2388"/>
    <cellStyle name="Comma 51 4 4" xfId="2389"/>
    <cellStyle name="Comma 51 4 4 2" xfId="2390"/>
    <cellStyle name="Comma 51 4 5" xfId="2391"/>
    <cellStyle name="Comma 51 5" xfId="2392"/>
    <cellStyle name="Comma 51 5 2" xfId="2393"/>
    <cellStyle name="Comma 51 5 2 2" xfId="2394"/>
    <cellStyle name="Comma 51 5 2 2 2" xfId="2395"/>
    <cellStyle name="Comma 51 5 2 3" xfId="2396"/>
    <cellStyle name="Comma 51 5 3" xfId="2397"/>
    <cellStyle name="Comma 51 5 3 2" xfId="2398"/>
    <cellStyle name="Comma 51 5 4" xfId="2399"/>
    <cellStyle name="Comma 51 5 4 2" xfId="2400"/>
    <cellStyle name="Comma 51 5 5" xfId="2401"/>
    <cellStyle name="Comma 51 6" xfId="2402"/>
    <cellStyle name="Comma 51 6 2" xfId="2403"/>
    <cellStyle name="Comma 51 6 2 2" xfId="2404"/>
    <cellStyle name="Comma 51 6 2 2 2" xfId="2405"/>
    <cellStyle name="Comma 51 6 2 3" xfId="2406"/>
    <cellStyle name="Comma 51 6 3" xfId="2407"/>
    <cellStyle name="Comma 51 6 3 2" xfId="2408"/>
    <cellStyle name="Comma 51 6 4" xfId="2409"/>
    <cellStyle name="Comma 51 6 4 2" xfId="2410"/>
    <cellStyle name="Comma 51 6 5" xfId="2411"/>
    <cellStyle name="Comma 51 7" xfId="2412"/>
    <cellStyle name="Comma 51 7 2" xfId="2413"/>
    <cellStyle name="Comma 51 7 2 2" xfId="2414"/>
    <cellStyle name="Comma 51 7 2 2 2" xfId="2415"/>
    <cellStyle name="Comma 51 7 2 3" xfId="2416"/>
    <cellStyle name="Comma 51 7 3" xfId="2417"/>
    <cellStyle name="Comma 51 7 3 2" xfId="2418"/>
    <cellStyle name="Comma 51 7 4" xfId="2419"/>
    <cellStyle name="Comma 51 8" xfId="2420"/>
    <cellStyle name="Comma 51 8 2" xfId="2421"/>
    <cellStyle name="Comma 51 8 2 2" xfId="2422"/>
    <cellStyle name="Comma 51 8 2 2 2" xfId="2423"/>
    <cellStyle name="Comma 51 8 2 3" xfId="2424"/>
    <cellStyle name="Comma 51 8 3" xfId="2425"/>
    <cellStyle name="Comma 51 8 3 2" xfId="2426"/>
    <cellStyle name="Comma 51 8 4" xfId="2427"/>
    <cellStyle name="Comma 51 9" xfId="2428"/>
    <cellStyle name="Comma 51 9 2" xfId="2429"/>
    <cellStyle name="Comma 51 9 2 2" xfId="2430"/>
    <cellStyle name="Comma 51 9 3" xfId="2431"/>
    <cellStyle name="Comma 52" xfId="2432"/>
    <cellStyle name="Comma 52 10" xfId="2433"/>
    <cellStyle name="Comma 52 10 2" xfId="2434"/>
    <cellStyle name="Comma 52 11" xfId="2435"/>
    <cellStyle name="Comma 52 11 2" xfId="2436"/>
    <cellStyle name="Comma 52 12" xfId="2437"/>
    <cellStyle name="Comma 52 2" xfId="2438"/>
    <cellStyle name="Comma 52 2 2" xfId="2439"/>
    <cellStyle name="Comma 52 2 2 2" xfId="2440"/>
    <cellStyle name="Comma 52 2 2 2 2" xfId="2441"/>
    <cellStyle name="Comma 52 2 2 3" xfId="2442"/>
    <cellStyle name="Comma 52 2 3" xfId="2443"/>
    <cellStyle name="Comma 52 2 3 2" xfId="2444"/>
    <cellStyle name="Comma 52 2 4" xfId="2445"/>
    <cellStyle name="Comma 52 2 4 2" xfId="2446"/>
    <cellStyle name="Comma 52 2 5" xfId="2447"/>
    <cellStyle name="Comma 52 3" xfId="2448"/>
    <cellStyle name="Comma 52 3 2" xfId="2449"/>
    <cellStyle name="Comma 52 3 2 2" xfId="2450"/>
    <cellStyle name="Comma 52 3 2 2 2" xfId="2451"/>
    <cellStyle name="Comma 52 3 2 3" xfId="2452"/>
    <cellStyle name="Comma 52 3 3" xfId="2453"/>
    <cellStyle name="Comma 52 3 3 2" xfId="2454"/>
    <cellStyle name="Comma 52 3 4" xfId="2455"/>
    <cellStyle name="Comma 52 3 4 2" xfId="2456"/>
    <cellStyle name="Comma 52 3 5" xfId="2457"/>
    <cellStyle name="Comma 52 4" xfId="2458"/>
    <cellStyle name="Comma 52 4 2" xfId="2459"/>
    <cellStyle name="Comma 52 4 2 2" xfId="2460"/>
    <cellStyle name="Comma 52 4 2 2 2" xfId="2461"/>
    <cellStyle name="Comma 52 4 2 3" xfId="2462"/>
    <cellStyle name="Comma 52 4 3" xfId="2463"/>
    <cellStyle name="Comma 52 4 3 2" xfId="2464"/>
    <cellStyle name="Comma 52 4 4" xfId="2465"/>
    <cellStyle name="Comma 52 4 4 2" xfId="2466"/>
    <cellStyle name="Comma 52 4 5" xfId="2467"/>
    <cellStyle name="Comma 52 5" xfId="2468"/>
    <cellStyle name="Comma 52 5 2" xfId="2469"/>
    <cellStyle name="Comma 52 5 2 2" xfId="2470"/>
    <cellStyle name="Comma 52 5 2 2 2" xfId="2471"/>
    <cellStyle name="Comma 52 5 2 3" xfId="2472"/>
    <cellStyle name="Comma 52 5 3" xfId="2473"/>
    <cellStyle name="Comma 52 5 3 2" xfId="2474"/>
    <cellStyle name="Comma 52 5 4" xfId="2475"/>
    <cellStyle name="Comma 52 5 4 2" xfId="2476"/>
    <cellStyle name="Comma 52 5 5" xfId="2477"/>
    <cellStyle name="Comma 52 6" xfId="2478"/>
    <cellStyle name="Comma 52 6 2" xfId="2479"/>
    <cellStyle name="Comma 52 6 2 2" xfId="2480"/>
    <cellStyle name="Comma 52 6 2 2 2" xfId="2481"/>
    <cellStyle name="Comma 52 6 2 3" xfId="2482"/>
    <cellStyle name="Comma 52 6 3" xfId="2483"/>
    <cellStyle name="Comma 52 6 3 2" xfId="2484"/>
    <cellStyle name="Comma 52 6 4" xfId="2485"/>
    <cellStyle name="Comma 52 6 4 2" xfId="2486"/>
    <cellStyle name="Comma 52 6 5" xfId="2487"/>
    <cellStyle name="Comma 52 7" xfId="2488"/>
    <cellStyle name="Comma 52 7 2" xfId="2489"/>
    <cellStyle name="Comma 52 7 2 2" xfId="2490"/>
    <cellStyle name="Comma 52 7 2 2 2" xfId="2491"/>
    <cellStyle name="Comma 52 7 2 3" xfId="2492"/>
    <cellStyle name="Comma 52 7 3" xfId="2493"/>
    <cellStyle name="Comma 52 7 3 2" xfId="2494"/>
    <cellStyle name="Comma 52 7 4" xfId="2495"/>
    <cellStyle name="Comma 52 8" xfId="2496"/>
    <cellStyle name="Comma 52 8 2" xfId="2497"/>
    <cellStyle name="Comma 52 8 2 2" xfId="2498"/>
    <cellStyle name="Comma 52 8 2 2 2" xfId="2499"/>
    <cellStyle name="Comma 52 8 2 3" xfId="2500"/>
    <cellStyle name="Comma 52 8 3" xfId="2501"/>
    <cellStyle name="Comma 52 8 3 2" xfId="2502"/>
    <cellStyle name="Comma 52 8 4" xfId="2503"/>
    <cellStyle name="Comma 52 9" xfId="2504"/>
    <cellStyle name="Comma 52 9 2" xfId="2505"/>
    <cellStyle name="Comma 52 9 2 2" xfId="2506"/>
    <cellStyle name="Comma 52 9 3" xfId="2507"/>
    <cellStyle name="Comma 53" xfId="2508"/>
    <cellStyle name="Comma 53 10" xfId="2509"/>
    <cellStyle name="Comma 53 10 2" xfId="2510"/>
    <cellStyle name="Comma 53 11" xfId="2511"/>
    <cellStyle name="Comma 53 11 2" xfId="2512"/>
    <cellStyle name="Comma 53 12" xfId="2513"/>
    <cellStyle name="Comma 53 2" xfId="2514"/>
    <cellStyle name="Comma 53 2 2" xfId="2515"/>
    <cellStyle name="Comma 53 2 2 2" xfId="2516"/>
    <cellStyle name="Comma 53 2 2 2 2" xfId="2517"/>
    <cellStyle name="Comma 53 2 2 3" xfId="2518"/>
    <cellStyle name="Comma 53 2 3" xfId="2519"/>
    <cellStyle name="Comma 53 2 3 2" xfId="2520"/>
    <cellStyle name="Comma 53 2 4" xfId="2521"/>
    <cellStyle name="Comma 53 2 4 2" xfId="2522"/>
    <cellStyle name="Comma 53 2 5" xfId="2523"/>
    <cellStyle name="Comma 53 3" xfId="2524"/>
    <cellStyle name="Comma 53 3 2" xfId="2525"/>
    <cellStyle name="Comma 53 3 2 2" xfId="2526"/>
    <cellStyle name="Comma 53 3 2 2 2" xfId="2527"/>
    <cellStyle name="Comma 53 3 2 3" xfId="2528"/>
    <cellStyle name="Comma 53 3 3" xfId="2529"/>
    <cellStyle name="Comma 53 3 3 2" xfId="2530"/>
    <cellStyle name="Comma 53 3 4" xfId="2531"/>
    <cellStyle name="Comma 53 3 4 2" xfId="2532"/>
    <cellStyle name="Comma 53 3 5" xfId="2533"/>
    <cellStyle name="Comma 53 4" xfId="2534"/>
    <cellStyle name="Comma 53 4 2" xfId="2535"/>
    <cellStyle name="Comma 53 4 2 2" xfId="2536"/>
    <cellStyle name="Comma 53 4 2 2 2" xfId="2537"/>
    <cellStyle name="Comma 53 4 2 3" xfId="2538"/>
    <cellStyle name="Comma 53 4 3" xfId="2539"/>
    <cellStyle name="Comma 53 4 3 2" xfId="2540"/>
    <cellStyle name="Comma 53 4 4" xfId="2541"/>
    <cellStyle name="Comma 53 4 4 2" xfId="2542"/>
    <cellStyle name="Comma 53 4 5" xfId="2543"/>
    <cellStyle name="Comma 53 5" xfId="2544"/>
    <cellStyle name="Comma 53 5 2" xfId="2545"/>
    <cellStyle name="Comma 53 5 2 2" xfId="2546"/>
    <cellStyle name="Comma 53 5 2 2 2" xfId="2547"/>
    <cellStyle name="Comma 53 5 2 3" xfId="2548"/>
    <cellStyle name="Comma 53 5 3" xfId="2549"/>
    <cellStyle name="Comma 53 5 3 2" xfId="2550"/>
    <cellStyle name="Comma 53 5 4" xfId="2551"/>
    <cellStyle name="Comma 53 5 4 2" xfId="2552"/>
    <cellStyle name="Comma 53 5 5" xfId="2553"/>
    <cellStyle name="Comma 53 6" xfId="2554"/>
    <cellStyle name="Comma 53 6 2" xfId="2555"/>
    <cellStyle name="Comma 53 6 2 2" xfId="2556"/>
    <cellStyle name="Comma 53 6 2 2 2" xfId="2557"/>
    <cellStyle name="Comma 53 6 2 3" xfId="2558"/>
    <cellStyle name="Comma 53 6 3" xfId="2559"/>
    <cellStyle name="Comma 53 6 3 2" xfId="2560"/>
    <cellStyle name="Comma 53 6 4" xfId="2561"/>
    <cellStyle name="Comma 53 6 4 2" xfId="2562"/>
    <cellStyle name="Comma 53 6 5" xfId="2563"/>
    <cellStyle name="Comma 53 7" xfId="2564"/>
    <cellStyle name="Comma 53 7 2" xfId="2565"/>
    <cellStyle name="Comma 53 7 2 2" xfId="2566"/>
    <cellStyle name="Comma 53 7 2 2 2" xfId="2567"/>
    <cellStyle name="Comma 53 7 2 3" xfId="2568"/>
    <cellStyle name="Comma 53 7 3" xfId="2569"/>
    <cellStyle name="Comma 53 7 3 2" xfId="2570"/>
    <cellStyle name="Comma 53 7 4" xfId="2571"/>
    <cellStyle name="Comma 53 8" xfId="2572"/>
    <cellStyle name="Comma 53 8 2" xfId="2573"/>
    <cellStyle name="Comma 53 8 2 2" xfId="2574"/>
    <cellStyle name="Comma 53 8 2 2 2" xfId="2575"/>
    <cellStyle name="Comma 53 8 2 3" xfId="2576"/>
    <cellStyle name="Comma 53 8 3" xfId="2577"/>
    <cellStyle name="Comma 53 8 3 2" xfId="2578"/>
    <cellStyle name="Comma 53 8 4" xfId="2579"/>
    <cellStyle name="Comma 53 9" xfId="2580"/>
    <cellStyle name="Comma 53 9 2" xfId="2581"/>
    <cellStyle name="Comma 53 9 2 2" xfId="2582"/>
    <cellStyle name="Comma 53 9 3" xfId="2583"/>
    <cellStyle name="Comma 54" xfId="2584"/>
    <cellStyle name="Comma 54 10" xfId="2585"/>
    <cellStyle name="Comma 54 10 2" xfId="2586"/>
    <cellStyle name="Comma 54 11" xfId="2587"/>
    <cellStyle name="Comma 54 11 2" xfId="2588"/>
    <cellStyle name="Comma 54 12" xfId="2589"/>
    <cellStyle name="Comma 54 2" xfId="2590"/>
    <cellStyle name="Comma 54 2 2" xfId="2591"/>
    <cellStyle name="Comma 54 2 2 2" xfId="2592"/>
    <cellStyle name="Comma 54 2 2 2 2" xfId="2593"/>
    <cellStyle name="Comma 54 2 2 3" xfId="2594"/>
    <cellStyle name="Comma 54 2 3" xfId="2595"/>
    <cellStyle name="Comma 54 2 3 2" xfId="2596"/>
    <cellStyle name="Comma 54 2 4" xfId="2597"/>
    <cellStyle name="Comma 54 2 4 2" xfId="2598"/>
    <cellStyle name="Comma 54 2 5" xfId="2599"/>
    <cellStyle name="Comma 54 3" xfId="2600"/>
    <cellStyle name="Comma 54 3 2" xfId="2601"/>
    <cellStyle name="Comma 54 3 2 2" xfId="2602"/>
    <cellStyle name="Comma 54 3 2 2 2" xfId="2603"/>
    <cellStyle name="Comma 54 3 2 3" xfId="2604"/>
    <cellStyle name="Comma 54 3 3" xfId="2605"/>
    <cellStyle name="Comma 54 3 3 2" xfId="2606"/>
    <cellStyle name="Comma 54 3 4" xfId="2607"/>
    <cellStyle name="Comma 54 3 4 2" xfId="2608"/>
    <cellStyle name="Comma 54 3 5" xfId="2609"/>
    <cellStyle name="Comma 54 4" xfId="2610"/>
    <cellStyle name="Comma 54 4 2" xfId="2611"/>
    <cellStyle name="Comma 54 4 2 2" xfId="2612"/>
    <cellStyle name="Comma 54 4 2 2 2" xfId="2613"/>
    <cellStyle name="Comma 54 4 2 3" xfId="2614"/>
    <cellStyle name="Comma 54 4 3" xfId="2615"/>
    <cellStyle name="Comma 54 4 3 2" xfId="2616"/>
    <cellStyle name="Comma 54 4 4" xfId="2617"/>
    <cellStyle name="Comma 54 4 4 2" xfId="2618"/>
    <cellStyle name="Comma 54 4 5" xfId="2619"/>
    <cellStyle name="Comma 54 5" xfId="2620"/>
    <cellStyle name="Comma 54 5 2" xfId="2621"/>
    <cellStyle name="Comma 54 5 2 2" xfId="2622"/>
    <cellStyle name="Comma 54 5 2 2 2" xfId="2623"/>
    <cellStyle name="Comma 54 5 2 3" xfId="2624"/>
    <cellStyle name="Comma 54 5 3" xfId="2625"/>
    <cellStyle name="Comma 54 5 3 2" xfId="2626"/>
    <cellStyle name="Comma 54 5 4" xfId="2627"/>
    <cellStyle name="Comma 54 5 4 2" xfId="2628"/>
    <cellStyle name="Comma 54 5 5" xfId="2629"/>
    <cellStyle name="Comma 54 6" xfId="2630"/>
    <cellStyle name="Comma 54 6 2" xfId="2631"/>
    <cellStyle name="Comma 54 6 2 2" xfId="2632"/>
    <cellStyle name="Comma 54 6 2 2 2" xfId="2633"/>
    <cellStyle name="Comma 54 6 2 3" xfId="2634"/>
    <cellStyle name="Comma 54 6 3" xfId="2635"/>
    <cellStyle name="Comma 54 6 3 2" xfId="2636"/>
    <cellStyle name="Comma 54 6 4" xfId="2637"/>
    <cellStyle name="Comma 54 6 4 2" xfId="2638"/>
    <cellStyle name="Comma 54 6 5" xfId="2639"/>
    <cellStyle name="Comma 54 7" xfId="2640"/>
    <cellStyle name="Comma 54 7 2" xfId="2641"/>
    <cellStyle name="Comma 54 7 2 2" xfId="2642"/>
    <cellStyle name="Comma 54 7 2 2 2" xfId="2643"/>
    <cellStyle name="Comma 54 7 2 3" xfId="2644"/>
    <cellStyle name="Comma 54 7 3" xfId="2645"/>
    <cellStyle name="Comma 54 7 3 2" xfId="2646"/>
    <cellStyle name="Comma 54 7 4" xfId="2647"/>
    <cellStyle name="Comma 54 8" xfId="2648"/>
    <cellStyle name="Comma 54 8 2" xfId="2649"/>
    <cellStyle name="Comma 54 8 2 2" xfId="2650"/>
    <cellStyle name="Comma 54 8 2 2 2" xfId="2651"/>
    <cellStyle name="Comma 54 8 2 3" xfId="2652"/>
    <cellStyle name="Comma 54 8 3" xfId="2653"/>
    <cellStyle name="Comma 54 8 3 2" xfId="2654"/>
    <cellStyle name="Comma 54 8 4" xfId="2655"/>
    <cellStyle name="Comma 54 9" xfId="2656"/>
    <cellStyle name="Comma 54 9 2" xfId="2657"/>
    <cellStyle name="Comma 54 9 2 2" xfId="2658"/>
    <cellStyle name="Comma 54 9 3" xfId="2659"/>
    <cellStyle name="Comma 55" xfId="2660"/>
    <cellStyle name="Comma 55 10" xfId="2661"/>
    <cellStyle name="Comma 55 10 2" xfId="2662"/>
    <cellStyle name="Comma 55 11" xfId="2663"/>
    <cellStyle name="Comma 55 11 2" xfId="2664"/>
    <cellStyle name="Comma 55 12" xfId="2665"/>
    <cellStyle name="Comma 55 2" xfId="2666"/>
    <cellStyle name="Comma 55 2 2" xfId="2667"/>
    <cellStyle name="Comma 55 2 2 2" xfId="2668"/>
    <cellStyle name="Comma 55 2 2 2 2" xfId="2669"/>
    <cellStyle name="Comma 55 2 2 3" xfId="2670"/>
    <cellStyle name="Comma 55 2 3" xfId="2671"/>
    <cellStyle name="Comma 55 2 3 2" xfId="2672"/>
    <cellStyle name="Comma 55 2 4" xfId="2673"/>
    <cellStyle name="Comma 55 2 4 2" xfId="2674"/>
    <cellStyle name="Comma 55 2 5" xfId="2675"/>
    <cellStyle name="Comma 55 3" xfId="2676"/>
    <cellStyle name="Comma 55 3 2" xfId="2677"/>
    <cellStyle name="Comma 55 3 2 2" xfId="2678"/>
    <cellStyle name="Comma 55 3 2 2 2" xfId="2679"/>
    <cellStyle name="Comma 55 3 2 3" xfId="2680"/>
    <cellStyle name="Comma 55 3 3" xfId="2681"/>
    <cellStyle name="Comma 55 3 3 2" xfId="2682"/>
    <cellStyle name="Comma 55 3 4" xfId="2683"/>
    <cellStyle name="Comma 55 3 4 2" xfId="2684"/>
    <cellStyle name="Comma 55 3 5" xfId="2685"/>
    <cellStyle name="Comma 55 4" xfId="2686"/>
    <cellStyle name="Comma 55 4 2" xfId="2687"/>
    <cellStyle name="Comma 55 4 2 2" xfId="2688"/>
    <cellStyle name="Comma 55 4 2 2 2" xfId="2689"/>
    <cellStyle name="Comma 55 4 2 3" xfId="2690"/>
    <cellStyle name="Comma 55 4 3" xfId="2691"/>
    <cellStyle name="Comma 55 4 3 2" xfId="2692"/>
    <cellStyle name="Comma 55 4 4" xfId="2693"/>
    <cellStyle name="Comma 55 4 4 2" xfId="2694"/>
    <cellStyle name="Comma 55 4 5" xfId="2695"/>
    <cellStyle name="Comma 55 5" xfId="2696"/>
    <cellStyle name="Comma 55 5 2" xfId="2697"/>
    <cellStyle name="Comma 55 5 2 2" xfId="2698"/>
    <cellStyle name="Comma 55 5 2 2 2" xfId="2699"/>
    <cellStyle name="Comma 55 5 2 3" xfId="2700"/>
    <cellStyle name="Comma 55 5 3" xfId="2701"/>
    <cellStyle name="Comma 55 5 3 2" xfId="2702"/>
    <cellStyle name="Comma 55 5 4" xfId="2703"/>
    <cellStyle name="Comma 55 5 4 2" xfId="2704"/>
    <cellStyle name="Comma 55 5 5" xfId="2705"/>
    <cellStyle name="Comma 55 6" xfId="2706"/>
    <cellStyle name="Comma 55 6 2" xfId="2707"/>
    <cellStyle name="Comma 55 6 2 2" xfId="2708"/>
    <cellStyle name="Comma 55 6 2 2 2" xfId="2709"/>
    <cellStyle name="Comma 55 6 2 3" xfId="2710"/>
    <cellStyle name="Comma 55 6 3" xfId="2711"/>
    <cellStyle name="Comma 55 6 3 2" xfId="2712"/>
    <cellStyle name="Comma 55 6 4" xfId="2713"/>
    <cellStyle name="Comma 55 6 4 2" xfId="2714"/>
    <cellStyle name="Comma 55 6 5" xfId="2715"/>
    <cellStyle name="Comma 55 7" xfId="2716"/>
    <cellStyle name="Comma 55 7 2" xfId="2717"/>
    <cellStyle name="Comma 55 7 2 2" xfId="2718"/>
    <cellStyle name="Comma 55 7 2 2 2" xfId="2719"/>
    <cellStyle name="Comma 55 7 2 3" xfId="2720"/>
    <cellStyle name="Comma 55 7 3" xfId="2721"/>
    <cellStyle name="Comma 55 7 3 2" xfId="2722"/>
    <cellStyle name="Comma 55 7 4" xfId="2723"/>
    <cellStyle name="Comma 55 8" xfId="2724"/>
    <cellStyle name="Comma 55 8 2" xfId="2725"/>
    <cellStyle name="Comma 55 8 2 2" xfId="2726"/>
    <cellStyle name="Comma 55 8 2 2 2" xfId="2727"/>
    <cellStyle name="Comma 55 8 2 3" xfId="2728"/>
    <cellStyle name="Comma 55 8 3" xfId="2729"/>
    <cellStyle name="Comma 55 8 3 2" xfId="2730"/>
    <cellStyle name="Comma 55 8 4" xfId="2731"/>
    <cellStyle name="Comma 55 9" xfId="2732"/>
    <cellStyle name="Comma 55 9 2" xfId="2733"/>
    <cellStyle name="Comma 55 9 2 2" xfId="2734"/>
    <cellStyle name="Comma 55 9 3" xfId="2735"/>
    <cellStyle name="Comma 56" xfId="2736"/>
    <cellStyle name="Comma 56 10" xfId="2737"/>
    <cellStyle name="Comma 56 10 2" xfId="2738"/>
    <cellStyle name="Comma 56 11" xfId="2739"/>
    <cellStyle name="Comma 56 11 2" xfId="2740"/>
    <cellStyle name="Comma 56 12" xfId="2741"/>
    <cellStyle name="Comma 56 2" xfId="2742"/>
    <cellStyle name="Comma 56 2 2" xfId="2743"/>
    <cellStyle name="Comma 56 2 2 2" xfId="2744"/>
    <cellStyle name="Comma 56 2 2 2 2" xfId="2745"/>
    <cellStyle name="Comma 56 2 2 3" xfId="2746"/>
    <cellStyle name="Comma 56 2 3" xfId="2747"/>
    <cellStyle name="Comma 56 2 3 2" xfId="2748"/>
    <cellStyle name="Comma 56 2 4" xfId="2749"/>
    <cellStyle name="Comma 56 2 4 2" xfId="2750"/>
    <cellStyle name="Comma 56 2 5" xfId="2751"/>
    <cellStyle name="Comma 56 3" xfId="2752"/>
    <cellStyle name="Comma 56 3 2" xfId="2753"/>
    <cellStyle name="Comma 56 3 2 2" xfId="2754"/>
    <cellStyle name="Comma 56 3 2 2 2" xfId="2755"/>
    <cellStyle name="Comma 56 3 2 3" xfId="2756"/>
    <cellStyle name="Comma 56 3 3" xfId="2757"/>
    <cellStyle name="Comma 56 3 3 2" xfId="2758"/>
    <cellStyle name="Comma 56 3 4" xfId="2759"/>
    <cellStyle name="Comma 56 3 4 2" xfId="2760"/>
    <cellStyle name="Comma 56 3 5" xfId="2761"/>
    <cellStyle name="Comma 56 4" xfId="2762"/>
    <cellStyle name="Comma 56 4 2" xfId="2763"/>
    <cellStyle name="Comma 56 4 2 2" xfId="2764"/>
    <cellStyle name="Comma 56 4 2 2 2" xfId="2765"/>
    <cellStyle name="Comma 56 4 2 3" xfId="2766"/>
    <cellStyle name="Comma 56 4 3" xfId="2767"/>
    <cellStyle name="Comma 56 4 3 2" xfId="2768"/>
    <cellStyle name="Comma 56 4 4" xfId="2769"/>
    <cellStyle name="Comma 56 4 4 2" xfId="2770"/>
    <cellStyle name="Comma 56 4 5" xfId="2771"/>
    <cellStyle name="Comma 56 5" xfId="2772"/>
    <cellStyle name="Comma 56 5 2" xfId="2773"/>
    <cellStyle name="Comma 56 5 2 2" xfId="2774"/>
    <cellStyle name="Comma 56 5 2 2 2" xfId="2775"/>
    <cellStyle name="Comma 56 5 2 3" xfId="2776"/>
    <cellStyle name="Comma 56 5 3" xfId="2777"/>
    <cellStyle name="Comma 56 5 3 2" xfId="2778"/>
    <cellStyle name="Comma 56 5 4" xfId="2779"/>
    <cellStyle name="Comma 56 5 4 2" xfId="2780"/>
    <cellStyle name="Comma 56 5 5" xfId="2781"/>
    <cellStyle name="Comma 56 6" xfId="2782"/>
    <cellStyle name="Comma 56 6 2" xfId="2783"/>
    <cellStyle name="Comma 56 6 2 2" xfId="2784"/>
    <cellStyle name="Comma 56 6 2 2 2" xfId="2785"/>
    <cellStyle name="Comma 56 6 2 3" xfId="2786"/>
    <cellStyle name="Comma 56 6 3" xfId="2787"/>
    <cellStyle name="Comma 56 6 3 2" xfId="2788"/>
    <cellStyle name="Comma 56 6 4" xfId="2789"/>
    <cellStyle name="Comma 56 6 4 2" xfId="2790"/>
    <cellStyle name="Comma 56 6 5" xfId="2791"/>
    <cellStyle name="Comma 56 7" xfId="2792"/>
    <cellStyle name="Comma 56 7 2" xfId="2793"/>
    <cellStyle name="Comma 56 7 2 2" xfId="2794"/>
    <cellStyle name="Comma 56 7 2 2 2" xfId="2795"/>
    <cellStyle name="Comma 56 7 2 3" xfId="2796"/>
    <cellStyle name="Comma 56 7 3" xfId="2797"/>
    <cellStyle name="Comma 56 7 3 2" xfId="2798"/>
    <cellStyle name="Comma 56 7 4" xfId="2799"/>
    <cellStyle name="Comma 56 8" xfId="2800"/>
    <cellStyle name="Comma 56 8 2" xfId="2801"/>
    <cellStyle name="Comma 56 8 2 2" xfId="2802"/>
    <cellStyle name="Comma 56 8 2 2 2" xfId="2803"/>
    <cellStyle name="Comma 56 8 2 3" xfId="2804"/>
    <cellStyle name="Comma 56 8 3" xfId="2805"/>
    <cellStyle name="Comma 56 8 3 2" xfId="2806"/>
    <cellStyle name="Comma 56 8 4" xfId="2807"/>
    <cellStyle name="Comma 56 9" xfId="2808"/>
    <cellStyle name="Comma 56 9 2" xfId="2809"/>
    <cellStyle name="Comma 56 9 2 2" xfId="2810"/>
    <cellStyle name="Comma 56 9 3" xfId="2811"/>
    <cellStyle name="Comma 57" xfId="2812"/>
    <cellStyle name="Comma 57 10" xfId="2813"/>
    <cellStyle name="Comma 57 10 2" xfId="2814"/>
    <cellStyle name="Comma 57 11" xfId="2815"/>
    <cellStyle name="Comma 57 11 2" xfId="2816"/>
    <cellStyle name="Comma 57 12" xfId="2817"/>
    <cellStyle name="Comma 57 2" xfId="2818"/>
    <cellStyle name="Comma 57 2 2" xfId="2819"/>
    <cellStyle name="Comma 57 2 2 2" xfId="2820"/>
    <cellStyle name="Comma 57 2 2 2 2" xfId="2821"/>
    <cellStyle name="Comma 57 2 2 3" xfId="2822"/>
    <cellStyle name="Comma 57 2 3" xfId="2823"/>
    <cellStyle name="Comma 57 2 3 2" xfId="2824"/>
    <cellStyle name="Comma 57 2 4" xfId="2825"/>
    <cellStyle name="Comma 57 2 4 2" xfId="2826"/>
    <cellStyle name="Comma 57 2 5" xfId="2827"/>
    <cellStyle name="Comma 57 3" xfId="2828"/>
    <cellStyle name="Comma 57 3 2" xfId="2829"/>
    <cellStyle name="Comma 57 3 2 2" xfId="2830"/>
    <cellStyle name="Comma 57 3 2 2 2" xfId="2831"/>
    <cellStyle name="Comma 57 3 2 3" xfId="2832"/>
    <cellStyle name="Comma 57 3 3" xfId="2833"/>
    <cellStyle name="Comma 57 3 3 2" xfId="2834"/>
    <cellStyle name="Comma 57 3 4" xfId="2835"/>
    <cellStyle name="Comma 57 3 4 2" xfId="2836"/>
    <cellStyle name="Comma 57 3 5" xfId="2837"/>
    <cellStyle name="Comma 57 4" xfId="2838"/>
    <cellStyle name="Comma 57 4 2" xfId="2839"/>
    <cellStyle name="Comma 57 4 2 2" xfId="2840"/>
    <cellStyle name="Comma 57 4 2 2 2" xfId="2841"/>
    <cellStyle name="Comma 57 4 2 3" xfId="2842"/>
    <cellStyle name="Comma 57 4 3" xfId="2843"/>
    <cellStyle name="Comma 57 4 3 2" xfId="2844"/>
    <cellStyle name="Comma 57 4 4" xfId="2845"/>
    <cellStyle name="Comma 57 4 4 2" xfId="2846"/>
    <cellStyle name="Comma 57 4 5" xfId="2847"/>
    <cellStyle name="Comma 57 5" xfId="2848"/>
    <cellStyle name="Comma 57 5 2" xfId="2849"/>
    <cellStyle name="Comma 57 5 2 2" xfId="2850"/>
    <cellStyle name="Comma 57 5 2 2 2" xfId="2851"/>
    <cellStyle name="Comma 57 5 2 3" xfId="2852"/>
    <cellStyle name="Comma 57 5 3" xfId="2853"/>
    <cellStyle name="Comma 57 5 3 2" xfId="2854"/>
    <cellStyle name="Comma 57 5 4" xfId="2855"/>
    <cellStyle name="Comma 57 5 4 2" xfId="2856"/>
    <cellStyle name="Comma 57 5 5" xfId="2857"/>
    <cellStyle name="Comma 57 6" xfId="2858"/>
    <cellStyle name="Comma 57 6 2" xfId="2859"/>
    <cellStyle name="Comma 57 6 2 2" xfId="2860"/>
    <cellStyle name="Comma 57 6 2 2 2" xfId="2861"/>
    <cellStyle name="Comma 57 6 2 3" xfId="2862"/>
    <cellStyle name="Comma 57 6 3" xfId="2863"/>
    <cellStyle name="Comma 57 6 3 2" xfId="2864"/>
    <cellStyle name="Comma 57 6 4" xfId="2865"/>
    <cellStyle name="Comma 57 6 4 2" xfId="2866"/>
    <cellStyle name="Comma 57 6 5" xfId="2867"/>
    <cellStyle name="Comma 57 7" xfId="2868"/>
    <cellStyle name="Comma 57 7 2" xfId="2869"/>
    <cellStyle name="Comma 57 7 2 2" xfId="2870"/>
    <cellStyle name="Comma 57 7 2 2 2" xfId="2871"/>
    <cellStyle name="Comma 57 7 2 3" xfId="2872"/>
    <cellStyle name="Comma 57 7 3" xfId="2873"/>
    <cellStyle name="Comma 57 7 3 2" xfId="2874"/>
    <cellStyle name="Comma 57 7 4" xfId="2875"/>
    <cellStyle name="Comma 57 8" xfId="2876"/>
    <cellStyle name="Comma 57 8 2" xfId="2877"/>
    <cellStyle name="Comma 57 8 2 2" xfId="2878"/>
    <cellStyle name="Comma 57 8 2 2 2" xfId="2879"/>
    <cellStyle name="Comma 57 8 2 3" xfId="2880"/>
    <cellStyle name="Comma 57 8 3" xfId="2881"/>
    <cellStyle name="Comma 57 8 3 2" xfId="2882"/>
    <cellStyle name="Comma 57 8 4" xfId="2883"/>
    <cellStyle name="Comma 57 9" xfId="2884"/>
    <cellStyle name="Comma 57 9 2" xfId="2885"/>
    <cellStyle name="Comma 57 9 2 2" xfId="2886"/>
    <cellStyle name="Comma 57 9 3" xfId="2887"/>
    <cellStyle name="Comma 58" xfId="2888"/>
    <cellStyle name="Comma 58 10" xfId="2889"/>
    <cellStyle name="Comma 58 10 2" xfId="2890"/>
    <cellStyle name="Comma 58 11" xfId="2891"/>
    <cellStyle name="Comma 58 11 2" xfId="2892"/>
    <cellStyle name="Comma 58 12" xfId="2893"/>
    <cellStyle name="Comma 58 2" xfId="2894"/>
    <cellStyle name="Comma 58 2 2" xfId="2895"/>
    <cellStyle name="Comma 58 2 2 2" xfId="2896"/>
    <cellStyle name="Comma 58 2 2 2 2" xfId="2897"/>
    <cellStyle name="Comma 58 2 2 3" xfId="2898"/>
    <cellStyle name="Comma 58 2 3" xfId="2899"/>
    <cellStyle name="Comma 58 2 3 2" xfId="2900"/>
    <cellStyle name="Comma 58 2 4" xfId="2901"/>
    <cellStyle name="Comma 58 2 4 2" xfId="2902"/>
    <cellStyle name="Comma 58 2 5" xfId="2903"/>
    <cellStyle name="Comma 58 3" xfId="2904"/>
    <cellStyle name="Comma 58 3 2" xfId="2905"/>
    <cellStyle name="Comma 58 3 2 2" xfId="2906"/>
    <cellStyle name="Comma 58 3 2 2 2" xfId="2907"/>
    <cellStyle name="Comma 58 3 2 3" xfId="2908"/>
    <cellStyle name="Comma 58 3 3" xfId="2909"/>
    <cellStyle name="Comma 58 3 3 2" xfId="2910"/>
    <cellStyle name="Comma 58 3 4" xfId="2911"/>
    <cellStyle name="Comma 58 3 4 2" xfId="2912"/>
    <cellStyle name="Comma 58 3 5" xfId="2913"/>
    <cellStyle name="Comma 58 4" xfId="2914"/>
    <cellStyle name="Comma 58 4 2" xfId="2915"/>
    <cellStyle name="Comma 58 4 2 2" xfId="2916"/>
    <cellStyle name="Comma 58 4 2 2 2" xfId="2917"/>
    <cellStyle name="Comma 58 4 2 3" xfId="2918"/>
    <cellStyle name="Comma 58 4 3" xfId="2919"/>
    <cellStyle name="Comma 58 4 3 2" xfId="2920"/>
    <cellStyle name="Comma 58 4 4" xfId="2921"/>
    <cellStyle name="Comma 58 4 4 2" xfId="2922"/>
    <cellStyle name="Comma 58 4 5" xfId="2923"/>
    <cellStyle name="Comma 58 5" xfId="2924"/>
    <cellStyle name="Comma 58 5 2" xfId="2925"/>
    <cellStyle name="Comma 58 5 2 2" xfId="2926"/>
    <cellStyle name="Comma 58 5 2 2 2" xfId="2927"/>
    <cellStyle name="Comma 58 5 2 3" xfId="2928"/>
    <cellStyle name="Comma 58 5 3" xfId="2929"/>
    <cellStyle name="Comma 58 5 3 2" xfId="2930"/>
    <cellStyle name="Comma 58 5 4" xfId="2931"/>
    <cellStyle name="Comma 58 5 4 2" xfId="2932"/>
    <cellStyle name="Comma 58 5 5" xfId="2933"/>
    <cellStyle name="Comma 58 6" xfId="2934"/>
    <cellStyle name="Comma 58 6 2" xfId="2935"/>
    <cellStyle name="Comma 58 6 2 2" xfId="2936"/>
    <cellStyle name="Comma 58 6 2 2 2" xfId="2937"/>
    <cellStyle name="Comma 58 6 2 3" xfId="2938"/>
    <cellStyle name="Comma 58 6 3" xfId="2939"/>
    <cellStyle name="Comma 58 6 3 2" xfId="2940"/>
    <cellStyle name="Comma 58 6 4" xfId="2941"/>
    <cellStyle name="Comma 58 6 4 2" xfId="2942"/>
    <cellStyle name="Comma 58 6 5" xfId="2943"/>
    <cellStyle name="Comma 58 7" xfId="2944"/>
    <cellStyle name="Comma 58 7 2" xfId="2945"/>
    <cellStyle name="Comma 58 7 2 2" xfId="2946"/>
    <cellStyle name="Comma 58 7 2 2 2" xfId="2947"/>
    <cellStyle name="Comma 58 7 2 3" xfId="2948"/>
    <cellStyle name="Comma 58 7 3" xfId="2949"/>
    <cellStyle name="Comma 58 7 3 2" xfId="2950"/>
    <cellStyle name="Comma 58 7 4" xfId="2951"/>
    <cellStyle name="Comma 58 8" xfId="2952"/>
    <cellStyle name="Comma 58 8 2" xfId="2953"/>
    <cellStyle name="Comma 58 8 2 2" xfId="2954"/>
    <cellStyle name="Comma 58 8 2 2 2" xfId="2955"/>
    <cellStyle name="Comma 58 8 2 3" xfId="2956"/>
    <cellStyle name="Comma 58 8 3" xfId="2957"/>
    <cellStyle name="Comma 58 8 3 2" xfId="2958"/>
    <cellStyle name="Comma 58 8 4" xfId="2959"/>
    <cellStyle name="Comma 58 9" xfId="2960"/>
    <cellStyle name="Comma 58 9 2" xfId="2961"/>
    <cellStyle name="Comma 58 9 2 2" xfId="2962"/>
    <cellStyle name="Comma 58 9 3" xfId="2963"/>
    <cellStyle name="Comma 59" xfId="2964"/>
    <cellStyle name="Comma 6" xfId="9"/>
    <cellStyle name="Comma 6 10" xfId="10265"/>
    <cellStyle name="Comma 6 10 2" xfId="16427"/>
    <cellStyle name="Comma 6 10 3" xfId="22579"/>
    <cellStyle name="Comma 6 11" xfId="10281"/>
    <cellStyle name="Comma 6 12" xfId="16433"/>
    <cellStyle name="Comma 6 13" xfId="1283"/>
    <cellStyle name="Comma 6 14" xfId="1172"/>
    <cellStyle name="Comma 6 15" xfId="22837"/>
    <cellStyle name="Comma 6 16" xfId="223"/>
    <cellStyle name="Comma 6 2" xfId="83"/>
    <cellStyle name="Comma 6 2 10" xfId="16439"/>
    <cellStyle name="Comma 6 2 11" xfId="1297"/>
    <cellStyle name="Comma 6 2 12" xfId="874"/>
    <cellStyle name="Comma 6 2 2" xfId="1316"/>
    <cellStyle name="Comma 6 2 2 2" xfId="4727"/>
    <cellStyle name="Comma 6 2 2 2 2" xfId="5503"/>
    <cellStyle name="Comma 6 2 2 2 2 2" xfId="7128"/>
    <cellStyle name="Comma 6 2 2 2 2 2 2" xfId="10214"/>
    <cellStyle name="Comma 6 2 2 2 2 2 2 2" xfId="16407"/>
    <cellStyle name="Comma 6 2 2 2 2 2 2 3" xfId="22559"/>
    <cellStyle name="Comma 6 2 2 2 2 2 3" xfId="13341"/>
    <cellStyle name="Comma 6 2 2 2 2 2 4" xfId="19493"/>
    <cellStyle name="Comma 6 2 2 2 2 3" xfId="8679"/>
    <cellStyle name="Comma 6 2 2 2 2 3 2" xfId="14873"/>
    <cellStyle name="Comma 6 2 2 2 2 3 3" xfId="21025"/>
    <cellStyle name="Comma 6 2 2 2 2 4" xfId="11807"/>
    <cellStyle name="Comma 6 2 2 2 2 5" xfId="17959"/>
    <cellStyle name="Comma 6 2 2 2 3" xfId="6359"/>
    <cellStyle name="Comma 6 2 2 2 3 2" xfId="9445"/>
    <cellStyle name="Comma 6 2 2 2 3 2 2" xfId="15638"/>
    <cellStyle name="Comma 6 2 2 2 3 2 3" xfId="21790"/>
    <cellStyle name="Comma 6 2 2 2 3 3" xfId="12572"/>
    <cellStyle name="Comma 6 2 2 2 3 4" xfId="18724"/>
    <cellStyle name="Comma 6 2 2 2 4" xfId="7910"/>
    <cellStyle name="Comma 6 2 2 2 4 2" xfId="14104"/>
    <cellStyle name="Comma 6 2 2 2 4 3" xfId="20256"/>
    <cellStyle name="Comma 6 2 2 2 5" xfId="11038"/>
    <cellStyle name="Comma 6 2 2 2 6" xfId="17190"/>
    <cellStyle name="Comma 6 2 2 3" xfId="4763"/>
    <cellStyle name="Comma 6 2 2 3 2" xfId="6388"/>
    <cellStyle name="Comma 6 2 2 3 2 2" xfId="9474"/>
    <cellStyle name="Comma 6 2 2 3 2 2 2" xfId="15667"/>
    <cellStyle name="Comma 6 2 2 3 2 2 3" xfId="21819"/>
    <cellStyle name="Comma 6 2 2 3 2 3" xfId="12601"/>
    <cellStyle name="Comma 6 2 2 3 2 4" xfId="18753"/>
    <cellStyle name="Comma 6 2 2 3 3" xfId="7939"/>
    <cellStyle name="Comma 6 2 2 3 3 2" xfId="14133"/>
    <cellStyle name="Comma 6 2 2 3 3 3" xfId="20285"/>
    <cellStyle name="Comma 6 2 2 3 4" xfId="11067"/>
    <cellStyle name="Comma 6 2 2 3 5" xfId="17219"/>
    <cellStyle name="Comma 6 2 2 4" xfId="5602"/>
    <cellStyle name="Comma 6 2 2 4 2" xfId="8705"/>
    <cellStyle name="Comma 6 2 2 4 2 2" xfId="14898"/>
    <cellStyle name="Comma 6 2 2 4 2 3" xfId="21050"/>
    <cellStyle name="Comma 6 2 2 4 3" xfId="11832"/>
    <cellStyle name="Comma 6 2 2 4 4" xfId="17984"/>
    <cellStyle name="Comma 6 2 2 5" xfId="7170"/>
    <cellStyle name="Comma 6 2 2 5 2" xfId="13364"/>
    <cellStyle name="Comma 6 2 2 5 3" xfId="19516"/>
    <cellStyle name="Comma 6 2 2 6" xfId="10298"/>
    <cellStyle name="Comma 6 2 2 7" xfId="16450"/>
    <cellStyle name="Comma 6 2 3" xfId="4710"/>
    <cellStyle name="Comma 6 2 3 2" xfId="5494"/>
    <cellStyle name="Comma 6 2 3 2 2" xfId="7119"/>
    <cellStyle name="Comma 6 2 3 2 2 2" xfId="10205"/>
    <cellStyle name="Comma 6 2 3 2 2 2 2" xfId="16398"/>
    <cellStyle name="Comma 6 2 3 2 2 2 3" xfId="22550"/>
    <cellStyle name="Comma 6 2 3 2 2 3" xfId="13332"/>
    <cellStyle name="Comma 6 2 3 2 2 4" xfId="19484"/>
    <cellStyle name="Comma 6 2 3 2 3" xfId="8670"/>
    <cellStyle name="Comma 6 2 3 2 3 2" xfId="14864"/>
    <cellStyle name="Comma 6 2 3 2 3 3" xfId="21016"/>
    <cellStyle name="Comma 6 2 3 2 4" xfId="11798"/>
    <cellStyle name="Comma 6 2 3 2 5" xfId="17950"/>
    <cellStyle name="Comma 6 2 3 3" xfId="6350"/>
    <cellStyle name="Comma 6 2 3 3 2" xfId="9436"/>
    <cellStyle name="Comma 6 2 3 3 2 2" xfId="15629"/>
    <cellStyle name="Comma 6 2 3 3 2 3" xfId="21781"/>
    <cellStyle name="Comma 6 2 3 3 3" xfId="12563"/>
    <cellStyle name="Comma 6 2 3 3 4" xfId="18715"/>
    <cellStyle name="Comma 6 2 3 4" xfId="7901"/>
    <cellStyle name="Comma 6 2 3 4 2" xfId="14095"/>
    <cellStyle name="Comma 6 2 3 4 3" xfId="20247"/>
    <cellStyle name="Comma 6 2 3 5" xfId="11029"/>
    <cellStyle name="Comma 6 2 3 6" xfId="17181"/>
    <cellStyle name="Comma 6 2 4" xfId="2966"/>
    <cellStyle name="Comma 6 2 5" xfId="4752"/>
    <cellStyle name="Comma 6 2 5 2" xfId="6377"/>
    <cellStyle name="Comma 6 2 5 2 2" xfId="9463"/>
    <cellStyle name="Comma 6 2 5 2 2 2" xfId="15656"/>
    <cellStyle name="Comma 6 2 5 2 2 3" xfId="21808"/>
    <cellStyle name="Comma 6 2 5 2 3" xfId="12590"/>
    <cellStyle name="Comma 6 2 5 2 4" xfId="18742"/>
    <cellStyle name="Comma 6 2 5 3" xfId="7928"/>
    <cellStyle name="Comma 6 2 5 3 2" xfId="14122"/>
    <cellStyle name="Comma 6 2 5 3 3" xfId="20274"/>
    <cellStyle name="Comma 6 2 5 4" xfId="11056"/>
    <cellStyle name="Comma 6 2 5 5" xfId="17208"/>
    <cellStyle name="Comma 6 2 6" xfId="5590"/>
    <cellStyle name="Comma 6 2 6 2" xfId="8694"/>
    <cellStyle name="Comma 6 2 6 2 2" xfId="14887"/>
    <cellStyle name="Comma 6 2 6 2 3" xfId="21039"/>
    <cellStyle name="Comma 6 2 6 3" xfId="11821"/>
    <cellStyle name="Comma 6 2 6 4" xfId="17973"/>
    <cellStyle name="Comma 6 2 7" xfId="7159"/>
    <cellStyle name="Comma 6 2 7 2" xfId="13353"/>
    <cellStyle name="Comma 6 2 7 3" xfId="19505"/>
    <cellStyle name="Comma 6 2 8" xfId="10268"/>
    <cellStyle name="Comma 6 2 8 2" xfId="16428"/>
    <cellStyle name="Comma 6 2 8 3" xfId="22580"/>
    <cellStyle name="Comma 6 2 9" xfId="10287"/>
    <cellStyle name="Comma 6 3" xfId="1310"/>
    <cellStyle name="Comma 6 3 10" xfId="16444"/>
    <cellStyle name="Comma 6 3 2" xfId="2968"/>
    <cellStyle name="Comma 6 3 3" xfId="2969"/>
    <cellStyle name="Comma 6 3 4" xfId="4722"/>
    <cellStyle name="Comma 6 3 4 2" xfId="5498"/>
    <cellStyle name="Comma 6 3 4 2 2" xfId="7123"/>
    <cellStyle name="Comma 6 3 4 2 2 2" xfId="10209"/>
    <cellStyle name="Comma 6 3 4 2 2 2 2" xfId="16402"/>
    <cellStyle name="Comma 6 3 4 2 2 2 3" xfId="22554"/>
    <cellStyle name="Comma 6 3 4 2 2 3" xfId="13336"/>
    <cellStyle name="Comma 6 3 4 2 2 4" xfId="19488"/>
    <cellStyle name="Comma 6 3 4 2 3" xfId="8674"/>
    <cellStyle name="Comma 6 3 4 2 3 2" xfId="14868"/>
    <cellStyle name="Comma 6 3 4 2 3 3" xfId="21020"/>
    <cellStyle name="Comma 6 3 4 2 4" xfId="11802"/>
    <cellStyle name="Comma 6 3 4 2 5" xfId="17954"/>
    <cellStyle name="Comma 6 3 4 3" xfId="6354"/>
    <cellStyle name="Comma 6 3 4 3 2" xfId="9440"/>
    <cellStyle name="Comma 6 3 4 3 2 2" xfId="15633"/>
    <cellStyle name="Comma 6 3 4 3 2 3" xfId="21785"/>
    <cellStyle name="Comma 6 3 4 3 3" xfId="12567"/>
    <cellStyle name="Comma 6 3 4 3 4" xfId="18719"/>
    <cellStyle name="Comma 6 3 4 4" xfId="7905"/>
    <cellStyle name="Comma 6 3 4 4 2" xfId="14099"/>
    <cellStyle name="Comma 6 3 4 4 3" xfId="20251"/>
    <cellStyle name="Comma 6 3 4 5" xfId="11033"/>
    <cellStyle name="Comma 6 3 4 6" xfId="17185"/>
    <cellStyle name="Comma 6 3 5" xfId="2967"/>
    <cellStyle name="Comma 6 3 6" xfId="4757"/>
    <cellStyle name="Comma 6 3 6 2" xfId="6382"/>
    <cellStyle name="Comma 6 3 6 2 2" xfId="9468"/>
    <cellStyle name="Comma 6 3 6 2 2 2" xfId="15661"/>
    <cellStyle name="Comma 6 3 6 2 2 3" xfId="21813"/>
    <cellStyle name="Comma 6 3 6 2 3" xfId="12595"/>
    <cellStyle name="Comma 6 3 6 2 4" xfId="18747"/>
    <cellStyle name="Comma 6 3 6 3" xfId="7933"/>
    <cellStyle name="Comma 6 3 6 3 2" xfId="14127"/>
    <cellStyle name="Comma 6 3 6 3 3" xfId="20279"/>
    <cellStyle name="Comma 6 3 6 4" xfId="11061"/>
    <cellStyle name="Comma 6 3 6 5" xfId="17213"/>
    <cellStyle name="Comma 6 3 7" xfId="5596"/>
    <cellStyle name="Comma 6 3 7 2" xfId="8699"/>
    <cellStyle name="Comma 6 3 7 2 2" xfId="14892"/>
    <cellStyle name="Comma 6 3 7 2 3" xfId="21044"/>
    <cellStyle name="Comma 6 3 7 3" xfId="11826"/>
    <cellStyle name="Comma 6 3 7 4" xfId="17978"/>
    <cellStyle name="Comma 6 3 8" xfId="7164"/>
    <cellStyle name="Comma 6 3 8 2" xfId="13358"/>
    <cellStyle name="Comma 6 3 8 3" xfId="19510"/>
    <cellStyle name="Comma 6 3 9" xfId="10292"/>
    <cellStyle name="Comma 6 4" xfId="2970"/>
    <cellStyle name="Comma 6 5" xfId="4702"/>
    <cellStyle name="Comma 6 5 2" xfId="5490"/>
    <cellStyle name="Comma 6 5 2 2" xfId="7115"/>
    <cellStyle name="Comma 6 5 2 2 2" xfId="10201"/>
    <cellStyle name="Comma 6 5 2 2 2 2" xfId="16394"/>
    <cellStyle name="Comma 6 5 2 2 2 3" xfId="22546"/>
    <cellStyle name="Comma 6 5 2 2 3" xfId="13328"/>
    <cellStyle name="Comma 6 5 2 2 4" xfId="19480"/>
    <cellStyle name="Comma 6 5 2 3" xfId="8666"/>
    <cellStyle name="Comma 6 5 2 3 2" xfId="14860"/>
    <cellStyle name="Comma 6 5 2 3 3" xfId="21012"/>
    <cellStyle name="Comma 6 5 2 4" xfId="11794"/>
    <cellStyle name="Comma 6 5 2 5" xfId="17946"/>
    <cellStyle name="Comma 6 5 3" xfId="6346"/>
    <cellStyle name="Comma 6 5 3 2" xfId="9432"/>
    <cellStyle name="Comma 6 5 3 2 2" xfId="15625"/>
    <cellStyle name="Comma 6 5 3 2 3" xfId="21777"/>
    <cellStyle name="Comma 6 5 3 3" xfId="12559"/>
    <cellStyle name="Comma 6 5 3 4" xfId="18711"/>
    <cellStyle name="Comma 6 5 4" xfId="7897"/>
    <cellStyle name="Comma 6 5 4 2" xfId="14091"/>
    <cellStyle name="Comma 6 5 4 3" xfId="20243"/>
    <cellStyle name="Comma 6 5 5" xfId="11025"/>
    <cellStyle name="Comma 6 5 6" xfId="17177"/>
    <cellStyle name="Comma 6 6" xfId="2965"/>
    <cellStyle name="Comma 6 7" xfId="4746"/>
    <cellStyle name="Comma 6 7 2" xfId="6371"/>
    <cellStyle name="Comma 6 7 2 2" xfId="9457"/>
    <cellStyle name="Comma 6 7 2 2 2" xfId="15650"/>
    <cellStyle name="Comma 6 7 2 2 3" xfId="21802"/>
    <cellStyle name="Comma 6 7 2 3" xfId="12584"/>
    <cellStyle name="Comma 6 7 2 4" xfId="18736"/>
    <cellStyle name="Comma 6 7 3" xfId="7922"/>
    <cellStyle name="Comma 6 7 3 2" xfId="14116"/>
    <cellStyle name="Comma 6 7 3 3" xfId="20268"/>
    <cellStyle name="Comma 6 7 4" xfId="11050"/>
    <cellStyle name="Comma 6 7 5" xfId="17202"/>
    <cellStyle name="Comma 6 8" xfId="5584"/>
    <cellStyle name="Comma 6 8 2" xfId="8688"/>
    <cellStyle name="Comma 6 8 2 2" xfId="14881"/>
    <cellStyle name="Comma 6 8 2 3" xfId="21033"/>
    <cellStyle name="Comma 6 8 3" xfId="11815"/>
    <cellStyle name="Comma 6 8 4" xfId="17967"/>
    <cellStyle name="Comma 6 9" xfId="7153"/>
    <cellStyle name="Comma 6 9 2" xfId="13347"/>
    <cellStyle name="Comma 6 9 3" xfId="19499"/>
    <cellStyle name="Comma 60" xfId="2971"/>
    <cellStyle name="Comma 61" xfId="2972"/>
    <cellStyle name="Comma 62" xfId="2973"/>
    <cellStyle name="Comma 63" xfId="2974"/>
    <cellStyle name="Comma 64" xfId="2975"/>
    <cellStyle name="Comma 65" xfId="2976"/>
    <cellStyle name="Comma 66" xfId="2977"/>
    <cellStyle name="Comma 67" xfId="2978"/>
    <cellStyle name="Comma 68" xfId="2979"/>
    <cellStyle name="Comma 69" xfId="2980"/>
    <cellStyle name="Comma 7" xfId="53"/>
    <cellStyle name="Comma 7 10" xfId="22838"/>
    <cellStyle name="Comma 7 11" xfId="224"/>
    <cellStyle name="Comma 7 2" xfId="104"/>
    <cellStyle name="Comma 7 2 2" xfId="147"/>
    <cellStyle name="Comma 7 2 2 2" xfId="2982"/>
    <cellStyle name="Comma 7 2 3" xfId="875"/>
    <cellStyle name="Comma 7 3" xfId="132"/>
    <cellStyle name="Comma 7 3 2" xfId="2984"/>
    <cellStyle name="Comma 7 3 3" xfId="2985"/>
    <cellStyle name="Comma 7 3 4" xfId="2983"/>
    <cellStyle name="Comma 7 4" xfId="117"/>
    <cellStyle name="Comma 7 4 2" xfId="2986"/>
    <cellStyle name="Comma 7 5" xfId="4706"/>
    <cellStyle name="Comma 7 6" xfId="2981"/>
    <cellStyle name="Comma 7 7" xfId="1290"/>
    <cellStyle name="Comma 7 8" xfId="1171"/>
    <cellStyle name="Comma 7 9" xfId="22736"/>
    <cellStyle name="Comma 70" xfId="2987"/>
    <cellStyle name="Comma 71" xfId="2988"/>
    <cellStyle name="Comma 72" xfId="2989"/>
    <cellStyle name="Comma 73" xfId="2990"/>
    <cellStyle name="Comma 74" xfId="2991"/>
    <cellStyle name="Comma 75" xfId="2992"/>
    <cellStyle name="Comma 76" xfId="2993"/>
    <cellStyle name="Comma 77" xfId="2994"/>
    <cellStyle name="Comma 78" xfId="2995"/>
    <cellStyle name="Comma 79" xfId="2996"/>
    <cellStyle name="Comma 8" xfId="84"/>
    <cellStyle name="Comma 8 2" xfId="876"/>
    <cellStyle name="Comma 8 2 2" xfId="2999"/>
    <cellStyle name="Comma 8 2 3" xfId="3000"/>
    <cellStyle name="Comma 8 2 4" xfId="2998"/>
    <cellStyle name="Comma 8 3" xfId="4713"/>
    <cellStyle name="Comma 8 4" xfId="2997"/>
    <cellStyle name="Comma 8 5" xfId="1300"/>
    <cellStyle name="Comma 8 6" xfId="1173"/>
    <cellStyle name="Comma 8 7" xfId="22655"/>
    <cellStyle name="Comma 8 8" xfId="22839"/>
    <cellStyle name="Comma 8 9" xfId="225"/>
    <cellStyle name="Comma 80" xfId="3001"/>
    <cellStyle name="Comma 81" xfId="3002"/>
    <cellStyle name="Comma 82" xfId="3003"/>
    <cellStyle name="Comma 83" xfId="3004"/>
    <cellStyle name="Comma 84" xfId="3005"/>
    <cellStyle name="Comma 85" xfId="3006"/>
    <cellStyle name="Comma 86" xfId="3007"/>
    <cellStyle name="Comma 87" xfId="3008"/>
    <cellStyle name="Comma 88" xfId="3009"/>
    <cellStyle name="Comma 89" xfId="3010"/>
    <cellStyle name="Comma 9" xfId="120"/>
    <cellStyle name="Comma 9 10" xfId="227"/>
    <cellStyle name="Comma 9 2" xfId="878"/>
    <cellStyle name="Comma 9 2 2" xfId="3013"/>
    <cellStyle name="Comma 9 2 3" xfId="3014"/>
    <cellStyle name="Comma 9 2 4" xfId="3012"/>
    <cellStyle name="Comma 9 3" xfId="3015"/>
    <cellStyle name="Comma 9 4" xfId="4717"/>
    <cellStyle name="Comma 9 5" xfId="3011"/>
    <cellStyle name="Comma 9 6" xfId="1304"/>
    <cellStyle name="Comma 9 7" xfId="1174"/>
    <cellStyle name="Comma 9 8" xfId="22742"/>
    <cellStyle name="Comma 9 9" xfId="22841"/>
    <cellStyle name="Comma 90" xfId="3016"/>
    <cellStyle name="Comma 91" xfId="3017"/>
    <cellStyle name="Comma 92" xfId="3018"/>
    <cellStyle name="Comma 93" xfId="3019"/>
    <cellStyle name="Comma 94" xfId="3020"/>
    <cellStyle name="Comma 95" xfId="3021"/>
    <cellStyle name="Comma 96" xfId="3022"/>
    <cellStyle name="Comma 97" xfId="3023"/>
    <cellStyle name="Comma 98" xfId="3024"/>
    <cellStyle name="Comma 99" xfId="3025"/>
    <cellStyle name="Comma(+Credit)" xfId="3026"/>
    <cellStyle name="Comma0" xfId="255"/>
    <cellStyle name="Comma0 2" xfId="10226"/>
    <cellStyle name="Company Name" xfId="3027"/>
    <cellStyle name="Company Name 2" xfId="3028"/>
    <cellStyle name="Company Name 3" xfId="3029"/>
    <cellStyle name="Currency" xfId="10" builtinId="4"/>
    <cellStyle name="Currency [0] 2" xfId="1191"/>
    <cellStyle name="Currency [0] 2 2" xfId="4628"/>
    <cellStyle name="Currency [0] 2 3" xfId="1324"/>
    <cellStyle name="Currency [0] 3" xfId="1217"/>
    <cellStyle name="Currency [0] 4" xfId="1292"/>
    <cellStyle name="Currency [0] 5" xfId="4627"/>
    <cellStyle name="Currency [0] 6" xfId="4733"/>
    <cellStyle name="Currency [0] 7" xfId="7148"/>
    <cellStyle name="Currency [0] 8" xfId="10276"/>
    <cellStyle name="Currency [0] 9" xfId="1185"/>
    <cellStyle name="Currency 0.0" xfId="3030"/>
    <cellStyle name="Currency 0.00" xfId="3031"/>
    <cellStyle name="Currency 0.000" xfId="3032"/>
    <cellStyle name="Currency 10" xfId="1303"/>
    <cellStyle name="Currency 10 10" xfId="23144"/>
    <cellStyle name="Currency 10 2" xfId="3034"/>
    <cellStyle name="Currency 10 2 2" xfId="23145"/>
    <cellStyle name="Currency 10 3" xfId="3035"/>
    <cellStyle name="Currency 10 3 2" xfId="23146"/>
    <cellStyle name="Currency 10 4" xfId="3036"/>
    <cellStyle name="Currency 10 4 2" xfId="23147"/>
    <cellStyle name="Currency 10 5" xfId="3037"/>
    <cellStyle name="Currency 10 5 2" xfId="23148"/>
    <cellStyle name="Currency 10 6" xfId="3038"/>
    <cellStyle name="Currency 10 6 2" xfId="3039"/>
    <cellStyle name="Currency 10 6 3" xfId="3040"/>
    <cellStyle name="Currency 10 7" xfId="3041"/>
    <cellStyle name="Currency 10 8" xfId="4716"/>
    <cellStyle name="Currency 10 9" xfId="3033"/>
    <cellStyle name="Currency 100" xfId="3042"/>
    <cellStyle name="Currency 101" xfId="3043"/>
    <cellStyle name="Currency 102" xfId="3044"/>
    <cellStyle name="Currency 103" xfId="3045"/>
    <cellStyle name="Currency 104" xfId="3046"/>
    <cellStyle name="Currency 105" xfId="3047"/>
    <cellStyle name="Currency 106" xfId="3048"/>
    <cellStyle name="Currency 107" xfId="3049"/>
    <cellStyle name="Currency 108" xfId="3050"/>
    <cellStyle name="Currency 109" xfId="3051"/>
    <cellStyle name="Currency 11" xfId="3052"/>
    <cellStyle name="Currency 11 2" xfId="3053"/>
    <cellStyle name="Currency 11 2 2" xfId="23150"/>
    <cellStyle name="Currency 11 3" xfId="3054"/>
    <cellStyle name="Currency 11 3 2" xfId="23151"/>
    <cellStyle name="Currency 11 4" xfId="23152"/>
    <cellStyle name="Currency 11 5" xfId="23153"/>
    <cellStyle name="Currency 11 6" xfId="23149"/>
    <cellStyle name="Currency 110" xfId="3055"/>
    <cellStyle name="Currency 111" xfId="3056"/>
    <cellStyle name="Currency 112" xfId="3057"/>
    <cellStyle name="Currency 113" xfId="3058"/>
    <cellStyle name="Currency 114" xfId="3059"/>
    <cellStyle name="Currency 115" xfId="3060"/>
    <cellStyle name="Currency 116" xfId="3061"/>
    <cellStyle name="Currency 117" xfId="3062"/>
    <cellStyle name="Currency 118" xfId="3063"/>
    <cellStyle name="Currency 118 2" xfId="3064"/>
    <cellStyle name="Currency 118 2 2" xfId="3065"/>
    <cellStyle name="Currency 118 2 2 2" xfId="3066"/>
    <cellStyle name="Currency 118 2 3" xfId="3067"/>
    <cellStyle name="Currency 118 3" xfId="3068"/>
    <cellStyle name="Currency 118 3 2" xfId="3069"/>
    <cellStyle name="Currency 118 4" xfId="3070"/>
    <cellStyle name="Currency 118 4 2" xfId="3071"/>
    <cellStyle name="Currency 118 5" xfId="3072"/>
    <cellStyle name="Currency 119" xfId="3073"/>
    <cellStyle name="Currency 119 2" xfId="3074"/>
    <cellStyle name="Currency 119 2 2" xfId="3075"/>
    <cellStyle name="Currency 119 2 2 2" xfId="3076"/>
    <cellStyle name="Currency 119 2 3" xfId="3077"/>
    <cellStyle name="Currency 119 3" xfId="3078"/>
    <cellStyle name="Currency 119 3 2" xfId="3079"/>
    <cellStyle name="Currency 119 4" xfId="3080"/>
    <cellStyle name="Currency 119 4 2" xfId="3081"/>
    <cellStyle name="Currency 119 5" xfId="3082"/>
    <cellStyle name="Currency 12" xfId="3083"/>
    <cellStyle name="Currency 12 2" xfId="3084"/>
    <cellStyle name="Currency 12 2 2" xfId="23155"/>
    <cellStyle name="Currency 12 3" xfId="3085"/>
    <cellStyle name="Currency 12 3 2" xfId="23156"/>
    <cellStyle name="Currency 12 4" xfId="23157"/>
    <cellStyle name="Currency 12 5" xfId="23154"/>
    <cellStyle name="Currency 120" xfId="3086"/>
    <cellStyle name="Currency 120 2" xfId="4884"/>
    <cellStyle name="Currency 120 2 2" xfId="6509"/>
    <cellStyle name="Currency 120 2 2 2" xfId="9595"/>
    <cellStyle name="Currency 120 2 2 2 2" xfId="15788"/>
    <cellStyle name="Currency 120 2 2 2 3" xfId="21940"/>
    <cellStyle name="Currency 120 2 2 3" xfId="12722"/>
    <cellStyle name="Currency 120 2 2 4" xfId="18874"/>
    <cellStyle name="Currency 120 2 3" xfId="8060"/>
    <cellStyle name="Currency 120 2 3 2" xfId="14254"/>
    <cellStyle name="Currency 120 2 3 3" xfId="20406"/>
    <cellStyle name="Currency 120 2 4" xfId="11188"/>
    <cellStyle name="Currency 120 2 5" xfId="17340"/>
    <cellStyle name="Currency 120 3" xfId="5725"/>
    <cellStyle name="Currency 120 3 2" xfId="8826"/>
    <cellStyle name="Currency 120 3 2 2" xfId="15019"/>
    <cellStyle name="Currency 120 3 2 3" xfId="21171"/>
    <cellStyle name="Currency 120 3 3" xfId="11953"/>
    <cellStyle name="Currency 120 3 4" xfId="18105"/>
    <cellStyle name="Currency 120 4" xfId="7291"/>
    <cellStyle name="Currency 120 4 2" xfId="13485"/>
    <cellStyle name="Currency 120 4 3" xfId="19637"/>
    <cellStyle name="Currency 120 5" xfId="10419"/>
    <cellStyle name="Currency 120 6" xfId="16571"/>
    <cellStyle name="Currency 121" xfId="3087"/>
    <cellStyle name="Currency 121 2" xfId="4885"/>
    <cellStyle name="Currency 121 2 2" xfId="6510"/>
    <cellStyle name="Currency 121 2 2 2" xfId="9596"/>
    <cellStyle name="Currency 121 2 2 2 2" xfId="15789"/>
    <cellStyle name="Currency 121 2 2 2 3" xfId="21941"/>
    <cellStyle name="Currency 121 2 2 3" xfId="12723"/>
    <cellStyle name="Currency 121 2 2 4" xfId="18875"/>
    <cellStyle name="Currency 121 2 3" xfId="8061"/>
    <cellStyle name="Currency 121 2 3 2" xfId="14255"/>
    <cellStyle name="Currency 121 2 3 3" xfId="20407"/>
    <cellStyle name="Currency 121 2 4" xfId="11189"/>
    <cellStyle name="Currency 121 2 5" xfId="17341"/>
    <cellStyle name="Currency 121 3" xfId="5726"/>
    <cellStyle name="Currency 121 3 2" xfId="8827"/>
    <cellStyle name="Currency 121 3 2 2" xfId="15020"/>
    <cellStyle name="Currency 121 3 2 3" xfId="21172"/>
    <cellStyle name="Currency 121 3 3" xfId="11954"/>
    <cellStyle name="Currency 121 3 4" xfId="18106"/>
    <cellStyle name="Currency 121 4" xfId="7292"/>
    <cellStyle name="Currency 121 4 2" xfId="13486"/>
    <cellStyle name="Currency 121 4 3" xfId="19638"/>
    <cellStyle name="Currency 121 5" xfId="10420"/>
    <cellStyle name="Currency 121 6" xfId="16572"/>
    <cellStyle name="Currency 122" xfId="3088"/>
    <cellStyle name="Currency 122 2" xfId="4886"/>
    <cellStyle name="Currency 122 2 2" xfId="6511"/>
    <cellStyle name="Currency 122 2 2 2" xfId="9597"/>
    <cellStyle name="Currency 122 2 2 2 2" xfId="15790"/>
    <cellStyle name="Currency 122 2 2 2 3" xfId="21942"/>
    <cellStyle name="Currency 122 2 2 3" xfId="12724"/>
    <cellStyle name="Currency 122 2 2 4" xfId="18876"/>
    <cellStyle name="Currency 122 2 3" xfId="8062"/>
    <cellStyle name="Currency 122 2 3 2" xfId="14256"/>
    <cellStyle name="Currency 122 2 3 3" xfId="20408"/>
    <cellStyle name="Currency 122 2 4" xfId="11190"/>
    <cellStyle name="Currency 122 2 5" xfId="17342"/>
    <cellStyle name="Currency 122 3" xfId="5727"/>
    <cellStyle name="Currency 122 3 2" xfId="8828"/>
    <cellStyle name="Currency 122 3 2 2" xfId="15021"/>
    <cellStyle name="Currency 122 3 2 3" xfId="21173"/>
    <cellStyle name="Currency 122 3 3" xfId="11955"/>
    <cellStyle name="Currency 122 3 4" xfId="18107"/>
    <cellStyle name="Currency 122 4" xfId="7293"/>
    <cellStyle name="Currency 122 4 2" xfId="13487"/>
    <cellStyle name="Currency 122 4 3" xfId="19639"/>
    <cellStyle name="Currency 122 5" xfId="10421"/>
    <cellStyle name="Currency 122 6" xfId="16573"/>
    <cellStyle name="Currency 123" xfId="3089"/>
    <cellStyle name="Currency 123 2" xfId="4887"/>
    <cellStyle name="Currency 123 2 2" xfId="6512"/>
    <cellStyle name="Currency 123 2 2 2" xfId="9598"/>
    <cellStyle name="Currency 123 2 2 2 2" xfId="15791"/>
    <cellStyle name="Currency 123 2 2 2 3" xfId="21943"/>
    <cellStyle name="Currency 123 2 2 3" xfId="12725"/>
    <cellStyle name="Currency 123 2 2 4" xfId="18877"/>
    <cellStyle name="Currency 123 2 3" xfId="8063"/>
    <cellStyle name="Currency 123 2 3 2" xfId="14257"/>
    <cellStyle name="Currency 123 2 3 3" xfId="20409"/>
    <cellStyle name="Currency 123 2 4" xfId="11191"/>
    <cellStyle name="Currency 123 2 5" xfId="17343"/>
    <cellStyle name="Currency 123 3" xfId="5728"/>
    <cellStyle name="Currency 123 3 2" xfId="8829"/>
    <cellStyle name="Currency 123 3 2 2" xfId="15022"/>
    <cellStyle name="Currency 123 3 2 3" xfId="21174"/>
    <cellStyle name="Currency 123 3 3" xfId="11956"/>
    <cellStyle name="Currency 123 3 4" xfId="18108"/>
    <cellStyle name="Currency 123 4" xfId="7294"/>
    <cellStyle name="Currency 123 4 2" xfId="13488"/>
    <cellStyle name="Currency 123 4 3" xfId="19640"/>
    <cellStyle name="Currency 123 5" xfId="10422"/>
    <cellStyle name="Currency 123 6" xfId="16574"/>
    <cellStyle name="Currency 124" xfId="3090"/>
    <cellStyle name="Currency 124 2" xfId="4888"/>
    <cellStyle name="Currency 124 2 2" xfId="6513"/>
    <cellStyle name="Currency 124 2 2 2" xfId="9599"/>
    <cellStyle name="Currency 124 2 2 2 2" xfId="15792"/>
    <cellStyle name="Currency 124 2 2 2 3" xfId="21944"/>
    <cellStyle name="Currency 124 2 2 3" xfId="12726"/>
    <cellStyle name="Currency 124 2 2 4" xfId="18878"/>
    <cellStyle name="Currency 124 2 3" xfId="8064"/>
    <cellStyle name="Currency 124 2 3 2" xfId="14258"/>
    <cellStyle name="Currency 124 2 3 3" xfId="20410"/>
    <cellStyle name="Currency 124 2 4" xfId="11192"/>
    <cellStyle name="Currency 124 2 5" xfId="17344"/>
    <cellStyle name="Currency 124 3" xfId="5729"/>
    <cellStyle name="Currency 124 3 2" xfId="8830"/>
    <cellStyle name="Currency 124 3 2 2" xfId="15023"/>
    <cellStyle name="Currency 124 3 2 3" xfId="21175"/>
    <cellStyle name="Currency 124 3 3" xfId="11957"/>
    <cellStyle name="Currency 124 3 4" xfId="18109"/>
    <cellStyle name="Currency 124 4" xfId="7295"/>
    <cellStyle name="Currency 124 4 2" xfId="13489"/>
    <cellStyle name="Currency 124 4 3" xfId="19641"/>
    <cellStyle name="Currency 124 5" xfId="10423"/>
    <cellStyle name="Currency 124 6" xfId="16575"/>
    <cellStyle name="Currency 125" xfId="3091"/>
    <cellStyle name="Currency 125 2" xfId="4889"/>
    <cellStyle name="Currency 125 2 2" xfId="6514"/>
    <cellStyle name="Currency 125 2 2 2" xfId="9600"/>
    <cellStyle name="Currency 125 2 2 2 2" xfId="15793"/>
    <cellStyle name="Currency 125 2 2 2 3" xfId="21945"/>
    <cellStyle name="Currency 125 2 2 3" xfId="12727"/>
    <cellStyle name="Currency 125 2 2 4" xfId="18879"/>
    <cellStyle name="Currency 125 2 3" xfId="8065"/>
    <cellStyle name="Currency 125 2 3 2" xfId="14259"/>
    <cellStyle name="Currency 125 2 3 3" xfId="20411"/>
    <cellStyle name="Currency 125 2 4" xfId="11193"/>
    <cellStyle name="Currency 125 2 5" xfId="17345"/>
    <cellStyle name="Currency 125 3" xfId="5730"/>
    <cellStyle name="Currency 125 3 2" xfId="8831"/>
    <cellStyle name="Currency 125 3 2 2" xfId="15024"/>
    <cellStyle name="Currency 125 3 2 3" xfId="21176"/>
    <cellStyle name="Currency 125 3 3" xfId="11958"/>
    <cellStyle name="Currency 125 3 4" xfId="18110"/>
    <cellStyle name="Currency 125 4" xfId="7296"/>
    <cellStyle name="Currency 125 4 2" xfId="13490"/>
    <cellStyle name="Currency 125 4 3" xfId="19642"/>
    <cellStyle name="Currency 125 5" xfId="10424"/>
    <cellStyle name="Currency 125 6" xfId="16576"/>
    <cellStyle name="Currency 126" xfId="3092"/>
    <cellStyle name="Currency 126 2" xfId="4890"/>
    <cellStyle name="Currency 126 2 2" xfId="6515"/>
    <cellStyle name="Currency 126 2 2 2" xfId="9601"/>
    <cellStyle name="Currency 126 2 2 2 2" xfId="15794"/>
    <cellStyle name="Currency 126 2 2 2 3" xfId="21946"/>
    <cellStyle name="Currency 126 2 2 3" xfId="12728"/>
    <cellStyle name="Currency 126 2 2 4" xfId="18880"/>
    <cellStyle name="Currency 126 2 3" xfId="8066"/>
    <cellStyle name="Currency 126 2 3 2" xfId="14260"/>
    <cellStyle name="Currency 126 2 3 3" xfId="20412"/>
    <cellStyle name="Currency 126 2 4" xfId="11194"/>
    <cellStyle name="Currency 126 2 5" xfId="17346"/>
    <cellStyle name="Currency 126 3" xfId="5731"/>
    <cellStyle name="Currency 126 3 2" xfId="8832"/>
    <cellStyle name="Currency 126 3 2 2" xfId="15025"/>
    <cellStyle name="Currency 126 3 2 3" xfId="21177"/>
    <cellStyle name="Currency 126 3 3" xfId="11959"/>
    <cellStyle name="Currency 126 3 4" xfId="18111"/>
    <cellStyle name="Currency 126 4" xfId="7297"/>
    <cellStyle name="Currency 126 4 2" xfId="13491"/>
    <cellStyle name="Currency 126 4 3" xfId="19643"/>
    <cellStyle name="Currency 126 5" xfId="10425"/>
    <cellStyle name="Currency 126 6" xfId="16577"/>
    <cellStyle name="Currency 127" xfId="3093"/>
    <cellStyle name="Currency 127 2" xfId="4891"/>
    <cellStyle name="Currency 127 2 2" xfId="6516"/>
    <cellStyle name="Currency 127 2 2 2" xfId="9602"/>
    <cellStyle name="Currency 127 2 2 2 2" xfId="15795"/>
    <cellStyle name="Currency 127 2 2 2 3" xfId="21947"/>
    <cellStyle name="Currency 127 2 2 3" xfId="12729"/>
    <cellStyle name="Currency 127 2 2 4" xfId="18881"/>
    <cellStyle name="Currency 127 2 3" xfId="8067"/>
    <cellStyle name="Currency 127 2 3 2" xfId="14261"/>
    <cellStyle name="Currency 127 2 3 3" xfId="20413"/>
    <cellStyle name="Currency 127 2 4" xfId="11195"/>
    <cellStyle name="Currency 127 2 5" xfId="17347"/>
    <cellStyle name="Currency 127 3" xfId="5732"/>
    <cellStyle name="Currency 127 3 2" xfId="8833"/>
    <cellStyle name="Currency 127 3 2 2" xfId="15026"/>
    <cellStyle name="Currency 127 3 2 3" xfId="21178"/>
    <cellStyle name="Currency 127 3 3" xfId="11960"/>
    <cellStyle name="Currency 127 3 4" xfId="18112"/>
    <cellStyle name="Currency 127 4" xfId="7298"/>
    <cellStyle name="Currency 127 4 2" xfId="13492"/>
    <cellStyle name="Currency 127 4 3" xfId="19644"/>
    <cellStyle name="Currency 127 5" xfId="10426"/>
    <cellStyle name="Currency 127 6" xfId="16578"/>
    <cellStyle name="Currency 128" xfId="3094"/>
    <cellStyle name="Currency 128 2" xfId="4892"/>
    <cellStyle name="Currency 128 2 2" xfId="6517"/>
    <cellStyle name="Currency 128 2 2 2" xfId="9603"/>
    <cellStyle name="Currency 128 2 2 2 2" xfId="15796"/>
    <cellStyle name="Currency 128 2 2 2 3" xfId="21948"/>
    <cellStyle name="Currency 128 2 2 3" xfId="12730"/>
    <cellStyle name="Currency 128 2 2 4" xfId="18882"/>
    <cellStyle name="Currency 128 2 3" xfId="8068"/>
    <cellStyle name="Currency 128 2 3 2" xfId="14262"/>
    <cellStyle name="Currency 128 2 3 3" xfId="20414"/>
    <cellStyle name="Currency 128 2 4" xfId="11196"/>
    <cellStyle name="Currency 128 2 5" xfId="17348"/>
    <cellStyle name="Currency 128 3" xfId="5733"/>
    <cellStyle name="Currency 128 3 2" xfId="8834"/>
    <cellStyle name="Currency 128 3 2 2" xfId="15027"/>
    <cellStyle name="Currency 128 3 2 3" xfId="21179"/>
    <cellStyle name="Currency 128 3 3" xfId="11961"/>
    <cellStyle name="Currency 128 3 4" xfId="18113"/>
    <cellStyle name="Currency 128 4" xfId="7299"/>
    <cellStyle name="Currency 128 4 2" xfId="13493"/>
    <cellStyle name="Currency 128 4 3" xfId="19645"/>
    <cellStyle name="Currency 128 5" xfId="10427"/>
    <cellStyle name="Currency 128 6" xfId="16579"/>
    <cellStyle name="Currency 129" xfId="3095"/>
    <cellStyle name="Currency 129 2" xfId="4893"/>
    <cellStyle name="Currency 129 2 2" xfId="6518"/>
    <cellStyle name="Currency 129 2 2 2" xfId="9604"/>
    <cellStyle name="Currency 129 2 2 2 2" xfId="15797"/>
    <cellStyle name="Currency 129 2 2 2 3" xfId="21949"/>
    <cellStyle name="Currency 129 2 2 3" xfId="12731"/>
    <cellStyle name="Currency 129 2 2 4" xfId="18883"/>
    <cellStyle name="Currency 129 2 3" xfId="8069"/>
    <cellStyle name="Currency 129 2 3 2" xfId="14263"/>
    <cellStyle name="Currency 129 2 3 3" xfId="20415"/>
    <cellStyle name="Currency 129 2 4" xfId="11197"/>
    <cellStyle name="Currency 129 2 5" xfId="17349"/>
    <cellStyle name="Currency 129 3" xfId="5734"/>
    <cellStyle name="Currency 129 3 2" xfId="8835"/>
    <cellStyle name="Currency 129 3 2 2" xfId="15028"/>
    <cellStyle name="Currency 129 3 2 3" xfId="21180"/>
    <cellStyle name="Currency 129 3 3" xfId="11962"/>
    <cellStyle name="Currency 129 3 4" xfId="18114"/>
    <cellStyle name="Currency 129 4" xfId="7300"/>
    <cellStyle name="Currency 129 4 2" xfId="13494"/>
    <cellStyle name="Currency 129 4 3" xfId="19646"/>
    <cellStyle name="Currency 129 5" xfId="10428"/>
    <cellStyle name="Currency 129 6" xfId="16580"/>
    <cellStyle name="Currency 13" xfId="3096"/>
    <cellStyle name="Currency 13 2" xfId="3097"/>
    <cellStyle name="Currency 13 2 2" xfId="23159"/>
    <cellStyle name="Currency 13 3" xfId="3098"/>
    <cellStyle name="Currency 13 3 2" xfId="23160"/>
    <cellStyle name="Currency 13 4" xfId="23161"/>
    <cellStyle name="Currency 13 5" xfId="23158"/>
    <cellStyle name="Currency 130" xfId="3099"/>
    <cellStyle name="Currency 130 2" xfId="4894"/>
    <cellStyle name="Currency 130 2 2" xfId="6519"/>
    <cellStyle name="Currency 130 2 2 2" xfId="9605"/>
    <cellStyle name="Currency 130 2 2 2 2" xfId="15798"/>
    <cellStyle name="Currency 130 2 2 2 3" xfId="21950"/>
    <cellStyle name="Currency 130 2 2 3" xfId="12732"/>
    <cellStyle name="Currency 130 2 2 4" xfId="18884"/>
    <cellStyle name="Currency 130 2 3" xfId="8070"/>
    <cellStyle name="Currency 130 2 3 2" xfId="14264"/>
    <cellStyle name="Currency 130 2 3 3" xfId="20416"/>
    <cellStyle name="Currency 130 2 4" xfId="11198"/>
    <cellStyle name="Currency 130 2 5" xfId="17350"/>
    <cellStyle name="Currency 130 3" xfId="5735"/>
    <cellStyle name="Currency 130 3 2" xfId="8836"/>
    <cellStyle name="Currency 130 3 2 2" xfId="15029"/>
    <cellStyle name="Currency 130 3 2 3" xfId="21181"/>
    <cellStyle name="Currency 130 3 3" xfId="11963"/>
    <cellStyle name="Currency 130 3 4" xfId="18115"/>
    <cellStyle name="Currency 130 4" xfId="7301"/>
    <cellStyle name="Currency 130 4 2" xfId="13495"/>
    <cellStyle name="Currency 130 4 3" xfId="19647"/>
    <cellStyle name="Currency 130 5" xfId="10429"/>
    <cellStyle name="Currency 130 6" xfId="16581"/>
    <cellStyle name="Currency 131" xfId="3100"/>
    <cellStyle name="Currency 132" xfId="3101"/>
    <cellStyle name="Currency 133" xfId="3102"/>
    <cellStyle name="Currency 134" xfId="3103"/>
    <cellStyle name="Currency 135" xfId="3104"/>
    <cellStyle name="Currency 136" xfId="3105"/>
    <cellStyle name="Currency 137" xfId="3106"/>
    <cellStyle name="Currency 138" xfId="3107"/>
    <cellStyle name="Currency 139" xfId="3108"/>
    <cellStyle name="Currency 14" xfId="3109"/>
    <cellStyle name="Currency 14 2" xfId="3110"/>
    <cellStyle name="Currency 14 3" xfId="3111"/>
    <cellStyle name="Currency 14 4" xfId="23162"/>
    <cellStyle name="Currency 140" xfId="3112"/>
    <cellStyle name="Currency 141" xfId="3113"/>
    <cellStyle name="Currency 142" xfId="3114"/>
    <cellStyle name="Currency 143" xfId="3115"/>
    <cellStyle name="Currency 144" xfId="3116"/>
    <cellStyle name="Currency 145" xfId="3117"/>
    <cellStyle name="Currency 146" xfId="3118"/>
    <cellStyle name="Currency 147" xfId="3119"/>
    <cellStyle name="Currency 148" xfId="3120"/>
    <cellStyle name="Currency 149" xfId="3121"/>
    <cellStyle name="Currency 15" xfId="3122"/>
    <cellStyle name="Currency 15 2" xfId="3123"/>
    <cellStyle name="Currency 15 3" xfId="3124"/>
    <cellStyle name="Currency 15 4" xfId="23163"/>
    <cellStyle name="Currency 150" xfId="3125"/>
    <cellStyle name="Currency 151" xfId="3126"/>
    <cellStyle name="Currency 152" xfId="3127"/>
    <cellStyle name="Currency 153" xfId="3128"/>
    <cellStyle name="Currency 154" xfId="3129"/>
    <cellStyle name="Currency 155" xfId="3130"/>
    <cellStyle name="Currency 156" xfId="3131"/>
    <cellStyle name="Currency 157" xfId="3132"/>
    <cellStyle name="Currency 158" xfId="3133"/>
    <cellStyle name="Currency 159" xfId="3134"/>
    <cellStyle name="Currency 159 2" xfId="4895"/>
    <cellStyle name="Currency 159 2 2" xfId="6520"/>
    <cellStyle name="Currency 159 2 2 2" xfId="9606"/>
    <cellStyle name="Currency 159 2 2 2 2" xfId="15799"/>
    <cellStyle name="Currency 159 2 2 2 3" xfId="21951"/>
    <cellStyle name="Currency 159 2 2 3" xfId="12733"/>
    <cellStyle name="Currency 159 2 2 4" xfId="18885"/>
    <cellStyle name="Currency 159 2 3" xfId="8071"/>
    <cellStyle name="Currency 159 2 3 2" xfId="14265"/>
    <cellStyle name="Currency 159 2 3 3" xfId="20417"/>
    <cellStyle name="Currency 159 2 4" xfId="11199"/>
    <cellStyle name="Currency 159 2 5" xfId="17351"/>
    <cellStyle name="Currency 159 3" xfId="5736"/>
    <cellStyle name="Currency 159 3 2" xfId="8837"/>
    <cellStyle name="Currency 159 3 2 2" xfId="15030"/>
    <cellStyle name="Currency 159 3 2 3" xfId="21182"/>
    <cellStyle name="Currency 159 3 3" xfId="11964"/>
    <cellStyle name="Currency 159 3 4" xfId="18116"/>
    <cellStyle name="Currency 159 4" xfId="7302"/>
    <cellStyle name="Currency 159 4 2" xfId="13496"/>
    <cellStyle name="Currency 159 4 3" xfId="19648"/>
    <cellStyle name="Currency 159 5" xfId="10430"/>
    <cellStyle name="Currency 159 6" xfId="16582"/>
    <cellStyle name="Currency 16" xfId="3135"/>
    <cellStyle name="Currency 16 2" xfId="3136"/>
    <cellStyle name="Currency 16 3" xfId="3137"/>
    <cellStyle name="Currency 16 4" xfId="23164"/>
    <cellStyle name="Currency 160" xfId="1323"/>
    <cellStyle name="Currency 161" xfId="4624"/>
    <cellStyle name="Currency 162" xfId="4731"/>
    <cellStyle name="Currency 162 2" xfId="4736"/>
    <cellStyle name="Currency 162 3" xfId="6363"/>
    <cellStyle name="Currency 162 3 2" xfId="9449"/>
    <cellStyle name="Currency 162 3 2 2" xfId="15642"/>
    <cellStyle name="Currency 162 3 2 3" xfId="21794"/>
    <cellStyle name="Currency 162 3 3" xfId="12576"/>
    <cellStyle name="Currency 162 3 4" xfId="18728"/>
    <cellStyle name="Currency 162 4" xfId="7914"/>
    <cellStyle name="Currency 162 4 2" xfId="14108"/>
    <cellStyle name="Currency 162 4 3" xfId="20260"/>
    <cellStyle name="Currency 162 5" xfId="11042"/>
    <cellStyle name="Currency 162 6" xfId="17194"/>
    <cellStyle name="Currency 163" xfId="5505"/>
    <cellStyle name="Currency 164" xfId="5573"/>
    <cellStyle name="Currency 165" xfId="5513"/>
    <cellStyle name="Currency 166" xfId="5564"/>
    <cellStyle name="Currency 167" xfId="5524"/>
    <cellStyle name="Currency 168" xfId="5510"/>
    <cellStyle name="Currency 169" xfId="5566"/>
    <cellStyle name="Currency 17" xfId="3138"/>
    <cellStyle name="Currency 17 2" xfId="3139"/>
    <cellStyle name="Currency 17 3" xfId="3140"/>
    <cellStyle name="Currency 170" xfId="5522"/>
    <cellStyle name="Currency 171" xfId="5562"/>
    <cellStyle name="Currency 172" xfId="5553"/>
    <cellStyle name="Currency 173" xfId="5527"/>
    <cellStyle name="Currency 174" xfId="5549"/>
    <cellStyle name="Currency 175" xfId="5534"/>
    <cellStyle name="Currency 176" xfId="5530"/>
    <cellStyle name="Currency 177" xfId="5546"/>
    <cellStyle name="Currency 178" xfId="5533"/>
    <cellStyle name="Currency 179" xfId="4740"/>
    <cellStyle name="Currency 179 2" xfId="6365"/>
    <cellStyle name="Currency 179 2 2" xfId="9451"/>
    <cellStyle name="Currency 179 2 2 2" xfId="15644"/>
    <cellStyle name="Currency 179 2 2 3" xfId="21796"/>
    <cellStyle name="Currency 179 2 3" xfId="12578"/>
    <cellStyle name="Currency 179 2 4" xfId="18730"/>
    <cellStyle name="Currency 179 3" xfId="7916"/>
    <cellStyle name="Currency 179 3 2" xfId="14110"/>
    <cellStyle name="Currency 179 3 3" xfId="20262"/>
    <cellStyle name="Currency 179 4" xfId="11044"/>
    <cellStyle name="Currency 179 5" xfId="17196"/>
    <cellStyle name="Currency 18" xfId="3141"/>
    <cellStyle name="Currency 18 2" xfId="3142"/>
    <cellStyle name="Currency 18 3" xfId="3143"/>
    <cellStyle name="Currency 180" xfId="7145"/>
    <cellStyle name="Currency 181" xfId="10216"/>
    <cellStyle name="Currency 182" xfId="10220"/>
    <cellStyle name="Currency 183" xfId="10273"/>
    <cellStyle name="Currency 184" xfId="1182"/>
    <cellStyle name="Currency 185" xfId="1190"/>
    <cellStyle name="Currency 186" xfId="22586"/>
    <cellStyle name="Currency 187" xfId="22581"/>
    <cellStyle name="Currency 188" xfId="22589"/>
    <cellStyle name="Currency 189" xfId="207"/>
    <cellStyle name="Currency 19" xfId="3144"/>
    <cellStyle name="Currency 19 2" xfId="3145"/>
    <cellStyle name="Currency 19 3" xfId="3146"/>
    <cellStyle name="Currency 190" xfId="23121"/>
    <cellStyle name="Currency 191" xfId="23123"/>
    <cellStyle name="Currency 192" xfId="23124"/>
    <cellStyle name="Currency 193" xfId="23125"/>
    <cellStyle name="Currency 194" xfId="23122"/>
    <cellStyle name="Currency 195" xfId="23119"/>
    <cellStyle name="Currency 196" xfId="23120"/>
    <cellStyle name="Currency 197" xfId="23126"/>
    <cellStyle name="Currency 198" xfId="23127"/>
    <cellStyle name="Currency 199" xfId="23128"/>
    <cellStyle name="Currency 2" xfId="11"/>
    <cellStyle name="Currency 2 10" xfId="333"/>
    <cellStyle name="Currency 2 10 2" xfId="4646"/>
    <cellStyle name="Currency 2 10 3" xfId="3148"/>
    <cellStyle name="Currency 2 11" xfId="327"/>
    <cellStyle name="Currency 2 11 2" xfId="4647"/>
    <cellStyle name="Currency 2 11 3" xfId="3149"/>
    <cellStyle name="Currency 2 12" xfId="353"/>
    <cellStyle name="Currency 2 12 2" xfId="4648"/>
    <cellStyle name="Currency 2 12 3" xfId="3150"/>
    <cellStyle name="Currency 2 13" xfId="368"/>
    <cellStyle name="Currency 2 13 2" xfId="4649"/>
    <cellStyle name="Currency 2 13 3" xfId="3151"/>
    <cellStyle name="Currency 2 14" xfId="383"/>
    <cellStyle name="Currency 2 14 2" xfId="4650"/>
    <cellStyle name="Currency 2 14 3" xfId="3152"/>
    <cellStyle name="Currency 2 15" xfId="399"/>
    <cellStyle name="Currency 2 15 2" xfId="4651"/>
    <cellStyle name="Currency 2 15 3" xfId="3153"/>
    <cellStyle name="Currency 2 16" xfId="437"/>
    <cellStyle name="Currency 2 16 2" xfId="4652"/>
    <cellStyle name="Currency 2 16 3" xfId="3154"/>
    <cellStyle name="Currency 2 17" xfId="458"/>
    <cellStyle name="Currency 2 17 2" xfId="4653"/>
    <cellStyle name="Currency 2 17 3" xfId="3155"/>
    <cellStyle name="Currency 2 18" xfId="472"/>
    <cellStyle name="Currency 2 18 2" xfId="4654"/>
    <cellStyle name="Currency 2 18 3" xfId="3156"/>
    <cellStyle name="Currency 2 19" xfId="486"/>
    <cellStyle name="Currency 2 19 2" xfId="4655"/>
    <cellStyle name="Currency 2 19 3" xfId="3157"/>
    <cellStyle name="Currency 2 2" xfId="12"/>
    <cellStyle name="Currency 2 2 10" xfId="3159"/>
    <cellStyle name="Currency 2 2 10 2" xfId="4898"/>
    <cellStyle name="Currency 2 2 10 2 2" xfId="6523"/>
    <cellStyle name="Currency 2 2 10 2 2 2" xfId="9609"/>
    <cellStyle name="Currency 2 2 10 2 2 2 2" xfId="15802"/>
    <cellStyle name="Currency 2 2 10 2 2 2 3" xfId="21954"/>
    <cellStyle name="Currency 2 2 10 2 2 3" xfId="12736"/>
    <cellStyle name="Currency 2 2 10 2 2 4" xfId="18888"/>
    <cellStyle name="Currency 2 2 10 2 3" xfId="8074"/>
    <cellStyle name="Currency 2 2 10 2 3 2" xfId="14268"/>
    <cellStyle name="Currency 2 2 10 2 3 3" xfId="20420"/>
    <cellStyle name="Currency 2 2 10 2 4" xfId="11202"/>
    <cellStyle name="Currency 2 2 10 2 5" xfId="17354"/>
    <cellStyle name="Currency 2 2 10 3" xfId="5739"/>
    <cellStyle name="Currency 2 2 10 3 2" xfId="8840"/>
    <cellStyle name="Currency 2 2 10 3 2 2" xfId="15033"/>
    <cellStyle name="Currency 2 2 10 3 2 3" xfId="21185"/>
    <cellStyle name="Currency 2 2 10 3 3" xfId="11967"/>
    <cellStyle name="Currency 2 2 10 3 4" xfId="18119"/>
    <cellStyle name="Currency 2 2 10 4" xfId="7305"/>
    <cellStyle name="Currency 2 2 10 4 2" xfId="13499"/>
    <cellStyle name="Currency 2 2 10 4 3" xfId="19651"/>
    <cellStyle name="Currency 2 2 10 5" xfId="10433"/>
    <cellStyle name="Currency 2 2 10 6" xfId="16585"/>
    <cellStyle name="Currency 2 2 11" xfId="3160"/>
    <cellStyle name="Currency 2 2 11 2" xfId="4899"/>
    <cellStyle name="Currency 2 2 11 2 2" xfId="6524"/>
    <cellStyle name="Currency 2 2 11 2 2 2" xfId="9610"/>
    <cellStyle name="Currency 2 2 11 2 2 2 2" xfId="15803"/>
    <cellStyle name="Currency 2 2 11 2 2 2 3" xfId="21955"/>
    <cellStyle name="Currency 2 2 11 2 2 3" xfId="12737"/>
    <cellStyle name="Currency 2 2 11 2 2 4" xfId="18889"/>
    <cellStyle name="Currency 2 2 11 2 3" xfId="8075"/>
    <cellStyle name="Currency 2 2 11 2 3 2" xfId="14269"/>
    <cellStyle name="Currency 2 2 11 2 3 3" xfId="20421"/>
    <cellStyle name="Currency 2 2 11 2 4" xfId="11203"/>
    <cellStyle name="Currency 2 2 11 2 5" xfId="17355"/>
    <cellStyle name="Currency 2 2 11 3" xfId="5740"/>
    <cellStyle name="Currency 2 2 11 3 2" xfId="8841"/>
    <cellStyle name="Currency 2 2 11 3 2 2" xfId="15034"/>
    <cellStyle name="Currency 2 2 11 3 2 3" xfId="21186"/>
    <cellStyle name="Currency 2 2 11 3 3" xfId="11968"/>
    <cellStyle name="Currency 2 2 11 3 4" xfId="18120"/>
    <cellStyle name="Currency 2 2 11 4" xfId="7306"/>
    <cellStyle name="Currency 2 2 11 4 2" xfId="13500"/>
    <cellStyle name="Currency 2 2 11 4 3" xfId="19652"/>
    <cellStyle name="Currency 2 2 11 5" xfId="10434"/>
    <cellStyle name="Currency 2 2 11 6" xfId="16586"/>
    <cellStyle name="Currency 2 2 12" xfId="3161"/>
    <cellStyle name="Currency 2 2 12 2" xfId="4900"/>
    <cellStyle name="Currency 2 2 12 2 2" xfId="6525"/>
    <cellStyle name="Currency 2 2 12 2 2 2" xfId="9611"/>
    <cellStyle name="Currency 2 2 12 2 2 2 2" xfId="15804"/>
    <cellStyle name="Currency 2 2 12 2 2 2 3" xfId="21956"/>
    <cellStyle name="Currency 2 2 12 2 2 3" xfId="12738"/>
    <cellStyle name="Currency 2 2 12 2 2 4" xfId="18890"/>
    <cellStyle name="Currency 2 2 12 2 3" xfId="8076"/>
    <cellStyle name="Currency 2 2 12 2 3 2" xfId="14270"/>
    <cellStyle name="Currency 2 2 12 2 3 3" xfId="20422"/>
    <cellStyle name="Currency 2 2 12 2 4" xfId="11204"/>
    <cellStyle name="Currency 2 2 12 2 5" xfId="17356"/>
    <cellStyle name="Currency 2 2 12 3" xfId="5741"/>
    <cellStyle name="Currency 2 2 12 3 2" xfId="8842"/>
    <cellStyle name="Currency 2 2 12 3 2 2" xfId="15035"/>
    <cellStyle name="Currency 2 2 12 3 2 3" xfId="21187"/>
    <cellStyle name="Currency 2 2 12 3 3" xfId="11969"/>
    <cellStyle name="Currency 2 2 12 3 4" xfId="18121"/>
    <cellStyle name="Currency 2 2 12 4" xfId="7307"/>
    <cellStyle name="Currency 2 2 12 4 2" xfId="13501"/>
    <cellStyle name="Currency 2 2 12 4 3" xfId="19653"/>
    <cellStyle name="Currency 2 2 12 5" xfId="10435"/>
    <cellStyle name="Currency 2 2 12 6" xfId="16587"/>
    <cellStyle name="Currency 2 2 13" xfId="3162"/>
    <cellStyle name="Currency 2 2 13 2" xfId="4901"/>
    <cellStyle name="Currency 2 2 13 2 2" xfId="6526"/>
    <cellStyle name="Currency 2 2 13 2 2 2" xfId="9612"/>
    <cellStyle name="Currency 2 2 13 2 2 2 2" xfId="15805"/>
    <cellStyle name="Currency 2 2 13 2 2 2 3" xfId="21957"/>
    <cellStyle name="Currency 2 2 13 2 2 3" xfId="12739"/>
    <cellStyle name="Currency 2 2 13 2 2 4" xfId="18891"/>
    <cellStyle name="Currency 2 2 13 2 3" xfId="8077"/>
    <cellStyle name="Currency 2 2 13 2 3 2" xfId="14271"/>
    <cellStyle name="Currency 2 2 13 2 3 3" xfId="20423"/>
    <cellStyle name="Currency 2 2 13 2 4" xfId="11205"/>
    <cellStyle name="Currency 2 2 13 2 5" xfId="17357"/>
    <cellStyle name="Currency 2 2 13 3" xfId="5742"/>
    <cellStyle name="Currency 2 2 13 3 2" xfId="8843"/>
    <cellStyle name="Currency 2 2 13 3 2 2" xfId="15036"/>
    <cellStyle name="Currency 2 2 13 3 2 3" xfId="21188"/>
    <cellStyle name="Currency 2 2 13 3 3" xfId="11970"/>
    <cellStyle name="Currency 2 2 13 3 4" xfId="18122"/>
    <cellStyle name="Currency 2 2 13 4" xfId="7308"/>
    <cellStyle name="Currency 2 2 13 4 2" xfId="13502"/>
    <cellStyle name="Currency 2 2 13 4 3" xfId="19654"/>
    <cellStyle name="Currency 2 2 13 5" xfId="10436"/>
    <cellStyle name="Currency 2 2 13 6" xfId="16588"/>
    <cellStyle name="Currency 2 2 14" xfId="3163"/>
    <cellStyle name="Currency 2 2 14 2" xfId="4902"/>
    <cellStyle name="Currency 2 2 14 2 2" xfId="6527"/>
    <cellStyle name="Currency 2 2 14 2 2 2" xfId="9613"/>
    <cellStyle name="Currency 2 2 14 2 2 2 2" xfId="15806"/>
    <cellStyle name="Currency 2 2 14 2 2 2 3" xfId="21958"/>
    <cellStyle name="Currency 2 2 14 2 2 3" xfId="12740"/>
    <cellStyle name="Currency 2 2 14 2 2 4" xfId="18892"/>
    <cellStyle name="Currency 2 2 14 2 3" xfId="8078"/>
    <cellStyle name="Currency 2 2 14 2 3 2" xfId="14272"/>
    <cellStyle name="Currency 2 2 14 2 3 3" xfId="20424"/>
    <cellStyle name="Currency 2 2 14 2 4" xfId="11206"/>
    <cellStyle name="Currency 2 2 14 2 5" xfId="17358"/>
    <cellStyle name="Currency 2 2 14 3" xfId="5743"/>
    <cellStyle name="Currency 2 2 14 3 2" xfId="8844"/>
    <cellStyle name="Currency 2 2 14 3 2 2" xfId="15037"/>
    <cellStyle name="Currency 2 2 14 3 2 3" xfId="21189"/>
    <cellStyle name="Currency 2 2 14 3 3" xfId="11971"/>
    <cellStyle name="Currency 2 2 14 3 4" xfId="18123"/>
    <cellStyle name="Currency 2 2 14 4" xfId="7309"/>
    <cellStyle name="Currency 2 2 14 4 2" xfId="13503"/>
    <cellStyle name="Currency 2 2 14 4 3" xfId="19655"/>
    <cellStyle name="Currency 2 2 14 5" xfId="10437"/>
    <cellStyle name="Currency 2 2 14 6" xfId="16589"/>
    <cellStyle name="Currency 2 2 15" xfId="3164"/>
    <cellStyle name="Currency 2 2 15 2" xfId="4903"/>
    <cellStyle name="Currency 2 2 15 2 2" xfId="6528"/>
    <cellStyle name="Currency 2 2 15 2 2 2" xfId="9614"/>
    <cellStyle name="Currency 2 2 15 2 2 2 2" xfId="15807"/>
    <cellStyle name="Currency 2 2 15 2 2 2 3" xfId="21959"/>
    <cellStyle name="Currency 2 2 15 2 2 3" xfId="12741"/>
    <cellStyle name="Currency 2 2 15 2 2 4" xfId="18893"/>
    <cellStyle name="Currency 2 2 15 2 3" xfId="8079"/>
    <cellStyle name="Currency 2 2 15 2 3 2" xfId="14273"/>
    <cellStyle name="Currency 2 2 15 2 3 3" xfId="20425"/>
    <cellStyle name="Currency 2 2 15 2 4" xfId="11207"/>
    <cellStyle name="Currency 2 2 15 2 5" xfId="17359"/>
    <cellStyle name="Currency 2 2 15 3" xfId="5744"/>
    <cellStyle name="Currency 2 2 15 3 2" xfId="8845"/>
    <cellStyle name="Currency 2 2 15 3 2 2" xfId="15038"/>
    <cellStyle name="Currency 2 2 15 3 2 3" xfId="21190"/>
    <cellStyle name="Currency 2 2 15 3 3" xfId="11972"/>
    <cellStyle name="Currency 2 2 15 3 4" xfId="18124"/>
    <cellStyle name="Currency 2 2 15 4" xfId="7310"/>
    <cellStyle name="Currency 2 2 15 4 2" xfId="13504"/>
    <cellStyle name="Currency 2 2 15 4 3" xfId="19656"/>
    <cellStyle name="Currency 2 2 15 5" xfId="10438"/>
    <cellStyle name="Currency 2 2 15 6" xfId="16590"/>
    <cellStyle name="Currency 2 2 16" xfId="3165"/>
    <cellStyle name="Currency 2 2 16 2" xfId="4904"/>
    <cellStyle name="Currency 2 2 16 2 2" xfId="6529"/>
    <cellStyle name="Currency 2 2 16 2 2 2" xfId="9615"/>
    <cellStyle name="Currency 2 2 16 2 2 2 2" xfId="15808"/>
    <cellStyle name="Currency 2 2 16 2 2 2 3" xfId="21960"/>
    <cellStyle name="Currency 2 2 16 2 2 3" xfId="12742"/>
    <cellStyle name="Currency 2 2 16 2 2 4" xfId="18894"/>
    <cellStyle name="Currency 2 2 16 2 3" xfId="8080"/>
    <cellStyle name="Currency 2 2 16 2 3 2" xfId="14274"/>
    <cellStyle name="Currency 2 2 16 2 3 3" xfId="20426"/>
    <cellStyle name="Currency 2 2 16 2 4" xfId="11208"/>
    <cellStyle name="Currency 2 2 16 2 5" xfId="17360"/>
    <cellStyle name="Currency 2 2 16 3" xfId="5745"/>
    <cellStyle name="Currency 2 2 16 3 2" xfId="8846"/>
    <cellStyle name="Currency 2 2 16 3 2 2" xfId="15039"/>
    <cellStyle name="Currency 2 2 16 3 2 3" xfId="21191"/>
    <cellStyle name="Currency 2 2 16 3 3" xfId="11973"/>
    <cellStyle name="Currency 2 2 16 3 4" xfId="18125"/>
    <cellStyle name="Currency 2 2 16 4" xfId="7311"/>
    <cellStyle name="Currency 2 2 16 4 2" xfId="13505"/>
    <cellStyle name="Currency 2 2 16 4 3" xfId="19657"/>
    <cellStyle name="Currency 2 2 16 5" xfId="10439"/>
    <cellStyle name="Currency 2 2 16 6" xfId="16591"/>
    <cellStyle name="Currency 2 2 17" xfId="3166"/>
    <cellStyle name="Currency 2 2 17 2" xfId="4905"/>
    <cellStyle name="Currency 2 2 17 2 2" xfId="6530"/>
    <cellStyle name="Currency 2 2 17 2 2 2" xfId="9616"/>
    <cellStyle name="Currency 2 2 17 2 2 2 2" xfId="15809"/>
    <cellStyle name="Currency 2 2 17 2 2 2 3" xfId="21961"/>
    <cellStyle name="Currency 2 2 17 2 2 3" xfId="12743"/>
    <cellStyle name="Currency 2 2 17 2 2 4" xfId="18895"/>
    <cellStyle name="Currency 2 2 17 2 3" xfId="8081"/>
    <cellStyle name="Currency 2 2 17 2 3 2" xfId="14275"/>
    <cellStyle name="Currency 2 2 17 2 3 3" xfId="20427"/>
    <cellStyle name="Currency 2 2 17 2 4" xfId="11209"/>
    <cellStyle name="Currency 2 2 17 2 5" xfId="17361"/>
    <cellStyle name="Currency 2 2 17 3" xfId="5746"/>
    <cellStyle name="Currency 2 2 17 3 2" xfId="8847"/>
    <cellStyle name="Currency 2 2 17 3 2 2" xfId="15040"/>
    <cellStyle name="Currency 2 2 17 3 2 3" xfId="21192"/>
    <cellStyle name="Currency 2 2 17 3 3" xfId="11974"/>
    <cellStyle name="Currency 2 2 17 3 4" xfId="18126"/>
    <cellStyle name="Currency 2 2 17 4" xfId="7312"/>
    <cellStyle name="Currency 2 2 17 4 2" xfId="13506"/>
    <cellStyle name="Currency 2 2 17 4 3" xfId="19658"/>
    <cellStyle name="Currency 2 2 17 5" xfId="10440"/>
    <cellStyle name="Currency 2 2 17 6" xfId="16592"/>
    <cellStyle name="Currency 2 2 18" xfId="3167"/>
    <cellStyle name="Currency 2 2 18 2" xfId="4906"/>
    <cellStyle name="Currency 2 2 18 2 2" xfId="6531"/>
    <cellStyle name="Currency 2 2 18 2 2 2" xfId="9617"/>
    <cellStyle name="Currency 2 2 18 2 2 2 2" xfId="15810"/>
    <cellStyle name="Currency 2 2 18 2 2 2 3" xfId="21962"/>
    <cellStyle name="Currency 2 2 18 2 2 3" xfId="12744"/>
    <cellStyle name="Currency 2 2 18 2 2 4" xfId="18896"/>
    <cellStyle name="Currency 2 2 18 2 3" xfId="8082"/>
    <cellStyle name="Currency 2 2 18 2 3 2" xfId="14276"/>
    <cellStyle name="Currency 2 2 18 2 3 3" xfId="20428"/>
    <cellStyle name="Currency 2 2 18 2 4" xfId="11210"/>
    <cellStyle name="Currency 2 2 18 2 5" xfId="17362"/>
    <cellStyle name="Currency 2 2 18 3" xfId="5747"/>
    <cellStyle name="Currency 2 2 18 3 2" xfId="8848"/>
    <cellStyle name="Currency 2 2 18 3 2 2" xfId="15041"/>
    <cellStyle name="Currency 2 2 18 3 2 3" xfId="21193"/>
    <cellStyle name="Currency 2 2 18 3 3" xfId="11975"/>
    <cellStyle name="Currency 2 2 18 3 4" xfId="18127"/>
    <cellStyle name="Currency 2 2 18 4" xfId="7313"/>
    <cellStyle name="Currency 2 2 18 4 2" xfId="13507"/>
    <cellStyle name="Currency 2 2 18 4 3" xfId="19659"/>
    <cellStyle name="Currency 2 2 18 5" xfId="10441"/>
    <cellStyle name="Currency 2 2 18 6" xfId="16593"/>
    <cellStyle name="Currency 2 2 19" xfId="3168"/>
    <cellStyle name="Currency 2 2 2" xfId="3169"/>
    <cellStyle name="Currency 2 2 2 2" xfId="3170"/>
    <cellStyle name="Currency 2 2 2 2 2" xfId="4907"/>
    <cellStyle name="Currency 2 2 2 2 2 2" xfId="6532"/>
    <cellStyle name="Currency 2 2 2 2 2 2 2" xfId="9618"/>
    <cellStyle name="Currency 2 2 2 2 2 2 2 2" xfId="15811"/>
    <cellStyle name="Currency 2 2 2 2 2 2 2 3" xfId="21963"/>
    <cellStyle name="Currency 2 2 2 2 2 2 3" xfId="12745"/>
    <cellStyle name="Currency 2 2 2 2 2 2 4" xfId="18897"/>
    <cellStyle name="Currency 2 2 2 2 2 3" xfId="8083"/>
    <cellStyle name="Currency 2 2 2 2 2 3 2" xfId="14277"/>
    <cellStyle name="Currency 2 2 2 2 2 3 3" xfId="20429"/>
    <cellStyle name="Currency 2 2 2 2 2 4" xfId="11211"/>
    <cellStyle name="Currency 2 2 2 2 2 5" xfId="17363"/>
    <cellStyle name="Currency 2 2 2 2 3" xfId="5748"/>
    <cellStyle name="Currency 2 2 2 2 3 2" xfId="8849"/>
    <cellStyle name="Currency 2 2 2 2 3 2 2" xfId="15042"/>
    <cellStyle name="Currency 2 2 2 2 3 2 3" xfId="21194"/>
    <cellStyle name="Currency 2 2 2 2 3 3" xfId="11976"/>
    <cellStyle name="Currency 2 2 2 2 3 4" xfId="18128"/>
    <cellStyle name="Currency 2 2 2 2 4" xfId="7314"/>
    <cellStyle name="Currency 2 2 2 2 4 2" xfId="13508"/>
    <cellStyle name="Currency 2 2 2 2 4 3" xfId="19660"/>
    <cellStyle name="Currency 2 2 2 2 5" xfId="10442"/>
    <cellStyle name="Currency 2 2 2 2 6" xfId="16594"/>
    <cellStyle name="Currency 2 2 2 3" xfId="3171"/>
    <cellStyle name="Currency 2 2 2 3 2" xfId="4908"/>
    <cellStyle name="Currency 2 2 2 3 2 2" xfId="6533"/>
    <cellStyle name="Currency 2 2 2 3 2 2 2" xfId="9619"/>
    <cellStyle name="Currency 2 2 2 3 2 2 2 2" xfId="15812"/>
    <cellStyle name="Currency 2 2 2 3 2 2 2 3" xfId="21964"/>
    <cellStyle name="Currency 2 2 2 3 2 2 3" xfId="12746"/>
    <cellStyle name="Currency 2 2 2 3 2 2 4" xfId="18898"/>
    <cellStyle name="Currency 2 2 2 3 2 3" xfId="8084"/>
    <cellStyle name="Currency 2 2 2 3 2 3 2" xfId="14278"/>
    <cellStyle name="Currency 2 2 2 3 2 3 3" xfId="20430"/>
    <cellStyle name="Currency 2 2 2 3 2 4" xfId="11212"/>
    <cellStyle name="Currency 2 2 2 3 2 5" xfId="17364"/>
    <cellStyle name="Currency 2 2 2 3 3" xfId="5749"/>
    <cellStyle name="Currency 2 2 2 3 3 2" xfId="8850"/>
    <cellStyle name="Currency 2 2 2 3 3 2 2" xfId="15043"/>
    <cellStyle name="Currency 2 2 2 3 3 2 3" xfId="21195"/>
    <cellStyle name="Currency 2 2 2 3 3 3" xfId="11977"/>
    <cellStyle name="Currency 2 2 2 3 3 4" xfId="18129"/>
    <cellStyle name="Currency 2 2 2 3 4" xfId="7315"/>
    <cellStyle name="Currency 2 2 2 3 4 2" xfId="13509"/>
    <cellStyle name="Currency 2 2 2 3 4 3" xfId="19661"/>
    <cellStyle name="Currency 2 2 2 3 5" xfId="10443"/>
    <cellStyle name="Currency 2 2 2 3 6" xfId="16595"/>
    <cellStyle name="Currency 2 2 2 4" xfId="3172"/>
    <cellStyle name="Currency 2 2 2 4 2" xfId="4909"/>
    <cellStyle name="Currency 2 2 2 4 2 2" xfId="6534"/>
    <cellStyle name="Currency 2 2 2 4 2 2 2" xfId="9620"/>
    <cellStyle name="Currency 2 2 2 4 2 2 2 2" xfId="15813"/>
    <cellStyle name="Currency 2 2 2 4 2 2 2 3" xfId="21965"/>
    <cellStyle name="Currency 2 2 2 4 2 2 3" xfId="12747"/>
    <cellStyle name="Currency 2 2 2 4 2 2 4" xfId="18899"/>
    <cellStyle name="Currency 2 2 2 4 2 3" xfId="8085"/>
    <cellStyle name="Currency 2 2 2 4 2 3 2" xfId="14279"/>
    <cellStyle name="Currency 2 2 2 4 2 3 3" xfId="20431"/>
    <cellStyle name="Currency 2 2 2 4 2 4" xfId="11213"/>
    <cellStyle name="Currency 2 2 2 4 2 5" xfId="17365"/>
    <cellStyle name="Currency 2 2 2 4 3" xfId="5750"/>
    <cellStyle name="Currency 2 2 2 4 3 2" xfId="8851"/>
    <cellStyle name="Currency 2 2 2 4 3 2 2" xfId="15044"/>
    <cellStyle name="Currency 2 2 2 4 3 2 3" xfId="21196"/>
    <cellStyle name="Currency 2 2 2 4 3 3" xfId="11978"/>
    <cellStyle name="Currency 2 2 2 4 3 4" xfId="18130"/>
    <cellStyle name="Currency 2 2 2 4 4" xfId="7316"/>
    <cellStyle name="Currency 2 2 2 4 4 2" xfId="13510"/>
    <cellStyle name="Currency 2 2 2 4 4 3" xfId="19662"/>
    <cellStyle name="Currency 2 2 2 4 5" xfId="10444"/>
    <cellStyle name="Currency 2 2 2 4 6" xfId="16596"/>
    <cellStyle name="Currency 2 2 2 5" xfId="3173"/>
    <cellStyle name="Currency 2 2 2 5 2" xfId="4910"/>
    <cellStyle name="Currency 2 2 2 5 2 2" xfId="6535"/>
    <cellStyle name="Currency 2 2 2 5 2 2 2" xfId="9621"/>
    <cellStyle name="Currency 2 2 2 5 2 2 2 2" xfId="15814"/>
    <cellStyle name="Currency 2 2 2 5 2 2 2 3" xfId="21966"/>
    <cellStyle name="Currency 2 2 2 5 2 2 3" xfId="12748"/>
    <cellStyle name="Currency 2 2 2 5 2 2 4" xfId="18900"/>
    <cellStyle name="Currency 2 2 2 5 2 3" xfId="8086"/>
    <cellStyle name="Currency 2 2 2 5 2 3 2" xfId="14280"/>
    <cellStyle name="Currency 2 2 2 5 2 3 3" xfId="20432"/>
    <cellStyle name="Currency 2 2 2 5 2 4" xfId="11214"/>
    <cellStyle name="Currency 2 2 2 5 2 5" xfId="17366"/>
    <cellStyle name="Currency 2 2 2 5 3" xfId="5751"/>
    <cellStyle name="Currency 2 2 2 5 3 2" xfId="8852"/>
    <cellStyle name="Currency 2 2 2 5 3 2 2" xfId="15045"/>
    <cellStyle name="Currency 2 2 2 5 3 2 3" xfId="21197"/>
    <cellStyle name="Currency 2 2 2 5 3 3" xfId="11979"/>
    <cellStyle name="Currency 2 2 2 5 3 4" xfId="18131"/>
    <cellStyle name="Currency 2 2 2 5 4" xfId="7317"/>
    <cellStyle name="Currency 2 2 2 5 4 2" xfId="13511"/>
    <cellStyle name="Currency 2 2 2 5 4 3" xfId="19663"/>
    <cellStyle name="Currency 2 2 2 5 5" xfId="10445"/>
    <cellStyle name="Currency 2 2 2 5 6" xfId="16597"/>
    <cellStyle name="Currency 2 2 20" xfId="3158"/>
    <cellStyle name="Currency 2 2 20 2" xfId="4897"/>
    <cellStyle name="Currency 2 2 20 2 2" xfId="6522"/>
    <cellStyle name="Currency 2 2 20 2 2 2" xfId="9608"/>
    <cellStyle name="Currency 2 2 20 2 2 2 2" xfId="15801"/>
    <cellStyle name="Currency 2 2 20 2 2 2 3" xfId="21953"/>
    <cellStyle name="Currency 2 2 20 2 2 3" xfId="12735"/>
    <cellStyle name="Currency 2 2 20 2 2 4" xfId="18887"/>
    <cellStyle name="Currency 2 2 20 2 3" xfId="8073"/>
    <cellStyle name="Currency 2 2 20 2 3 2" xfId="14267"/>
    <cellStyle name="Currency 2 2 20 2 3 3" xfId="20419"/>
    <cellStyle name="Currency 2 2 20 2 4" xfId="11201"/>
    <cellStyle name="Currency 2 2 20 2 5" xfId="17353"/>
    <cellStyle name="Currency 2 2 20 3" xfId="5738"/>
    <cellStyle name="Currency 2 2 20 3 2" xfId="8839"/>
    <cellStyle name="Currency 2 2 20 3 2 2" xfId="15032"/>
    <cellStyle name="Currency 2 2 20 3 2 3" xfId="21184"/>
    <cellStyle name="Currency 2 2 20 3 3" xfId="11966"/>
    <cellStyle name="Currency 2 2 20 3 4" xfId="18118"/>
    <cellStyle name="Currency 2 2 20 4" xfId="7304"/>
    <cellStyle name="Currency 2 2 20 4 2" xfId="13498"/>
    <cellStyle name="Currency 2 2 20 4 3" xfId="19650"/>
    <cellStyle name="Currency 2 2 20 5" xfId="10432"/>
    <cellStyle name="Currency 2 2 20 6" xfId="16584"/>
    <cellStyle name="Currency 2 2 21" xfId="23166"/>
    <cellStyle name="Currency 2 2 3" xfId="3174"/>
    <cellStyle name="Currency 2 2 3 10" xfId="16598"/>
    <cellStyle name="Currency 2 2 3 2" xfId="3175"/>
    <cellStyle name="Currency 2 2 3 2 2" xfId="4912"/>
    <cellStyle name="Currency 2 2 3 2 2 2" xfId="6537"/>
    <cellStyle name="Currency 2 2 3 2 2 2 2" xfId="9623"/>
    <cellStyle name="Currency 2 2 3 2 2 2 2 2" xfId="15816"/>
    <cellStyle name="Currency 2 2 3 2 2 2 2 3" xfId="21968"/>
    <cellStyle name="Currency 2 2 3 2 2 2 3" xfId="12750"/>
    <cellStyle name="Currency 2 2 3 2 2 2 4" xfId="18902"/>
    <cellStyle name="Currency 2 2 3 2 2 3" xfId="8088"/>
    <cellStyle name="Currency 2 2 3 2 2 3 2" xfId="14282"/>
    <cellStyle name="Currency 2 2 3 2 2 3 3" xfId="20434"/>
    <cellStyle name="Currency 2 2 3 2 2 4" xfId="11216"/>
    <cellStyle name="Currency 2 2 3 2 2 5" xfId="17368"/>
    <cellStyle name="Currency 2 2 3 2 3" xfId="5753"/>
    <cellStyle name="Currency 2 2 3 2 3 2" xfId="8854"/>
    <cellStyle name="Currency 2 2 3 2 3 2 2" xfId="15047"/>
    <cellStyle name="Currency 2 2 3 2 3 2 3" xfId="21199"/>
    <cellStyle name="Currency 2 2 3 2 3 3" xfId="11981"/>
    <cellStyle name="Currency 2 2 3 2 3 4" xfId="18133"/>
    <cellStyle name="Currency 2 2 3 2 4" xfId="7319"/>
    <cellStyle name="Currency 2 2 3 2 4 2" xfId="13513"/>
    <cellStyle name="Currency 2 2 3 2 4 3" xfId="19665"/>
    <cellStyle name="Currency 2 2 3 2 5" xfId="10447"/>
    <cellStyle name="Currency 2 2 3 2 6" xfId="16599"/>
    <cellStyle name="Currency 2 2 3 3" xfId="3176"/>
    <cellStyle name="Currency 2 2 3 3 2" xfId="4913"/>
    <cellStyle name="Currency 2 2 3 3 2 2" xfId="6538"/>
    <cellStyle name="Currency 2 2 3 3 2 2 2" xfId="9624"/>
    <cellStyle name="Currency 2 2 3 3 2 2 2 2" xfId="15817"/>
    <cellStyle name="Currency 2 2 3 3 2 2 2 3" xfId="21969"/>
    <cellStyle name="Currency 2 2 3 3 2 2 3" xfId="12751"/>
    <cellStyle name="Currency 2 2 3 3 2 2 4" xfId="18903"/>
    <cellStyle name="Currency 2 2 3 3 2 3" xfId="8089"/>
    <cellStyle name="Currency 2 2 3 3 2 3 2" xfId="14283"/>
    <cellStyle name="Currency 2 2 3 3 2 3 3" xfId="20435"/>
    <cellStyle name="Currency 2 2 3 3 2 4" xfId="11217"/>
    <cellStyle name="Currency 2 2 3 3 2 5" xfId="17369"/>
    <cellStyle name="Currency 2 2 3 3 3" xfId="5754"/>
    <cellStyle name="Currency 2 2 3 3 3 2" xfId="8855"/>
    <cellStyle name="Currency 2 2 3 3 3 2 2" xfId="15048"/>
    <cellStyle name="Currency 2 2 3 3 3 2 3" xfId="21200"/>
    <cellStyle name="Currency 2 2 3 3 3 3" xfId="11982"/>
    <cellStyle name="Currency 2 2 3 3 3 4" xfId="18134"/>
    <cellStyle name="Currency 2 2 3 3 4" xfId="7320"/>
    <cellStyle name="Currency 2 2 3 3 4 2" xfId="13514"/>
    <cellStyle name="Currency 2 2 3 3 4 3" xfId="19666"/>
    <cellStyle name="Currency 2 2 3 3 5" xfId="10448"/>
    <cellStyle name="Currency 2 2 3 3 6" xfId="16600"/>
    <cellStyle name="Currency 2 2 3 4" xfId="3177"/>
    <cellStyle name="Currency 2 2 3 4 2" xfId="4914"/>
    <cellStyle name="Currency 2 2 3 4 2 2" xfId="6539"/>
    <cellStyle name="Currency 2 2 3 4 2 2 2" xfId="9625"/>
    <cellStyle name="Currency 2 2 3 4 2 2 2 2" xfId="15818"/>
    <cellStyle name="Currency 2 2 3 4 2 2 2 3" xfId="21970"/>
    <cellStyle name="Currency 2 2 3 4 2 2 3" xfId="12752"/>
    <cellStyle name="Currency 2 2 3 4 2 2 4" xfId="18904"/>
    <cellStyle name="Currency 2 2 3 4 2 3" xfId="8090"/>
    <cellStyle name="Currency 2 2 3 4 2 3 2" xfId="14284"/>
    <cellStyle name="Currency 2 2 3 4 2 3 3" xfId="20436"/>
    <cellStyle name="Currency 2 2 3 4 2 4" xfId="11218"/>
    <cellStyle name="Currency 2 2 3 4 2 5" xfId="17370"/>
    <cellStyle name="Currency 2 2 3 4 3" xfId="5755"/>
    <cellStyle name="Currency 2 2 3 4 3 2" xfId="8856"/>
    <cellStyle name="Currency 2 2 3 4 3 2 2" xfId="15049"/>
    <cellStyle name="Currency 2 2 3 4 3 2 3" xfId="21201"/>
    <cellStyle name="Currency 2 2 3 4 3 3" xfId="11983"/>
    <cellStyle name="Currency 2 2 3 4 3 4" xfId="18135"/>
    <cellStyle name="Currency 2 2 3 4 4" xfId="7321"/>
    <cellStyle name="Currency 2 2 3 4 4 2" xfId="13515"/>
    <cellStyle name="Currency 2 2 3 4 4 3" xfId="19667"/>
    <cellStyle name="Currency 2 2 3 4 5" xfId="10449"/>
    <cellStyle name="Currency 2 2 3 4 6" xfId="16601"/>
    <cellStyle name="Currency 2 2 3 5" xfId="3178"/>
    <cellStyle name="Currency 2 2 3 5 2" xfId="4915"/>
    <cellStyle name="Currency 2 2 3 5 2 2" xfId="6540"/>
    <cellStyle name="Currency 2 2 3 5 2 2 2" xfId="9626"/>
    <cellStyle name="Currency 2 2 3 5 2 2 2 2" xfId="15819"/>
    <cellStyle name="Currency 2 2 3 5 2 2 2 3" xfId="21971"/>
    <cellStyle name="Currency 2 2 3 5 2 2 3" xfId="12753"/>
    <cellStyle name="Currency 2 2 3 5 2 2 4" xfId="18905"/>
    <cellStyle name="Currency 2 2 3 5 2 3" xfId="8091"/>
    <cellStyle name="Currency 2 2 3 5 2 3 2" xfId="14285"/>
    <cellStyle name="Currency 2 2 3 5 2 3 3" xfId="20437"/>
    <cellStyle name="Currency 2 2 3 5 2 4" xfId="11219"/>
    <cellStyle name="Currency 2 2 3 5 2 5" xfId="17371"/>
    <cellStyle name="Currency 2 2 3 5 3" xfId="5756"/>
    <cellStyle name="Currency 2 2 3 5 3 2" xfId="8857"/>
    <cellStyle name="Currency 2 2 3 5 3 2 2" xfId="15050"/>
    <cellStyle name="Currency 2 2 3 5 3 2 3" xfId="21202"/>
    <cellStyle name="Currency 2 2 3 5 3 3" xfId="11984"/>
    <cellStyle name="Currency 2 2 3 5 3 4" xfId="18136"/>
    <cellStyle name="Currency 2 2 3 5 4" xfId="7322"/>
    <cellStyle name="Currency 2 2 3 5 4 2" xfId="13516"/>
    <cellStyle name="Currency 2 2 3 5 4 3" xfId="19668"/>
    <cellStyle name="Currency 2 2 3 5 5" xfId="10450"/>
    <cellStyle name="Currency 2 2 3 5 6" xfId="16602"/>
    <cellStyle name="Currency 2 2 3 6" xfId="4911"/>
    <cellStyle name="Currency 2 2 3 6 2" xfId="6536"/>
    <cellStyle name="Currency 2 2 3 6 2 2" xfId="9622"/>
    <cellStyle name="Currency 2 2 3 6 2 2 2" xfId="15815"/>
    <cellStyle name="Currency 2 2 3 6 2 2 3" xfId="21967"/>
    <cellStyle name="Currency 2 2 3 6 2 3" xfId="12749"/>
    <cellStyle name="Currency 2 2 3 6 2 4" xfId="18901"/>
    <cellStyle name="Currency 2 2 3 6 3" xfId="8087"/>
    <cellStyle name="Currency 2 2 3 6 3 2" xfId="14281"/>
    <cellStyle name="Currency 2 2 3 6 3 3" xfId="20433"/>
    <cellStyle name="Currency 2 2 3 6 4" xfId="11215"/>
    <cellStyle name="Currency 2 2 3 6 5" xfId="17367"/>
    <cellStyle name="Currency 2 2 3 7" xfId="5752"/>
    <cellStyle name="Currency 2 2 3 7 2" xfId="8853"/>
    <cellStyle name="Currency 2 2 3 7 2 2" xfId="15046"/>
    <cellStyle name="Currency 2 2 3 7 2 3" xfId="21198"/>
    <cellStyle name="Currency 2 2 3 7 3" xfId="11980"/>
    <cellStyle name="Currency 2 2 3 7 4" xfId="18132"/>
    <cellStyle name="Currency 2 2 3 8" xfId="7318"/>
    <cellStyle name="Currency 2 2 3 8 2" xfId="13512"/>
    <cellStyle name="Currency 2 2 3 8 3" xfId="19664"/>
    <cellStyle name="Currency 2 2 3 9" xfId="10446"/>
    <cellStyle name="Currency 2 2 4" xfId="3179"/>
    <cellStyle name="Currency 2 2 4 2" xfId="4916"/>
    <cellStyle name="Currency 2 2 4 2 2" xfId="6541"/>
    <cellStyle name="Currency 2 2 4 2 2 2" xfId="9627"/>
    <cellStyle name="Currency 2 2 4 2 2 2 2" xfId="15820"/>
    <cellStyle name="Currency 2 2 4 2 2 2 3" xfId="21972"/>
    <cellStyle name="Currency 2 2 4 2 2 3" xfId="12754"/>
    <cellStyle name="Currency 2 2 4 2 2 4" xfId="18906"/>
    <cellStyle name="Currency 2 2 4 2 3" xfId="8092"/>
    <cellStyle name="Currency 2 2 4 2 3 2" xfId="14286"/>
    <cellStyle name="Currency 2 2 4 2 3 3" xfId="20438"/>
    <cellStyle name="Currency 2 2 4 2 4" xfId="11220"/>
    <cellStyle name="Currency 2 2 4 2 5" xfId="17372"/>
    <cellStyle name="Currency 2 2 4 3" xfId="5757"/>
    <cellStyle name="Currency 2 2 4 3 2" xfId="8858"/>
    <cellStyle name="Currency 2 2 4 3 2 2" xfId="15051"/>
    <cellStyle name="Currency 2 2 4 3 2 3" xfId="21203"/>
    <cellStyle name="Currency 2 2 4 3 3" xfId="11985"/>
    <cellStyle name="Currency 2 2 4 3 4" xfId="18137"/>
    <cellStyle name="Currency 2 2 4 4" xfId="7323"/>
    <cellStyle name="Currency 2 2 4 4 2" xfId="13517"/>
    <cellStyle name="Currency 2 2 4 4 3" xfId="19669"/>
    <cellStyle name="Currency 2 2 4 5" xfId="10451"/>
    <cellStyle name="Currency 2 2 4 6" xfId="16603"/>
    <cellStyle name="Currency 2 2 5" xfId="3180"/>
    <cellStyle name="Currency 2 2 5 2" xfId="4917"/>
    <cellStyle name="Currency 2 2 5 2 2" xfId="6542"/>
    <cellStyle name="Currency 2 2 5 2 2 2" xfId="9628"/>
    <cellStyle name="Currency 2 2 5 2 2 2 2" xfId="15821"/>
    <cellStyle name="Currency 2 2 5 2 2 2 3" xfId="21973"/>
    <cellStyle name="Currency 2 2 5 2 2 3" xfId="12755"/>
    <cellStyle name="Currency 2 2 5 2 2 4" xfId="18907"/>
    <cellStyle name="Currency 2 2 5 2 3" xfId="8093"/>
    <cellStyle name="Currency 2 2 5 2 3 2" xfId="14287"/>
    <cellStyle name="Currency 2 2 5 2 3 3" xfId="20439"/>
    <cellStyle name="Currency 2 2 5 2 4" xfId="11221"/>
    <cellStyle name="Currency 2 2 5 2 5" xfId="17373"/>
    <cellStyle name="Currency 2 2 5 3" xfId="5758"/>
    <cellStyle name="Currency 2 2 5 3 2" xfId="8859"/>
    <cellStyle name="Currency 2 2 5 3 2 2" xfId="15052"/>
    <cellStyle name="Currency 2 2 5 3 2 3" xfId="21204"/>
    <cellStyle name="Currency 2 2 5 3 3" xfId="11986"/>
    <cellStyle name="Currency 2 2 5 3 4" xfId="18138"/>
    <cellStyle name="Currency 2 2 5 4" xfId="7324"/>
    <cellStyle name="Currency 2 2 5 4 2" xfId="13518"/>
    <cellStyle name="Currency 2 2 5 4 3" xfId="19670"/>
    <cellStyle name="Currency 2 2 5 5" xfId="10452"/>
    <cellStyle name="Currency 2 2 5 6" xfId="16604"/>
    <cellStyle name="Currency 2 2 6" xfId="3181"/>
    <cellStyle name="Currency 2 2 6 2" xfId="4918"/>
    <cellStyle name="Currency 2 2 6 2 2" xfId="6543"/>
    <cellStyle name="Currency 2 2 6 2 2 2" xfId="9629"/>
    <cellStyle name="Currency 2 2 6 2 2 2 2" xfId="15822"/>
    <cellStyle name="Currency 2 2 6 2 2 2 3" xfId="21974"/>
    <cellStyle name="Currency 2 2 6 2 2 3" xfId="12756"/>
    <cellStyle name="Currency 2 2 6 2 2 4" xfId="18908"/>
    <cellStyle name="Currency 2 2 6 2 3" xfId="8094"/>
    <cellStyle name="Currency 2 2 6 2 3 2" xfId="14288"/>
    <cellStyle name="Currency 2 2 6 2 3 3" xfId="20440"/>
    <cellStyle name="Currency 2 2 6 2 4" xfId="11222"/>
    <cellStyle name="Currency 2 2 6 2 5" xfId="17374"/>
    <cellStyle name="Currency 2 2 6 3" xfId="5759"/>
    <cellStyle name="Currency 2 2 6 3 2" xfId="8860"/>
    <cellStyle name="Currency 2 2 6 3 2 2" xfId="15053"/>
    <cellStyle name="Currency 2 2 6 3 2 3" xfId="21205"/>
    <cellStyle name="Currency 2 2 6 3 3" xfId="11987"/>
    <cellStyle name="Currency 2 2 6 3 4" xfId="18139"/>
    <cellStyle name="Currency 2 2 6 4" xfId="7325"/>
    <cellStyle name="Currency 2 2 6 4 2" xfId="13519"/>
    <cellStyle name="Currency 2 2 6 4 3" xfId="19671"/>
    <cellStyle name="Currency 2 2 6 5" xfId="10453"/>
    <cellStyle name="Currency 2 2 6 6" xfId="16605"/>
    <cellStyle name="Currency 2 2 7" xfId="3182"/>
    <cellStyle name="Currency 2 2 7 2" xfId="4919"/>
    <cellStyle name="Currency 2 2 7 2 2" xfId="6544"/>
    <cellStyle name="Currency 2 2 7 2 2 2" xfId="9630"/>
    <cellStyle name="Currency 2 2 7 2 2 2 2" xfId="15823"/>
    <cellStyle name="Currency 2 2 7 2 2 2 3" xfId="21975"/>
    <cellStyle name="Currency 2 2 7 2 2 3" xfId="12757"/>
    <cellStyle name="Currency 2 2 7 2 2 4" xfId="18909"/>
    <cellStyle name="Currency 2 2 7 2 3" xfId="8095"/>
    <cellStyle name="Currency 2 2 7 2 3 2" xfId="14289"/>
    <cellStyle name="Currency 2 2 7 2 3 3" xfId="20441"/>
    <cellStyle name="Currency 2 2 7 2 4" xfId="11223"/>
    <cellStyle name="Currency 2 2 7 2 5" xfId="17375"/>
    <cellStyle name="Currency 2 2 7 3" xfId="5760"/>
    <cellStyle name="Currency 2 2 7 3 2" xfId="8861"/>
    <cellStyle name="Currency 2 2 7 3 2 2" xfId="15054"/>
    <cellStyle name="Currency 2 2 7 3 2 3" xfId="21206"/>
    <cellStyle name="Currency 2 2 7 3 3" xfId="11988"/>
    <cellStyle name="Currency 2 2 7 3 4" xfId="18140"/>
    <cellStyle name="Currency 2 2 7 4" xfId="7326"/>
    <cellStyle name="Currency 2 2 7 4 2" xfId="13520"/>
    <cellStyle name="Currency 2 2 7 4 3" xfId="19672"/>
    <cellStyle name="Currency 2 2 7 5" xfId="10454"/>
    <cellStyle name="Currency 2 2 7 6" xfId="16606"/>
    <cellStyle name="Currency 2 2 8" xfId="3183"/>
    <cellStyle name="Currency 2 2 8 2" xfId="4920"/>
    <cellStyle name="Currency 2 2 8 2 2" xfId="6545"/>
    <cellStyle name="Currency 2 2 8 2 2 2" xfId="9631"/>
    <cellStyle name="Currency 2 2 8 2 2 2 2" xfId="15824"/>
    <cellStyle name="Currency 2 2 8 2 2 2 3" xfId="21976"/>
    <cellStyle name="Currency 2 2 8 2 2 3" xfId="12758"/>
    <cellStyle name="Currency 2 2 8 2 2 4" xfId="18910"/>
    <cellStyle name="Currency 2 2 8 2 3" xfId="8096"/>
    <cellStyle name="Currency 2 2 8 2 3 2" xfId="14290"/>
    <cellStyle name="Currency 2 2 8 2 3 3" xfId="20442"/>
    <cellStyle name="Currency 2 2 8 2 4" xfId="11224"/>
    <cellStyle name="Currency 2 2 8 2 5" xfId="17376"/>
    <cellStyle name="Currency 2 2 8 3" xfId="5761"/>
    <cellStyle name="Currency 2 2 8 3 2" xfId="8862"/>
    <cellStyle name="Currency 2 2 8 3 2 2" xfId="15055"/>
    <cellStyle name="Currency 2 2 8 3 2 3" xfId="21207"/>
    <cellStyle name="Currency 2 2 8 3 3" xfId="11989"/>
    <cellStyle name="Currency 2 2 8 3 4" xfId="18141"/>
    <cellStyle name="Currency 2 2 8 4" xfId="7327"/>
    <cellStyle name="Currency 2 2 8 4 2" xfId="13521"/>
    <cellStyle name="Currency 2 2 8 4 3" xfId="19673"/>
    <cellStyle name="Currency 2 2 8 5" xfId="10455"/>
    <cellStyle name="Currency 2 2 8 6" xfId="16607"/>
    <cellStyle name="Currency 2 2 9" xfId="3184"/>
    <cellStyle name="Currency 2 2 9 2" xfId="4921"/>
    <cellStyle name="Currency 2 2 9 2 2" xfId="6546"/>
    <cellStyle name="Currency 2 2 9 2 2 2" xfId="9632"/>
    <cellStyle name="Currency 2 2 9 2 2 2 2" xfId="15825"/>
    <cellStyle name="Currency 2 2 9 2 2 2 3" xfId="21977"/>
    <cellStyle name="Currency 2 2 9 2 2 3" xfId="12759"/>
    <cellStyle name="Currency 2 2 9 2 2 4" xfId="18911"/>
    <cellStyle name="Currency 2 2 9 2 3" xfId="8097"/>
    <cellStyle name="Currency 2 2 9 2 3 2" xfId="14291"/>
    <cellStyle name="Currency 2 2 9 2 3 3" xfId="20443"/>
    <cellStyle name="Currency 2 2 9 2 4" xfId="11225"/>
    <cellStyle name="Currency 2 2 9 2 5" xfId="17377"/>
    <cellStyle name="Currency 2 2 9 3" xfId="5762"/>
    <cellStyle name="Currency 2 2 9 3 2" xfId="8863"/>
    <cellStyle name="Currency 2 2 9 3 2 2" xfId="15056"/>
    <cellStyle name="Currency 2 2 9 3 2 3" xfId="21208"/>
    <cellStyle name="Currency 2 2 9 3 3" xfId="11990"/>
    <cellStyle name="Currency 2 2 9 3 4" xfId="18142"/>
    <cellStyle name="Currency 2 2 9 4" xfId="7328"/>
    <cellStyle name="Currency 2 2 9 4 2" xfId="13522"/>
    <cellStyle name="Currency 2 2 9 4 3" xfId="19674"/>
    <cellStyle name="Currency 2 2 9 5" xfId="10456"/>
    <cellStyle name="Currency 2 2 9 6" xfId="16608"/>
    <cellStyle name="Currency 2 20" xfId="528"/>
    <cellStyle name="Currency 2 20 2" xfId="3185"/>
    <cellStyle name="Currency 2 21" xfId="555"/>
    <cellStyle name="Currency 2 21 2" xfId="3186"/>
    <cellStyle name="Currency 2 22" xfId="583"/>
    <cellStyle name="Currency 2 22 2" xfId="3187"/>
    <cellStyle name="Currency 2 23" xfId="558"/>
    <cellStyle name="Currency 2 23 2" xfId="3188"/>
    <cellStyle name="Currency 2 24" xfId="632"/>
    <cellStyle name="Currency 2 24 2" xfId="3189"/>
    <cellStyle name="Currency 2 24 3" xfId="3190"/>
    <cellStyle name="Currency 2 25" xfId="674"/>
    <cellStyle name="Currency 2 25 2" xfId="3192"/>
    <cellStyle name="Currency 2 25 3" xfId="3191"/>
    <cellStyle name="Currency 2 26" xfId="693"/>
    <cellStyle name="Currency 2 26 2" xfId="3194"/>
    <cellStyle name="Currency 2 26 3" xfId="3193"/>
    <cellStyle name="Currency 2 27" xfId="725"/>
    <cellStyle name="Currency 2 27 2" xfId="4896"/>
    <cellStyle name="Currency 2 27 2 2" xfId="6521"/>
    <cellStyle name="Currency 2 27 2 2 2" xfId="9607"/>
    <cellStyle name="Currency 2 27 2 2 2 2" xfId="15800"/>
    <cellStyle name="Currency 2 27 2 2 2 3" xfId="21952"/>
    <cellStyle name="Currency 2 27 2 2 3" xfId="12734"/>
    <cellStyle name="Currency 2 27 2 2 4" xfId="18886"/>
    <cellStyle name="Currency 2 27 2 3" xfId="8072"/>
    <cellStyle name="Currency 2 27 2 3 2" xfId="14266"/>
    <cellStyle name="Currency 2 27 2 3 3" xfId="20418"/>
    <cellStyle name="Currency 2 27 2 4" xfId="11200"/>
    <cellStyle name="Currency 2 27 2 5" xfId="17352"/>
    <cellStyle name="Currency 2 27 3" xfId="5737"/>
    <cellStyle name="Currency 2 27 3 2" xfId="8838"/>
    <cellStyle name="Currency 2 27 3 2 2" xfId="15031"/>
    <cellStyle name="Currency 2 27 3 2 3" xfId="21183"/>
    <cellStyle name="Currency 2 27 3 3" xfId="11965"/>
    <cellStyle name="Currency 2 27 3 4" xfId="18117"/>
    <cellStyle name="Currency 2 27 4" xfId="7303"/>
    <cellStyle name="Currency 2 27 4 2" xfId="13497"/>
    <cellStyle name="Currency 2 27 4 3" xfId="19649"/>
    <cellStyle name="Currency 2 27 5" xfId="10431"/>
    <cellStyle name="Currency 2 27 6" xfId="16583"/>
    <cellStyle name="Currency 2 27 7" xfId="3147"/>
    <cellStyle name="Currency 2 28" xfId="752"/>
    <cellStyle name="Currency 2 28 2" xfId="10223"/>
    <cellStyle name="Currency 2 29" xfId="778"/>
    <cellStyle name="Currency 2 3" xfId="56"/>
    <cellStyle name="Currency 2 3 2" xfId="3196"/>
    <cellStyle name="Currency 2 3 3" xfId="4656"/>
    <cellStyle name="Currency 2 3 4" xfId="3195"/>
    <cellStyle name="Currency 2 3 5" xfId="10256"/>
    <cellStyle name="Currency 2 3 6" xfId="23167"/>
    <cellStyle name="Currency 2 30" xfId="802"/>
    <cellStyle name="Currency 2 31" xfId="193"/>
    <cellStyle name="Currency 2 32" xfId="23165"/>
    <cellStyle name="Currency 2 4" xfId="249"/>
    <cellStyle name="Currency 2 4 2" xfId="4657"/>
    <cellStyle name="Currency 2 4 3" xfId="3197"/>
    <cellStyle name="Currency 2 5" xfId="267"/>
    <cellStyle name="Currency 2 6" xfId="262"/>
    <cellStyle name="Currency 2 6 2" xfId="4658"/>
    <cellStyle name="Currency 2 6 3" xfId="3198"/>
    <cellStyle name="Currency 2 7" xfId="280"/>
    <cellStyle name="Currency 2 7 2" xfId="4659"/>
    <cellStyle name="Currency 2 7 3" xfId="3199"/>
    <cellStyle name="Currency 2 8" xfId="330"/>
    <cellStyle name="Currency 2 8 2" xfId="4660"/>
    <cellStyle name="Currency 2 8 3" xfId="3200"/>
    <cellStyle name="Currency 2 9" xfId="284"/>
    <cellStyle name="Currency 2 9 2" xfId="4661"/>
    <cellStyle name="Currency 2 9 3" xfId="3201"/>
    <cellStyle name="Currency 20" xfId="3202"/>
    <cellStyle name="Currency 20 2" xfId="3203"/>
    <cellStyle name="Currency 20 3" xfId="3204"/>
    <cellStyle name="Currency 21" xfId="3205"/>
    <cellStyle name="Currency 22" xfId="3206"/>
    <cellStyle name="Currency 23" xfId="3207"/>
    <cellStyle name="Currency 24" xfId="3208"/>
    <cellStyle name="Currency 25" xfId="3209"/>
    <cellStyle name="Currency 26" xfId="3210"/>
    <cellStyle name="Currency 27" xfId="3211"/>
    <cellStyle name="Currency 28" xfId="3212"/>
    <cellStyle name="Currency 29" xfId="3213"/>
    <cellStyle name="Currency 3" xfId="13"/>
    <cellStyle name="Currency 3 10" xfId="328"/>
    <cellStyle name="Currency 3 10 2" xfId="4922"/>
    <cellStyle name="Currency 3 10 2 2" xfId="6547"/>
    <cellStyle name="Currency 3 10 2 2 2" xfId="9633"/>
    <cellStyle name="Currency 3 10 2 2 2 2" xfId="15826"/>
    <cellStyle name="Currency 3 10 2 2 2 3" xfId="21978"/>
    <cellStyle name="Currency 3 10 2 2 3" xfId="12760"/>
    <cellStyle name="Currency 3 10 2 2 4" xfId="18912"/>
    <cellStyle name="Currency 3 10 2 3" xfId="8098"/>
    <cellStyle name="Currency 3 10 2 3 2" xfId="14292"/>
    <cellStyle name="Currency 3 10 2 3 3" xfId="20444"/>
    <cellStyle name="Currency 3 10 2 4" xfId="11226"/>
    <cellStyle name="Currency 3 10 2 5" xfId="17378"/>
    <cellStyle name="Currency 3 10 3" xfId="5763"/>
    <cellStyle name="Currency 3 10 3 2" xfId="8864"/>
    <cellStyle name="Currency 3 10 3 2 2" xfId="15057"/>
    <cellStyle name="Currency 3 10 3 2 3" xfId="21209"/>
    <cellStyle name="Currency 3 10 3 3" xfId="11991"/>
    <cellStyle name="Currency 3 10 3 4" xfId="18143"/>
    <cellStyle name="Currency 3 10 4" xfId="7329"/>
    <cellStyle name="Currency 3 10 4 2" xfId="13523"/>
    <cellStyle name="Currency 3 10 4 3" xfId="19675"/>
    <cellStyle name="Currency 3 10 5" xfId="10457"/>
    <cellStyle name="Currency 3 10 6" xfId="16609"/>
    <cellStyle name="Currency 3 10 7" xfId="3214"/>
    <cellStyle name="Currency 3 11" xfId="342"/>
    <cellStyle name="Currency 3 11 2" xfId="4923"/>
    <cellStyle name="Currency 3 11 2 2" xfId="6548"/>
    <cellStyle name="Currency 3 11 2 2 2" xfId="9634"/>
    <cellStyle name="Currency 3 11 2 2 2 2" xfId="15827"/>
    <cellStyle name="Currency 3 11 2 2 2 3" xfId="21979"/>
    <cellStyle name="Currency 3 11 2 2 3" xfId="12761"/>
    <cellStyle name="Currency 3 11 2 2 4" xfId="18913"/>
    <cellStyle name="Currency 3 11 2 3" xfId="8099"/>
    <cellStyle name="Currency 3 11 2 3 2" xfId="14293"/>
    <cellStyle name="Currency 3 11 2 3 3" xfId="20445"/>
    <cellStyle name="Currency 3 11 2 4" xfId="11227"/>
    <cellStyle name="Currency 3 11 2 5" xfId="17379"/>
    <cellStyle name="Currency 3 11 3" xfId="5764"/>
    <cellStyle name="Currency 3 11 3 2" xfId="8865"/>
    <cellStyle name="Currency 3 11 3 2 2" xfId="15058"/>
    <cellStyle name="Currency 3 11 3 2 3" xfId="21210"/>
    <cellStyle name="Currency 3 11 3 3" xfId="11992"/>
    <cellStyle name="Currency 3 11 3 4" xfId="18144"/>
    <cellStyle name="Currency 3 11 4" xfId="7330"/>
    <cellStyle name="Currency 3 11 4 2" xfId="13524"/>
    <cellStyle name="Currency 3 11 4 3" xfId="19676"/>
    <cellStyle name="Currency 3 11 5" xfId="10458"/>
    <cellStyle name="Currency 3 11 6" xfId="16610"/>
    <cellStyle name="Currency 3 11 7" xfId="3215"/>
    <cellStyle name="Currency 3 12" xfId="361"/>
    <cellStyle name="Currency 3 12 2" xfId="4924"/>
    <cellStyle name="Currency 3 12 2 2" xfId="6549"/>
    <cellStyle name="Currency 3 12 2 2 2" xfId="9635"/>
    <cellStyle name="Currency 3 12 2 2 2 2" xfId="15828"/>
    <cellStyle name="Currency 3 12 2 2 2 3" xfId="21980"/>
    <cellStyle name="Currency 3 12 2 2 3" xfId="12762"/>
    <cellStyle name="Currency 3 12 2 2 4" xfId="18914"/>
    <cellStyle name="Currency 3 12 2 3" xfId="8100"/>
    <cellStyle name="Currency 3 12 2 3 2" xfId="14294"/>
    <cellStyle name="Currency 3 12 2 3 3" xfId="20446"/>
    <cellStyle name="Currency 3 12 2 4" xfId="11228"/>
    <cellStyle name="Currency 3 12 2 5" xfId="17380"/>
    <cellStyle name="Currency 3 12 3" xfId="5765"/>
    <cellStyle name="Currency 3 12 3 2" xfId="8866"/>
    <cellStyle name="Currency 3 12 3 2 2" xfId="15059"/>
    <cellStyle name="Currency 3 12 3 2 3" xfId="21211"/>
    <cellStyle name="Currency 3 12 3 3" xfId="11993"/>
    <cellStyle name="Currency 3 12 3 4" xfId="18145"/>
    <cellStyle name="Currency 3 12 4" xfId="7331"/>
    <cellStyle name="Currency 3 12 4 2" xfId="13525"/>
    <cellStyle name="Currency 3 12 4 3" xfId="19677"/>
    <cellStyle name="Currency 3 12 5" xfId="10459"/>
    <cellStyle name="Currency 3 12 6" xfId="16611"/>
    <cellStyle name="Currency 3 12 7" xfId="3216"/>
    <cellStyle name="Currency 3 13" xfId="376"/>
    <cellStyle name="Currency 3 13 2" xfId="4925"/>
    <cellStyle name="Currency 3 13 2 2" xfId="6550"/>
    <cellStyle name="Currency 3 13 2 2 2" xfId="9636"/>
    <cellStyle name="Currency 3 13 2 2 2 2" xfId="15829"/>
    <cellStyle name="Currency 3 13 2 2 2 3" xfId="21981"/>
    <cellStyle name="Currency 3 13 2 2 3" xfId="12763"/>
    <cellStyle name="Currency 3 13 2 2 4" xfId="18915"/>
    <cellStyle name="Currency 3 13 2 3" xfId="8101"/>
    <cellStyle name="Currency 3 13 2 3 2" xfId="14295"/>
    <cellStyle name="Currency 3 13 2 3 3" xfId="20447"/>
    <cellStyle name="Currency 3 13 2 4" xfId="11229"/>
    <cellStyle name="Currency 3 13 2 5" xfId="17381"/>
    <cellStyle name="Currency 3 13 3" xfId="5766"/>
    <cellStyle name="Currency 3 13 3 2" xfId="8867"/>
    <cellStyle name="Currency 3 13 3 2 2" xfId="15060"/>
    <cellStyle name="Currency 3 13 3 2 3" xfId="21212"/>
    <cellStyle name="Currency 3 13 3 3" xfId="11994"/>
    <cellStyle name="Currency 3 13 3 4" xfId="18146"/>
    <cellStyle name="Currency 3 13 4" xfId="7332"/>
    <cellStyle name="Currency 3 13 4 2" xfId="13526"/>
    <cellStyle name="Currency 3 13 4 3" xfId="19678"/>
    <cellStyle name="Currency 3 13 5" xfId="10460"/>
    <cellStyle name="Currency 3 13 6" xfId="16612"/>
    <cellStyle name="Currency 3 13 7" xfId="3217"/>
    <cellStyle name="Currency 3 14" xfId="428"/>
    <cellStyle name="Currency 3 14 2" xfId="4926"/>
    <cellStyle name="Currency 3 14 2 2" xfId="6551"/>
    <cellStyle name="Currency 3 14 2 2 2" xfId="9637"/>
    <cellStyle name="Currency 3 14 2 2 2 2" xfId="15830"/>
    <cellStyle name="Currency 3 14 2 2 2 3" xfId="21982"/>
    <cellStyle name="Currency 3 14 2 2 3" xfId="12764"/>
    <cellStyle name="Currency 3 14 2 2 4" xfId="18916"/>
    <cellStyle name="Currency 3 14 2 3" xfId="8102"/>
    <cellStyle name="Currency 3 14 2 3 2" xfId="14296"/>
    <cellStyle name="Currency 3 14 2 3 3" xfId="20448"/>
    <cellStyle name="Currency 3 14 2 4" xfId="11230"/>
    <cellStyle name="Currency 3 14 2 5" xfId="17382"/>
    <cellStyle name="Currency 3 14 3" xfId="5767"/>
    <cellStyle name="Currency 3 14 3 2" xfId="8868"/>
    <cellStyle name="Currency 3 14 3 2 2" xfId="15061"/>
    <cellStyle name="Currency 3 14 3 2 3" xfId="21213"/>
    <cellStyle name="Currency 3 14 3 3" xfId="11995"/>
    <cellStyle name="Currency 3 14 3 4" xfId="18147"/>
    <cellStyle name="Currency 3 14 4" xfId="7333"/>
    <cellStyle name="Currency 3 14 4 2" xfId="13527"/>
    <cellStyle name="Currency 3 14 4 3" xfId="19679"/>
    <cellStyle name="Currency 3 14 5" xfId="10461"/>
    <cellStyle name="Currency 3 14 6" xfId="16613"/>
    <cellStyle name="Currency 3 14 7" xfId="3218"/>
    <cellStyle name="Currency 3 15" xfId="461"/>
    <cellStyle name="Currency 3 15 2" xfId="4927"/>
    <cellStyle name="Currency 3 15 2 2" xfId="6552"/>
    <cellStyle name="Currency 3 15 2 2 2" xfId="9638"/>
    <cellStyle name="Currency 3 15 2 2 2 2" xfId="15831"/>
    <cellStyle name="Currency 3 15 2 2 2 3" xfId="21983"/>
    <cellStyle name="Currency 3 15 2 2 3" xfId="12765"/>
    <cellStyle name="Currency 3 15 2 2 4" xfId="18917"/>
    <cellStyle name="Currency 3 15 2 3" xfId="8103"/>
    <cellStyle name="Currency 3 15 2 3 2" xfId="14297"/>
    <cellStyle name="Currency 3 15 2 3 3" xfId="20449"/>
    <cellStyle name="Currency 3 15 2 4" xfId="11231"/>
    <cellStyle name="Currency 3 15 2 5" xfId="17383"/>
    <cellStyle name="Currency 3 15 3" xfId="5768"/>
    <cellStyle name="Currency 3 15 3 2" xfId="8869"/>
    <cellStyle name="Currency 3 15 3 2 2" xfId="15062"/>
    <cellStyle name="Currency 3 15 3 2 3" xfId="21214"/>
    <cellStyle name="Currency 3 15 3 3" xfId="11996"/>
    <cellStyle name="Currency 3 15 3 4" xfId="18148"/>
    <cellStyle name="Currency 3 15 4" xfId="7334"/>
    <cellStyle name="Currency 3 15 4 2" xfId="13528"/>
    <cellStyle name="Currency 3 15 4 3" xfId="19680"/>
    <cellStyle name="Currency 3 15 5" xfId="10462"/>
    <cellStyle name="Currency 3 15 6" xfId="16614"/>
    <cellStyle name="Currency 3 15 7" xfId="3219"/>
    <cellStyle name="Currency 3 16" xfId="484"/>
    <cellStyle name="Currency 3 16 2" xfId="4928"/>
    <cellStyle name="Currency 3 16 2 2" xfId="6553"/>
    <cellStyle name="Currency 3 16 2 2 2" xfId="9639"/>
    <cellStyle name="Currency 3 16 2 2 2 2" xfId="15832"/>
    <cellStyle name="Currency 3 16 2 2 2 3" xfId="21984"/>
    <cellStyle name="Currency 3 16 2 2 3" xfId="12766"/>
    <cellStyle name="Currency 3 16 2 2 4" xfId="18918"/>
    <cellStyle name="Currency 3 16 2 3" xfId="8104"/>
    <cellStyle name="Currency 3 16 2 3 2" xfId="14298"/>
    <cellStyle name="Currency 3 16 2 3 3" xfId="20450"/>
    <cellStyle name="Currency 3 16 2 4" xfId="11232"/>
    <cellStyle name="Currency 3 16 2 5" xfId="17384"/>
    <cellStyle name="Currency 3 16 3" xfId="5769"/>
    <cellStyle name="Currency 3 16 3 2" xfId="8870"/>
    <cellStyle name="Currency 3 16 3 2 2" xfId="15063"/>
    <cellStyle name="Currency 3 16 3 2 3" xfId="21215"/>
    <cellStyle name="Currency 3 16 3 3" xfId="11997"/>
    <cellStyle name="Currency 3 16 3 4" xfId="18149"/>
    <cellStyle name="Currency 3 16 4" xfId="7335"/>
    <cellStyle name="Currency 3 16 4 2" xfId="13529"/>
    <cellStyle name="Currency 3 16 4 3" xfId="19681"/>
    <cellStyle name="Currency 3 16 5" xfId="10463"/>
    <cellStyle name="Currency 3 16 6" xfId="16615"/>
    <cellStyle name="Currency 3 16 7" xfId="3220"/>
    <cellStyle name="Currency 3 17" xfId="498"/>
    <cellStyle name="Currency 3 17 2" xfId="4929"/>
    <cellStyle name="Currency 3 17 2 2" xfId="6554"/>
    <cellStyle name="Currency 3 17 2 2 2" xfId="9640"/>
    <cellStyle name="Currency 3 17 2 2 2 2" xfId="15833"/>
    <cellStyle name="Currency 3 17 2 2 2 3" xfId="21985"/>
    <cellStyle name="Currency 3 17 2 2 3" xfId="12767"/>
    <cellStyle name="Currency 3 17 2 2 4" xfId="18919"/>
    <cellStyle name="Currency 3 17 2 3" xfId="8105"/>
    <cellStyle name="Currency 3 17 2 3 2" xfId="14299"/>
    <cellStyle name="Currency 3 17 2 3 3" xfId="20451"/>
    <cellStyle name="Currency 3 17 2 4" xfId="11233"/>
    <cellStyle name="Currency 3 17 2 5" xfId="17385"/>
    <cellStyle name="Currency 3 17 3" xfId="5770"/>
    <cellStyle name="Currency 3 17 3 2" xfId="8871"/>
    <cellStyle name="Currency 3 17 3 2 2" xfId="15064"/>
    <cellStyle name="Currency 3 17 3 2 3" xfId="21216"/>
    <cellStyle name="Currency 3 17 3 3" xfId="11998"/>
    <cellStyle name="Currency 3 17 3 4" xfId="18150"/>
    <cellStyle name="Currency 3 17 4" xfId="7336"/>
    <cellStyle name="Currency 3 17 4 2" xfId="13530"/>
    <cellStyle name="Currency 3 17 4 3" xfId="19682"/>
    <cellStyle name="Currency 3 17 5" xfId="10464"/>
    <cellStyle name="Currency 3 17 6" xfId="16616"/>
    <cellStyle name="Currency 3 17 7" xfId="3221"/>
    <cellStyle name="Currency 3 18" xfId="505"/>
    <cellStyle name="Currency 3 18 2" xfId="4930"/>
    <cellStyle name="Currency 3 18 2 2" xfId="6555"/>
    <cellStyle name="Currency 3 18 2 2 2" xfId="9641"/>
    <cellStyle name="Currency 3 18 2 2 2 2" xfId="15834"/>
    <cellStyle name="Currency 3 18 2 2 2 3" xfId="21986"/>
    <cellStyle name="Currency 3 18 2 2 3" xfId="12768"/>
    <cellStyle name="Currency 3 18 2 2 4" xfId="18920"/>
    <cellStyle name="Currency 3 18 2 3" xfId="8106"/>
    <cellStyle name="Currency 3 18 2 3 2" xfId="14300"/>
    <cellStyle name="Currency 3 18 2 3 3" xfId="20452"/>
    <cellStyle name="Currency 3 18 2 4" xfId="11234"/>
    <cellStyle name="Currency 3 18 2 5" xfId="17386"/>
    <cellStyle name="Currency 3 18 3" xfId="5771"/>
    <cellStyle name="Currency 3 18 3 2" xfId="8872"/>
    <cellStyle name="Currency 3 18 3 2 2" xfId="15065"/>
    <cellStyle name="Currency 3 18 3 2 3" xfId="21217"/>
    <cellStyle name="Currency 3 18 3 3" xfId="11999"/>
    <cellStyle name="Currency 3 18 3 4" xfId="18151"/>
    <cellStyle name="Currency 3 18 4" xfId="7337"/>
    <cellStyle name="Currency 3 18 4 2" xfId="13531"/>
    <cellStyle name="Currency 3 18 4 3" xfId="19683"/>
    <cellStyle name="Currency 3 18 5" xfId="10465"/>
    <cellStyle name="Currency 3 18 6" xfId="16617"/>
    <cellStyle name="Currency 3 18 7" xfId="3222"/>
    <cellStyle name="Currency 3 19" xfId="520"/>
    <cellStyle name="Currency 3 19 2" xfId="4931"/>
    <cellStyle name="Currency 3 19 2 2" xfId="6556"/>
    <cellStyle name="Currency 3 19 2 2 2" xfId="9642"/>
    <cellStyle name="Currency 3 19 2 2 2 2" xfId="15835"/>
    <cellStyle name="Currency 3 19 2 2 2 3" xfId="21987"/>
    <cellStyle name="Currency 3 19 2 2 3" xfId="12769"/>
    <cellStyle name="Currency 3 19 2 2 4" xfId="18921"/>
    <cellStyle name="Currency 3 19 2 3" xfId="8107"/>
    <cellStyle name="Currency 3 19 2 3 2" xfId="14301"/>
    <cellStyle name="Currency 3 19 2 3 3" xfId="20453"/>
    <cellStyle name="Currency 3 19 2 4" xfId="11235"/>
    <cellStyle name="Currency 3 19 2 5" xfId="17387"/>
    <cellStyle name="Currency 3 19 3" xfId="5772"/>
    <cellStyle name="Currency 3 19 3 2" xfId="8873"/>
    <cellStyle name="Currency 3 19 3 2 2" xfId="15066"/>
    <cellStyle name="Currency 3 19 3 2 3" xfId="21218"/>
    <cellStyle name="Currency 3 19 3 3" xfId="12000"/>
    <cellStyle name="Currency 3 19 3 4" xfId="18152"/>
    <cellStyle name="Currency 3 19 4" xfId="7338"/>
    <cellStyle name="Currency 3 19 4 2" xfId="13532"/>
    <cellStyle name="Currency 3 19 4 3" xfId="19684"/>
    <cellStyle name="Currency 3 19 5" xfId="10466"/>
    <cellStyle name="Currency 3 19 6" xfId="16618"/>
    <cellStyle name="Currency 3 19 7" xfId="3223"/>
    <cellStyle name="Currency 3 2" xfId="57"/>
    <cellStyle name="Currency 3 2 10" xfId="23169"/>
    <cellStyle name="Currency 3 2 2" xfId="252"/>
    <cellStyle name="Currency 3 2 2 2" xfId="4932"/>
    <cellStyle name="Currency 3 2 2 2 2" xfId="6557"/>
    <cellStyle name="Currency 3 2 2 2 2 2" xfId="9643"/>
    <cellStyle name="Currency 3 2 2 2 2 2 2" xfId="15836"/>
    <cellStyle name="Currency 3 2 2 2 2 2 3" xfId="21988"/>
    <cellStyle name="Currency 3 2 2 2 2 3" xfId="12770"/>
    <cellStyle name="Currency 3 2 2 2 2 4" xfId="18922"/>
    <cellStyle name="Currency 3 2 2 2 3" xfId="8108"/>
    <cellStyle name="Currency 3 2 2 2 3 2" xfId="14302"/>
    <cellStyle name="Currency 3 2 2 2 3 3" xfId="20454"/>
    <cellStyle name="Currency 3 2 2 2 4" xfId="11236"/>
    <cellStyle name="Currency 3 2 2 2 5" xfId="17388"/>
    <cellStyle name="Currency 3 2 2 3" xfId="5773"/>
    <cellStyle name="Currency 3 2 2 3 2" xfId="8874"/>
    <cellStyle name="Currency 3 2 2 3 2 2" xfId="15067"/>
    <cellStyle name="Currency 3 2 2 3 2 3" xfId="21219"/>
    <cellStyle name="Currency 3 2 2 3 3" xfId="12001"/>
    <cellStyle name="Currency 3 2 2 3 4" xfId="18153"/>
    <cellStyle name="Currency 3 2 2 4" xfId="7339"/>
    <cellStyle name="Currency 3 2 2 4 2" xfId="13533"/>
    <cellStyle name="Currency 3 2 2 4 3" xfId="19685"/>
    <cellStyle name="Currency 3 2 2 5" xfId="10467"/>
    <cellStyle name="Currency 3 2 2 6" xfId="16619"/>
    <cellStyle name="Currency 3 2 2 7" xfId="3225"/>
    <cellStyle name="Currency 3 2 3" xfId="3226"/>
    <cellStyle name="Currency 3 2 3 2" xfId="4933"/>
    <cellStyle name="Currency 3 2 3 2 2" xfId="6558"/>
    <cellStyle name="Currency 3 2 3 2 2 2" xfId="9644"/>
    <cellStyle name="Currency 3 2 3 2 2 2 2" xfId="15837"/>
    <cellStyle name="Currency 3 2 3 2 2 2 3" xfId="21989"/>
    <cellStyle name="Currency 3 2 3 2 2 3" xfId="12771"/>
    <cellStyle name="Currency 3 2 3 2 2 4" xfId="18923"/>
    <cellStyle name="Currency 3 2 3 2 3" xfId="8109"/>
    <cellStyle name="Currency 3 2 3 2 3 2" xfId="14303"/>
    <cellStyle name="Currency 3 2 3 2 3 3" xfId="20455"/>
    <cellStyle name="Currency 3 2 3 2 4" xfId="11237"/>
    <cellStyle name="Currency 3 2 3 2 5" xfId="17389"/>
    <cellStyle name="Currency 3 2 3 3" xfId="5774"/>
    <cellStyle name="Currency 3 2 3 3 2" xfId="8875"/>
    <cellStyle name="Currency 3 2 3 3 2 2" xfId="15068"/>
    <cellStyle name="Currency 3 2 3 3 2 3" xfId="21220"/>
    <cellStyle name="Currency 3 2 3 3 3" xfId="12002"/>
    <cellStyle name="Currency 3 2 3 3 4" xfId="18154"/>
    <cellStyle name="Currency 3 2 3 4" xfId="7340"/>
    <cellStyle name="Currency 3 2 3 4 2" xfId="13534"/>
    <cellStyle name="Currency 3 2 3 4 3" xfId="19686"/>
    <cellStyle name="Currency 3 2 3 5" xfId="10468"/>
    <cellStyle name="Currency 3 2 3 6" xfId="16620"/>
    <cellStyle name="Currency 3 2 4" xfId="3227"/>
    <cellStyle name="Currency 3 2 4 2" xfId="4934"/>
    <cellStyle name="Currency 3 2 4 2 2" xfId="6559"/>
    <cellStyle name="Currency 3 2 4 2 2 2" xfId="9645"/>
    <cellStyle name="Currency 3 2 4 2 2 2 2" xfId="15838"/>
    <cellStyle name="Currency 3 2 4 2 2 2 3" xfId="21990"/>
    <cellStyle name="Currency 3 2 4 2 2 3" xfId="12772"/>
    <cellStyle name="Currency 3 2 4 2 2 4" xfId="18924"/>
    <cellStyle name="Currency 3 2 4 2 3" xfId="8110"/>
    <cellStyle name="Currency 3 2 4 2 3 2" xfId="14304"/>
    <cellStyle name="Currency 3 2 4 2 3 3" xfId="20456"/>
    <cellStyle name="Currency 3 2 4 2 4" xfId="11238"/>
    <cellStyle name="Currency 3 2 4 2 5" xfId="17390"/>
    <cellStyle name="Currency 3 2 4 3" xfId="5775"/>
    <cellStyle name="Currency 3 2 4 3 2" xfId="8876"/>
    <cellStyle name="Currency 3 2 4 3 2 2" xfId="15069"/>
    <cellStyle name="Currency 3 2 4 3 2 3" xfId="21221"/>
    <cellStyle name="Currency 3 2 4 3 3" xfId="12003"/>
    <cellStyle name="Currency 3 2 4 3 4" xfId="18155"/>
    <cellStyle name="Currency 3 2 4 4" xfId="7341"/>
    <cellStyle name="Currency 3 2 4 4 2" xfId="13535"/>
    <cellStyle name="Currency 3 2 4 4 3" xfId="19687"/>
    <cellStyle name="Currency 3 2 4 5" xfId="10469"/>
    <cellStyle name="Currency 3 2 4 6" xfId="16621"/>
    <cellStyle name="Currency 3 2 5" xfId="3228"/>
    <cellStyle name="Currency 3 2 5 2" xfId="4935"/>
    <cellStyle name="Currency 3 2 5 2 2" xfId="6560"/>
    <cellStyle name="Currency 3 2 5 2 2 2" xfId="9646"/>
    <cellStyle name="Currency 3 2 5 2 2 2 2" xfId="15839"/>
    <cellStyle name="Currency 3 2 5 2 2 2 3" xfId="21991"/>
    <cellStyle name="Currency 3 2 5 2 2 3" xfId="12773"/>
    <cellStyle name="Currency 3 2 5 2 2 4" xfId="18925"/>
    <cellStyle name="Currency 3 2 5 2 3" xfId="8111"/>
    <cellStyle name="Currency 3 2 5 2 3 2" xfId="14305"/>
    <cellStyle name="Currency 3 2 5 2 3 3" xfId="20457"/>
    <cellStyle name="Currency 3 2 5 2 4" xfId="11239"/>
    <cellStyle name="Currency 3 2 5 2 5" xfId="17391"/>
    <cellStyle name="Currency 3 2 5 3" xfId="5776"/>
    <cellStyle name="Currency 3 2 5 3 2" xfId="8877"/>
    <cellStyle name="Currency 3 2 5 3 2 2" xfId="15070"/>
    <cellStyle name="Currency 3 2 5 3 2 3" xfId="21222"/>
    <cellStyle name="Currency 3 2 5 3 3" xfId="12004"/>
    <cellStyle name="Currency 3 2 5 3 4" xfId="18156"/>
    <cellStyle name="Currency 3 2 5 4" xfId="7342"/>
    <cellStyle name="Currency 3 2 5 4 2" xfId="13536"/>
    <cellStyle name="Currency 3 2 5 4 3" xfId="19688"/>
    <cellStyle name="Currency 3 2 5 5" xfId="10470"/>
    <cellStyle name="Currency 3 2 5 6" xfId="16622"/>
    <cellStyle name="Currency 3 2 6" xfId="3229"/>
    <cellStyle name="Currency 3 2 7" xfId="3230"/>
    <cellStyle name="Currency 3 2 8" xfId="10262"/>
    <cellStyle name="Currency 3 2 9" xfId="3224"/>
    <cellStyle name="Currency 3 20" xfId="548"/>
    <cellStyle name="Currency 3 20 2" xfId="4936"/>
    <cellStyle name="Currency 3 20 2 2" xfId="6561"/>
    <cellStyle name="Currency 3 20 2 2 2" xfId="9647"/>
    <cellStyle name="Currency 3 20 2 2 2 2" xfId="15840"/>
    <cellStyle name="Currency 3 20 2 2 2 3" xfId="21992"/>
    <cellStyle name="Currency 3 20 2 2 3" xfId="12774"/>
    <cellStyle name="Currency 3 20 2 2 4" xfId="18926"/>
    <cellStyle name="Currency 3 20 2 3" xfId="8112"/>
    <cellStyle name="Currency 3 20 2 3 2" xfId="14306"/>
    <cellStyle name="Currency 3 20 2 3 3" xfId="20458"/>
    <cellStyle name="Currency 3 20 2 4" xfId="11240"/>
    <cellStyle name="Currency 3 20 2 5" xfId="17392"/>
    <cellStyle name="Currency 3 20 3" xfId="5777"/>
    <cellStyle name="Currency 3 20 3 2" xfId="8878"/>
    <cellStyle name="Currency 3 20 3 2 2" xfId="15071"/>
    <cellStyle name="Currency 3 20 3 2 3" xfId="21223"/>
    <cellStyle name="Currency 3 20 3 3" xfId="12005"/>
    <cellStyle name="Currency 3 20 3 4" xfId="18157"/>
    <cellStyle name="Currency 3 20 4" xfId="7343"/>
    <cellStyle name="Currency 3 20 4 2" xfId="13537"/>
    <cellStyle name="Currency 3 20 4 3" xfId="19689"/>
    <cellStyle name="Currency 3 20 5" xfId="10471"/>
    <cellStyle name="Currency 3 20 6" xfId="16623"/>
    <cellStyle name="Currency 3 20 7" xfId="3231"/>
    <cellStyle name="Currency 3 21" xfId="616"/>
    <cellStyle name="Currency 3 21 2" xfId="4937"/>
    <cellStyle name="Currency 3 21 2 2" xfId="6562"/>
    <cellStyle name="Currency 3 21 2 2 2" xfId="9648"/>
    <cellStyle name="Currency 3 21 2 2 2 2" xfId="15841"/>
    <cellStyle name="Currency 3 21 2 2 2 3" xfId="21993"/>
    <cellStyle name="Currency 3 21 2 2 3" xfId="12775"/>
    <cellStyle name="Currency 3 21 2 2 4" xfId="18927"/>
    <cellStyle name="Currency 3 21 2 3" xfId="8113"/>
    <cellStyle name="Currency 3 21 2 3 2" xfId="14307"/>
    <cellStyle name="Currency 3 21 2 3 3" xfId="20459"/>
    <cellStyle name="Currency 3 21 2 4" xfId="11241"/>
    <cellStyle name="Currency 3 21 2 5" xfId="17393"/>
    <cellStyle name="Currency 3 21 3" xfId="5778"/>
    <cellStyle name="Currency 3 21 3 2" xfId="8879"/>
    <cellStyle name="Currency 3 21 3 2 2" xfId="15072"/>
    <cellStyle name="Currency 3 21 3 2 3" xfId="21224"/>
    <cellStyle name="Currency 3 21 3 3" xfId="12006"/>
    <cellStyle name="Currency 3 21 3 4" xfId="18158"/>
    <cellStyle name="Currency 3 21 4" xfId="7344"/>
    <cellStyle name="Currency 3 21 4 2" xfId="13538"/>
    <cellStyle name="Currency 3 21 4 3" xfId="19690"/>
    <cellStyle name="Currency 3 21 5" xfId="10472"/>
    <cellStyle name="Currency 3 21 6" xfId="16624"/>
    <cellStyle name="Currency 3 21 7" xfId="3232"/>
    <cellStyle name="Currency 3 22" xfId="665"/>
    <cellStyle name="Currency 3 22 2" xfId="3234"/>
    <cellStyle name="Currency 3 22 3" xfId="3235"/>
    <cellStyle name="Currency 3 22 4" xfId="3233"/>
    <cellStyle name="Currency 3 23" xfId="676"/>
    <cellStyle name="Currency 3 23 2" xfId="10227"/>
    <cellStyle name="Currency 3 24" xfId="705"/>
    <cellStyle name="Currency 3 25" xfId="685"/>
    <cellStyle name="Currency 3 26" xfId="717"/>
    <cellStyle name="Currency 3 27" xfId="745"/>
    <cellStyle name="Currency 3 28" xfId="771"/>
    <cellStyle name="Currency 3 29" xfId="851"/>
    <cellStyle name="Currency 3 3" xfId="88"/>
    <cellStyle name="Currency 3 3 10" xfId="7345"/>
    <cellStyle name="Currency 3 3 10 2" xfId="13539"/>
    <cellStyle name="Currency 3 3 10 3" xfId="19691"/>
    <cellStyle name="Currency 3 3 11" xfId="10257"/>
    <cellStyle name="Currency 3 3 12" xfId="10473"/>
    <cellStyle name="Currency 3 3 13" xfId="16625"/>
    <cellStyle name="Currency 3 3 14" xfId="3236"/>
    <cellStyle name="Currency 3 3 15" xfId="214"/>
    <cellStyle name="Currency 3 3 16" xfId="23170"/>
    <cellStyle name="Currency 3 3 2" xfId="261"/>
    <cellStyle name="Currency 3 3 2 2" xfId="4939"/>
    <cellStyle name="Currency 3 3 2 2 2" xfId="6564"/>
    <cellStyle name="Currency 3 3 2 2 2 2" xfId="9650"/>
    <cellStyle name="Currency 3 3 2 2 2 2 2" xfId="15843"/>
    <cellStyle name="Currency 3 3 2 2 2 2 3" xfId="21995"/>
    <cellStyle name="Currency 3 3 2 2 2 3" xfId="12777"/>
    <cellStyle name="Currency 3 3 2 2 2 4" xfId="18929"/>
    <cellStyle name="Currency 3 3 2 2 3" xfId="8115"/>
    <cellStyle name="Currency 3 3 2 2 3 2" xfId="14309"/>
    <cellStyle name="Currency 3 3 2 2 3 3" xfId="20461"/>
    <cellStyle name="Currency 3 3 2 2 4" xfId="11243"/>
    <cellStyle name="Currency 3 3 2 2 5" xfId="17395"/>
    <cellStyle name="Currency 3 3 2 3" xfId="5780"/>
    <cellStyle name="Currency 3 3 2 3 2" xfId="8881"/>
    <cellStyle name="Currency 3 3 2 3 2 2" xfId="15074"/>
    <cellStyle name="Currency 3 3 2 3 2 3" xfId="21226"/>
    <cellStyle name="Currency 3 3 2 3 3" xfId="12008"/>
    <cellStyle name="Currency 3 3 2 3 4" xfId="18160"/>
    <cellStyle name="Currency 3 3 2 4" xfId="7346"/>
    <cellStyle name="Currency 3 3 2 4 2" xfId="13540"/>
    <cellStyle name="Currency 3 3 2 4 3" xfId="19692"/>
    <cellStyle name="Currency 3 3 2 5" xfId="10474"/>
    <cellStyle name="Currency 3 3 2 6" xfId="16626"/>
    <cellStyle name="Currency 3 3 2 7" xfId="3237"/>
    <cellStyle name="Currency 3 3 3" xfId="3238"/>
    <cellStyle name="Currency 3 3 3 2" xfId="4940"/>
    <cellStyle name="Currency 3 3 3 2 2" xfId="6565"/>
    <cellStyle name="Currency 3 3 3 2 2 2" xfId="9651"/>
    <cellStyle name="Currency 3 3 3 2 2 2 2" xfId="15844"/>
    <cellStyle name="Currency 3 3 3 2 2 2 3" xfId="21996"/>
    <cellStyle name="Currency 3 3 3 2 2 3" xfId="12778"/>
    <cellStyle name="Currency 3 3 3 2 2 4" xfId="18930"/>
    <cellStyle name="Currency 3 3 3 2 3" xfId="8116"/>
    <cellStyle name="Currency 3 3 3 2 3 2" xfId="14310"/>
    <cellStyle name="Currency 3 3 3 2 3 3" xfId="20462"/>
    <cellStyle name="Currency 3 3 3 2 4" xfId="11244"/>
    <cellStyle name="Currency 3 3 3 2 5" xfId="17396"/>
    <cellStyle name="Currency 3 3 3 3" xfId="5781"/>
    <cellStyle name="Currency 3 3 3 3 2" xfId="8882"/>
    <cellStyle name="Currency 3 3 3 3 2 2" xfId="15075"/>
    <cellStyle name="Currency 3 3 3 3 2 3" xfId="21227"/>
    <cellStyle name="Currency 3 3 3 3 3" xfId="12009"/>
    <cellStyle name="Currency 3 3 3 3 4" xfId="18161"/>
    <cellStyle name="Currency 3 3 3 4" xfId="7347"/>
    <cellStyle name="Currency 3 3 3 4 2" xfId="13541"/>
    <cellStyle name="Currency 3 3 3 4 3" xfId="19693"/>
    <cellStyle name="Currency 3 3 3 5" xfId="10475"/>
    <cellStyle name="Currency 3 3 3 6" xfId="16627"/>
    <cellStyle name="Currency 3 3 4" xfId="3239"/>
    <cellStyle name="Currency 3 3 4 2" xfId="4941"/>
    <cellStyle name="Currency 3 3 4 2 2" xfId="6566"/>
    <cellStyle name="Currency 3 3 4 2 2 2" xfId="9652"/>
    <cellStyle name="Currency 3 3 4 2 2 2 2" xfId="15845"/>
    <cellStyle name="Currency 3 3 4 2 2 2 3" xfId="21997"/>
    <cellStyle name="Currency 3 3 4 2 2 3" xfId="12779"/>
    <cellStyle name="Currency 3 3 4 2 2 4" xfId="18931"/>
    <cellStyle name="Currency 3 3 4 2 3" xfId="8117"/>
    <cellStyle name="Currency 3 3 4 2 3 2" xfId="14311"/>
    <cellStyle name="Currency 3 3 4 2 3 3" xfId="20463"/>
    <cellStyle name="Currency 3 3 4 2 4" xfId="11245"/>
    <cellStyle name="Currency 3 3 4 2 5" xfId="17397"/>
    <cellStyle name="Currency 3 3 4 3" xfId="5782"/>
    <cellStyle name="Currency 3 3 4 3 2" xfId="8883"/>
    <cellStyle name="Currency 3 3 4 3 2 2" xfId="15076"/>
    <cellStyle name="Currency 3 3 4 3 2 3" xfId="21228"/>
    <cellStyle name="Currency 3 3 4 3 3" xfId="12010"/>
    <cellStyle name="Currency 3 3 4 3 4" xfId="18162"/>
    <cellStyle name="Currency 3 3 4 4" xfId="7348"/>
    <cellStyle name="Currency 3 3 4 4 2" xfId="13542"/>
    <cellStyle name="Currency 3 3 4 4 3" xfId="19694"/>
    <cellStyle name="Currency 3 3 4 5" xfId="10476"/>
    <cellStyle name="Currency 3 3 4 6" xfId="16628"/>
    <cellStyle name="Currency 3 3 5" xfId="3240"/>
    <cellStyle name="Currency 3 3 5 2" xfId="4942"/>
    <cellStyle name="Currency 3 3 5 2 2" xfId="6567"/>
    <cellStyle name="Currency 3 3 5 2 2 2" xfId="9653"/>
    <cellStyle name="Currency 3 3 5 2 2 2 2" xfId="15846"/>
    <cellStyle name="Currency 3 3 5 2 2 2 3" xfId="21998"/>
    <cellStyle name="Currency 3 3 5 2 2 3" xfId="12780"/>
    <cellStyle name="Currency 3 3 5 2 2 4" xfId="18932"/>
    <cellStyle name="Currency 3 3 5 2 3" xfId="8118"/>
    <cellStyle name="Currency 3 3 5 2 3 2" xfId="14312"/>
    <cellStyle name="Currency 3 3 5 2 3 3" xfId="20464"/>
    <cellStyle name="Currency 3 3 5 2 4" xfId="11246"/>
    <cellStyle name="Currency 3 3 5 2 5" xfId="17398"/>
    <cellStyle name="Currency 3 3 5 3" xfId="5783"/>
    <cellStyle name="Currency 3 3 5 3 2" xfId="8884"/>
    <cellStyle name="Currency 3 3 5 3 2 2" xfId="15077"/>
    <cellStyle name="Currency 3 3 5 3 2 3" xfId="21229"/>
    <cellStyle name="Currency 3 3 5 3 3" xfId="12011"/>
    <cellStyle name="Currency 3 3 5 3 4" xfId="18163"/>
    <cellStyle name="Currency 3 3 5 4" xfId="7349"/>
    <cellStyle name="Currency 3 3 5 4 2" xfId="13543"/>
    <cellStyle name="Currency 3 3 5 4 3" xfId="19695"/>
    <cellStyle name="Currency 3 3 5 5" xfId="10477"/>
    <cellStyle name="Currency 3 3 5 6" xfId="16629"/>
    <cellStyle name="Currency 3 3 6" xfId="3241"/>
    <cellStyle name="Currency 3 3 6 2" xfId="4943"/>
    <cellStyle name="Currency 3 3 6 2 2" xfId="6568"/>
    <cellStyle name="Currency 3 3 6 2 2 2" xfId="9654"/>
    <cellStyle name="Currency 3 3 6 2 2 2 2" xfId="15847"/>
    <cellStyle name="Currency 3 3 6 2 2 2 3" xfId="21999"/>
    <cellStyle name="Currency 3 3 6 2 2 3" xfId="12781"/>
    <cellStyle name="Currency 3 3 6 2 2 4" xfId="18933"/>
    <cellStyle name="Currency 3 3 6 2 3" xfId="8119"/>
    <cellStyle name="Currency 3 3 6 2 3 2" xfId="14313"/>
    <cellStyle name="Currency 3 3 6 2 3 3" xfId="20465"/>
    <cellStyle name="Currency 3 3 6 2 4" xfId="11247"/>
    <cellStyle name="Currency 3 3 6 2 5" xfId="17399"/>
    <cellStyle name="Currency 3 3 6 3" xfId="5784"/>
    <cellStyle name="Currency 3 3 6 3 2" xfId="8885"/>
    <cellStyle name="Currency 3 3 6 3 2 2" xfId="15078"/>
    <cellStyle name="Currency 3 3 6 3 2 3" xfId="21230"/>
    <cellStyle name="Currency 3 3 6 3 3" xfId="12012"/>
    <cellStyle name="Currency 3 3 6 3 4" xfId="18164"/>
    <cellStyle name="Currency 3 3 6 4" xfId="7350"/>
    <cellStyle name="Currency 3 3 6 4 2" xfId="13544"/>
    <cellStyle name="Currency 3 3 6 4 3" xfId="19696"/>
    <cellStyle name="Currency 3 3 6 5" xfId="10478"/>
    <cellStyle name="Currency 3 3 6 6" xfId="16630"/>
    <cellStyle name="Currency 3 3 7" xfId="3242"/>
    <cellStyle name="Currency 3 3 8" xfId="4938"/>
    <cellStyle name="Currency 3 3 8 2" xfId="6563"/>
    <cellStyle name="Currency 3 3 8 2 2" xfId="9649"/>
    <cellStyle name="Currency 3 3 8 2 2 2" xfId="15842"/>
    <cellStyle name="Currency 3 3 8 2 2 3" xfId="21994"/>
    <cellStyle name="Currency 3 3 8 2 3" xfId="12776"/>
    <cellStyle name="Currency 3 3 8 2 4" xfId="18928"/>
    <cellStyle name="Currency 3 3 8 3" xfId="8114"/>
    <cellStyle name="Currency 3 3 8 3 2" xfId="14308"/>
    <cellStyle name="Currency 3 3 8 3 3" xfId="20460"/>
    <cellStyle name="Currency 3 3 8 4" xfId="11242"/>
    <cellStyle name="Currency 3 3 8 5" xfId="17394"/>
    <cellStyle name="Currency 3 3 9" xfId="5779"/>
    <cellStyle name="Currency 3 3 9 2" xfId="8880"/>
    <cellStyle name="Currency 3 3 9 2 2" xfId="15073"/>
    <cellStyle name="Currency 3 3 9 2 3" xfId="21225"/>
    <cellStyle name="Currency 3 3 9 3" xfId="12007"/>
    <cellStyle name="Currency 3 3 9 4" xfId="18159"/>
    <cellStyle name="Currency 3 30" xfId="855"/>
    <cellStyle name="Currency 3 31" xfId="1162"/>
    <cellStyle name="Currency 3 32" xfId="22818"/>
    <cellStyle name="Currency 3 33" xfId="197"/>
    <cellStyle name="Currency 3 34" xfId="23168"/>
    <cellStyle name="Currency 3 4" xfId="289"/>
    <cellStyle name="Currency 3 4 2" xfId="3244"/>
    <cellStyle name="Currency 3 4 2 2" xfId="4945"/>
    <cellStyle name="Currency 3 4 2 2 2" xfId="6570"/>
    <cellStyle name="Currency 3 4 2 2 2 2" xfId="9656"/>
    <cellStyle name="Currency 3 4 2 2 2 2 2" xfId="15849"/>
    <cellStyle name="Currency 3 4 2 2 2 2 3" xfId="22001"/>
    <cellStyle name="Currency 3 4 2 2 2 3" xfId="12783"/>
    <cellStyle name="Currency 3 4 2 2 2 4" xfId="18935"/>
    <cellStyle name="Currency 3 4 2 2 3" xfId="8121"/>
    <cellStyle name="Currency 3 4 2 2 3 2" xfId="14315"/>
    <cellStyle name="Currency 3 4 2 2 3 3" xfId="20467"/>
    <cellStyle name="Currency 3 4 2 2 4" xfId="11249"/>
    <cellStyle name="Currency 3 4 2 2 5" xfId="17401"/>
    <cellStyle name="Currency 3 4 2 3" xfId="5786"/>
    <cellStyle name="Currency 3 4 2 3 2" xfId="8887"/>
    <cellStyle name="Currency 3 4 2 3 2 2" xfId="15080"/>
    <cellStyle name="Currency 3 4 2 3 2 3" xfId="21232"/>
    <cellStyle name="Currency 3 4 2 3 3" xfId="12014"/>
    <cellStyle name="Currency 3 4 2 3 4" xfId="18166"/>
    <cellStyle name="Currency 3 4 2 4" xfId="7352"/>
    <cellStyle name="Currency 3 4 2 4 2" xfId="13546"/>
    <cellStyle name="Currency 3 4 2 4 3" xfId="19698"/>
    <cellStyle name="Currency 3 4 2 5" xfId="10480"/>
    <cellStyle name="Currency 3 4 2 6" xfId="16632"/>
    <cellStyle name="Currency 3 4 3" xfId="4944"/>
    <cellStyle name="Currency 3 4 3 2" xfId="6569"/>
    <cellStyle name="Currency 3 4 3 2 2" xfId="9655"/>
    <cellStyle name="Currency 3 4 3 2 2 2" xfId="15848"/>
    <cellStyle name="Currency 3 4 3 2 2 3" xfId="22000"/>
    <cellStyle name="Currency 3 4 3 2 3" xfId="12782"/>
    <cellStyle name="Currency 3 4 3 2 4" xfId="18934"/>
    <cellStyle name="Currency 3 4 3 3" xfId="8120"/>
    <cellStyle name="Currency 3 4 3 3 2" xfId="14314"/>
    <cellStyle name="Currency 3 4 3 3 3" xfId="20466"/>
    <cellStyle name="Currency 3 4 3 4" xfId="11248"/>
    <cellStyle name="Currency 3 4 3 5" xfId="17400"/>
    <cellStyle name="Currency 3 4 4" xfId="5785"/>
    <cellStyle name="Currency 3 4 4 2" xfId="8886"/>
    <cellStyle name="Currency 3 4 4 2 2" xfId="15079"/>
    <cellStyle name="Currency 3 4 4 2 3" xfId="21231"/>
    <cellStyle name="Currency 3 4 4 3" xfId="12013"/>
    <cellStyle name="Currency 3 4 4 4" xfId="18165"/>
    <cellStyle name="Currency 3 4 5" xfId="7351"/>
    <cellStyle name="Currency 3 4 5 2" xfId="13545"/>
    <cellStyle name="Currency 3 4 5 3" xfId="19697"/>
    <cellStyle name="Currency 3 4 6" xfId="10479"/>
    <cellStyle name="Currency 3 4 7" xfId="16631"/>
    <cellStyle name="Currency 3 4 8" xfId="3243"/>
    <cellStyle name="Currency 3 4 9" xfId="23171"/>
    <cellStyle name="Currency 3 5" xfId="315"/>
    <cellStyle name="Currency 3 5 2" xfId="3246"/>
    <cellStyle name="Currency 3 5 2 2" xfId="4947"/>
    <cellStyle name="Currency 3 5 2 2 2" xfId="6572"/>
    <cellStyle name="Currency 3 5 2 2 2 2" xfId="9658"/>
    <cellStyle name="Currency 3 5 2 2 2 2 2" xfId="15851"/>
    <cellStyle name="Currency 3 5 2 2 2 2 3" xfId="22003"/>
    <cellStyle name="Currency 3 5 2 2 2 3" xfId="12785"/>
    <cellStyle name="Currency 3 5 2 2 2 4" xfId="18937"/>
    <cellStyle name="Currency 3 5 2 2 3" xfId="8123"/>
    <cellStyle name="Currency 3 5 2 2 3 2" xfId="14317"/>
    <cellStyle name="Currency 3 5 2 2 3 3" xfId="20469"/>
    <cellStyle name="Currency 3 5 2 2 4" xfId="11251"/>
    <cellStyle name="Currency 3 5 2 2 5" xfId="17403"/>
    <cellStyle name="Currency 3 5 2 3" xfId="5788"/>
    <cellStyle name="Currency 3 5 2 3 2" xfId="8889"/>
    <cellStyle name="Currency 3 5 2 3 2 2" xfId="15082"/>
    <cellStyle name="Currency 3 5 2 3 2 3" xfId="21234"/>
    <cellStyle name="Currency 3 5 2 3 3" xfId="12016"/>
    <cellStyle name="Currency 3 5 2 3 4" xfId="18168"/>
    <cellStyle name="Currency 3 5 2 4" xfId="7354"/>
    <cellStyle name="Currency 3 5 2 4 2" xfId="13548"/>
    <cellStyle name="Currency 3 5 2 4 3" xfId="19700"/>
    <cellStyle name="Currency 3 5 2 5" xfId="10482"/>
    <cellStyle name="Currency 3 5 2 6" xfId="16634"/>
    <cellStyle name="Currency 3 5 3" xfId="4946"/>
    <cellStyle name="Currency 3 5 3 2" xfId="6571"/>
    <cellStyle name="Currency 3 5 3 2 2" xfId="9657"/>
    <cellStyle name="Currency 3 5 3 2 2 2" xfId="15850"/>
    <cellStyle name="Currency 3 5 3 2 2 3" xfId="22002"/>
    <cellStyle name="Currency 3 5 3 2 3" xfId="12784"/>
    <cellStyle name="Currency 3 5 3 2 4" xfId="18936"/>
    <cellStyle name="Currency 3 5 3 3" xfId="8122"/>
    <cellStyle name="Currency 3 5 3 3 2" xfId="14316"/>
    <cellStyle name="Currency 3 5 3 3 3" xfId="20468"/>
    <cellStyle name="Currency 3 5 3 4" xfId="11250"/>
    <cellStyle name="Currency 3 5 3 5" xfId="17402"/>
    <cellStyle name="Currency 3 5 4" xfId="5787"/>
    <cellStyle name="Currency 3 5 4 2" xfId="8888"/>
    <cellStyle name="Currency 3 5 4 2 2" xfId="15081"/>
    <cellStyle name="Currency 3 5 4 2 3" xfId="21233"/>
    <cellStyle name="Currency 3 5 4 3" xfId="12015"/>
    <cellStyle name="Currency 3 5 4 4" xfId="18167"/>
    <cellStyle name="Currency 3 5 5" xfId="7353"/>
    <cellStyle name="Currency 3 5 5 2" xfId="13547"/>
    <cellStyle name="Currency 3 5 5 3" xfId="19699"/>
    <cellStyle name="Currency 3 5 6" xfId="10481"/>
    <cellStyle name="Currency 3 5 7" xfId="16633"/>
    <cellStyle name="Currency 3 5 8" xfId="3245"/>
    <cellStyle name="Currency 3 5 9" xfId="23172"/>
    <cellStyle name="Currency 3 6" xfId="306"/>
    <cellStyle name="Currency 3 6 2" xfId="3248"/>
    <cellStyle name="Currency 3 6 2 2" xfId="4949"/>
    <cellStyle name="Currency 3 6 2 2 2" xfId="6574"/>
    <cellStyle name="Currency 3 6 2 2 2 2" xfId="9660"/>
    <cellStyle name="Currency 3 6 2 2 2 2 2" xfId="15853"/>
    <cellStyle name="Currency 3 6 2 2 2 2 3" xfId="22005"/>
    <cellStyle name="Currency 3 6 2 2 2 3" xfId="12787"/>
    <cellStyle name="Currency 3 6 2 2 2 4" xfId="18939"/>
    <cellStyle name="Currency 3 6 2 2 3" xfId="8125"/>
    <cellStyle name="Currency 3 6 2 2 3 2" xfId="14319"/>
    <cellStyle name="Currency 3 6 2 2 3 3" xfId="20471"/>
    <cellStyle name="Currency 3 6 2 2 4" xfId="11253"/>
    <cellStyle name="Currency 3 6 2 2 5" xfId="17405"/>
    <cellStyle name="Currency 3 6 2 3" xfId="5790"/>
    <cellStyle name="Currency 3 6 2 3 2" xfId="8891"/>
    <cellStyle name="Currency 3 6 2 3 2 2" xfId="15084"/>
    <cellStyle name="Currency 3 6 2 3 2 3" xfId="21236"/>
    <cellStyle name="Currency 3 6 2 3 3" xfId="12018"/>
    <cellStyle name="Currency 3 6 2 3 4" xfId="18170"/>
    <cellStyle name="Currency 3 6 2 4" xfId="7356"/>
    <cellStyle name="Currency 3 6 2 4 2" xfId="13550"/>
    <cellStyle name="Currency 3 6 2 4 3" xfId="19702"/>
    <cellStyle name="Currency 3 6 2 5" xfId="10484"/>
    <cellStyle name="Currency 3 6 2 6" xfId="16636"/>
    <cellStyle name="Currency 3 6 3" xfId="4948"/>
    <cellStyle name="Currency 3 6 3 2" xfId="6573"/>
    <cellStyle name="Currency 3 6 3 2 2" xfId="9659"/>
    <cellStyle name="Currency 3 6 3 2 2 2" xfId="15852"/>
    <cellStyle name="Currency 3 6 3 2 2 3" xfId="22004"/>
    <cellStyle name="Currency 3 6 3 2 3" xfId="12786"/>
    <cellStyle name="Currency 3 6 3 2 4" xfId="18938"/>
    <cellStyle name="Currency 3 6 3 3" xfId="8124"/>
    <cellStyle name="Currency 3 6 3 3 2" xfId="14318"/>
    <cellStyle name="Currency 3 6 3 3 3" xfId="20470"/>
    <cellStyle name="Currency 3 6 3 4" xfId="11252"/>
    <cellStyle name="Currency 3 6 3 5" xfId="17404"/>
    <cellStyle name="Currency 3 6 4" xfId="5789"/>
    <cellStyle name="Currency 3 6 4 2" xfId="8890"/>
    <cellStyle name="Currency 3 6 4 2 2" xfId="15083"/>
    <cellStyle name="Currency 3 6 4 2 3" xfId="21235"/>
    <cellStyle name="Currency 3 6 4 3" xfId="12017"/>
    <cellStyle name="Currency 3 6 4 4" xfId="18169"/>
    <cellStyle name="Currency 3 6 5" xfId="7355"/>
    <cellStyle name="Currency 3 6 5 2" xfId="13549"/>
    <cellStyle name="Currency 3 6 5 3" xfId="19701"/>
    <cellStyle name="Currency 3 6 6" xfId="10483"/>
    <cellStyle name="Currency 3 6 7" xfId="16635"/>
    <cellStyle name="Currency 3 6 8" xfId="3247"/>
    <cellStyle name="Currency 3 7" xfId="344"/>
    <cellStyle name="Currency 3 7 2" xfId="4950"/>
    <cellStyle name="Currency 3 7 2 2" xfId="6575"/>
    <cellStyle name="Currency 3 7 2 2 2" xfId="9661"/>
    <cellStyle name="Currency 3 7 2 2 2 2" xfId="15854"/>
    <cellStyle name="Currency 3 7 2 2 2 3" xfId="22006"/>
    <cellStyle name="Currency 3 7 2 2 3" xfId="12788"/>
    <cellStyle name="Currency 3 7 2 2 4" xfId="18940"/>
    <cellStyle name="Currency 3 7 2 3" xfId="8126"/>
    <cellStyle name="Currency 3 7 2 3 2" xfId="14320"/>
    <cellStyle name="Currency 3 7 2 3 3" xfId="20472"/>
    <cellStyle name="Currency 3 7 2 4" xfId="11254"/>
    <cellStyle name="Currency 3 7 2 5" xfId="17406"/>
    <cellStyle name="Currency 3 7 3" xfId="5791"/>
    <cellStyle name="Currency 3 7 3 2" xfId="8892"/>
    <cellStyle name="Currency 3 7 3 2 2" xfId="15085"/>
    <cellStyle name="Currency 3 7 3 2 3" xfId="21237"/>
    <cellStyle name="Currency 3 7 3 3" xfId="12019"/>
    <cellStyle name="Currency 3 7 3 4" xfId="18171"/>
    <cellStyle name="Currency 3 7 4" xfId="7357"/>
    <cellStyle name="Currency 3 7 4 2" xfId="13551"/>
    <cellStyle name="Currency 3 7 4 3" xfId="19703"/>
    <cellStyle name="Currency 3 7 5" xfId="10485"/>
    <cellStyle name="Currency 3 7 6" xfId="16637"/>
    <cellStyle name="Currency 3 7 7" xfId="3249"/>
    <cellStyle name="Currency 3 8" xfId="312"/>
    <cellStyle name="Currency 3 8 2" xfId="4951"/>
    <cellStyle name="Currency 3 8 2 2" xfId="6576"/>
    <cellStyle name="Currency 3 8 2 2 2" xfId="9662"/>
    <cellStyle name="Currency 3 8 2 2 2 2" xfId="15855"/>
    <cellStyle name="Currency 3 8 2 2 2 3" xfId="22007"/>
    <cellStyle name="Currency 3 8 2 2 3" xfId="12789"/>
    <cellStyle name="Currency 3 8 2 2 4" xfId="18941"/>
    <cellStyle name="Currency 3 8 2 3" xfId="8127"/>
    <cellStyle name="Currency 3 8 2 3 2" xfId="14321"/>
    <cellStyle name="Currency 3 8 2 3 3" xfId="20473"/>
    <cellStyle name="Currency 3 8 2 4" xfId="11255"/>
    <cellStyle name="Currency 3 8 2 5" xfId="17407"/>
    <cellStyle name="Currency 3 8 3" xfId="5792"/>
    <cellStyle name="Currency 3 8 3 2" xfId="8893"/>
    <cellStyle name="Currency 3 8 3 2 2" xfId="15086"/>
    <cellStyle name="Currency 3 8 3 2 3" xfId="21238"/>
    <cellStyle name="Currency 3 8 3 3" xfId="12020"/>
    <cellStyle name="Currency 3 8 3 4" xfId="18172"/>
    <cellStyle name="Currency 3 8 4" xfId="7358"/>
    <cellStyle name="Currency 3 8 4 2" xfId="13552"/>
    <cellStyle name="Currency 3 8 4 3" xfId="19704"/>
    <cellStyle name="Currency 3 8 5" xfId="10486"/>
    <cellStyle name="Currency 3 8 6" xfId="16638"/>
    <cellStyle name="Currency 3 8 7" xfId="3250"/>
    <cellStyle name="Currency 3 9" xfId="305"/>
    <cellStyle name="Currency 3 9 2" xfId="4952"/>
    <cellStyle name="Currency 3 9 2 2" xfId="6577"/>
    <cellStyle name="Currency 3 9 2 2 2" xfId="9663"/>
    <cellStyle name="Currency 3 9 2 2 2 2" xfId="15856"/>
    <cellStyle name="Currency 3 9 2 2 2 3" xfId="22008"/>
    <cellStyle name="Currency 3 9 2 2 3" xfId="12790"/>
    <cellStyle name="Currency 3 9 2 2 4" xfId="18942"/>
    <cellStyle name="Currency 3 9 2 3" xfId="8128"/>
    <cellStyle name="Currency 3 9 2 3 2" xfId="14322"/>
    <cellStyle name="Currency 3 9 2 3 3" xfId="20474"/>
    <cellStyle name="Currency 3 9 2 4" xfId="11256"/>
    <cellStyle name="Currency 3 9 2 5" xfId="17408"/>
    <cellStyle name="Currency 3 9 3" xfId="5793"/>
    <cellStyle name="Currency 3 9 3 2" xfId="8894"/>
    <cellStyle name="Currency 3 9 3 2 2" xfId="15087"/>
    <cellStyle name="Currency 3 9 3 2 3" xfId="21239"/>
    <cellStyle name="Currency 3 9 3 3" xfId="12021"/>
    <cellStyle name="Currency 3 9 3 4" xfId="18173"/>
    <cellStyle name="Currency 3 9 4" xfId="7359"/>
    <cellStyle name="Currency 3 9 4 2" xfId="13553"/>
    <cellStyle name="Currency 3 9 4 3" xfId="19705"/>
    <cellStyle name="Currency 3 9 5" xfId="10487"/>
    <cellStyle name="Currency 3 9 6" xfId="16639"/>
    <cellStyle name="Currency 3 9 7" xfId="3251"/>
    <cellStyle name="Currency 30" xfId="3252"/>
    <cellStyle name="Currency 31" xfId="3253"/>
    <cellStyle name="Currency 32" xfId="3254"/>
    <cellStyle name="Currency 33" xfId="3255"/>
    <cellStyle name="Currency 34" xfId="3256"/>
    <cellStyle name="Currency 35" xfId="3257"/>
    <cellStyle name="Currency 36" xfId="3258"/>
    <cellStyle name="Currency 37" xfId="3259"/>
    <cellStyle name="Currency 38" xfId="3260"/>
    <cellStyle name="Currency 39" xfId="3261"/>
    <cellStyle name="Currency 4" xfId="58"/>
    <cellStyle name="Currency 4 2" xfId="3263"/>
    <cellStyle name="Currency 4 2 2" xfId="10247"/>
    <cellStyle name="Currency 4 2 2 2" xfId="16419"/>
    <cellStyle name="Currency 4 2 2 3" xfId="22571"/>
    <cellStyle name="Currency 4 2 3" xfId="10229"/>
    <cellStyle name="Currency 4 2 3 2" xfId="16410"/>
    <cellStyle name="Currency 4 2 3 3" xfId="22562"/>
    <cellStyle name="Currency 4 2 4" xfId="23174"/>
    <cellStyle name="Currency 4 3" xfId="3264"/>
    <cellStyle name="Currency 4 3 2" xfId="3265"/>
    <cellStyle name="Currency 4 3 3" xfId="3266"/>
    <cellStyle name="Currency 4 3 4" xfId="3267"/>
    <cellStyle name="Currency 4 3 5" xfId="10246"/>
    <cellStyle name="Currency 4 3 5 2" xfId="16418"/>
    <cellStyle name="Currency 4 3 5 3" xfId="22570"/>
    <cellStyle name="Currency 4 3 6" xfId="23175"/>
    <cellStyle name="Currency 4 4" xfId="3268"/>
    <cellStyle name="Currency 4 4 2" xfId="10263"/>
    <cellStyle name="Currency 4 4 3" xfId="23176"/>
    <cellStyle name="Currency 4 5" xfId="4662"/>
    <cellStyle name="Currency 4 5 2" xfId="23177"/>
    <cellStyle name="Currency 4 6" xfId="3262"/>
    <cellStyle name="Currency 4 7" xfId="10228"/>
    <cellStyle name="Currency 4 7 2" xfId="16409"/>
    <cellStyle name="Currency 4 7 3" xfId="22561"/>
    <cellStyle name="Currency 4 8" xfId="1220"/>
    <cellStyle name="Currency 4 9" xfId="23173"/>
    <cellStyle name="Currency 40" xfId="3269"/>
    <cellStyle name="Currency 41" xfId="3270"/>
    <cellStyle name="Currency 42" xfId="3271"/>
    <cellStyle name="Currency 43" xfId="3272"/>
    <cellStyle name="Currency 44" xfId="3273"/>
    <cellStyle name="Currency 45" xfId="3274"/>
    <cellStyle name="Currency 46" xfId="3275"/>
    <cellStyle name="Currency 47" xfId="3276"/>
    <cellStyle name="Currency 48" xfId="3277"/>
    <cellStyle name="Currency 49" xfId="3278"/>
    <cellStyle name="Currency 5" xfId="59"/>
    <cellStyle name="Currency 5 10" xfId="16429"/>
    <cellStyle name="Currency 5 11" xfId="1221"/>
    <cellStyle name="Currency 5 12" xfId="23178"/>
    <cellStyle name="Currency 5 2" xfId="1293"/>
    <cellStyle name="Currency 5 2 10" xfId="16435"/>
    <cellStyle name="Currency 5 2 11" xfId="23179"/>
    <cellStyle name="Currency 5 2 2" xfId="1312"/>
    <cellStyle name="Currency 5 2 2 2" xfId="4724"/>
    <cellStyle name="Currency 5 2 2 2 2" xfId="5500"/>
    <cellStyle name="Currency 5 2 2 2 2 2" xfId="7125"/>
    <cellStyle name="Currency 5 2 2 2 2 2 2" xfId="10211"/>
    <cellStyle name="Currency 5 2 2 2 2 2 2 2" xfId="16404"/>
    <cellStyle name="Currency 5 2 2 2 2 2 2 3" xfId="22556"/>
    <cellStyle name="Currency 5 2 2 2 2 2 3" xfId="13338"/>
    <cellStyle name="Currency 5 2 2 2 2 2 4" xfId="19490"/>
    <cellStyle name="Currency 5 2 2 2 2 3" xfId="8676"/>
    <cellStyle name="Currency 5 2 2 2 2 3 2" xfId="14870"/>
    <cellStyle name="Currency 5 2 2 2 2 3 3" xfId="21022"/>
    <cellStyle name="Currency 5 2 2 2 2 4" xfId="11804"/>
    <cellStyle name="Currency 5 2 2 2 2 5" xfId="17956"/>
    <cellStyle name="Currency 5 2 2 2 3" xfId="6356"/>
    <cellStyle name="Currency 5 2 2 2 3 2" xfId="9442"/>
    <cellStyle name="Currency 5 2 2 2 3 2 2" xfId="15635"/>
    <cellStyle name="Currency 5 2 2 2 3 2 3" xfId="21787"/>
    <cellStyle name="Currency 5 2 2 2 3 3" xfId="12569"/>
    <cellStyle name="Currency 5 2 2 2 3 4" xfId="18721"/>
    <cellStyle name="Currency 5 2 2 2 4" xfId="7907"/>
    <cellStyle name="Currency 5 2 2 2 4 2" xfId="14101"/>
    <cellStyle name="Currency 5 2 2 2 4 3" xfId="20253"/>
    <cellStyle name="Currency 5 2 2 2 5" xfId="11035"/>
    <cellStyle name="Currency 5 2 2 2 6" xfId="17187"/>
    <cellStyle name="Currency 5 2 2 3" xfId="3281"/>
    <cellStyle name="Currency 5 2 2 4" xfId="4759"/>
    <cellStyle name="Currency 5 2 2 4 2" xfId="6384"/>
    <cellStyle name="Currency 5 2 2 4 2 2" xfId="9470"/>
    <cellStyle name="Currency 5 2 2 4 2 2 2" xfId="15663"/>
    <cellStyle name="Currency 5 2 2 4 2 2 3" xfId="21815"/>
    <cellStyle name="Currency 5 2 2 4 2 3" xfId="12597"/>
    <cellStyle name="Currency 5 2 2 4 2 4" xfId="18749"/>
    <cellStyle name="Currency 5 2 2 4 3" xfId="7935"/>
    <cellStyle name="Currency 5 2 2 4 3 2" xfId="14129"/>
    <cellStyle name="Currency 5 2 2 4 3 3" xfId="20281"/>
    <cellStyle name="Currency 5 2 2 4 4" xfId="11063"/>
    <cellStyle name="Currency 5 2 2 4 5" xfId="17215"/>
    <cellStyle name="Currency 5 2 2 5" xfId="5598"/>
    <cellStyle name="Currency 5 2 2 5 2" xfId="8701"/>
    <cellStyle name="Currency 5 2 2 5 2 2" xfId="14894"/>
    <cellStyle name="Currency 5 2 2 5 2 3" xfId="21046"/>
    <cellStyle name="Currency 5 2 2 5 3" xfId="11828"/>
    <cellStyle name="Currency 5 2 2 5 4" xfId="17980"/>
    <cellStyle name="Currency 5 2 2 6" xfId="7166"/>
    <cellStyle name="Currency 5 2 2 6 2" xfId="13360"/>
    <cellStyle name="Currency 5 2 2 6 3" xfId="19512"/>
    <cellStyle name="Currency 5 2 2 7" xfId="10294"/>
    <cellStyle name="Currency 5 2 2 8" xfId="16446"/>
    <cellStyle name="Currency 5 2 3" xfId="3282"/>
    <cellStyle name="Currency 5 2 4" xfId="4707"/>
    <cellStyle name="Currency 5 2 4 2" xfId="5491"/>
    <cellStyle name="Currency 5 2 4 2 2" xfId="7116"/>
    <cellStyle name="Currency 5 2 4 2 2 2" xfId="10202"/>
    <cellStyle name="Currency 5 2 4 2 2 2 2" xfId="16395"/>
    <cellStyle name="Currency 5 2 4 2 2 2 3" xfId="22547"/>
    <cellStyle name="Currency 5 2 4 2 2 3" xfId="13329"/>
    <cellStyle name="Currency 5 2 4 2 2 4" xfId="19481"/>
    <cellStyle name="Currency 5 2 4 2 3" xfId="8667"/>
    <cellStyle name="Currency 5 2 4 2 3 2" xfId="14861"/>
    <cellStyle name="Currency 5 2 4 2 3 3" xfId="21013"/>
    <cellStyle name="Currency 5 2 4 2 4" xfId="11795"/>
    <cellStyle name="Currency 5 2 4 2 5" xfId="17947"/>
    <cellStyle name="Currency 5 2 4 3" xfId="6347"/>
    <cellStyle name="Currency 5 2 4 3 2" xfId="9433"/>
    <cellStyle name="Currency 5 2 4 3 2 2" xfId="15626"/>
    <cellStyle name="Currency 5 2 4 3 2 3" xfId="21778"/>
    <cellStyle name="Currency 5 2 4 3 3" xfId="12560"/>
    <cellStyle name="Currency 5 2 4 3 4" xfId="18712"/>
    <cellStyle name="Currency 5 2 4 4" xfId="7898"/>
    <cellStyle name="Currency 5 2 4 4 2" xfId="14092"/>
    <cellStyle name="Currency 5 2 4 4 3" xfId="20244"/>
    <cellStyle name="Currency 5 2 4 5" xfId="11026"/>
    <cellStyle name="Currency 5 2 4 6" xfId="17178"/>
    <cellStyle name="Currency 5 2 5" xfId="3280"/>
    <cellStyle name="Currency 5 2 6" xfId="4748"/>
    <cellStyle name="Currency 5 2 6 2" xfId="6373"/>
    <cellStyle name="Currency 5 2 6 2 2" xfId="9459"/>
    <cellStyle name="Currency 5 2 6 2 2 2" xfId="15652"/>
    <cellStyle name="Currency 5 2 6 2 2 3" xfId="21804"/>
    <cellStyle name="Currency 5 2 6 2 3" xfId="12586"/>
    <cellStyle name="Currency 5 2 6 2 4" xfId="18738"/>
    <cellStyle name="Currency 5 2 6 3" xfId="7924"/>
    <cellStyle name="Currency 5 2 6 3 2" xfId="14118"/>
    <cellStyle name="Currency 5 2 6 3 3" xfId="20270"/>
    <cellStyle name="Currency 5 2 6 4" xfId="11052"/>
    <cellStyle name="Currency 5 2 6 5" xfId="17204"/>
    <cellStyle name="Currency 5 2 7" xfId="5586"/>
    <cellStyle name="Currency 5 2 7 2" xfId="8690"/>
    <cellStyle name="Currency 5 2 7 2 2" xfId="14883"/>
    <cellStyle name="Currency 5 2 7 2 3" xfId="21035"/>
    <cellStyle name="Currency 5 2 7 3" xfId="11817"/>
    <cellStyle name="Currency 5 2 7 4" xfId="17969"/>
    <cellStyle name="Currency 5 2 8" xfId="7155"/>
    <cellStyle name="Currency 5 2 8 2" xfId="13349"/>
    <cellStyle name="Currency 5 2 8 3" xfId="19501"/>
    <cellStyle name="Currency 5 2 9" xfId="10283"/>
    <cellStyle name="Currency 5 3" xfId="1306"/>
    <cellStyle name="Currency 5 3 2" xfId="4719"/>
    <cellStyle name="Currency 5 3 2 2" xfId="5495"/>
    <cellStyle name="Currency 5 3 2 2 2" xfId="7120"/>
    <cellStyle name="Currency 5 3 2 2 2 2" xfId="10206"/>
    <cellStyle name="Currency 5 3 2 2 2 2 2" xfId="16399"/>
    <cellStyle name="Currency 5 3 2 2 2 2 3" xfId="22551"/>
    <cellStyle name="Currency 5 3 2 2 2 3" xfId="13333"/>
    <cellStyle name="Currency 5 3 2 2 2 4" xfId="19485"/>
    <cellStyle name="Currency 5 3 2 2 3" xfId="8671"/>
    <cellStyle name="Currency 5 3 2 2 3 2" xfId="14865"/>
    <cellStyle name="Currency 5 3 2 2 3 3" xfId="21017"/>
    <cellStyle name="Currency 5 3 2 2 4" xfId="11799"/>
    <cellStyle name="Currency 5 3 2 2 5" xfId="17951"/>
    <cellStyle name="Currency 5 3 2 3" xfId="6351"/>
    <cellStyle name="Currency 5 3 2 3 2" xfId="9437"/>
    <cellStyle name="Currency 5 3 2 3 2 2" xfId="15630"/>
    <cellStyle name="Currency 5 3 2 3 2 3" xfId="21782"/>
    <cellStyle name="Currency 5 3 2 3 3" xfId="12564"/>
    <cellStyle name="Currency 5 3 2 3 4" xfId="18716"/>
    <cellStyle name="Currency 5 3 2 4" xfId="7902"/>
    <cellStyle name="Currency 5 3 2 4 2" xfId="14096"/>
    <cellStyle name="Currency 5 3 2 4 3" xfId="20248"/>
    <cellStyle name="Currency 5 3 2 5" xfId="11030"/>
    <cellStyle name="Currency 5 3 2 6" xfId="17182"/>
    <cellStyle name="Currency 5 3 3" xfId="3283"/>
    <cellStyle name="Currency 5 3 4" xfId="4753"/>
    <cellStyle name="Currency 5 3 4 2" xfId="6378"/>
    <cellStyle name="Currency 5 3 4 2 2" xfId="9464"/>
    <cellStyle name="Currency 5 3 4 2 2 2" xfId="15657"/>
    <cellStyle name="Currency 5 3 4 2 2 3" xfId="21809"/>
    <cellStyle name="Currency 5 3 4 2 3" xfId="12591"/>
    <cellStyle name="Currency 5 3 4 2 4" xfId="18743"/>
    <cellStyle name="Currency 5 3 4 3" xfId="7929"/>
    <cellStyle name="Currency 5 3 4 3 2" xfId="14123"/>
    <cellStyle name="Currency 5 3 4 3 3" xfId="20275"/>
    <cellStyle name="Currency 5 3 4 4" xfId="11057"/>
    <cellStyle name="Currency 5 3 4 5" xfId="17209"/>
    <cellStyle name="Currency 5 3 5" xfId="5592"/>
    <cellStyle name="Currency 5 3 5 2" xfId="8695"/>
    <cellStyle name="Currency 5 3 5 2 2" xfId="14888"/>
    <cellStyle name="Currency 5 3 5 2 3" xfId="21040"/>
    <cellStyle name="Currency 5 3 5 3" xfId="11822"/>
    <cellStyle name="Currency 5 3 5 4" xfId="17974"/>
    <cellStyle name="Currency 5 3 6" xfId="7160"/>
    <cellStyle name="Currency 5 3 6 2" xfId="13354"/>
    <cellStyle name="Currency 5 3 6 3" xfId="19506"/>
    <cellStyle name="Currency 5 3 7" xfId="10288"/>
    <cellStyle name="Currency 5 3 8" xfId="16440"/>
    <cellStyle name="Currency 5 3 9" xfId="23180"/>
    <cellStyle name="Currency 5 4" xfId="4663"/>
    <cellStyle name="Currency 5 4 2" xfId="5487"/>
    <cellStyle name="Currency 5 4 2 2" xfId="7112"/>
    <cellStyle name="Currency 5 4 2 2 2" xfId="10198"/>
    <cellStyle name="Currency 5 4 2 2 2 2" xfId="16391"/>
    <cellStyle name="Currency 5 4 2 2 2 3" xfId="22543"/>
    <cellStyle name="Currency 5 4 2 2 3" xfId="13325"/>
    <cellStyle name="Currency 5 4 2 2 4" xfId="19477"/>
    <cellStyle name="Currency 5 4 2 3" xfId="8663"/>
    <cellStyle name="Currency 5 4 2 3 2" xfId="14857"/>
    <cellStyle name="Currency 5 4 2 3 3" xfId="21009"/>
    <cellStyle name="Currency 5 4 2 4" xfId="11791"/>
    <cellStyle name="Currency 5 4 2 5" xfId="17943"/>
    <cellStyle name="Currency 5 4 3" xfId="6342"/>
    <cellStyle name="Currency 5 4 3 2" xfId="9429"/>
    <cellStyle name="Currency 5 4 3 2 2" xfId="15622"/>
    <cellStyle name="Currency 5 4 3 2 3" xfId="21774"/>
    <cellStyle name="Currency 5 4 3 3" xfId="12556"/>
    <cellStyle name="Currency 5 4 3 4" xfId="18708"/>
    <cellStyle name="Currency 5 4 4" xfId="7894"/>
    <cellStyle name="Currency 5 4 4 2" xfId="14088"/>
    <cellStyle name="Currency 5 4 4 3" xfId="20240"/>
    <cellStyle name="Currency 5 4 5" xfId="11022"/>
    <cellStyle name="Currency 5 4 6" xfId="17174"/>
    <cellStyle name="Currency 5 4 7" xfId="23181"/>
    <cellStyle name="Currency 5 5" xfId="3279"/>
    <cellStyle name="Currency 5 5 2" xfId="23182"/>
    <cellStyle name="Currency 5 6" xfId="4732"/>
    <cellStyle name="Currency 5 6 2" xfId="6364"/>
    <cellStyle name="Currency 5 6 2 2" xfId="9450"/>
    <cellStyle name="Currency 5 6 2 2 2" xfId="15643"/>
    <cellStyle name="Currency 5 6 2 2 3" xfId="21795"/>
    <cellStyle name="Currency 5 6 2 3" xfId="12577"/>
    <cellStyle name="Currency 5 6 2 4" xfId="18729"/>
    <cellStyle name="Currency 5 6 3" xfId="7915"/>
    <cellStyle name="Currency 5 6 3 2" xfId="14109"/>
    <cellStyle name="Currency 5 6 3 3" xfId="20261"/>
    <cellStyle name="Currency 5 6 4" xfId="11043"/>
    <cellStyle name="Currency 5 6 5" xfId="17195"/>
    <cellStyle name="Currency 5 7" xfId="5580"/>
    <cellStyle name="Currency 5 7 2" xfId="8684"/>
    <cellStyle name="Currency 5 7 2 2" xfId="14877"/>
    <cellStyle name="Currency 5 7 2 3" xfId="21029"/>
    <cellStyle name="Currency 5 7 3" xfId="11811"/>
    <cellStyle name="Currency 5 7 4" xfId="17963"/>
    <cellStyle name="Currency 5 8" xfId="7149"/>
    <cellStyle name="Currency 5 8 2" xfId="13343"/>
    <cellStyle name="Currency 5 8 3" xfId="19495"/>
    <cellStyle name="Currency 5 9" xfId="10277"/>
    <cellStyle name="Currency 50" xfId="3284"/>
    <cellStyle name="Currency 51" xfId="3285"/>
    <cellStyle name="Currency 52" xfId="3286"/>
    <cellStyle name="Currency 53" xfId="3287"/>
    <cellStyle name="Currency 54" xfId="3288"/>
    <cellStyle name="Currency 55" xfId="3289"/>
    <cellStyle name="Currency 56" xfId="3290"/>
    <cellStyle name="Currency 57" xfId="3291"/>
    <cellStyle name="Currency 58" xfId="3292"/>
    <cellStyle name="Currency 59" xfId="3293"/>
    <cellStyle name="Currency 6" xfId="1156"/>
    <cellStyle name="Currency 6 2" xfId="3295"/>
    <cellStyle name="Currency 6 2 2" xfId="3296"/>
    <cellStyle name="Currency 6 2 3" xfId="3297"/>
    <cellStyle name="Currency 6 2 4" xfId="23184"/>
    <cellStyle name="Currency 6 3" xfId="3298"/>
    <cellStyle name="Currency 6 3 2" xfId="23185"/>
    <cellStyle name="Currency 6 4" xfId="4705"/>
    <cellStyle name="Currency 6 4 2" xfId="23186"/>
    <cellStyle name="Currency 6 5" xfId="3294"/>
    <cellStyle name="Currency 6 5 2" xfId="23187"/>
    <cellStyle name="Currency 6 6" xfId="1289"/>
    <cellStyle name="Currency 6 7" xfId="23183"/>
    <cellStyle name="Currency 60" xfId="3299"/>
    <cellStyle name="Currency 61" xfId="3300"/>
    <cellStyle name="Currency 62" xfId="3301"/>
    <cellStyle name="Currency 63" xfId="3302"/>
    <cellStyle name="Currency 64" xfId="3303"/>
    <cellStyle name="Currency 65" xfId="3304"/>
    <cellStyle name="Currency 66" xfId="3305"/>
    <cellStyle name="Currency 67" xfId="3306"/>
    <cellStyle name="Currency 68" xfId="3307"/>
    <cellStyle name="Currency 69" xfId="3308"/>
    <cellStyle name="Currency 7" xfId="1299"/>
    <cellStyle name="Currency 7 2" xfId="3310"/>
    <cellStyle name="Currency 7 2 2" xfId="3311"/>
    <cellStyle name="Currency 7 2 3" xfId="3312"/>
    <cellStyle name="Currency 7 2 4" xfId="10248"/>
    <cellStyle name="Currency 7 2 4 2" xfId="16420"/>
    <cellStyle name="Currency 7 2 4 3" xfId="22572"/>
    <cellStyle name="Currency 7 2 5" xfId="23189"/>
    <cellStyle name="Currency 7 3" xfId="3313"/>
    <cellStyle name="Currency 7 3 2" xfId="23190"/>
    <cellStyle name="Currency 7 4" xfId="4712"/>
    <cellStyle name="Currency 7 4 2" xfId="23191"/>
    <cellStyle name="Currency 7 5" xfId="3309"/>
    <cellStyle name="Currency 7 5 2" xfId="23192"/>
    <cellStyle name="Currency 7 6" xfId="10230"/>
    <cellStyle name="Currency 7 6 2" xfId="16411"/>
    <cellStyle name="Currency 7 6 3" xfId="22563"/>
    <cellStyle name="Currency 7 7" xfId="23188"/>
    <cellStyle name="Currency 70" xfId="3314"/>
    <cellStyle name="Currency 71" xfId="3315"/>
    <cellStyle name="Currency 72" xfId="3316"/>
    <cellStyle name="Currency 73" xfId="3317"/>
    <cellStyle name="Currency 74" xfId="3318"/>
    <cellStyle name="Currency 75" xfId="3319"/>
    <cellStyle name="Currency 76" xfId="3320"/>
    <cellStyle name="Currency 77" xfId="3321"/>
    <cellStyle name="Currency 78" xfId="3322"/>
    <cellStyle name="Currency 79" xfId="3323"/>
    <cellStyle name="Currency 8" xfId="1305"/>
    <cellStyle name="Currency 8 2" xfId="3325"/>
    <cellStyle name="Currency 8 2 2" xfId="3326"/>
    <cellStyle name="Currency 8 2 3" xfId="3327"/>
    <cellStyle name="Currency 8 2 4" xfId="23194"/>
    <cellStyle name="Currency 8 3" xfId="3328"/>
    <cellStyle name="Currency 8 3 2" xfId="23195"/>
    <cellStyle name="Currency 8 4" xfId="4718"/>
    <cellStyle name="Currency 8 4 2" xfId="23196"/>
    <cellStyle name="Currency 8 5" xfId="3324"/>
    <cellStyle name="Currency 8 5 2" xfId="23197"/>
    <cellStyle name="Currency 8 6" xfId="10266"/>
    <cellStyle name="Currency 8 7" xfId="23193"/>
    <cellStyle name="Currency 80" xfId="3329"/>
    <cellStyle name="Currency 81" xfId="3330"/>
    <cellStyle name="Currency 82" xfId="3331"/>
    <cellStyle name="Currency 83" xfId="3332"/>
    <cellStyle name="Currency 84" xfId="3333"/>
    <cellStyle name="Currency 85" xfId="3334"/>
    <cellStyle name="Currency 86" xfId="3335"/>
    <cellStyle name="Currency 87" xfId="3336"/>
    <cellStyle name="Currency 88" xfId="3337"/>
    <cellStyle name="Currency 89" xfId="3338"/>
    <cellStyle name="Currency 9" xfId="1301"/>
    <cellStyle name="Currency 9 2" xfId="3340"/>
    <cellStyle name="Currency 9 2 2" xfId="3341"/>
    <cellStyle name="Currency 9 2 3" xfId="3342"/>
    <cellStyle name="Currency 9 2 4" xfId="23199"/>
    <cellStyle name="Currency 9 3" xfId="3343"/>
    <cellStyle name="Currency 9 3 2" xfId="23200"/>
    <cellStyle name="Currency 9 4" xfId="4714"/>
    <cellStyle name="Currency 9 4 2" xfId="23201"/>
    <cellStyle name="Currency 9 5" xfId="3339"/>
    <cellStyle name="Currency 9 5 2" xfId="23202"/>
    <cellStyle name="Currency 9 6" xfId="23198"/>
    <cellStyle name="Currency 90" xfId="3344"/>
    <cellStyle name="Currency 91" xfId="3345"/>
    <cellStyle name="Currency 92" xfId="3346"/>
    <cellStyle name="Currency 93" xfId="3347"/>
    <cellStyle name="Currency 94" xfId="3348"/>
    <cellStyle name="Currency 95" xfId="3349"/>
    <cellStyle name="Currency 96" xfId="3350"/>
    <cellStyle name="Currency 97" xfId="3351"/>
    <cellStyle name="Currency 98" xfId="3352"/>
    <cellStyle name="Currency 99" xfId="3353"/>
    <cellStyle name="Currency(+Credit)" xfId="3354"/>
    <cellStyle name="Currency0" xfId="256"/>
    <cellStyle name="Currency0 2" xfId="10231"/>
    <cellStyle name="Date" xfId="257"/>
    <cellStyle name="Date 2" xfId="10232"/>
    <cellStyle name="Date 3" xfId="3355"/>
    <cellStyle name="exceptions" xfId="3356"/>
    <cellStyle name="Explanatory Text" xfId="166" builtinId="53" customBuiltin="1"/>
    <cellStyle name="Explanatory Text 2" xfId="3357"/>
    <cellStyle name="Explanatory Text 3" xfId="3358"/>
    <cellStyle name="Explanatory Text 4" xfId="3359"/>
    <cellStyle name="Explanatory Text 5" xfId="3360"/>
    <cellStyle name="Fixed" xfId="258"/>
    <cellStyle name="Fixed 2" xfId="10233"/>
    <cellStyle name="Followed Hyperlink" xfId="14" builtinId="9" customBuiltin="1"/>
    <cellStyle name="Followed Hyperlink 2" xfId="15"/>
    <cellStyle name="Followed Hyperlink 2 2" xfId="89"/>
    <cellStyle name="Followed Hyperlink 2 3" xfId="78"/>
    <cellStyle name="Followed Hyperlink 3" xfId="77"/>
    <cellStyle name="FRxAmtStyle" xfId="3361"/>
    <cellStyle name="FRxAmtStyle 2" xfId="3362"/>
    <cellStyle name="FRxAmtStyle 2 10" xfId="3363"/>
    <cellStyle name="FRxAmtStyle 2 2" xfId="3364"/>
    <cellStyle name="FRxAmtStyle 2 3" xfId="3365"/>
    <cellStyle name="FRxAmtStyle 3" xfId="3366"/>
    <cellStyle name="FRxAmtStyle 4" xfId="3367"/>
    <cellStyle name="FRxAmtStyle 5" xfId="3368"/>
    <cellStyle name="FRxCurrStyle" xfId="3369"/>
    <cellStyle name="FRxCurrStyle 2" xfId="3370"/>
    <cellStyle name="FRxPcntStyle" xfId="3371"/>
    <cellStyle name="Good" xfId="157" builtinId="26" customBuiltin="1"/>
    <cellStyle name="Good 2" xfId="3372"/>
    <cellStyle name="Good 3" xfId="3373"/>
    <cellStyle name="Good 4" xfId="3374"/>
    <cellStyle name="Good 5" xfId="3375"/>
    <cellStyle name="Heading 1" xfId="153" builtinId="16" customBuiltin="1"/>
    <cellStyle name="Heading 1 2" xfId="3376"/>
    <cellStyle name="Heading 1 3" xfId="3377"/>
    <cellStyle name="Heading 1 4" xfId="3378"/>
    <cellStyle name="Heading 1 5" xfId="3379"/>
    <cellStyle name="Heading 1 6" xfId="3380"/>
    <cellStyle name="Heading 2" xfId="154" builtinId="17" customBuiltin="1"/>
    <cellStyle name="Heading 2 2" xfId="3381"/>
    <cellStyle name="Heading 2 3" xfId="3382"/>
    <cellStyle name="Heading 2 4" xfId="3383"/>
    <cellStyle name="Heading 2 5" xfId="3384"/>
    <cellStyle name="Heading 2 6" xfId="3385"/>
    <cellStyle name="Heading 3" xfId="155" builtinId="18" customBuiltin="1"/>
    <cellStyle name="Heading 3 10" xfId="10271"/>
    <cellStyle name="Heading 3 11" xfId="1177"/>
    <cellStyle name="Heading 3 2" xfId="1282"/>
    <cellStyle name="Heading 3 3" xfId="1287"/>
    <cellStyle name="Heading 3 3 2" xfId="4703"/>
    <cellStyle name="Heading 3 3 3" xfId="3386"/>
    <cellStyle name="Heading 3 4" xfId="3387"/>
    <cellStyle name="Heading 3 5" xfId="3388"/>
    <cellStyle name="Heading 3 6" xfId="3389"/>
    <cellStyle name="Heading 3 7" xfId="4617"/>
    <cellStyle name="Heading 3 8" xfId="4738"/>
    <cellStyle name="Heading 3 9" xfId="7143"/>
    <cellStyle name="Heading 4" xfId="156" builtinId="19" customBuiltin="1"/>
    <cellStyle name="Heading 4 2" xfId="3390"/>
    <cellStyle name="Heading 4 3" xfId="3391"/>
    <cellStyle name="Heading 4 4" xfId="3392"/>
    <cellStyle name="Heading 4 5" xfId="3393"/>
    <cellStyle name="Heading 4 6" xfId="3394"/>
    <cellStyle name="Heading No Underline" xfId="3395"/>
    <cellStyle name="Heading No Underline 2" xfId="3396"/>
    <cellStyle name="Heading No Underline 3" xfId="3397"/>
    <cellStyle name="Heading With Underline" xfId="3398"/>
    <cellStyle name="Heading With Underline 2" xfId="3399"/>
    <cellStyle name="Heading With Underline 3" xfId="3400"/>
    <cellStyle name="HNU" xfId="3401"/>
    <cellStyle name="Hyperlink" xfId="76" builtinId="8" customBuiltin="1"/>
    <cellStyle name="Hyperlink 2" xfId="16"/>
    <cellStyle name="Hyperlink 2 2" xfId="90"/>
    <cellStyle name="Hyperlink 2 2 2" xfId="1223"/>
    <cellStyle name="Hyperlink 2 3" xfId="79"/>
    <cellStyle name="Hyperlink 2 3 2" xfId="4664"/>
    <cellStyle name="Hyperlink 2 4" xfId="3402"/>
    <cellStyle name="Hyperlink 2 5" xfId="1222"/>
    <cellStyle name="Hyperlink 2 6" xfId="23203"/>
    <cellStyle name="Hyperlink 3" xfId="17"/>
    <cellStyle name="Hyperlink 3 2" xfId="1224"/>
    <cellStyle name="Input" xfId="160" builtinId="20" customBuiltin="1"/>
    <cellStyle name="Input 2" xfId="3403"/>
    <cellStyle name="Input 3" xfId="3404"/>
    <cellStyle name="Input 4" xfId="3405"/>
    <cellStyle name="Input 5" xfId="3406"/>
    <cellStyle name="Input 5 2" xfId="5538"/>
    <cellStyle name="Input 5 2 2" xfId="7135"/>
    <cellStyle name="Input 5 3" xfId="5537"/>
    <cellStyle name="Input 5 3 2" xfId="6219"/>
    <cellStyle name="Input 5 4" xfId="5575"/>
    <cellStyle name="Input 5 4 2" xfId="6329"/>
    <cellStyle name="Input 5 5" xfId="5536"/>
    <cellStyle name="Input 5 5 2" xfId="7136"/>
    <cellStyle name="Input 5 6" xfId="7139"/>
    <cellStyle name="Input Cells_EXTERNAL" xfId="259"/>
    <cellStyle name="input highlight" xfId="3407"/>
    <cellStyle name="input highlight 2" xfId="3408"/>
    <cellStyle name="LineItemPrompt" xfId="1225"/>
    <cellStyle name="LineItemValue" xfId="1226"/>
    <cellStyle name="Linked Cell" xfId="163" builtinId="24" customBuiltin="1"/>
    <cellStyle name="Linked Cell 2" xfId="3409"/>
    <cellStyle name="Linked Cell 3" xfId="3410"/>
    <cellStyle name="Linked Cell 4" xfId="3411"/>
    <cellStyle name="Linked Cell 5" xfId="3412"/>
    <cellStyle name="Manual-Input" xfId="18"/>
    <cellStyle name="MonthHeader" xfId="1284"/>
    <cellStyle name="Neutral" xfId="159" builtinId="28" customBuiltin="1"/>
    <cellStyle name="Neutral 2" xfId="3413"/>
    <cellStyle name="Neutral 3" xfId="3414"/>
    <cellStyle name="Neutral 4" xfId="3415"/>
    <cellStyle name="Neutral 5" xfId="3416"/>
    <cellStyle name="Normal" xfId="0" builtinId="0"/>
    <cellStyle name="Normal 10" xfId="19"/>
    <cellStyle name="Normal 10 10" xfId="10244"/>
    <cellStyle name="Normal 10 11" xfId="1227"/>
    <cellStyle name="Normal 10 12" xfId="1166"/>
    <cellStyle name="Normal 10 13" xfId="208"/>
    <cellStyle name="Normal 10 14" xfId="23204"/>
    <cellStyle name="Normal 10 2" xfId="91"/>
    <cellStyle name="Normal 10 2 2" xfId="138"/>
    <cellStyle name="Normal 10 2 2 2" xfId="3419"/>
    <cellStyle name="Normal 10 2 2 3" xfId="3418"/>
    <cellStyle name="Normal 10 2 2 4" xfId="871"/>
    <cellStyle name="Normal 10 2 2 5" xfId="23206"/>
    <cellStyle name="Normal 10 2 3" xfId="108"/>
    <cellStyle name="Normal 10 2 3 2" xfId="3420"/>
    <cellStyle name="Normal 10 2 3 3" xfId="23207"/>
    <cellStyle name="Normal 10 2 4" xfId="3417"/>
    <cellStyle name="Normal 10 2 5" xfId="22807"/>
    <cellStyle name="Normal 10 2 6" xfId="22834"/>
    <cellStyle name="Normal 10 2 7" xfId="216"/>
    <cellStyle name="Normal 10 2 8" xfId="23205"/>
    <cellStyle name="Normal 10 3" xfId="81"/>
    <cellStyle name="Normal 10 3 10" xfId="16640"/>
    <cellStyle name="Normal 10 3 11" xfId="3421"/>
    <cellStyle name="Normal 10 3 12" xfId="23208"/>
    <cellStyle name="Normal 10 3 2" xfId="137"/>
    <cellStyle name="Normal 10 3 2 10" xfId="3422"/>
    <cellStyle name="Normal 10 3 2 2" xfId="3423"/>
    <cellStyle name="Normal 10 3 2 2 2" xfId="3424"/>
    <cellStyle name="Normal 10 3 2 2 2 2" xfId="4956"/>
    <cellStyle name="Normal 10 3 2 2 2 2 2" xfId="6581"/>
    <cellStyle name="Normal 10 3 2 2 2 2 2 2" xfId="9667"/>
    <cellStyle name="Normal 10 3 2 2 2 2 2 2 2" xfId="15860"/>
    <cellStyle name="Normal 10 3 2 2 2 2 2 2 3" xfId="22012"/>
    <cellStyle name="Normal 10 3 2 2 2 2 2 3" xfId="12794"/>
    <cellStyle name="Normal 10 3 2 2 2 2 2 4" xfId="18946"/>
    <cellStyle name="Normal 10 3 2 2 2 2 3" xfId="8132"/>
    <cellStyle name="Normal 10 3 2 2 2 2 3 2" xfId="14326"/>
    <cellStyle name="Normal 10 3 2 2 2 2 3 3" xfId="20478"/>
    <cellStyle name="Normal 10 3 2 2 2 2 4" xfId="11260"/>
    <cellStyle name="Normal 10 3 2 2 2 2 5" xfId="17412"/>
    <cellStyle name="Normal 10 3 2 2 2 3" xfId="5798"/>
    <cellStyle name="Normal 10 3 2 2 2 3 2" xfId="8898"/>
    <cellStyle name="Normal 10 3 2 2 2 3 2 2" xfId="15091"/>
    <cellStyle name="Normal 10 3 2 2 2 3 2 3" xfId="21243"/>
    <cellStyle name="Normal 10 3 2 2 2 3 3" xfId="12025"/>
    <cellStyle name="Normal 10 3 2 2 2 3 4" xfId="18177"/>
    <cellStyle name="Normal 10 3 2 2 2 4" xfId="7363"/>
    <cellStyle name="Normal 10 3 2 2 2 4 2" xfId="13557"/>
    <cellStyle name="Normal 10 3 2 2 2 4 3" xfId="19709"/>
    <cellStyle name="Normal 10 3 2 2 2 5" xfId="10491"/>
    <cellStyle name="Normal 10 3 2 2 2 6" xfId="16643"/>
    <cellStyle name="Normal 10 3 2 2 3" xfId="4955"/>
    <cellStyle name="Normal 10 3 2 2 3 2" xfId="6580"/>
    <cellStyle name="Normal 10 3 2 2 3 2 2" xfId="9666"/>
    <cellStyle name="Normal 10 3 2 2 3 2 2 2" xfId="15859"/>
    <cellStyle name="Normal 10 3 2 2 3 2 2 3" xfId="22011"/>
    <cellStyle name="Normal 10 3 2 2 3 2 3" xfId="12793"/>
    <cellStyle name="Normal 10 3 2 2 3 2 4" xfId="18945"/>
    <cellStyle name="Normal 10 3 2 2 3 3" xfId="8131"/>
    <cellStyle name="Normal 10 3 2 2 3 3 2" xfId="14325"/>
    <cellStyle name="Normal 10 3 2 2 3 3 3" xfId="20477"/>
    <cellStyle name="Normal 10 3 2 2 3 4" xfId="11259"/>
    <cellStyle name="Normal 10 3 2 2 3 5" xfId="17411"/>
    <cellStyle name="Normal 10 3 2 2 4" xfId="5797"/>
    <cellStyle name="Normal 10 3 2 2 4 2" xfId="8897"/>
    <cellStyle name="Normal 10 3 2 2 4 2 2" xfId="15090"/>
    <cellStyle name="Normal 10 3 2 2 4 2 3" xfId="21242"/>
    <cellStyle name="Normal 10 3 2 2 4 3" xfId="12024"/>
    <cellStyle name="Normal 10 3 2 2 4 4" xfId="18176"/>
    <cellStyle name="Normal 10 3 2 2 5" xfId="7362"/>
    <cellStyle name="Normal 10 3 2 2 5 2" xfId="13556"/>
    <cellStyle name="Normal 10 3 2 2 5 3" xfId="19708"/>
    <cellStyle name="Normal 10 3 2 2 6" xfId="10490"/>
    <cellStyle name="Normal 10 3 2 2 7" xfId="16642"/>
    <cellStyle name="Normal 10 3 2 3" xfId="3425"/>
    <cellStyle name="Normal 10 3 2 3 2" xfId="3426"/>
    <cellStyle name="Normal 10 3 2 3 2 2" xfId="4958"/>
    <cellStyle name="Normal 10 3 2 3 2 2 2" xfId="6583"/>
    <cellStyle name="Normal 10 3 2 3 2 2 2 2" xfId="9669"/>
    <cellStyle name="Normal 10 3 2 3 2 2 2 2 2" xfId="15862"/>
    <cellStyle name="Normal 10 3 2 3 2 2 2 2 3" xfId="22014"/>
    <cellStyle name="Normal 10 3 2 3 2 2 2 3" xfId="12796"/>
    <cellStyle name="Normal 10 3 2 3 2 2 2 4" xfId="18948"/>
    <cellStyle name="Normal 10 3 2 3 2 2 3" xfId="8134"/>
    <cellStyle name="Normal 10 3 2 3 2 2 3 2" xfId="14328"/>
    <cellStyle name="Normal 10 3 2 3 2 2 3 3" xfId="20480"/>
    <cellStyle name="Normal 10 3 2 3 2 2 4" xfId="11262"/>
    <cellStyle name="Normal 10 3 2 3 2 2 5" xfId="17414"/>
    <cellStyle name="Normal 10 3 2 3 2 3" xfId="5800"/>
    <cellStyle name="Normal 10 3 2 3 2 3 2" xfId="8900"/>
    <cellStyle name="Normal 10 3 2 3 2 3 2 2" xfId="15093"/>
    <cellStyle name="Normal 10 3 2 3 2 3 2 3" xfId="21245"/>
    <cellStyle name="Normal 10 3 2 3 2 3 3" xfId="12027"/>
    <cellStyle name="Normal 10 3 2 3 2 3 4" xfId="18179"/>
    <cellStyle name="Normal 10 3 2 3 2 4" xfId="7365"/>
    <cellStyle name="Normal 10 3 2 3 2 4 2" xfId="13559"/>
    <cellStyle name="Normal 10 3 2 3 2 4 3" xfId="19711"/>
    <cellStyle name="Normal 10 3 2 3 2 5" xfId="10493"/>
    <cellStyle name="Normal 10 3 2 3 2 6" xfId="16645"/>
    <cellStyle name="Normal 10 3 2 3 3" xfId="4957"/>
    <cellStyle name="Normal 10 3 2 3 3 2" xfId="6582"/>
    <cellStyle name="Normal 10 3 2 3 3 2 2" xfId="9668"/>
    <cellStyle name="Normal 10 3 2 3 3 2 2 2" xfId="15861"/>
    <cellStyle name="Normal 10 3 2 3 3 2 2 3" xfId="22013"/>
    <cellStyle name="Normal 10 3 2 3 3 2 3" xfId="12795"/>
    <cellStyle name="Normal 10 3 2 3 3 2 4" xfId="18947"/>
    <cellStyle name="Normal 10 3 2 3 3 3" xfId="8133"/>
    <cellStyle name="Normal 10 3 2 3 3 3 2" xfId="14327"/>
    <cellStyle name="Normal 10 3 2 3 3 3 3" xfId="20479"/>
    <cellStyle name="Normal 10 3 2 3 3 4" xfId="11261"/>
    <cellStyle name="Normal 10 3 2 3 3 5" xfId="17413"/>
    <cellStyle name="Normal 10 3 2 3 4" xfId="5799"/>
    <cellStyle name="Normal 10 3 2 3 4 2" xfId="8899"/>
    <cellStyle name="Normal 10 3 2 3 4 2 2" xfId="15092"/>
    <cellStyle name="Normal 10 3 2 3 4 2 3" xfId="21244"/>
    <cellStyle name="Normal 10 3 2 3 4 3" xfId="12026"/>
    <cellStyle name="Normal 10 3 2 3 4 4" xfId="18178"/>
    <cellStyle name="Normal 10 3 2 3 5" xfId="7364"/>
    <cellStyle name="Normal 10 3 2 3 5 2" xfId="13558"/>
    <cellStyle name="Normal 10 3 2 3 5 3" xfId="19710"/>
    <cellStyle name="Normal 10 3 2 3 6" xfId="10492"/>
    <cellStyle name="Normal 10 3 2 3 7" xfId="16644"/>
    <cellStyle name="Normal 10 3 2 4" xfId="3427"/>
    <cellStyle name="Normal 10 3 2 4 2" xfId="4959"/>
    <cellStyle name="Normal 10 3 2 4 2 2" xfId="6584"/>
    <cellStyle name="Normal 10 3 2 4 2 2 2" xfId="9670"/>
    <cellStyle name="Normal 10 3 2 4 2 2 2 2" xfId="15863"/>
    <cellStyle name="Normal 10 3 2 4 2 2 2 3" xfId="22015"/>
    <cellStyle name="Normal 10 3 2 4 2 2 3" xfId="12797"/>
    <cellStyle name="Normal 10 3 2 4 2 2 4" xfId="18949"/>
    <cellStyle name="Normal 10 3 2 4 2 3" xfId="8135"/>
    <cellStyle name="Normal 10 3 2 4 2 3 2" xfId="14329"/>
    <cellStyle name="Normal 10 3 2 4 2 3 3" xfId="20481"/>
    <cellStyle name="Normal 10 3 2 4 2 4" xfId="11263"/>
    <cellStyle name="Normal 10 3 2 4 2 5" xfId="17415"/>
    <cellStyle name="Normal 10 3 2 4 3" xfId="5801"/>
    <cellStyle name="Normal 10 3 2 4 3 2" xfId="8901"/>
    <cellStyle name="Normal 10 3 2 4 3 2 2" xfId="15094"/>
    <cellStyle name="Normal 10 3 2 4 3 2 3" xfId="21246"/>
    <cellStyle name="Normal 10 3 2 4 3 3" xfId="12028"/>
    <cellStyle name="Normal 10 3 2 4 3 4" xfId="18180"/>
    <cellStyle name="Normal 10 3 2 4 4" xfId="7366"/>
    <cellStyle name="Normal 10 3 2 4 4 2" xfId="13560"/>
    <cellStyle name="Normal 10 3 2 4 4 3" xfId="19712"/>
    <cellStyle name="Normal 10 3 2 4 5" xfId="10494"/>
    <cellStyle name="Normal 10 3 2 4 6" xfId="16646"/>
    <cellStyle name="Normal 10 3 2 5" xfId="4954"/>
    <cellStyle name="Normal 10 3 2 5 2" xfId="6579"/>
    <cellStyle name="Normal 10 3 2 5 2 2" xfId="9665"/>
    <cellStyle name="Normal 10 3 2 5 2 2 2" xfId="15858"/>
    <cellStyle name="Normal 10 3 2 5 2 2 3" xfId="22010"/>
    <cellStyle name="Normal 10 3 2 5 2 3" xfId="12792"/>
    <cellStyle name="Normal 10 3 2 5 2 4" xfId="18944"/>
    <cellStyle name="Normal 10 3 2 5 3" xfId="8130"/>
    <cellStyle name="Normal 10 3 2 5 3 2" xfId="14324"/>
    <cellStyle name="Normal 10 3 2 5 3 3" xfId="20476"/>
    <cellStyle name="Normal 10 3 2 5 4" xfId="11258"/>
    <cellStyle name="Normal 10 3 2 5 5" xfId="17410"/>
    <cellStyle name="Normal 10 3 2 6" xfId="5796"/>
    <cellStyle name="Normal 10 3 2 6 2" xfId="8896"/>
    <cellStyle name="Normal 10 3 2 6 2 2" xfId="15089"/>
    <cellStyle name="Normal 10 3 2 6 2 3" xfId="21241"/>
    <cellStyle name="Normal 10 3 2 6 3" xfId="12023"/>
    <cellStyle name="Normal 10 3 2 6 4" xfId="18175"/>
    <cellStyle name="Normal 10 3 2 7" xfId="7361"/>
    <cellStyle name="Normal 10 3 2 7 2" xfId="13555"/>
    <cellStyle name="Normal 10 3 2 7 3" xfId="19707"/>
    <cellStyle name="Normal 10 3 2 8" xfId="10489"/>
    <cellStyle name="Normal 10 3 2 9" xfId="16641"/>
    <cellStyle name="Normal 10 3 3" xfId="3428"/>
    <cellStyle name="Normal 10 3 3 2" xfId="3429"/>
    <cellStyle name="Normal 10 3 3 2 2" xfId="4961"/>
    <cellStyle name="Normal 10 3 3 2 2 2" xfId="6586"/>
    <cellStyle name="Normal 10 3 3 2 2 2 2" xfId="9672"/>
    <cellStyle name="Normal 10 3 3 2 2 2 2 2" xfId="15865"/>
    <cellStyle name="Normal 10 3 3 2 2 2 2 3" xfId="22017"/>
    <cellStyle name="Normal 10 3 3 2 2 2 3" xfId="12799"/>
    <cellStyle name="Normal 10 3 3 2 2 2 4" xfId="18951"/>
    <cellStyle name="Normal 10 3 3 2 2 3" xfId="8137"/>
    <cellStyle name="Normal 10 3 3 2 2 3 2" xfId="14331"/>
    <cellStyle name="Normal 10 3 3 2 2 3 3" xfId="20483"/>
    <cellStyle name="Normal 10 3 3 2 2 4" xfId="11265"/>
    <cellStyle name="Normal 10 3 3 2 2 5" xfId="17417"/>
    <cellStyle name="Normal 10 3 3 2 3" xfId="5803"/>
    <cellStyle name="Normal 10 3 3 2 3 2" xfId="8903"/>
    <cellStyle name="Normal 10 3 3 2 3 2 2" xfId="15096"/>
    <cellStyle name="Normal 10 3 3 2 3 2 3" xfId="21248"/>
    <cellStyle name="Normal 10 3 3 2 3 3" xfId="12030"/>
    <cellStyle name="Normal 10 3 3 2 3 4" xfId="18182"/>
    <cellStyle name="Normal 10 3 3 2 4" xfId="7368"/>
    <cellStyle name="Normal 10 3 3 2 4 2" xfId="13562"/>
    <cellStyle name="Normal 10 3 3 2 4 3" xfId="19714"/>
    <cellStyle name="Normal 10 3 3 2 5" xfId="10496"/>
    <cellStyle name="Normal 10 3 3 2 6" xfId="16648"/>
    <cellStyle name="Normal 10 3 3 3" xfId="4960"/>
    <cellStyle name="Normal 10 3 3 3 2" xfId="6585"/>
    <cellStyle name="Normal 10 3 3 3 2 2" xfId="9671"/>
    <cellStyle name="Normal 10 3 3 3 2 2 2" xfId="15864"/>
    <cellStyle name="Normal 10 3 3 3 2 2 3" xfId="22016"/>
    <cellStyle name="Normal 10 3 3 3 2 3" xfId="12798"/>
    <cellStyle name="Normal 10 3 3 3 2 4" xfId="18950"/>
    <cellStyle name="Normal 10 3 3 3 3" xfId="8136"/>
    <cellStyle name="Normal 10 3 3 3 3 2" xfId="14330"/>
    <cellStyle name="Normal 10 3 3 3 3 3" xfId="20482"/>
    <cellStyle name="Normal 10 3 3 3 4" xfId="11264"/>
    <cellStyle name="Normal 10 3 3 3 5" xfId="17416"/>
    <cellStyle name="Normal 10 3 3 4" xfId="5802"/>
    <cellStyle name="Normal 10 3 3 4 2" xfId="8902"/>
    <cellStyle name="Normal 10 3 3 4 2 2" xfId="15095"/>
    <cellStyle name="Normal 10 3 3 4 2 3" xfId="21247"/>
    <cellStyle name="Normal 10 3 3 4 3" xfId="12029"/>
    <cellStyle name="Normal 10 3 3 4 4" xfId="18181"/>
    <cellStyle name="Normal 10 3 3 5" xfId="7367"/>
    <cellStyle name="Normal 10 3 3 5 2" xfId="13561"/>
    <cellStyle name="Normal 10 3 3 5 3" xfId="19713"/>
    <cellStyle name="Normal 10 3 3 6" xfId="10495"/>
    <cellStyle name="Normal 10 3 3 7" xfId="16647"/>
    <cellStyle name="Normal 10 3 4" xfId="3430"/>
    <cellStyle name="Normal 10 3 4 2" xfId="3431"/>
    <cellStyle name="Normal 10 3 4 2 2" xfId="4963"/>
    <cellStyle name="Normal 10 3 4 2 2 2" xfId="6588"/>
    <cellStyle name="Normal 10 3 4 2 2 2 2" xfId="9674"/>
    <cellStyle name="Normal 10 3 4 2 2 2 2 2" xfId="15867"/>
    <cellStyle name="Normal 10 3 4 2 2 2 2 3" xfId="22019"/>
    <cellStyle name="Normal 10 3 4 2 2 2 3" xfId="12801"/>
    <cellStyle name="Normal 10 3 4 2 2 2 4" xfId="18953"/>
    <cellStyle name="Normal 10 3 4 2 2 3" xfId="8139"/>
    <cellStyle name="Normal 10 3 4 2 2 3 2" xfId="14333"/>
    <cellStyle name="Normal 10 3 4 2 2 3 3" xfId="20485"/>
    <cellStyle name="Normal 10 3 4 2 2 4" xfId="11267"/>
    <cellStyle name="Normal 10 3 4 2 2 5" xfId="17419"/>
    <cellStyle name="Normal 10 3 4 2 3" xfId="5805"/>
    <cellStyle name="Normal 10 3 4 2 3 2" xfId="8905"/>
    <cellStyle name="Normal 10 3 4 2 3 2 2" xfId="15098"/>
    <cellStyle name="Normal 10 3 4 2 3 2 3" xfId="21250"/>
    <cellStyle name="Normal 10 3 4 2 3 3" xfId="12032"/>
    <cellStyle name="Normal 10 3 4 2 3 4" xfId="18184"/>
    <cellStyle name="Normal 10 3 4 2 4" xfId="7370"/>
    <cellStyle name="Normal 10 3 4 2 4 2" xfId="13564"/>
    <cellStyle name="Normal 10 3 4 2 4 3" xfId="19716"/>
    <cellStyle name="Normal 10 3 4 2 5" xfId="10498"/>
    <cellStyle name="Normal 10 3 4 2 6" xfId="16650"/>
    <cellStyle name="Normal 10 3 4 3" xfId="4962"/>
    <cellStyle name="Normal 10 3 4 3 2" xfId="6587"/>
    <cellStyle name="Normal 10 3 4 3 2 2" xfId="9673"/>
    <cellStyle name="Normal 10 3 4 3 2 2 2" xfId="15866"/>
    <cellStyle name="Normal 10 3 4 3 2 2 3" xfId="22018"/>
    <cellStyle name="Normal 10 3 4 3 2 3" xfId="12800"/>
    <cellStyle name="Normal 10 3 4 3 2 4" xfId="18952"/>
    <cellStyle name="Normal 10 3 4 3 3" xfId="8138"/>
    <cellStyle name="Normal 10 3 4 3 3 2" xfId="14332"/>
    <cellStyle name="Normal 10 3 4 3 3 3" xfId="20484"/>
    <cellStyle name="Normal 10 3 4 3 4" xfId="11266"/>
    <cellStyle name="Normal 10 3 4 3 5" xfId="17418"/>
    <cellStyle name="Normal 10 3 4 4" xfId="5804"/>
    <cellStyle name="Normal 10 3 4 4 2" xfId="8904"/>
    <cellStyle name="Normal 10 3 4 4 2 2" xfId="15097"/>
    <cellStyle name="Normal 10 3 4 4 2 3" xfId="21249"/>
    <cellStyle name="Normal 10 3 4 4 3" xfId="12031"/>
    <cellStyle name="Normal 10 3 4 4 4" xfId="18183"/>
    <cellStyle name="Normal 10 3 4 5" xfId="7369"/>
    <cellStyle name="Normal 10 3 4 5 2" xfId="13563"/>
    <cellStyle name="Normal 10 3 4 5 3" xfId="19715"/>
    <cellStyle name="Normal 10 3 4 6" xfId="10497"/>
    <cellStyle name="Normal 10 3 4 7" xfId="16649"/>
    <cellStyle name="Normal 10 3 5" xfId="3432"/>
    <cellStyle name="Normal 10 3 5 2" xfId="4964"/>
    <cellStyle name="Normal 10 3 5 2 2" xfId="6589"/>
    <cellStyle name="Normal 10 3 5 2 2 2" xfId="9675"/>
    <cellStyle name="Normal 10 3 5 2 2 2 2" xfId="15868"/>
    <cellStyle name="Normal 10 3 5 2 2 2 3" xfId="22020"/>
    <cellStyle name="Normal 10 3 5 2 2 3" xfId="12802"/>
    <cellStyle name="Normal 10 3 5 2 2 4" xfId="18954"/>
    <cellStyle name="Normal 10 3 5 2 3" xfId="8140"/>
    <cellStyle name="Normal 10 3 5 2 3 2" xfId="14334"/>
    <cellStyle name="Normal 10 3 5 2 3 3" xfId="20486"/>
    <cellStyle name="Normal 10 3 5 2 4" xfId="11268"/>
    <cellStyle name="Normal 10 3 5 2 5" xfId="17420"/>
    <cellStyle name="Normal 10 3 5 3" xfId="5806"/>
    <cellStyle name="Normal 10 3 5 3 2" xfId="8906"/>
    <cellStyle name="Normal 10 3 5 3 2 2" xfId="15099"/>
    <cellStyle name="Normal 10 3 5 3 2 3" xfId="21251"/>
    <cellStyle name="Normal 10 3 5 3 3" xfId="12033"/>
    <cellStyle name="Normal 10 3 5 3 4" xfId="18185"/>
    <cellStyle name="Normal 10 3 5 4" xfId="7371"/>
    <cellStyle name="Normal 10 3 5 4 2" xfId="13565"/>
    <cellStyle name="Normal 10 3 5 4 3" xfId="19717"/>
    <cellStyle name="Normal 10 3 5 5" xfId="10499"/>
    <cellStyle name="Normal 10 3 5 6" xfId="16651"/>
    <cellStyle name="Normal 10 3 6" xfId="4953"/>
    <cellStyle name="Normal 10 3 6 2" xfId="6578"/>
    <cellStyle name="Normal 10 3 6 2 2" xfId="9664"/>
    <cellStyle name="Normal 10 3 6 2 2 2" xfId="15857"/>
    <cellStyle name="Normal 10 3 6 2 2 3" xfId="22009"/>
    <cellStyle name="Normal 10 3 6 2 3" xfId="12791"/>
    <cellStyle name="Normal 10 3 6 2 4" xfId="18943"/>
    <cellStyle name="Normal 10 3 6 3" xfId="8129"/>
    <cellStyle name="Normal 10 3 6 3 2" xfId="14323"/>
    <cellStyle name="Normal 10 3 6 3 3" xfId="20475"/>
    <cellStyle name="Normal 10 3 6 4" xfId="11257"/>
    <cellStyle name="Normal 10 3 6 5" xfId="17409"/>
    <cellStyle name="Normal 10 3 7" xfId="5795"/>
    <cellStyle name="Normal 10 3 7 2" xfId="8895"/>
    <cellStyle name="Normal 10 3 7 2 2" xfId="15088"/>
    <cellStyle name="Normal 10 3 7 2 3" xfId="21240"/>
    <cellStyle name="Normal 10 3 7 3" xfId="12022"/>
    <cellStyle name="Normal 10 3 7 4" xfId="18174"/>
    <cellStyle name="Normal 10 3 8" xfId="7360"/>
    <cellStyle name="Normal 10 3 8 2" xfId="13554"/>
    <cellStyle name="Normal 10 3 8 3" xfId="19706"/>
    <cellStyle name="Normal 10 3 9" xfId="10488"/>
    <cellStyle name="Normal 10 4" xfId="121"/>
    <cellStyle name="Normal 10 4 10" xfId="3433"/>
    <cellStyle name="Normal 10 4 11" xfId="23209"/>
    <cellStyle name="Normal 10 4 2" xfId="3434"/>
    <cellStyle name="Normal 10 4 2 2" xfId="3435"/>
    <cellStyle name="Normal 10 4 2 2 2" xfId="4967"/>
    <cellStyle name="Normal 10 4 2 2 2 2" xfId="6592"/>
    <cellStyle name="Normal 10 4 2 2 2 2 2" xfId="9678"/>
    <cellStyle name="Normal 10 4 2 2 2 2 2 2" xfId="15871"/>
    <cellStyle name="Normal 10 4 2 2 2 2 2 3" xfId="22023"/>
    <cellStyle name="Normal 10 4 2 2 2 2 3" xfId="12805"/>
    <cellStyle name="Normal 10 4 2 2 2 2 4" xfId="18957"/>
    <cellStyle name="Normal 10 4 2 2 2 3" xfId="8143"/>
    <cellStyle name="Normal 10 4 2 2 2 3 2" xfId="14337"/>
    <cellStyle name="Normal 10 4 2 2 2 3 3" xfId="20489"/>
    <cellStyle name="Normal 10 4 2 2 2 4" xfId="11271"/>
    <cellStyle name="Normal 10 4 2 2 2 5" xfId="17423"/>
    <cellStyle name="Normal 10 4 2 2 3" xfId="5809"/>
    <cellStyle name="Normal 10 4 2 2 3 2" xfId="8909"/>
    <cellStyle name="Normal 10 4 2 2 3 2 2" xfId="15102"/>
    <cellStyle name="Normal 10 4 2 2 3 2 3" xfId="21254"/>
    <cellStyle name="Normal 10 4 2 2 3 3" xfId="12036"/>
    <cellStyle name="Normal 10 4 2 2 3 4" xfId="18188"/>
    <cellStyle name="Normal 10 4 2 2 4" xfId="7374"/>
    <cellStyle name="Normal 10 4 2 2 4 2" xfId="13568"/>
    <cellStyle name="Normal 10 4 2 2 4 3" xfId="19720"/>
    <cellStyle name="Normal 10 4 2 2 5" xfId="10502"/>
    <cellStyle name="Normal 10 4 2 2 6" xfId="16654"/>
    <cellStyle name="Normal 10 4 2 3" xfId="4966"/>
    <cellStyle name="Normal 10 4 2 3 2" xfId="6591"/>
    <cellStyle name="Normal 10 4 2 3 2 2" xfId="9677"/>
    <cellStyle name="Normal 10 4 2 3 2 2 2" xfId="15870"/>
    <cellStyle name="Normal 10 4 2 3 2 2 3" xfId="22022"/>
    <cellStyle name="Normal 10 4 2 3 2 3" xfId="12804"/>
    <cellStyle name="Normal 10 4 2 3 2 4" xfId="18956"/>
    <cellStyle name="Normal 10 4 2 3 3" xfId="8142"/>
    <cellStyle name="Normal 10 4 2 3 3 2" xfId="14336"/>
    <cellStyle name="Normal 10 4 2 3 3 3" xfId="20488"/>
    <cellStyle name="Normal 10 4 2 3 4" xfId="11270"/>
    <cellStyle name="Normal 10 4 2 3 5" xfId="17422"/>
    <cellStyle name="Normal 10 4 2 4" xfId="5808"/>
    <cellStyle name="Normal 10 4 2 4 2" xfId="8908"/>
    <cellStyle name="Normal 10 4 2 4 2 2" xfId="15101"/>
    <cellStyle name="Normal 10 4 2 4 2 3" xfId="21253"/>
    <cellStyle name="Normal 10 4 2 4 3" xfId="12035"/>
    <cellStyle name="Normal 10 4 2 4 4" xfId="18187"/>
    <cellStyle name="Normal 10 4 2 5" xfId="7373"/>
    <cellStyle name="Normal 10 4 2 5 2" xfId="13567"/>
    <cellStyle name="Normal 10 4 2 5 3" xfId="19719"/>
    <cellStyle name="Normal 10 4 2 6" xfId="10501"/>
    <cellStyle name="Normal 10 4 2 7" xfId="16653"/>
    <cellStyle name="Normal 10 4 3" xfId="3436"/>
    <cellStyle name="Normal 10 4 3 2" xfId="3437"/>
    <cellStyle name="Normal 10 4 3 2 2" xfId="4969"/>
    <cellStyle name="Normal 10 4 3 2 2 2" xfId="6594"/>
    <cellStyle name="Normal 10 4 3 2 2 2 2" xfId="9680"/>
    <cellStyle name="Normal 10 4 3 2 2 2 2 2" xfId="15873"/>
    <cellStyle name="Normal 10 4 3 2 2 2 2 3" xfId="22025"/>
    <cellStyle name="Normal 10 4 3 2 2 2 3" xfId="12807"/>
    <cellStyle name="Normal 10 4 3 2 2 2 4" xfId="18959"/>
    <cellStyle name="Normal 10 4 3 2 2 3" xfId="8145"/>
    <cellStyle name="Normal 10 4 3 2 2 3 2" xfId="14339"/>
    <cellStyle name="Normal 10 4 3 2 2 3 3" xfId="20491"/>
    <cellStyle name="Normal 10 4 3 2 2 4" xfId="11273"/>
    <cellStyle name="Normal 10 4 3 2 2 5" xfId="17425"/>
    <cellStyle name="Normal 10 4 3 2 3" xfId="5811"/>
    <cellStyle name="Normal 10 4 3 2 3 2" xfId="8911"/>
    <cellStyle name="Normal 10 4 3 2 3 2 2" xfId="15104"/>
    <cellStyle name="Normal 10 4 3 2 3 2 3" xfId="21256"/>
    <cellStyle name="Normal 10 4 3 2 3 3" xfId="12038"/>
    <cellStyle name="Normal 10 4 3 2 3 4" xfId="18190"/>
    <cellStyle name="Normal 10 4 3 2 4" xfId="7376"/>
    <cellStyle name="Normal 10 4 3 2 4 2" xfId="13570"/>
    <cellStyle name="Normal 10 4 3 2 4 3" xfId="19722"/>
    <cellStyle name="Normal 10 4 3 2 5" xfId="10504"/>
    <cellStyle name="Normal 10 4 3 2 6" xfId="16656"/>
    <cellStyle name="Normal 10 4 3 3" xfId="4968"/>
    <cellStyle name="Normal 10 4 3 3 2" xfId="6593"/>
    <cellStyle name="Normal 10 4 3 3 2 2" xfId="9679"/>
    <cellStyle name="Normal 10 4 3 3 2 2 2" xfId="15872"/>
    <cellStyle name="Normal 10 4 3 3 2 2 3" xfId="22024"/>
    <cellStyle name="Normal 10 4 3 3 2 3" xfId="12806"/>
    <cellStyle name="Normal 10 4 3 3 2 4" xfId="18958"/>
    <cellStyle name="Normal 10 4 3 3 3" xfId="8144"/>
    <cellStyle name="Normal 10 4 3 3 3 2" xfId="14338"/>
    <cellStyle name="Normal 10 4 3 3 3 3" xfId="20490"/>
    <cellStyle name="Normal 10 4 3 3 4" xfId="11272"/>
    <cellStyle name="Normal 10 4 3 3 5" xfId="17424"/>
    <cellStyle name="Normal 10 4 3 4" xfId="5810"/>
    <cellStyle name="Normal 10 4 3 4 2" xfId="8910"/>
    <cellStyle name="Normal 10 4 3 4 2 2" xfId="15103"/>
    <cellStyle name="Normal 10 4 3 4 2 3" xfId="21255"/>
    <cellStyle name="Normal 10 4 3 4 3" xfId="12037"/>
    <cellStyle name="Normal 10 4 3 4 4" xfId="18189"/>
    <cellStyle name="Normal 10 4 3 5" xfId="7375"/>
    <cellStyle name="Normal 10 4 3 5 2" xfId="13569"/>
    <cellStyle name="Normal 10 4 3 5 3" xfId="19721"/>
    <cellStyle name="Normal 10 4 3 6" xfId="10503"/>
    <cellStyle name="Normal 10 4 3 7" xfId="16655"/>
    <cellStyle name="Normal 10 4 4" xfId="3438"/>
    <cellStyle name="Normal 10 4 4 2" xfId="4970"/>
    <cellStyle name="Normal 10 4 4 2 2" xfId="6595"/>
    <cellStyle name="Normal 10 4 4 2 2 2" xfId="9681"/>
    <cellStyle name="Normal 10 4 4 2 2 2 2" xfId="15874"/>
    <cellStyle name="Normal 10 4 4 2 2 2 3" xfId="22026"/>
    <cellStyle name="Normal 10 4 4 2 2 3" xfId="12808"/>
    <cellStyle name="Normal 10 4 4 2 2 4" xfId="18960"/>
    <cellStyle name="Normal 10 4 4 2 3" xfId="8146"/>
    <cellStyle name="Normal 10 4 4 2 3 2" xfId="14340"/>
    <cellStyle name="Normal 10 4 4 2 3 3" xfId="20492"/>
    <cellStyle name="Normal 10 4 4 2 4" xfId="11274"/>
    <cellStyle name="Normal 10 4 4 2 5" xfId="17426"/>
    <cellStyle name="Normal 10 4 4 3" xfId="5812"/>
    <cellStyle name="Normal 10 4 4 3 2" xfId="8912"/>
    <cellStyle name="Normal 10 4 4 3 2 2" xfId="15105"/>
    <cellStyle name="Normal 10 4 4 3 2 3" xfId="21257"/>
    <cellStyle name="Normal 10 4 4 3 3" xfId="12039"/>
    <cellStyle name="Normal 10 4 4 3 4" xfId="18191"/>
    <cellStyle name="Normal 10 4 4 4" xfId="7377"/>
    <cellStyle name="Normal 10 4 4 4 2" xfId="13571"/>
    <cellStyle name="Normal 10 4 4 4 3" xfId="19723"/>
    <cellStyle name="Normal 10 4 4 5" xfId="10505"/>
    <cellStyle name="Normal 10 4 4 6" xfId="16657"/>
    <cellStyle name="Normal 10 4 5" xfId="4965"/>
    <cellStyle name="Normal 10 4 5 2" xfId="6590"/>
    <cellStyle name="Normal 10 4 5 2 2" xfId="9676"/>
    <cellStyle name="Normal 10 4 5 2 2 2" xfId="15869"/>
    <cellStyle name="Normal 10 4 5 2 2 3" xfId="22021"/>
    <cellStyle name="Normal 10 4 5 2 3" xfId="12803"/>
    <cellStyle name="Normal 10 4 5 2 4" xfId="18955"/>
    <cellStyle name="Normal 10 4 5 3" xfId="8141"/>
    <cellStyle name="Normal 10 4 5 3 2" xfId="14335"/>
    <cellStyle name="Normal 10 4 5 3 3" xfId="20487"/>
    <cellStyle name="Normal 10 4 5 4" xfId="11269"/>
    <cellStyle name="Normal 10 4 5 5" xfId="17421"/>
    <cellStyle name="Normal 10 4 6" xfId="5807"/>
    <cellStyle name="Normal 10 4 6 2" xfId="8907"/>
    <cellStyle name="Normal 10 4 6 2 2" xfId="15100"/>
    <cellStyle name="Normal 10 4 6 2 3" xfId="21252"/>
    <cellStyle name="Normal 10 4 6 3" xfId="12034"/>
    <cellStyle name="Normal 10 4 6 4" xfId="18186"/>
    <cellStyle name="Normal 10 4 7" xfId="7372"/>
    <cellStyle name="Normal 10 4 7 2" xfId="13566"/>
    <cellStyle name="Normal 10 4 7 3" xfId="19718"/>
    <cellStyle name="Normal 10 4 8" xfId="10500"/>
    <cellStyle name="Normal 10 4 9" xfId="16652"/>
    <cellStyle name="Normal 10 5" xfId="107"/>
    <cellStyle name="Normal 10 5 10" xfId="3439"/>
    <cellStyle name="Normal 10 5 11" xfId="23210"/>
    <cellStyle name="Normal 10 5 2" xfId="3440"/>
    <cellStyle name="Normal 10 5 2 2" xfId="3441"/>
    <cellStyle name="Normal 10 5 2 2 2" xfId="4973"/>
    <cellStyle name="Normal 10 5 2 2 2 2" xfId="6598"/>
    <cellStyle name="Normal 10 5 2 2 2 2 2" xfId="9684"/>
    <cellStyle name="Normal 10 5 2 2 2 2 2 2" xfId="15877"/>
    <cellStyle name="Normal 10 5 2 2 2 2 2 3" xfId="22029"/>
    <cellStyle name="Normal 10 5 2 2 2 2 3" xfId="12811"/>
    <cellStyle name="Normal 10 5 2 2 2 2 4" xfId="18963"/>
    <cellStyle name="Normal 10 5 2 2 2 3" xfId="8149"/>
    <cellStyle name="Normal 10 5 2 2 2 3 2" xfId="14343"/>
    <cellStyle name="Normal 10 5 2 2 2 3 3" xfId="20495"/>
    <cellStyle name="Normal 10 5 2 2 2 4" xfId="11277"/>
    <cellStyle name="Normal 10 5 2 2 2 5" xfId="17429"/>
    <cellStyle name="Normal 10 5 2 2 3" xfId="5815"/>
    <cellStyle name="Normal 10 5 2 2 3 2" xfId="8915"/>
    <cellStyle name="Normal 10 5 2 2 3 2 2" xfId="15108"/>
    <cellStyle name="Normal 10 5 2 2 3 2 3" xfId="21260"/>
    <cellStyle name="Normal 10 5 2 2 3 3" xfId="12042"/>
    <cellStyle name="Normal 10 5 2 2 3 4" xfId="18194"/>
    <cellStyle name="Normal 10 5 2 2 4" xfId="7380"/>
    <cellStyle name="Normal 10 5 2 2 4 2" xfId="13574"/>
    <cellStyle name="Normal 10 5 2 2 4 3" xfId="19726"/>
    <cellStyle name="Normal 10 5 2 2 5" xfId="10508"/>
    <cellStyle name="Normal 10 5 2 2 6" xfId="16660"/>
    <cellStyle name="Normal 10 5 2 3" xfId="4972"/>
    <cellStyle name="Normal 10 5 2 3 2" xfId="6597"/>
    <cellStyle name="Normal 10 5 2 3 2 2" xfId="9683"/>
    <cellStyle name="Normal 10 5 2 3 2 2 2" xfId="15876"/>
    <cellStyle name="Normal 10 5 2 3 2 2 3" xfId="22028"/>
    <cellStyle name="Normal 10 5 2 3 2 3" xfId="12810"/>
    <cellStyle name="Normal 10 5 2 3 2 4" xfId="18962"/>
    <cellStyle name="Normal 10 5 2 3 3" xfId="8148"/>
    <cellStyle name="Normal 10 5 2 3 3 2" xfId="14342"/>
    <cellStyle name="Normal 10 5 2 3 3 3" xfId="20494"/>
    <cellStyle name="Normal 10 5 2 3 4" xfId="11276"/>
    <cellStyle name="Normal 10 5 2 3 5" xfId="17428"/>
    <cellStyle name="Normal 10 5 2 4" xfId="5814"/>
    <cellStyle name="Normal 10 5 2 4 2" xfId="8914"/>
    <cellStyle name="Normal 10 5 2 4 2 2" xfId="15107"/>
    <cellStyle name="Normal 10 5 2 4 2 3" xfId="21259"/>
    <cellStyle name="Normal 10 5 2 4 3" xfId="12041"/>
    <cellStyle name="Normal 10 5 2 4 4" xfId="18193"/>
    <cellStyle name="Normal 10 5 2 5" xfId="7379"/>
    <cellStyle name="Normal 10 5 2 5 2" xfId="13573"/>
    <cellStyle name="Normal 10 5 2 5 3" xfId="19725"/>
    <cellStyle name="Normal 10 5 2 6" xfId="10507"/>
    <cellStyle name="Normal 10 5 2 7" xfId="16659"/>
    <cellStyle name="Normal 10 5 3" xfId="3442"/>
    <cellStyle name="Normal 10 5 3 2" xfId="3443"/>
    <cellStyle name="Normal 10 5 3 2 2" xfId="4975"/>
    <cellStyle name="Normal 10 5 3 2 2 2" xfId="6600"/>
    <cellStyle name="Normal 10 5 3 2 2 2 2" xfId="9686"/>
    <cellStyle name="Normal 10 5 3 2 2 2 2 2" xfId="15879"/>
    <cellStyle name="Normal 10 5 3 2 2 2 2 3" xfId="22031"/>
    <cellStyle name="Normal 10 5 3 2 2 2 3" xfId="12813"/>
    <cellStyle name="Normal 10 5 3 2 2 2 4" xfId="18965"/>
    <cellStyle name="Normal 10 5 3 2 2 3" xfId="8151"/>
    <cellStyle name="Normal 10 5 3 2 2 3 2" xfId="14345"/>
    <cellStyle name="Normal 10 5 3 2 2 3 3" xfId="20497"/>
    <cellStyle name="Normal 10 5 3 2 2 4" xfId="11279"/>
    <cellStyle name="Normal 10 5 3 2 2 5" xfId="17431"/>
    <cellStyle name="Normal 10 5 3 2 3" xfId="5817"/>
    <cellStyle name="Normal 10 5 3 2 3 2" xfId="8917"/>
    <cellStyle name="Normal 10 5 3 2 3 2 2" xfId="15110"/>
    <cellStyle name="Normal 10 5 3 2 3 2 3" xfId="21262"/>
    <cellStyle name="Normal 10 5 3 2 3 3" xfId="12044"/>
    <cellStyle name="Normal 10 5 3 2 3 4" xfId="18196"/>
    <cellStyle name="Normal 10 5 3 2 4" xfId="7382"/>
    <cellStyle name="Normal 10 5 3 2 4 2" xfId="13576"/>
    <cellStyle name="Normal 10 5 3 2 4 3" xfId="19728"/>
    <cellStyle name="Normal 10 5 3 2 5" xfId="10510"/>
    <cellStyle name="Normal 10 5 3 2 6" xfId="16662"/>
    <cellStyle name="Normal 10 5 3 3" xfId="4974"/>
    <cellStyle name="Normal 10 5 3 3 2" xfId="6599"/>
    <cellStyle name="Normal 10 5 3 3 2 2" xfId="9685"/>
    <cellStyle name="Normal 10 5 3 3 2 2 2" xfId="15878"/>
    <cellStyle name="Normal 10 5 3 3 2 2 3" xfId="22030"/>
    <cellStyle name="Normal 10 5 3 3 2 3" xfId="12812"/>
    <cellStyle name="Normal 10 5 3 3 2 4" xfId="18964"/>
    <cellStyle name="Normal 10 5 3 3 3" xfId="8150"/>
    <cellStyle name="Normal 10 5 3 3 3 2" xfId="14344"/>
    <cellStyle name="Normal 10 5 3 3 3 3" xfId="20496"/>
    <cellStyle name="Normal 10 5 3 3 4" xfId="11278"/>
    <cellStyle name="Normal 10 5 3 3 5" xfId="17430"/>
    <cellStyle name="Normal 10 5 3 4" xfId="5816"/>
    <cellStyle name="Normal 10 5 3 4 2" xfId="8916"/>
    <cellStyle name="Normal 10 5 3 4 2 2" xfId="15109"/>
    <cellStyle name="Normal 10 5 3 4 2 3" xfId="21261"/>
    <cellStyle name="Normal 10 5 3 4 3" xfId="12043"/>
    <cellStyle name="Normal 10 5 3 4 4" xfId="18195"/>
    <cellStyle name="Normal 10 5 3 5" xfId="7381"/>
    <cellStyle name="Normal 10 5 3 5 2" xfId="13575"/>
    <cellStyle name="Normal 10 5 3 5 3" xfId="19727"/>
    <cellStyle name="Normal 10 5 3 6" xfId="10509"/>
    <cellStyle name="Normal 10 5 3 7" xfId="16661"/>
    <cellStyle name="Normal 10 5 4" xfId="3444"/>
    <cellStyle name="Normal 10 5 4 2" xfId="4976"/>
    <cellStyle name="Normal 10 5 4 2 2" xfId="6601"/>
    <cellStyle name="Normal 10 5 4 2 2 2" xfId="9687"/>
    <cellStyle name="Normal 10 5 4 2 2 2 2" xfId="15880"/>
    <cellStyle name="Normal 10 5 4 2 2 2 3" xfId="22032"/>
    <cellStyle name="Normal 10 5 4 2 2 3" xfId="12814"/>
    <cellStyle name="Normal 10 5 4 2 2 4" xfId="18966"/>
    <cellStyle name="Normal 10 5 4 2 3" xfId="8152"/>
    <cellStyle name="Normal 10 5 4 2 3 2" xfId="14346"/>
    <cellStyle name="Normal 10 5 4 2 3 3" xfId="20498"/>
    <cellStyle name="Normal 10 5 4 2 4" xfId="11280"/>
    <cellStyle name="Normal 10 5 4 2 5" xfId="17432"/>
    <cellStyle name="Normal 10 5 4 3" xfId="5818"/>
    <cellStyle name="Normal 10 5 4 3 2" xfId="8918"/>
    <cellStyle name="Normal 10 5 4 3 2 2" xfId="15111"/>
    <cellStyle name="Normal 10 5 4 3 2 3" xfId="21263"/>
    <cellStyle name="Normal 10 5 4 3 3" xfId="12045"/>
    <cellStyle name="Normal 10 5 4 3 4" xfId="18197"/>
    <cellStyle name="Normal 10 5 4 4" xfId="7383"/>
    <cellStyle name="Normal 10 5 4 4 2" xfId="13577"/>
    <cellStyle name="Normal 10 5 4 4 3" xfId="19729"/>
    <cellStyle name="Normal 10 5 4 5" xfId="10511"/>
    <cellStyle name="Normal 10 5 4 6" xfId="16663"/>
    <cellStyle name="Normal 10 5 5" xfId="4971"/>
    <cellStyle name="Normal 10 5 5 2" xfId="6596"/>
    <cellStyle name="Normal 10 5 5 2 2" xfId="9682"/>
    <cellStyle name="Normal 10 5 5 2 2 2" xfId="15875"/>
    <cellStyle name="Normal 10 5 5 2 2 3" xfId="22027"/>
    <cellStyle name="Normal 10 5 5 2 3" xfId="12809"/>
    <cellStyle name="Normal 10 5 5 2 4" xfId="18961"/>
    <cellStyle name="Normal 10 5 5 3" xfId="8147"/>
    <cellStyle name="Normal 10 5 5 3 2" xfId="14341"/>
    <cellStyle name="Normal 10 5 5 3 3" xfId="20493"/>
    <cellStyle name="Normal 10 5 5 4" xfId="11275"/>
    <cellStyle name="Normal 10 5 5 5" xfId="17427"/>
    <cellStyle name="Normal 10 5 6" xfId="5813"/>
    <cellStyle name="Normal 10 5 6 2" xfId="8913"/>
    <cellStyle name="Normal 10 5 6 2 2" xfId="15106"/>
    <cellStyle name="Normal 10 5 6 2 3" xfId="21258"/>
    <cellStyle name="Normal 10 5 6 3" xfId="12040"/>
    <cellStyle name="Normal 10 5 6 4" xfId="18192"/>
    <cellStyle name="Normal 10 5 7" xfId="7378"/>
    <cellStyle name="Normal 10 5 7 2" xfId="13572"/>
    <cellStyle name="Normal 10 5 7 3" xfId="19724"/>
    <cellStyle name="Normal 10 5 8" xfId="10506"/>
    <cellStyle name="Normal 10 5 9" xfId="16658"/>
    <cellStyle name="Normal 10 6" xfId="3445"/>
    <cellStyle name="Normal 10 6 2" xfId="3446"/>
    <cellStyle name="Normal 10 6 2 2" xfId="4978"/>
    <cellStyle name="Normal 10 6 2 2 2" xfId="6603"/>
    <cellStyle name="Normal 10 6 2 2 2 2" xfId="9689"/>
    <cellStyle name="Normal 10 6 2 2 2 2 2" xfId="15882"/>
    <cellStyle name="Normal 10 6 2 2 2 2 3" xfId="22034"/>
    <cellStyle name="Normal 10 6 2 2 2 3" xfId="12816"/>
    <cellStyle name="Normal 10 6 2 2 2 4" xfId="18968"/>
    <cellStyle name="Normal 10 6 2 2 3" xfId="8154"/>
    <cellStyle name="Normal 10 6 2 2 3 2" xfId="14348"/>
    <cellStyle name="Normal 10 6 2 2 3 3" xfId="20500"/>
    <cellStyle name="Normal 10 6 2 2 4" xfId="11282"/>
    <cellStyle name="Normal 10 6 2 2 5" xfId="17434"/>
    <cellStyle name="Normal 10 6 2 3" xfId="5820"/>
    <cellStyle name="Normal 10 6 2 3 2" xfId="8920"/>
    <cellStyle name="Normal 10 6 2 3 2 2" xfId="15113"/>
    <cellStyle name="Normal 10 6 2 3 2 3" xfId="21265"/>
    <cellStyle name="Normal 10 6 2 3 3" xfId="12047"/>
    <cellStyle name="Normal 10 6 2 3 4" xfId="18199"/>
    <cellStyle name="Normal 10 6 2 4" xfId="7385"/>
    <cellStyle name="Normal 10 6 2 4 2" xfId="13579"/>
    <cellStyle name="Normal 10 6 2 4 3" xfId="19731"/>
    <cellStyle name="Normal 10 6 2 5" xfId="10513"/>
    <cellStyle name="Normal 10 6 2 6" xfId="16665"/>
    <cellStyle name="Normal 10 6 3" xfId="4977"/>
    <cellStyle name="Normal 10 6 3 2" xfId="6602"/>
    <cellStyle name="Normal 10 6 3 2 2" xfId="9688"/>
    <cellStyle name="Normal 10 6 3 2 2 2" xfId="15881"/>
    <cellStyle name="Normal 10 6 3 2 2 3" xfId="22033"/>
    <cellStyle name="Normal 10 6 3 2 3" xfId="12815"/>
    <cellStyle name="Normal 10 6 3 2 4" xfId="18967"/>
    <cellStyle name="Normal 10 6 3 3" xfId="8153"/>
    <cellStyle name="Normal 10 6 3 3 2" xfId="14347"/>
    <cellStyle name="Normal 10 6 3 3 3" xfId="20499"/>
    <cellStyle name="Normal 10 6 3 4" xfId="11281"/>
    <cellStyle name="Normal 10 6 3 5" xfId="17433"/>
    <cellStyle name="Normal 10 6 4" xfId="5819"/>
    <cellStyle name="Normal 10 6 4 2" xfId="8919"/>
    <cellStyle name="Normal 10 6 4 2 2" xfId="15112"/>
    <cellStyle name="Normal 10 6 4 2 3" xfId="21264"/>
    <cellStyle name="Normal 10 6 4 3" xfId="12046"/>
    <cellStyle name="Normal 10 6 4 4" xfId="18198"/>
    <cellStyle name="Normal 10 6 5" xfId="7384"/>
    <cellStyle name="Normal 10 6 5 2" xfId="13578"/>
    <cellStyle name="Normal 10 6 5 3" xfId="19730"/>
    <cellStyle name="Normal 10 6 6" xfId="10512"/>
    <cellStyle name="Normal 10 6 7" xfId="16664"/>
    <cellStyle name="Normal 10 6 8" xfId="23211"/>
    <cellStyle name="Normal 10 7" xfId="3447"/>
    <cellStyle name="Normal 10 7 2" xfId="3448"/>
    <cellStyle name="Normal 10 7 2 2" xfId="4980"/>
    <cellStyle name="Normal 10 7 2 2 2" xfId="6605"/>
    <cellStyle name="Normal 10 7 2 2 2 2" xfId="9691"/>
    <cellStyle name="Normal 10 7 2 2 2 2 2" xfId="15884"/>
    <cellStyle name="Normal 10 7 2 2 2 2 3" xfId="22036"/>
    <cellStyle name="Normal 10 7 2 2 2 3" xfId="12818"/>
    <cellStyle name="Normal 10 7 2 2 2 4" xfId="18970"/>
    <cellStyle name="Normal 10 7 2 2 3" xfId="8156"/>
    <cellStyle name="Normal 10 7 2 2 3 2" xfId="14350"/>
    <cellStyle name="Normal 10 7 2 2 3 3" xfId="20502"/>
    <cellStyle name="Normal 10 7 2 2 4" xfId="11284"/>
    <cellStyle name="Normal 10 7 2 2 5" xfId="17436"/>
    <cellStyle name="Normal 10 7 2 3" xfId="5822"/>
    <cellStyle name="Normal 10 7 2 3 2" xfId="8922"/>
    <cellStyle name="Normal 10 7 2 3 2 2" xfId="15115"/>
    <cellStyle name="Normal 10 7 2 3 2 3" xfId="21267"/>
    <cellStyle name="Normal 10 7 2 3 3" xfId="12049"/>
    <cellStyle name="Normal 10 7 2 3 4" xfId="18201"/>
    <cellStyle name="Normal 10 7 2 4" xfId="7387"/>
    <cellStyle name="Normal 10 7 2 4 2" xfId="13581"/>
    <cellStyle name="Normal 10 7 2 4 3" xfId="19733"/>
    <cellStyle name="Normal 10 7 2 5" xfId="10515"/>
    <cellStyle name="Normal 10 7 2 6" xfId="16667"/>
    <cellStyle name="Normal 10 7 3" xfId="4979"/>
    <cellStyle name="Normal 10 7 3 2" xfId="6604"/>
    <cellStyle name="Normal 10 7 3 2 2" xfId="9690"/>
    <cellStyle name="Normal 10 7 3 2 2 2" xfId="15883"/>
    <cellStyle name="Normal 10 7 3 2 2 3" xfId="22035"/>
    <cellStyle name="Normal 10 7 3 2 3" xfId="12817"/>
    <cellStyle name="Normal 10 7 3 2 4" xfId="18969"/>
    <cellStyle name="Normal 10 7 3 3" xfId="8155"/>
    <cellStyle name="Normal 10 7 3 3 2" xfId="14349"/>
    <cellStyle name="Normal 10 7 3 3 3" xfId="20501"/>
    <cellStyle name="Normal 10 7 3 4" xfId="11283"/>
    <cellStyle name="Normal 10 7 3 5" xfId="17435"/>
    <cellStyle name="Normal 10 7 4" xfId="5821"/>
    <cellStyle name="Normal 10 7 4 2" xfId="8921"/>
    <cellStyle name="Normal 10 7 4 2 2" xfId="15114"/>
    <cellStyle name="Normal 10 7 4 2 3" xfId="21266"/>
    <cellStyle name="Normal 10 7 4 3" xfId="12048"/>
    <cellStyle name="Normal 10 7 4 4" xfId="18200"/>
    <cellStyle name="Normal 10 7 5" xfId="7386"/>
    <cellStyle name="Normal 10 7 5 2" xfId="13580"/>
    <cellStyle name="Normal 10 7 5 3" xfId="19732"/>
    <cellStyle name="Normal 10 7 6" xfId="10514"/>
    <cellStyle name="Normal 10 7 7" xfId="16666"/>
    <cellStyle name="Normal 10 7 8" xfId="23212"/>
    <cellStyle name="Normal 10 8" xfId="3449"/>
    <cellStyle name="Normal 10 8 2" xfId="3450"/>
    <cellStyle name="Normal 10 8 2 2" xfId="4981"/>
    <cellStyle name="Normal 10 8 2 2 2" xfId="6606"/>
    <cellStyle name="Normal 10 8 2 2 2 2" xfId="9692"/>
    <cellStyle name="Normal 10 8 2 2 2 2 2" xfId="15885"/>
    <cellStyle name="Normal 10 8 2 2 2 2 3" xfId="22037"/>
    <cellStyle name="Normal 10 8 2 2 2 3" xfId="12819"/>
    <cellStyle name="Normal 10 8 2 2 2 4" xfId="18971"/>
    <cellStyle name="Normal 10 8 2 2 3" xfId="8157"/>
    <cellStyle name="Normal 10 8 2 2 3 2" xfId="14351"/>
    <cellStyle name="Normal 10 8 2 2 3 3" xfId="20503"/>
    <cellStyle name="Normal 10 8 2 2 4" xfId="11285"/>
    <cellStyle name="Normal 10 8 2 2 5" xfId="17437"/>
    <cellStyle name="Normal 10 8 2 3" xfId="5823"/>
    <cellStyle name="Normal 10 8 2 3 2" xfId="8923"/>
    <cellStyle name="Normal 10 8 2 3 2 2" xfId="15116"/>
    <cellStyle name="Normal 10 8 2 3 2 3" xfId="21268"/>
    <cellStyle name="Normal 10 8 2 3 3" xfId="12050"/>
    <cellStyle name="Normal 10 8 2 3 4" xfId="18202"/>
    <cellStyle name="Normal 10 8 2 4" xfId="7388"/>
    <cellStyle name="Normal 10 8 2 4 2" xfId="13582"/>
    <cellStyle name="Normal 10 8 2 4 3" xfId="19734"/>
    <cellStyle name="Normal 10 8 2 5" xfId="10516"/>
    <cellStyle name="Normal 10 8 2 6" xfId="16668"/>
    <cellStyle name="Normal 10 9" xfId="3451"/>
    <cellStyle name="Normal 10 9 2" xfId="4982"/>
    <cellStyle name="Normal 10 9 2 2" xfId="6607"/>
    <cellStyle name="Normal 10 9 2 2 2" xfId="9693"/>
    <cellStyle name="Normal 10 9 2 2 2 2" xfId="15886"/>
    <cellStyle name="Normal 10 9 2 2 2 3" xfId="22038"/>
    <cellStyle name="Normal 10 9 2 2 3" xfId="12820"/>
    <cellStyle name="Normal 10 9 2 2 4" xfId="18972"/>
    <cellStyle name="Normal 10 9 2 3" xfId="8158"/>
    <cellStyle name="Normal 10 9 2 3 2" xfId="14352"/>
    <cellStyle name="Normal 10 9 2 3 3" xfId="20504"/>
    <cellStyle name="Normal 10 9 2 4" xfId="11286"/>
    <cellStyle name="Normal 10 9 2 5" xfId="17438"/>
    <cellStyle name="Normal 10 9 3" xfId="5824"/>
    <cellStyle name="Normal 10 9 3 2" xfId="8924"/>
    <cellStyle name="Normal 10 9 3 2 2" xfId="15117"/>
    <cellStyle name="Normal 10 9 3 2 3" xfId="21269"/>
    <cellStyle name="Normal 10 9 3 3" xfId="12051"/>
    <cellStyle name="Normal 10 9 3 4" xfId="18203"/>
    <cellStyle name="Normal 10 9 4" xfId="7389"/>
    <cellStyle name="Normal 10 9 4 2" xfId="13583"/>
    <cellStyle name="Normal 10 9 4 3" xfId="19735"/>
    <cellStyle name="Normal 10 9 5" xfId="10517"/>
    <cellStyle name="Normal 10 9 6" xfId="16669"/>
    <cellStyle name="Normal 11" xfId="20"/>
    <cellStyle name="Normal 11 10" xfId="1285"/>
    <cellStyle name="Normal 11 11" xfId="449"/>
    <cellStyle name="Normal 11 12" xfId="23213"/>
    <cellStyle name="Normal 11 2" xfId="92"/>
    <cellStyle name="Normal 11 2 10" xfId="23214"/>
    <cellStyle name="Normal 11 2 2" xfId="139"/>
    <cellStyle name="Normal 11 2 2 2" xfId="5499"/>
    <cellStyle name="Normal 11 2 2 2 2" xfId="7124"/>
    <cellStyle name="Normal 11 2 2 2 2 2" xfId="10210"/>
    <cellStyle name="Normal 11 2 2 2 2 2 2" xfId="16403"/>
    <cellStyle name="Normal 11 2 2 2 2 2 3" xfId="22555"/>
    <cellStyle name="Normal 11 2 2 2 2 3" xfId="13337"/>
    <cellStyle name="Normal 11 2 2 2 2 4" xfId="19489"/>
    <cellStyle name="Normal 11 2 2 2 3" xfId="8675"/>
    <cellStyle name="Normal 11 2 2 2 3 2" xfId="14869"/>
    <cellStyle name="Normal 11 2 2 2 3 3" xfId="21021"/>
    <cellStyle name="Normal 11 2 2 2 4" xfId="11803"/>
    <cellStyle name="Normal 11 2 2 2 5" xfId="17955"/>
    <cellStyle name="Normal 11 2 2 3" xfId="6355"/>
    <cellStyle name="Normal 11 2 2 3 2" xfId="9441"/>
    <cellStyle name="Normal 11 2 2 3 2 2" xfId="15634"/>
    <cellStyle name="Normal 11 2 2 3 2 3" xfId="21786"/>
    <cellStyle name="Normal 11 2 2 3 3" xfId="12568"/>
    <cellStyle name="Normal 11 2 2 3 4" xfId="18720"/>
    <cellStyle name="Normal 11 2 2 4" xfId="7906"/>
    <cellStyle name="Normal 11 2 2 4 2" xfId="14100"/>
    <cellStyle name="Normal 11 2 2 4 3" xfId="20252"/>
    <cellStyle name="Normal 11 2 2 5" xfId="11034"/>
    <cellStyle name="Normal 11 2 2 6" xfId="17186"/>
    <cellStyle name="Normal 11 2 2 7" xfId="4723"/>
    <cellStyle name="Normal 11 2 3" xfId="3453"/>
    <cellStyle name="Normal 11 2 4" xfId="4758"/>
    <cellStyle name="Normal 11 2 4 2" xfId="6383"/>
    <cellStyle name="Normal 11 2 4 2 2" xfId="9469"/>
    <cellStyle name="Normal 11 2 4 2 2 2" xfId="15662"/>
    <cellStyle name="Normal 11 2 4 2 2 3" xfId="21814"/>
    <cellStyle name="Normal 11 2 4 2 3" xfId="12596"/>
    <cellStyle name="Normal 11 2 4 2 4" xfId="18748"/>
    <cellStyle name="Normal 11 2 4 3" xfId="7934"/>
    <cellStyle name="Normal 11 2 4 3 2" xfId="14128"/>
    <cellStyle name="Normal 11 2 4 3 3" xfId="20280"/>
    <cellStyle name="Normal 11 2 4 4" xfId="11062"/>
    <cellStyle name="Normal 11 2 4 5" xfId="17214"/>
    <cellStyle name="Normal 11 2 5" xfId="5597"/>
    <cellStyle name="Normal 11 2 5 2" xfId="8700"/>
    <cellStyle name="Normal 11 2 5 2 2" xfId="14893"/>
    <cellStyle name="Normal 11 2 5 2 3" xfId="21045"/>
    <cellStyle name="Normal 11 2 5 3" xfId="11827"/>
    <cellStyle name="Normal 11 2 5 4" xfId="17979"/>
    <cellStyle name="Normal 11 2 6" xfId="7165"/>
    <cellStyle name="Normal 11 2 6 2" xfId="13359"/>
    <cellStyle name="Normal 11 2 6 3" xfId="19511"/>
    <cellStyle name="Normal 11 2 7" xfId="10293"/>
    <cellStyle name="Normal 11 2 8" xfId="16445"/>
    <cellStyle name="Normal 11 2 9" xfId="1311"/>
    <cellStyle name="Normal 11 3" xfId="122"/>
    <cellStyle name="Normal 11 3 2" xfId="4984"/>
    <cellStyle name="Normal 11 3 2 2" xfId="6609"/>
    <cellStyle name="Normal 11 3 2 2 2" xfId="9695"/>
    <cellStyle name="Normal 11 3 2 2 2 2" xfId="15888"/>
    <cellStyle name="Normal 11 3 2 2 2 3" xfId="22040"/>
    <cellStyle name="Normal 11 3 2 2 3" xfId="12822"/>
    <cellStyle name="Normal 11 3 2 2 4" xfId="18974"/>
    <cellStyle name="Normal 11 3 2 3" xfId="8160"/>
    <cellStyle name="Normal 11 3 2 3 2" xfId="14354"/>
    <cellStyle name="Normal 11 3 2 3 3" xfId="20506"/>
    <cellStyle name="Normal 11 3 2 4" xfId="11288"/>
    <cellStyle name="Normal 11 3 2 5" xfId="17440"/>
    <cellStyle name="Normal 11 3 3" xfId="5826"/>
    <cellStyle name="Normal 11 3 3 2" xfId="8926"/>
    <cellStyle name="Normal 11 3 3 2 2" xfId="15119"/>
    <cellStyle name="Normal 11 3 3 2 3" xfId="21271"/>
    <cellStyle name="Normal 11 3 3 3" xfId="12053"/>
    <cellStyle name="Normal 11 3 3 4" xfId="18205"/>
    <cellStyle name="Normal 11 3 4" xfId="7391"/>
    <cellStyle name="Normal 11 3 4 2" xfId="13585"/>
    <cellStyle name="Normal 11 3 4 3" xfId="19737"/>
    <cellStyle name="Normal 11 3 5" xfId="10519"/>
    <cellStyle name="Normal 11 3 6" xfId="16671"/>
    <cellStyle name="Normal 11 3 7" xfId="3454"/>
    <cellStyle name="Normal 11 3 8" xfId="23215"/>
    <cellStyle name="Normal 11 4" xfId="109"/>
    <cellStyle name="Normal 11 4 2" xfId="4983"/>
    <cellStyle name="Normal 11 4 2 2" xfId="6608"/>
    <cellStyle name="Normal 11 4 2 2 2" xfId="9694"/>
    <cellStyle name="Normal 11 4 2 2 2 2" xfId="15887"/>
    <cellStyle name="Normal 11 4 2 2 2 3" xfId="22039"/>
    <cellStyle name="Normal 11 4 2 2 3" xfId="12821"/>
    <cellStyle name="Normal 11 4 2 2 4" xfId="18973"/>
    <cellStyle name="Normal 11 4 2 3" xfId="8159"/>
    <cellStyle name="Normal 11 4 2 3 2" xfId="14353"/>
    <cellStyle name="Normal 11 4 2 3 3" xfId="20505"/>
    <cellStyle name="Normal 11 4 2 4" xfId="11287"/>
    <cellStyle name="Normal 11 4 2 5" xfId="17439"/>
    <cellStyle name="Normal 11 4 3" xfId="5825"/>
    <cellStyle name="Normal 11 4 3 2" xfId="8925"/>
    <cellStyle name="Normal 11 4 3 2 2" xfId="15118"/>
    <cellStyle name="Normal 11 4 3 2 3" xfId="21270"/>
    <cellStyle name="Normal 11 4 3 3" xfId="12052"/>
    <cellStyle name="Normal 11 4 3 4" xfId="18204"/>
    <cellStyle name="Normal 11 4 4" xfId="7390"/>
    <cellStyle name="Normal 11 4 4 2" xfId="13584"/>
    <cellStyle name="Normal 11 4 4 3" xfId="19736"/>
    <cellStyle name="Normal 11 4 5" xfId="10518"/>
    <cellStyle name="Normal 11 4 6" xfId="16670"/>
    <cellStyle name="Normal 11 4 7" xfId="3452"/>
    <cellStyle name="Normal 11 4 8" xfId="23216"/>
    <cellStyle name="Normal 11 5" xfId="4747"/>
    <cellStyle name="Normal 11 5 2" xfId="6372"/>
    <cellStyle name="Normal 11 5 2 2" xfId="9458"/>
    <cellStyle name="Normal 11 5 2 2 2" xfId="15651"/>
    <cellStyle name="Normal 11 5 2 2 3" xfId="21803"/>
    <cellStyle name="Normal 11 5 2 3" xfId="12585"/>
    <cellStyle name="Normal 11 5 2 4" xfId="18737"/>
    <cellStyle name="Normal 11 5 3" xfId="7923"/>
    <cellStyle name="Normal 11 5 3 2" xfId="14117"/>
    <cellStyle name="Normal 11 5 3 3" xfId="20269"/>
    <cellStyle name="Normal 11 5 4" xfId="11051"/>
    <cellStyle name="Normal 11 5 5" xfId="17203"/>
    <cellStyle name="Normal 11 5 6" xfId="23217"/>
    <cellStyle name="Normal 11 6" xfId="5585"/>
    <cellStyle name="Normal 11 6 2" xfId="8689"/>
    <cellStyle name="Normal 11 6 2 2" xfId="14882"/>
    <cellStyle name="Normal 11 6 2 3" xfId="21034"/>
    <cellStyle name="Normal 11 6 3" xfId="11816"/>
    <cellStyle name="Normal 11 6 4" xfId="17968"/>
    <cellStyle name="Normal 11 7" xfId="7154"/>
    <cellStyle name="Normal 11 7 2" xfId="13348"/>
    <cellStyle name="Normal 11 7 3" xfId="19500"/>
    <cellStyle name="Normal 11 8" xfId="10282"/>
    <cellStyle name="Normal 11 9" xfId="16434"/>
    <cellStyle name="Normal 12" xfId="51"/>
    <cellStyle name="Normal 12 10" xfId="7392"/>
    <cellStyle name="Normal 12 10 2" xfId="13586"/>
    <cellStyle name="Normal 12 10 3" xfId="19738"/>
    <cellStyle name="Normal 12 11" xfId="10264"/>
    <cellStyle name="Normal 12 11 2" xfId="16426"/>
    <cellStyle name="Normal 12 11 3" xfId="22578"/>
    <cellStyle name="Normal 12 12" xfId="10520"/>
    <cellStyle name="Normal 12 13" xfId="16672"/>
    <cellStyle name="Normal 12 14" xfId="3455"/>
    <cellStyle name="Normal 12 15" xfId="276"/>
    <cellStyle name="Normal 12 16" xfId="23218"/>
    <cellStyle name="Normal 12 2" xfId="102"/>
    <cellStyle name="Normal 12 2 2" xfId="145"/>
    <cellStyle name="Normal 12 2 2 10" xfId="3457"/>
    <cellStyle name="Normal 12 2 2 2" xfId="3458"/>
    <cellStyle name="Normal 12 2 2 2 2" xfId="3459"/>
    <cellStyle name="Normal 12 2 2 2 2 2" xfId="4988"/>
    <cellStyle name="Normal 12 2 2 2 2 2 2" xfId="6613"/>
    <cellStyle name="Normal 12 2 2 2 2 2 2 2" xfId="9699"/>
    <cellStyle name="Normal 12 2 2 2 2 2 2 2 2" xfId="15892"/>
    <cellStyle name="Normal 12 2 2 2 2 2 2 2 3" xfId="22044"/>
    <cellStyle name="Normal 12 2 2 2 2 2 2 3" xfId="12826"/>
    <cellStyle name="Normal 12 2 2 2 2 2 2 4" xfId="18978"/>
    <cellStyle name="Normal 12 2 2 2 2 2 3" xfId="8164"/>
    <cellStyle name="Normal 12 2 2 2 2 2 3 2" xfId="14358"/>
    <cellStyle name="Normal 12 2 2 2 2 2 3 3" xfId="20510"/>
    <cellStyle name="Normal 12 2 2 2 2 2 4" xfId="11292"/>
    <cellStyle name="Normal 12 2 2 2 2 2 5" xfId="17444"/>
    <cellStyle name="Normal 12 2 2 2 2 3" xfId="5830"/>
    <cellStyle name="Normal 12 2 2 2 2 3 2" xfId="8930"/>
    <cellStyle name="Normal 12 2 2 2 2 3 2 2" xfId="15123"/>
    <cellStyle name="Normal 12 2 2 2 2 3 2 3" xfId="21275"/>
    <cellStyle name="Normal 12 2 2 2 2 3 3" xfId="12057"/>
    <cellStyle name="Normal 12 2 2 2 2 3 4" xfId="18209"/>
    <cellStyle name="Normal 12 2 2 2 2 4" xfId="7395"/>
    <cellStyle name="Normal 12 2 2 2 2 4 2" xfId="13589"/>
    <cellStyle name="Normal 12 2 2 2 2 4 3" xfId="19741"/>
    <cellStyle name="Normal 12 2 2 2 2 5" xfId="10523"/>
    <cellStyle name="Normal 12 2 2 2 2 6" xfId="16675"/>
    <cellStyle name="Normal 12 2 2 2 3" xfId="4987"/>
    <cellStyle name="Normal 12 2 2 2 3 2" xfId="6612"/>
    <cellStyle name="Normal 12 2 2 2 3 2 2" xfId="9698"/>
    <cellStyle name="Normal 12 2 2 2 3 2 2 2" xfId="15891"/>
    <cellStyle name="Normal 12 2 2 2 3 2 2 3" xfId="22043"/>
    <cellStyle name="Normal 12 2 2 2 3 2 3" xfId="12825"/>
    <cellStyle name="Normal 12 2 2 2 3 2 4" xfId="18977"/>
    <cellStyle name="Normal 12 2 2 2 3 3" xfId="8163"/>
    <cellStyle name="Normal 12 2 2 2 3 3 2" xfId="14357"/>
    <cellStyle name="Normal 12 2 2 2 3 3 3" xfId="20509"/>
    <cellStyle name="Normal 12 2 2 2 3 4" xfId="11291"/>
    <cellStyle name="Normal 12 2 2 2 3 5" xfId="17443"/>
    <cellStyle name="Normal 12 2 2 2 4" xfId="5829"/>
    <cellStyle name="Normal 12 2 2 2 4 2" xfId="8929"/>
    <cellStyle name="Normal 12 2 2 2 4 2 2" xfId="15122"/>
    <cellStyle name="Normal 12 2 2 2 4 2 3" xfId="21274"/>
    <cellStyle name="Normal 12 2 2 2 4 3" xfId="12056"/>
    <cellStyle name="Normal 12 2 2 2 4 4" xfId="18208"/>
    <cellStyle name="Normal 12 2 2 2 5" xfId="7394"/>
    <cellStyle name="Normal 12 2 2 2 5 2" xfId="13588"/>
    <cellStyle name="Normal 12 2 2 2 5 3" xfId="19740"/>
    <cellStyle name="Normal 12 2 2 2 6" xfId="10522"/>
    <cellStyle name="Normal 12 2 2 2 7" xfId="16674"/>
    <cellStyle name="Normal 12 2 2 3" xfId="3460"/>
    <cellStyle name="Normal 12 2 2 3 2" xfId="3461"/>
    <cellStyle name="Normal 12 2 2 3 2 2" xfId="4990"/>
    <cellStyle name="Normal 12 2 2 3 2 2 2" xfId="6615"/>
    <cellStyle name="Normal 12 2 2 3 2 2 2 2" xfId="9701"/>
    <cellStyle name="Normal 12 2 2 3 2 2 2 2 2" xfId="15894"/>
    <cellStyle name="Normal 12 2 2 3 2 2 2 2 3" xfId="22046"/>
    <cellStyle name="Normal 12 2 2 3 2 2 2 3" xfId="12828"/>
    <cellStyle name="Normal 12 2 2 3 2 2 2 4" xfId="18980"/>
    <cellStyle name="Normal 12 2 2 3 2 2 3" xfId="8166"/>
    <cellStyle name="Normal 12 2 2 3 2 2 3 2" xfId="14360"/>
    <cellStyle name="Normal 12 2 2 3 2 2 3 3" xfId="20512"/>
    <cellStyle name="Normal 12 2 2 3 2 2 4" xfId="11294"/>
    <cellStyle name="Normal 12 2 2 3 2 2 5" xfId="17446"/>
    <cellStyle name="Normal 12 2 2 3 2 3" xfId="5832"/>
    <cellStyle name="Normal 12 2 2 3 2 3 2" xfId="8932"/>
    <cellStyle name="Normal 12 2 2 3 2 3 2 2" xfId="15125"/>
    <cellStyle name="Normal 12 2 2 3 2 3 2 3" xfId="21277"/>
    <cellStyle name="Normal 12 2 2 3 2 3 3" xfId="12059"/>
    <cellStyle name="Normal 12 2 2 3 2 3 4" xfId="18211"/>
    <cellStyle name="Normal 12 2 2 3 2 4" xfId="7397"/>
    <cellStyle name="Normal 12 2 2 3 2 4 2" xfId="13591"/>
    <cellStyle name="Normal 12 2 2 3 2 4 3" xfId="19743"/>
    <cellStyle name="Normal 12 2 2 3 2 5" xfId="10525"/>
    <cellStyle name="Normal 12 2 2 3 2 6" xfId="16677"/>
    <cellStyle name="Normal 12 2 2 3 3" xfId="4989"/>
    <cellStyle name="Normal 12 2 2 3 3 2" xfId="6614"/>
    <cellStyle name="Normal 12 2 2 3 3 2 2" xfId="9700"/>
    <cellStyle name="Normal 12 2 2 3 3 2 2 2" xfId="15893"/>
    <cellStyle name="Normal 12 2 2 3 3 2 2 3" xfId="22045"/>
    <cellStyle name="Normal 12 2 2 3 3 2 3" xfId="12827"/>
    <cellStyle name="Normal 12 2 2 3 3 2 4" xfId="18979"/>
    <cellStyle name="Normal 12 2 2 3 3 3" xfId="8165"/>
    <cellStyle name="Normal 12 2 2 3 3 3 2" xfId="14359"/>
    <cellStyle name="Normal 12 2 2 3 3 3 3" xfId="20511"/>
    <cellStyle name="Normal 12 2 2 3 3 4" xfId="11293"/>
    <cellStyle name="Normal 12 2 2 3 3 5" xfId="17445"/>
    <cellStyle name="Normal 12 2 2 3 4" xfId="5831"/>
    <cellStyle name="Normal 12 2 2 3 4 2" xfId="8931"/>
    <cellStyle name="Normal 12 2 2 3 4 2 2" xfId="15124"/>
    <cellStyle name="Normal 12 2 2 3 4 2 3" xfId="21276"/>
    <cellStyle name="Normal 12 2 2 3 4 3" xfId="12058"/>
    <cellStyle name="Normal 12 2 2 3 4 4" xfId="18210"/>
    <cellStyle name="Normal 12 2 2 3 5" xfId="7396"/>
    <cellStyle name="Normal 12 2 2 3 5 2" xfId="13590"/>
    <cellStyle name="Normal 12 2 2 3 5 3" xfId="19742"/>
    <cellStyle name="Normal 12 2 2 3 6" xfId="10524"/>
    <cellStyle name="Normal 12 2 2 3 7" xfId="16676"/>
    <cellStyle name="Normal 12 2 2 4" xfId="3462"/>
    <cellStyle name="Normal 12 2 2 4 2" xfId="4991"/>
    <cellStyle name="Normal 12 2 2 4 2 2" xfId="6616"/>
    <cellStyle name="Normal 12 2 2 4 2 2 2" xfId="9702"/>
    <cellStyle name="Normal 12 2 2 4 2 2 2 2" xfId="15895"/>
    <cellStyle name="Normal 12 2 2 4 2 2 2 3" xfId="22047"/>
    <cellStyle name="Normal 12 2 2 4 2 2 3" xfId="12829"/>
    <cellStyle name="Normal 12 2 2 4 2 2 4" xfId="18981"/>
    <cellStyle name="Normal 12 2 2 4 2 3" xfId="8167"/>
    <cellStyle name="Normal 12 2 2 4 2 3 2" xfId="14361"/>
    <cellStyle name="Normal 12 2 2 4 2 3 3" xfId="20513"/>
    <cellStyle name="Normal 12 2 2 4 2 4" xfId="11295"/>
    <cellStyle name="Normal 12 2 2 4 2 5" xfId="17447"/>
    <cellStyle name="Normal 12 2 2 4 3" xfId="5833"/>
    <cellStyle name="Normal 12 2 2 4 3 2" xfId="8933"/>
    <cellStyle name="Normal 12 2 2 4 3 2 2" xfId="15126"/>
    <cellStyle name="Normal 12 2 2 4 3 2 3" xfId="21278"/>
    <cellStyle name="Normal 12 2 2 4 3 3" xfId="12060"/>
    <cellStyle name="Normal 12 2 2 4 3 4" xfId="18212"/>
    <cellStyle name="Normal 12 2 2 4 4" xfId="7398"/>
    <cellStyle name="Normal 12 2 2 4 4 2" xfId="13592"/>
    <cellStyle name="Normal 12 2 2 4 4 3" xfId="19744"/>
    <cellStyle name="Normal 12 2 2 4 5" xfId="10526"/>
    <cellStyle name="Normal 12 2 2 4 6" xfId="16678"/>
    <cellStyle name="Normal 12 2 2 5" xfId="4986"/>
    <cellStyle name="Normal 12 2 2 5 2" xfId="6611"/>
    <cellStyle name="Normal 12 2 2 5 2 2" xfId="9697"/>
    <cellStyle name="Normal 12 2 2 5 2 2 2" xfId="15890"/>
    <cellStyle name="Normal 12 2 2 5 2 2 3" xfId="22042"/>
    <cellStyle name="Normal 12 2 2 5 2 3" xfId="12824"/>
    <cellStyle name="Normal 12 2 2 5 2 4" xfId="18976"/>
    <cellStyle name="Normal 12 2 2 5 3" xfId="8162"/>
    <cellStyle name="Normal 12 2 2 5 3 2" xfId="14356"/>
    <cellStyle name="Normal 12 2 2 5 3 3" xfId="20508"/>
    <cellStyle name="Normal 12 2 2 5 4" xfId="11290"/>
    <cellStyle name="Normal 12 2 2 5 5" xfId="17442"/>
    <cellStyle name="Normal 12 2 2 6" xfId="5828"/>
    <cellStyle name="Normal 12 2 2 6 2" xfId="8928"/>
    <cellStyle name="Normal 12 2 2 6 2 2" xfId="15121"/>
    <cellStyle name="Normal 12 2 2 6 2 3" xfId="21273"/>
    <cellStyle name="Normal 12 2 2 6 3" xfId="12055"/>
    <cellStyle name="Normal 12 2 2 6 4" xfId="18207"/>
    <cellStyle name="Normal 12 2 2 7" xfId="7393"/>
    <cellStyle name="Normal 12 2 2 7 2" xfId="13587"/>
    <cellStyle name="Normal 12 2 2 7 3" xfId="19739"/>
    <cellStyle name="Normal 12 2 2 8" xfId="10521"/>
    <cellStyle name="Normal 12 2 2 9" xfId="16673"/>
    <cellStyle name="Normal 12 2 3" xfId="3463"/>
    <cellStyle name="Normal 12 2 3 2" xfId="3464"/>
    <cellStyle name="Normal 12 2 3 2 2" xfId="4993"/>
    <cellStyle name="Normal 12 2 3 2 2 2" xfId="6618"/>
    <cellStyle name="Normal 12 2 3 2 2 2 2" xfId="9704"/>
    <cellStyle name="Normal 12 2 3 2 2 2 2 2" xfId="15897"/>
    <cellStyle name="Normal 12 2 3 2 2 2 2 3" xfId="22049"/>
    <cellStyle name="Normal 12 2 3 2 2 2 3" xfId="12831"/>
    <cellStyle name="Normal 12 2 3 2 2 2 4" xfId="18983"/>
    <cellStyle name="Normal 12 2 3 2 2 3" xfId="8169"/>
    <cellStyle name="Normal 12 2 3 2 2 3 2" xfId="14363"/>
    <cellStyle name="Normal 12 2 3 2 2 3 3" xfId="20515"/>
    <cellStyle name="Normal 12 2 3 2 2 4" xfId="11297"/>
    <cellStyle name="Normal 12 2 3 2 2 5" xfId="17449"/>
    <cellStyle name="Normal 12 2 3 2 3" xfId="5835"/>
    <cellStyle name="Normal 12 2 3 2 3 2" xfId="8935"/>
    <cellStyle name="Normal 12 2 3 2 3 2 2" xfId="15128"/>
    <cellStyle name="Normal 12 2 3 2 3 2 3" xfId="21280"/>
    <cellStyle name="Normal 12 2 3 2 3 3" xfId="12062"/>
    <cellStyle name="Normal 12 2 3 2 3 4" xfId="18214"/>
    <cellStyle name="Normal 12 2 3 2 4" xfId="7400"/>
    <cellStyle name="Normal 12 2 3 2 4 2" xfId="13594"/>
    <cellStyle name="Normal 12 2 3 2 4 3" xfId="19746"/>
    <cellStyle name="Normal 12 2 3 2 5" xfId="10528"/>
    <cellStyle name="Normal 12 2 3 2 6" xfId="16680"/>
    <cellStyle name="Normal 12 2 3 3" xfId="4992"/>
    <cellStyle name="Normal 12 2 3 3 2" xfId="6617"/>
    <cellStyle name="Normal 12 2 3 3 2 2" xfId="9703"/>
    <cellStyle name="Normal 12 2 3 3 2 2 2" xfId="15896"/>
    <cellStyle name="Normal 12 2 3 3 2 2 3" xfId="22048"/>
    <cellStyle name="Normal 12 2 3 3 2 3" xfId="12830"/>
    <cellStyle name="Normal 12 2 3 3 2 4" xfId="18982"/>
    <cellStyle name="Normal 12 2 3 3 3" xfId="8168"/>
    <cellStyle name="Normal 12 2 3 3 3 2" xfId="14362"/>
    <cellStyle name="Normal 12 2 3 3 3 3" xfId="20514"/>
    <cellStyle name="Normal 12 2 3 3 4" xfId="11296"/>
    <cellStyle name="Normal 12 2 3 3 5" xfId="17448"/>
    <cellStyle name="Normal 12 2 3 4" xfId="5834"/>
    <cellStyle name="Normal 12 2 3 4 2" xfId="8934"/>
    <cellStyle name="Normal 12 2 3 4 2 2" xfId="15127"/>
    <cellStyle name="Normal 12 2 3 4 2 3" xfId="21279"/>
    <cellStyle name="Normal 12 2 3 4 3" xfId="12061"/>
    <cellStyle name="Normal 12 2 3 4 4" xfId="18213"/>
    <cellStyle name="Normal 12 2 3 5" xfId="7399"/>
    <cellStyle name="Normal 12 2 3 5 2" xfId="13593"/>
    <cellStyle name="Normal 12 2 3 5 3" xfId="19745"/>
    <cellStyle name="Normal 12 2 3 6" xfId="10527"/>
    <cellStyle name="Normal 12 2 3 7" xfId="16679"/>
    <cellStyle name="Normal 12 2 4" xfId="3465"/>
    <cellStyle name="Normal 12 2 4 2" xfId="3466"/>
    <cellStyle name="Normal 12 2 4 2 2" xfId="4995"/>
    <cellStyle name="Normal 12 2 4 2 2 2" xfId="6620"/>
    <cellStyle name="Normal 12 2 4 2 2 2 2" xfId="9706"/>
    <cellStyle name="Normal 12 2 4 2 2 2 2 2" xfId="15899"/>
    <cellStyle name="Normal 12 2 4 2 2 2 2 3" xfId="22051"/>
    <cellStyle name="Normal 12 2 4 2 2 2 3" xfId="12833"/>
    <cellStyle name="Normal 12 2 4 2 2 2 4" xfId="18985"/>
    <cellStyle name="Normal 12 2 4 2 2 3" xfId="8171"/>
    <cellStyle name="Normal 12 2 4 2 2 3 2" xfId="14365"/>
    <cellStyle name="Normal 12 2 4 2 2 3 3" xfId="20517"/>
    <cellStyle name="Normal 12 2 4 2 2 4" xfId="11299"/>
    <cellStyle name="Normal 12 2 4 2 2 5" xfId="17451"/>
    <cellStyle name="Normal 12 2 4 2 3" xfId="5837"/>
    <cellStyle name="Normal 12 2 4 2 3 2" xfId="8937"/>
    <cellStyle name="Normal 12 2 4 2 3 2 2" xfId="15130"/>
    <cellStyle name="Normal 12 2 4 2 3 2 3" xfId="21282"/>
    <cellStyle name="Normal 12 2 4 2 3 3" xfId="12064"/>
    <cellStyle name="Normal 12 2 4 2 3 4" xfId="18216"/>
    <cellStyle name="Normal 12 2 4 2 4" xfId="7402"/>
    <cellStyle name="Normal 12 2 4 2 4 2" xfId="13596"/>
    <cellStyle name="Normal 12 2 4 2 4 3" xfId="19748"/>
    <cellStyle name="Normal 12 2 4 2 5" xfId="10530"/>
    <cellStyle name="Normal 12 2 4 2 6" xfId="16682"/>
    <cellStyle name="Normal 12 2 4 3" xfId="4994"/>
    <cellStyle name="Normal 12 2 4 3 2" xfId="6619"/>
    <cellStyle name="Normal 12 2 4 3 2 2" xfId="9705"/>
    <cellStyle name="Normal 12 2 4 3 2 2 2" xfId="15898"/>
    <cellStyle name="Normal 12 2 4 3 2 2 3" xfId="22050"/>
    <cellStyle name="Normal 12 2 4 3 2 3" xfId="12832"/>
    <cellStyle name="Normal 12 2 4 3 2 4" xfId="18984"/>
    <cellStyle name="Normal 12 2 4 3 3" xfId="8170"/>
    <cellStyle name="Normal 12 2 4 3 3 2" xfId="14364"/>
    <cellStyle name="Normal 12 2 4 3 3 3" xfId="20516"/>
    <cellStyle name="Normal 12 2 4 3 4" xfId="11298"/>
    <cellStyle name="Normal 12 2 4 3 5" xfId="17450"/>
    <cellStyle name="Normal 12 2 4 4" xfId="5836"/>
    <cellStyle name="Normal 12 2 4 4 2" xfId="8936"/>
    <cellStyle name="Normal 12 2 4 4 2 2" xfId="15129"/>
    <cellStyle name="Normal 12 2 4 4 2 3" xfId="21281"/>
    <cellStyle name="Normal 12 2 4 4 3" xfId="12063"/>
    <cellStyle name="Normal 12 2 4 4 4" xfId="18215"/>
    <cellStyle name="Normal 12 2 4 5" xfId="7401"/>
    <cellStyle name="Normal 12 2 4 5 2" xfId="13595"/>
    <cellStyle name="Normal 12 2 4 5 3" xfId="19747"/>
    <cellStyle name="Normal 12 2 4 6" xfId="10529"/>
    <cellStyle name="Normal 12 2 4 7" xfId="16681"/>
    <cellStyle name="Normal 12 2 5" xfId="3467"/>
    <cellStyle name="Normal 12 2 5 2" xfId="3468"/>
    <cellStyle name="Normal 12 2 5 2 2" xfId="4996"/>
    <cellStyle name="Normal 12 2 5 2 2 2" xfId="6621"/>
    <cellStyle name="Normal 12 2 5 2 2 2 2" xfId="9707"/>
    <cellStyle name="Normal 12 2 5 2 2 2 2 2" xfId="15900"/>
    <cellStyle name="Normal 12 2 5 2 2 2 2 3" xfId="22052"/>
    <cellStyle name="Normal 12 2 5 2 2 2 3" xfId="12834"/>
    <cellStyle name="Normal 12 2 5 2 2 2 4" xfId="18986"/>
    <cellStyle name="Normal 12 2 5 2 2 3" xfId="8172"/>
    <cellStyle name="Normal 12 2 5 2 2 3 2" xfId="14366"/>
    <cellStyle name="Normal 12 2 5 2 2 3 3" xfId="20518"/>
    <cellStyle name="Normal 12 2 5 2 2 4" xfId="11300"/>
    <cellStyle name="Normal 12 2 5 2 2 5" xfId="17452"/>
    <cellStyle name="Normal 12 2 5 2 3" xfId="5838"/>
    <cellStyle name="Normal 12 2 5 2 3 2" xfId="8938"/>
    <cellStyle name="Normal 12 2 5 2 3 2 2" xfId="15131"/>
    <cellStyle name="Normal 12 2 5 2 3 2 3" xfId="21283"/>
    <cellStyle name="Normal 12 2 5 2 3 3" xfId="12065"/>
    <cellStyle name="Normal 12 2 5 2 3 4" xfId="18217"/>
    <cellStyle name="Normal 12 2 5 2 4" xfId="7403"/>
    <cellStyle name="Normal 12 2 5 2 4 2" xfId="13597"/>
    <cellStyle name="Normal 12 2 5 2 4 3" xfId="19749"/>
    <cellStyle name="Normal 12 2 5 2 5" xfId="10531"/>
    <cellStyle name="Normal 12 2 5 2 6" xfId="16683"/>
    <cellStyle name="Normal 12 2 6" xfId="3469"/>
    <cellStyle name="Normal 12 2 6 2" xfId="4997"/>
    <cellStyle name="Normal 12 2 6 2 2" xfId="6622"/>
    <cellStyle name="Normal 12 2 6 2 2 2" xfId="9708"/>
    <cellStyle name="Normal 12 2 6 2 2 2 2" xfId="15901"/>
    <cellStyle name="Normal 12 2 6 2 2 2 3" xfId="22053"/>
    <cellStyle name="Normal 12 2 6 2 2 3" xfId="12835"/>
    <cellStyle name="Normal 12 2 6 2 2 4" xfId="18987"/>
    <cellStyle name="Normal 12 2 6 2 3" xfId="8173"/>
    <cellStyle name="Normal 12 2 6 2 3 2" xfId="14367"/>
    <cellStyle name="Normal 12 2 6 2 3 3" xfId="20519"/>
    <cellStyle name="Normal 12 2 6 2 4" xfId="11301"/>
    <cellStyle name="Normal 12 2 6 2 5" xfId="17453"/>
    <cellStyle name="Normal 12 2 6 3" xfId="5839"/>
    <cellStyle name="Normal 12 2 6 3 2" xfId="8939"/>
    <cellStyle name="Normal 12 2 6 3 2 2" xfId="15132"/>
    <cellStyle name="Normal 12 2 6 3 2 3" xfId="21284"/>
    <cellStyle name="Normal 12 2 6 3 3" xfId="12066"/>
    <cellStyle name="Normal 12 2 6 3 4" xfId="18218"/>
    <cellStyle name="Normal 12 2 6 4" xfId="7404"/>
    <cellStyle name="Normal 12 2 6 4 2" xfId="13598"/>
    <cellStyle name="Normal 12 2 6 4 3" xfId="19750"/>
    <cellStyle name="Normal 12 2 6 5" xfId="10532"/>
    <cellStyle name="Normal 12 2 6 6" xfId="16684"/>
    <cellStyle name="Normal 12 2 7" xfId="3456"/>
    <cellStyle name="Normal 12 2 8" xfId="23219"/>
    <cellStyle name="Normal 12 3" xfId="130"/>
    <cellStyle name="Normal 12 3 10" xfId="3470"/>
    <cellStyle name="Normal 12 3 11" xfId="23220"/>
    <cellStyle name="Normal 12 3 2" xfId="3471"/>
    <cellStyle name="Normal 12 3 2 2" xfId="3472"/>
    <cellStyle name="Normal 12 3 2 2 2" xfId="5000"/>
    <cellStyle name="Normal 12 3 2 2 2 2" xfId="6625"/>
    <cellStyle name="Normal 12 3 2 2 2 2 2" xfId="9711"/>
    <cellStyle name="Normal 12 3 2 2 2 2 2 2" xfId="15904"/>
    <cellStyle name="Normal 12 3 2 2 2 2 2 3" xfId="22056"/>
    <cellStyle name="Normal 12 3 2 2 2 2 3" xfId="12838"/>
    <cellStyle name="Normal 12 3 2 2 2 2 4" xfId="18990"/>
    <cellStyle name="Normal 12 3 2 2 2 3" xfId="8176"/>
    <cellStyle name="Normal 12 3 2 2 2 3 2" xfId="14370"/>
    <cellStyle name="Normal 12 3 2 2 2 3 3" xfId="20522"/>
    <cellStyle name="Normal 12 3 2 2 2 4" xfId="11304"/>
    <cellStyle name="Normal 12 3 2 2 2 5" xfId="17456"/>
    <cellStyle name="Normal 12 3 2 2 3" xfId="5842"/>
    <cellStyle name="Normal 12 3 2 2 3 2" xfId="8942"/>
    <cellStyle name="Normal 12 3 2 2 3 2 2" xfId="15135"/>
    <cellStyle name="Normal 12 3 2 2 3 2 3" xfId="21287"/>
    <cellStyle name="Normal 12 3 2 2 3 3" xfId="12069"/>
    <cellStyle name="Normal 12 3 2 2 3 4" xfId="18221"/>
    <cellStyle name="Normal 12 3 2 2 4" xfId="7407"/>
    <cellStyle name="Normal 12 3 2 2 4 2" xfId="13601"/>
    <cellStyle name="Normal 12 3 2 2 4 3" xfId="19753"/>
    <cellStyle name="Normal 12 3 2 2 5" xfId="10535"/>
    <cellStyle name="Normal 12 3 2 2 6" xfId="16687"/>
    <cellStyle name="Normal 12 3 2 3" xfId="4999"/>
    <cellStyle name="Normal 12 3 2 3 2" xfId="6624"/>
    <cellStyle name="Normal 12 3 2 3 2 2" xfId="9710"/>
    <cellStyle name="Normal 12 3 2 3 2 2 2" xfId="15903"/>
    <cellStyle name="Normal 12 3 2 3 2 2 3" xfId="22055"/>
    <cellStyle name="Normal 12 3 2 3 2 3" xfId="12837"/>
    <cellStyle name="Normal 12 3 2 3 2 4" xfId="18989"/>
    <cellStyle name="Normal 12 3 2 3 3" xfId="8175"/>
    <cellStyle name="Normal 12 3 2 3 3 2" xfId="14369"/>
    <cellStyle name="Normal 12 3 2 3 3 3" xfId="20521"/>
    <cellStyle name="Normal 12 3 2 3 4" xfId="11303"/>
    <cellStyle name="Normal 12 3 2 3 5" xfId="17455"/>
    <cellStyle name="Normal 12 3 2 4" xfId="5841"/>
    <cellStyle name="Normal 12 3 2 4 2" xfId="8941"/>
    <cellStyle name="Normal 12 3 2 4 2 2" xfId="15134"/>
    <cellStyle name="Normal 12 3 2 4 2 3" xfId="21286"/>
    <cellStyle name="Normal 12 3 2 4 3" xfId="12068"/>
    <cellStyle name="Normal 12 3 2 4 4" xfId="18220"/>
    <cellStyle name="Normal 12 3 2 5" xfId="7406"/>
    <cellStyle name="Normal 12 3 2 5 2" xfId="13600"/>
    <cellStyle name="Normal 12 3 2 5 3" xfId="19752"/>
    <cellStyle name="Normal 12 3 2 6" xfId="10534"/>
    <cellStyle name="Normal 12 3 2 7" xfId="16686"/>
    <cellStyle name="Normal 12 3 3" xfId="3473"/>
    <cellStyle name="Normal 12 3 3 2" xfId="3474"/>
    <cellStyle name="Normal 12 3 3 2 2" xfId="5002"/>
    <cellStyle name="Normal 12 3 3 2 2 2" xfId="6627"/>
    <cellStyle name="Normal 12 3 3 2 2 2 2" xfId="9713"/>
    <cellStyle name="Normal 12 3 3 2 2 2 2 2" xfId="15906"/>
    <cellStyle name="Normal 12 3 3 2 2 2 2 3" xfId="22058"/>
    <cellStyle name="Normal 12 3 3 2 2 2 3" xfId="12840"/>
    <cellStyle name="Normal 12 3 3 2 2 2 4" xfId="18992"/>
    <cellStyle name="Normal 12 3 3 2 2 3" xfId="8178"/>
    <cellStyle name="Normal 12 3 3 2 2 3 2" xfId="14372"/>
    <cellStyle name="Normal 12 3 3 2 2 3 3" xfId="20524"/>
    <cellStyle name="Normal 12 3 3 2 2 4" xfId="11306"/>
    <cellStyle name="Normal 12 3 3 2 2 5" xfId="17458"/>
    <cellStyle name="Normal 12 3 3 2 3" xfId="5844"/>
    <cellStyle name="Normal 12 3 3 2 3 2" xfId="8944"/>
    <cellStyle name="Normal 12 3 3 2 3 2 2" xfId="15137"/>
    <cellStyle name="Normal 12 3 3 2 3 2 3" xfId="21289"/>
    <cellStyle name="Normal 12 3 3 2 3 3" xfId="12071"/>
    <cellStyle name="Normal 12 3 3 2 3 4" xfId="18223"/>
    <cellStyle name="Normal 12 3 3 2 4" xfId="7409"/>
    <cellStyle name="Normal 12 3 3 2 4 2" xfId="13603"/>
    <cellStyle name="Normal 12 3 3 2 4 3" xfId="19755"/>
    <cellStyle name="Normal 12 3 3 2 5" xfId="10537"/>
    <cellStyle name="Normal 12 3 3 2 6" xfId="16689"/>
    <cellStyle name="Normal 12 3 3 3" xfId="5001"/>
    <cellStyle name="Normal 12 3 3 3 2" xfId="6626"/>
    <cellStyle name="Normal 12 3 3 3 2 2" xfId="9712"/>
    <cellStyle name="Normal 12 3 3 3 2 2 2" xfId="15905"/>
    <cellStyle name="Normal 12 3 3 3 2 2 3" xfId="22057"/>
    <cellStyle name="Normal 12 3 3 3 2 3" xfId="12839"/>
    <cellStyle name="Normal 12 3 3 3 2 4" xfId="18991"/>
    <cellStyle name="Normal 12 3 3 3 3" xfId="8177"/>
    <cellStyle name="Normal 12 3 3 3 3 2" xfId="14371"/>
    <cellStyle name="Normal 12 3 3 3 3 3" xfId="20523"/>
    <cellStyle name="Normal 12 3 3 3 4" xfId="11305"/>
    <cellStyle name="Normal 12 3 3 3 5" xfId="17457"/>
    <cellStyle name="Normal 12 3 3 4" xfId="5843"/>
    <cellStyle name="Normal 12 3 3 4 2" xfId="8943"/>
    <cellStyle name="Normal 12 3 3 4 2 2" xfId="15136"/>
    <cellStyle name="Normal 12 3 3 4 2 3" xfId="21288"/>
    <cellStyle name="Normal 12 3 3 4 3" xfId="12070"/>
    <cellStyle name="Normal 12 3 3 4 4" xfId="18222"/>
    <cellStyle name="Normal 12 3 3 5" xfId="7408"/>
    <cellStyle name="Normal 12 3 3 5 2" xfId="13602"/>
    <cellStyle name="Normal 12 3 3 5 3" xfId="19754"/>
    <cellStyle name="Normal 12 3 3 6" xfId="10536"/>
    <cellStyle name="Normal 12 3 3 7" xfId="16688"/>
    <cellStyle name="Normal 12 3 4" xfId="3475"/>
    <cellStyle name="Normal 12 3 4 2" xfId="5003"/>
    <cellStyle name="Normal 12 3 4 2 2" xfId="6628"/>
    <cellStyle name="Normal 12 3 4 2 2 2" xfId="9714"/>
    <cellStyle name="Normal 12 3 4 2 2 2 2" xfId="15907"/>
    <cellStyle name="Normal 12 3 4 2 2 2 3" xfId="22059"/>
    <cellStyle name="Normal 12 3 4 2 2 3" xfId="12841"/>
    <cellStyle name="Normal 12 3 4 2 2 4" xfId="18993"/>
    <cellStyle name="Normal 12 3 4 2 3" xfId="8179"/>
    <cellStyle name="Normal 12 3 4 2 3 2" xfId="14373"/>
    <cellStyle name="Normal 12 3 4 2 3 3" xfId="20525"/>
    <cellStyle name="Normal 12 3 4 2 4" xfId="11307"/>
    <cellStyle name="Normal 12 3 4 2 5" xfId="17459"/>
    <cellStyle name="Normal 12 3 4 3" xfId="5845"/>
    <cellStyle name="Normal 12 3 4 3 2" xfId="8945"/>
    <cellStyle name="Normal 12 3 4 3 2 2" xfId="15138"/>
    <cellStyle name="Normal 12 3 4 3 2 3" xfId="21290"/>
    <cellStyle name="Normal 12 3 4 3 3" xfId="12072"/>
    <cellStyle name="Normal 12 3 4 3 4" xfId="18224"/>
    <cellStyle name="Normal 12 3 4 4" xfId="7410"/>
    <cellStyle name="Normal 12 3 4 4 2" xfId="13604"/>
    <cellStyle name="Normal 12 3 4 4 3" xfId="19756"/>
    <cellStyle name="Normal 12 3 4 5" xfId="10538"/>
    <cellStyle name="Normal 12 3 4 6" xfId="16690"/>
    <cellStyle name="Normal 12 3 5" xfId="4998"/>
    <cellStyle name="Normal 12 3 5 2" xfId="6623"/>
    <cellStyle name="Normal 12 3 5 2 2" xfId="9709"/>
    <cellStyle name="Normal 12 3 5 2 2 2" xfId="15902"/>
    <cellStyle name="Normal 12 3 5 2 2 3" xfId="22054"/>
    <cellStyle name="Normal 12 3 5 2 3" xfId="12836"/>
    <cellStyle name="Normal 12 3 5 2 4" xfId="18988"/>
    <cellStyle name="Normal 12 3 5 3" xfId="8174"/>
    <cellStyle name="Normal 12 3 5 3 2" xfId="14368"/>
    <cellStyle name="Normal 12 3 5 3 3" xfId="20520"/>
    <cellStyle name="Normal 12 3 5 4" xfId="11302"/>
    <cellStyle name="Normal 12 3 5 5" xfId="17454"/>
    <cellStyle name="Normal 12 3 6" xfId="5840"/>
    <cellStyle name="Normal 12 3 6 2" xfId="8940"/>
    <cellStyle name="Normal 12 3 6 2 2" xfId="15133"/>
    <cellStyle name="Normal 12 3 6 2 3" xfId="21285"/>
    <cellStyle name="Normal 12 3 6 3" xfId="12067"/>
    <cellStyle name="Normal 12 3 6 4" xfId="18219"/>
    <cellStyle name="Normal 12 3 7" xfId="7405"/>
    <cellStyle name="Normal 12 3 7 2" xfId="13599"/>
    <cellStyle name="Normal 12 3 7 3" xfId="19751"/>
    <cellStyle name="Normal 12 3 8" xfId="10533"/>
    <cellStyle name="Normal 12 3 9" xfId="16685"/>
    <cellStyle name="Normal 12 4" xfId="115"/>
    <cellStyle name="Normal 12 4 10" xfId="3476"/>
    <cellStyle name="Normal 12 4 11" xfId="23221"/>
    <cellStyle name="Normal 12 4 2" xfId="3477"/>
    <cellStyle name="Normal 12 4 2 2" xfId="3478"/>
    <cellStyle name="Normal 12 4 2 2 2" xfId="5006"/>
    <cellStyle name="Normal 12 4 2 2 2 2" xfId="6631"/>
    <cellStyle name="Normal 12 4 2 2 2 2 2" xfId="9717"/>
    <cellStyle name="Normal 12 4 2 2 2 2 2 2" xfId="15910"/>
    <cellStyle name="Normal 12 4 2 2 2 2 2 3" xfId="22062"/>
    <cellStyle name="Normal 12 4 2 2 2 2 3" xfId="12844"/>
    <cellStyle name="Normal 12 4 2 2 2 2 4" xfId="18996"/>
    <cellStyle name="Normal 12 4 2 2 2 3" xfId="8182"/>
    <cellStyle name="Normal 12 4 2 2 2 3 2" xfId="14376"/>
    <cellStyle name="Normal 12 4 2 2 2 3 3" xfId="20528"/>
    <cellStyle name="Normal 12 4 2 2 2 4" xfId="11310"/>
    <cellStyle name="Normal 12 4 2 2 2 5" xfId="17462"/>
    <cellStyle name="Normal 12 4 2 2 3" xfId="5848"/>
    <cellStyle name="Normal 12 4 2 2 3 2" xfId="8948"/>
    <cellStyle name="Normal 12 4 2 2 3 2 2" xfId="15141"/>
    <cellStyle name="Normal 12 4 2 2 3 2 3" xfId="21293"/>
    <cellStyle name="Normal 12 4 2 2 3 3" xfId="12075"/>
    <cellStyle name="Normal 12 4 2 2 3 4" xfId="18227"/>
    <cellStyle name="Normal 12 4 2 2 4" xfId="7413"/>
    <cellStyle name="Normal 12 4 2 2 4 2" xfId="13607"/>
    <cellStyle name="Normal 12 4 2 2 4 3" xfId="19759"/>
    <cellStyle name="Normal 12 4 2 2 5" xfId="10541"/>
    <cellStyle name="Normal 12 4 2 2 6" xfId="16693"/>
    <cellStyle name="Normal 12 4 2 3" xfId="5005"/>
    <cellStyle name="Normal 12 4 2 3 2" xfId="6630"/>
    <cellStyle name="Normal 12 4 2 3 2 2" xfId="9716"/>
    <cellStyle name="Normal 12 4 2 3 2 2 2" xfId="15909"/>
    <cellStyle name="Normal 12 4 2 3 2 2 3" xfId="22061"/>
    <cellStyle name="Normal 12 4 2 3 2 3" xfId="12843"/>
    <cellStyle name="Normal 12 4 2 3 2 4" xfId="18995"/>
    <cellStyle name="Normal 12 4 2 3 3" xfId="8181"/>
    <cellStyle name="Normal 12 4 2 3 3 2" xfId="14375"/>
    <cellStyle name="Normal 12 4 2 3 3 3" xfId="20527"/>
    <cellStyle name="Normal 12 4 2 3 4" xfId="11309"/>
    <cellStyle name="Normal 12 4 2 3 5" xfId="17461"/>
    <cellStyle name="Normal 12 4 2 4" xfId="5847"/>
    <cellStyle name="Normal 12 4 2 4 2" xfId="8947"/>
    <cellStyle name="Normal 12 4 2 4 2 2" xfId="15140"/>
    <cellStyle name="Normal 12 4 2 4 2 3" xfId="21292"/>
    <cellStyle name="Normal 12 4 2 4 3" xfId="12074"/>
    <cellStyle name="Normal 12 4 2 4 4" xfId="18226"/>
    <cellStyle name="Normal 12 4 2 5" xfId="7412"/>
    <cellStyle name="Normal 12 4 2 5 2" xfId="13606"/>
    <cellStyle name="Normal 12 4 2 5 3" xfId="19758"/>
    <cellStyle name="Normal 12 4 2 6" xfId="10540"/>
    <cellStyle name="Normal 12 4 2 7" xfId="16692"/>
    <cellStyle name="Normal 12 4 3" xfId="3479"/>
    <cellStyle name="Normal 12 4 3 2" xfId="3480"/>
    <cellStyle name="Normal 12 4 3 2 2" xfId="5008"/>
    <cellStyle name="Normal 12 4 3 2 2 2" xfId="6633"/>
    <cellStyle name="Normal 12 4 3 2 2 2 2" xfId="9719"/>
    <cellStyle name="Normal 12 4 3 2 2 2 2 2" xfId="15912"/>
    <cellStyle name="Normal 12 4 3 2 2 2 2 3" xfId="22064"/>
    <cellStyle name="Normal 12 4 3 2 2 2 3" xfId="12846"/>
    <cellStyle name="Normal 12 4 3 2 2 2 4" xfId="18998"/>
    <cellStyle name="Normal 12 4 3 2 2 3" xfId="8184"/>
    <cellStyle name="Normal 12 4 3 2 2 3 2" xfId="14378"/>
    <cellStyle name="Normal 12 4 3 2 2 3 3" xfId="20530"/>
    <cellStyle name="Normal 12 4 3 2 2 4" xfId="11312"/>
    <cellStyle name="Normal 12 4 3 2 2 5" xfId="17464"/>
    <cellStyle name="Normal 12 4 3 2 3" xfId="5850"/>
    <cellStyle name="Normal 12 4 3 2 3 2" xfId="8950"/>
    <cellStyle name="Normal 12 4 3 2 3 2 2" xfId="15143"/>
    <cellStyle name="Normal 12 4 3 2 3 2 3" xfId="21295"/>
    <cellStyle name="Normal 12 4 3 2 3 3" xfId="12077"/>
    <cellStyle name="Normal 12 4 3 2 3 4" xfId="18229"/>
    <cellStyle name="Normal 12 4 3 2 4" xfId="7415"/>
    <cellStyle name="Normal 12 4 3 2 4 2" xfId="13609"/>
    <cellStyle name="Normal 12 4 3 2 4 3" xfId="19761"/>
    <cellStyle name="Normal 12 4 3 2 5" xfId="10543"/>
    <cellStyle name="Normal 12 4 3 2 6" xfId="16695"/>
    <cellStyle name="Normal 12 4 3 3" xfId="5007"/>
    <cellStyle name="Normal 12 4 3 3 2" xfId="6632"/>
    <cellStyle name="Normal 12 4 3 3 2 2" xfId="9718"/>
    <cellStyle name="Normal 12 4 3 3 2 2 2" xfId="15911"/>
    <cellStyle name="Normal 12 4 3 3 2 2 3" xfId="22063"/>
    <cellStyle name="Normal 12 4 3 3 2 3" xfId="12845"/>
    <cellStyle name="Normal 12 4 3 3 2 4" xfId="18997"/>
    <cellStyle name="Normal 12 4 3 3 3" xfId="8183"/>
    <cellStyle name="Normal 12 4 3 3 3 2" xfId="14377"/>
    <cellStyle name="Normal 12 4 3 3 3 3" xfId="20529"/>
    <cellStyle name="Normal 12 4 3 3 4" xfId="11311"/>
    <cellStyle name="Normal 12 4 3 3 5" xfId="17463"/>
    <cellStyle name="Normal 12 4 3 4" xfId="5849"/>
    <cellStyle name="Normal 12 4 3 4 2" xfId="8949"/>
    <cellStyle name="Normal 12 4 3 4 2 2" xfId="15142"/>
    <cellStyle name="Normal 12 4 3 4 2 3" xfId="21294"/>
    <cellStyle name="Normal 12 4 3 4 3" xfId="12076"/>
    <cellStyle name="Normal 12 4 3 4 4" xfId="18228"/>
    <cellStyle name="Normal 12 4 3 5" xfId="7414"/>
    <cellStyle name="Normal 12 4 3 5 2" xfId="13608"/>
    <cellStyle name="Normal 12 4 3 5 3" xfId="19760"/>
    <cellStyle name="Normal 12 4 3 6" xfId="10542"/>
    <cellStyle name="Normal 12 4 3 7" xfId="16694"/>
    <cellStyle name="Normal 12 4 4" xfId="3481"/>
    <cellStyle name="Normal 12 4 4 2" xfId="5009"/>
    <cellStyle name="Normal 12 4 4 2 2" xfId="6634"/>
    <cellStyle name="Normal 12 4 4 2 2 2" xfId="9720"/>
    <cellStyle name="Normal 12 4 4 2 2 2 2" xfId="15913"/>
    <cellStyle name="Normal 12 4 4 2 2 2 3" xfId="22065"/>
    <cellStyle name="Normal 12 4 4 2 2 3" xfId="12847"/>
    <cellStyle name="Normal 12 4 4 2 2 4" xfId="18999"/>
    <cellStyle name="Normal 12 4 4 2 3" xfId="8185"/>
    <cellStyle name="Normal 12 4 4 2 3 2" xfId="14379"/>
    <cellStyle name="Normal 12 4 4 2 3 3" xfId="20531"/>
    <cellStyle name="Normal 12 4 4 2 4" xfId="11313"/>
    <cellStyle name="Normal 12 4 4 2 5" xfId="17465"/>
    <cellStyle name="Normal 12 4 4 3" xfId="5851"/>
    <cellStyle name="Normal 12 4 4 3 2" xfId="8951"/>
    <cellStyle name="Normal 12 4 4 3 2 2" xfId="15144"/>
    <cellStyle name="Normal 12 4 4 3 2 3" xfId="21296"/>
    <cellStyle name="Normal 12 4 4 3 3" xfId="12078"/>
    <cellStyle name="Normal 12 4 4 3 4" xfId="18230"/>
    <cellStyle name="Normal 12 4 4 4" xfId="7416"/>
    <cellStyle name="Normal 12 4 4 4 2" xfId="13610"/>
    <cellStyle name="Normal 12 4 4 4 3" xfId="19762"/>
    <cellStyle name="Normal 12 4 4 5" xfId="10544"/>
    <cellStyle name="Normal 12 4 4 6" xfId="16696"/>
    <cellStyle name="Normal 12 4 5" xfId="5004"/>
    <cellStyle name="Normal 12 4 5 2" xfId="6629"/>
    <cellStyle name="Normal 12 4 5 2 2" xfId="9715"/>
    <cellStyle name="Normal 12 4 5 2 2 2" xfId="15908"/>
    <cellStyle name="Normal 12 4 5 2 2 3" xfId="22060"/>
    <cellStyle name="Normal 12 4 5 2 3" xfId="12842"/>
    <cellStyle name="Normal 12 4 5 2 4" xfId="18994"/>
    <cellStyle name="Normal 12 4 5 3" xfId="8180"/>
    <cellStyle name="Normal 12 4 5 3 2" xfId="14374"/>
    <cellStyle name="Normal 12 4 5 3 3" xfId="20526"/>
    <cellStyle name="Normal 12 4 5 4" xfId="11308"/>
    <cellStyle name="Normal 12 4 5 5" xfId="17460"/>
    <cellStyle name="Normal 12 4 6" xfId="5846"/>
    <cellStyle name="Normal 12 4 6 2" xfId="8946"/>
    <cellStyle name="Normal 12 4 6 2 2" xfId="15139"/>
    <cellStyle name="Normal 12 4 6 2 3" xfId="21291"/>
    <cellStyle name="Normal 12 4 6 3" xfId="12073"/>
    <cellStyle name="Normal 12 4 6 4" xfId="18225"/>
    <cellStyle name="Normal 12 4 7" xfId="7411"/>
    <cellStyle name="Normal 12 4 7 2" xfId="13605"/>
    <cellStyle name="Normal 12 4 7 3" xfId="19757"/>
    <cellStyle name="Normal 12 4 8" xfId="10539"/>
    <cellStyle name="Normal 12 4 9" xfId="16691"/>
    <cellStyle name="Normal 12 5" xfId="3482"/>
    <cellStyle name="Normal 12 5 2" xfId="3483"/>
    <cellStyle name="Normal 12 5 2 2" xfId="5011"/>
    <cellStyle name="Normal 12 5 2 2 2" xfId="6636"/>
    <cellStyle name="Normal 12 5 2 2 2 2" xfId="9722"/>
    <cellStyle name="Normal 12 5 2 2 2 2 2" xfId="15915"/>
    <cellStyle name="Normal 12 5 2 2 2 2 3" xfId="22067"/>
    <cellStyle name="Normal 12 5 2 2 2 3" xfId="12849"/>
    <cellStyle name="Normal 12 5 2 2 2 4" xfId="19001"/>
    <cellStyle name="Normal 12 5 2 2 3" xfId="8187"/>
    <cellStyle name="Normal 12 5 2 2 3 2" xfId="14381"/>
    <cellStyle name="Normal 12 5 2 2 3 3" xfId="20533"/>
    <cellStyle name="Normal 12 5 2 2 4" xfId="11315"/>
    <cellStyle name="Normal 12 5 2 2 5" xfId="17467"/>
    <cellStyle name="Normal 12 5 2 3" xfId="5853"/>
    <cellStyle name="Normal 12 5 2 3 2" xfId="8953"/>
    <cellStyle name="Normal 12 5 2 3 2 2" xfId="15146"/>
    <cellStyle name="Normal 12 5 2 3 2 3" xfId="21298"/>
    <cellStyle name="Normal 12 5 2 3 3" xfId="12080"/>
    <cellStyle name="Normal 12 5 2 3 4" xfId="18232"/>
    <cellStyle name="Normal 12 5 2 4" xfId="7418"/>
    <cellStyle name="Normal 12 5 2 4 2" xfId="13612"/>
    <cellStyle name="Normal 12 5 2 4 3" xfId="19764"/>
    <cellStyle name="Normal 12 5 2 5" xfId="10546"/>
    <cellStyle name="Normal 12 5 2 6" xfId="16698"/>
    <cellStyle name="Normal 12 5 3" xfId="5010"/>
    <cellStyle name="Normal 12 5 3 2" xfId="6635"/>
    <cellStyle name="Normal 12 5 3 2 2" xfId="9721"/>
    <cellStyle name="Normal 12 5 3 2 2 2" xfId="15914"/>
    <cellStyle name="Normal 12 5 3 2 2 3" xfId="22066"/>
    <cellStyle name="Normal 12 5 3 2 3" xfId="12848"/>
    <cellStyle name="Normal 12 5 3 2 4" xfId="19000"/>
    <cellStyle name="Normal 12 5 3 3" xfId="8186"/>
    <cellStyle name="Normal 12 5 3 3 2" xfId="14380"/>
    <cellStyle name="Normal 12 5 3 3 3" xfId="20532"/>
    <cellStyle name="Normal 12 5 3 4" xfId="11314"/>
    <cellStyle name="Normal 12 5 3 5" xfId="17466"/>
    <cellStyle name="Normal 12 5 4" xfId="5852"/>
    <cellStyle name="Normal 12 5 4 2" xfId="8952"/>
    <cellStyle name="Normal 12 5 4 2 2" xfId="15145"/>
    <cellStyle name="Normal 12 5 4 2 3" xfId="21297"/>
    <cellStyle name="Normal 12 5 4 3" xfId="12079"/>
    <cellStyle name="Normal 12 5 4 4" xfId="18231"/>
    <cellStyle name="Normal 12 5 5" xfId="7417"/>
    <cellStyle name="Normal 12 5 5 2" xfId="13611"/>
    <cellStyle name="Normal 12 5 5 3" xfId="19763"/>
    <cellStyle name="Normal 12 5 6" xfId="10545"/>
    <cellStyle name="Normal 12 5 7" xfId="16697"/>
    <cellStyle name="Normal 12 5 8" xfId="23222"/>
    <cellStyle name="Normal 12 6" xfId="3484"/>
    <cellStyle name="Normal 12 6 2" xfId="3485"/>
    <cellStyle name="Normal 12 6 2 2" xfId="5013"/>
    <cellStyle name="Normal 12 6 2 2 2" xfId="6638"/>
    <cellStyle name="Normal 12 6 2 2 2 2" xfId="9724"/>
    <cellStyle name="Normal 12 6 2 2 2 2 2" xfId="15917"/>
    <cellStyle name="Normal 12 6 2 2 2 2 3" xfId="22069"/>
    <cellStyle name="Normal 12 6 2 2 2 3" xfId="12851"/>
    <cellStyle name="Normal 12 6 2 2 2 4" xfId="19003"/>
    <cellStyle name="Normal 12 6 2 2 3" xfId="8189"/>
    <cellStyle name="Normal 12 6 2 2 3 2" xfId="14383"/>
    <cellStyle name="Normal 12 6 2 2 3 3" xfId="20535"/>
    <cellStyle name="Normal 12 6 2 2 4" xfId="11317"/>
    <cellStyle name="Normal 12 6 2 2 5" xfId="17469"/>
    <cellStyle name="Normal 12 6 2 3" xfId="5855"/>
    <cellStyle name="Normal 12 6 2 3 2" xfId="8955"/>
    <cellStyle name="Normal 12 6 2 3 2 2" xfId="15148"/>
    <cellStyle name="Normal 12 6 2 3 2 3" xfId="21300"/>
    <cellStyle name="Normal 12 6 2 3 3" xfId="12082"/>
    <cellStyle name="Normal 12 6 2 3 4" xfId="18234"/>
    <cellStyle name="Normal 12 6 2 4" xfId="7420"/>
    <cellStyle name="Normal 12 6 2 4 2" xfId="13614"/>
    <cellStyle name="Normal 12 6 2 4 3" xfId="19766"/>
    <cellStyle name="Normal 12 6 2 5" xfId="10548"/>
    <cellStyle name="Normal 12 6 2 6" xfId="16700"/>
    <cellStyle name="Normal 12 6 3" xfId="5012"/>
    <cellStyle name="Normal 12 6 3 2" xfId="6637"/>
    <cellStyle name="Normal 12 6 3 2 2" xfId="9723"/>
    <cellStyle name="Normal 12 6 3 2 2 2" xfId="15916"/>
    <cellStyle name="Normal 12 6 3 2 2 3" xfId="22068"/>
    <cellStyle name="Normal 12 6 3 2 3" xfId="12850"/>
    <cellStyle name="Normal 12 6 3 2 4" xfId="19002"/>
    <cellStyle name="Normal 12 6 3 3" xfId="8188"/>
    <cellStyle name="Normal 12 6 3 3 2" xfId="14382"/>
    <cellStyle name="Normal 12 6 3 3 3" xfId="20534"/>
    <cellStyle name="Normal 12 6 3 4" xfId="11316"/>
    <cellStyle name="Normal 12 6 3 5" xfId="17468"/>
    <cellStyle name="Normal 12 6 4" xfId="5854"/>
    <cellStyle name="Normal 12 6 4 2" xfId="8954"/>
    <cellStyle name="Normal 12 6 4 2 2" xfId="15147"/>
    <cellStyle name="Normal 12 6 4 2 3" xfId="21299"/>
    <cellStyle name="Normal 12 6 4 3" xfId="12081"/>
    <cellStyle name="Normal 12 6 4 4" xfId="18233"/>
    <cellStyle name="Normal 12 6 5" xfId="7419"/>
    <cellStyle name="Normal 12 6 5 2" xfId="13613"/>
    <cellStyle name="Normal 12 6 5 3" xfId="19765"/>
    <cellStyle name="Normal 12 6 6" xfId="10547"/>
    <cellStyle name="Normal 12 6 7" xfId="16699"/>
    <cellStyle name="Normal 12 7" xfId="3486"/>
    <cellStyle name="Normal 12 7 2" xfId="5014"/>
    <cellStyle name="Normal 12 7 2 2" xfId="6639"/>
    <cellStyle name="Normal 12 7 2 2 2" xfId="9725"/>
    <cellStyle name="Normal 12 7 2 2 2 2" xfId="15918"/>
    <cellStyle name="Normal 12 7 2 2 2 3" xfId="22070"/>
    <cellStyle name="Normal 12 7 2 2 3" xfId="12852"/>
    <cellStyle name="Normal 12 7 2 2 4" xfId="19004"/>
    <cellStyle name="Normal 12 7 2 3" xfId="8190"/>
    <cellStyle name="Normal 12 7 2 3 2" xfId="14384"/>
    <cellStyle name="Normal 12 7 2 3 3" xfId="20536"/>
    <cellStyle name="Normal 12 7 2 4" xfId="11318"/>
    <cellStyle name="Normal 12 7 2 5" xfId="17470"/>
    <cellStyle name="Normal 12 7 3" xfId="5856"/>
    <cellStyle name="Normal 12 7 3 2" xfId="8956"/>
    <cellStyle name="Normal 12 7 3 2 2" xfId="15149"/>
    <cellStyle name="Normal 12 7 3 2 3" xfId="21301"/>
    <cellStyle name="Normal 12 7 3 3" xfId="12083"/>
    <cellStyle name="Normal 12 7 3 4" xfId="18235"/>
    <cellStyle name="Normal 12 7 4" xfId="7421"/>
    <cellStyle name="Normal 12 7 4 2" xfId="13615"/>
    <cellStyle name="Normal 12 7 4 3" xfId="19767"/>
    <cellStyle name="Normal 12 7 5" xfId="10549"/>
    <cellStyle name="Normal 12 7 6" xfId="16701"/>
    <cellStyle name="Normal 12 8" xfId="4985"/>
    <cellStyle name="Normal 12 8 2" xfId="6610"/>
    <cellStyle name="Normal 12 8 2 2" xfId="9696"/>
    <cellStyle name="Normal 12 8 2 2 2" xfId="15889"/>
    <cellStyle name="Normal 12 8 2 2 3" xfId="22041"/>
    <cellStyle name="Normal 12 8 2 3" xfId="12823"/>
    <cellStyle name="Normal 12 8 2 4" xfId="18975"/>
    <cellStyle name="Normal 12 8 3" xfId="8161"/>
    <cellStyle name="Normal 12 8 3 2" xfId="14355"/>
    <cellStyle name="Normal 12 8 3 3" xfId="20507"/>
    <cellStyle name="Normal 12 8 4" xfId="11289"/>
    <cellStyle name="Normal 12 8 5" xfId="17441"/>
    <cellStyle name="Normal 12 9" xfId="5827"/>
    <cellStyle name="Normal 12 9 2" xfId="8927"/>
    <cellStyle name="Normal 12 9 2 2" xfId="15120"/>
    <cellStyle name="Normal 12 9 2 3" xfId="21272"/>
    <cellStyle name="Normal 12 9 3" xfId="12054"/>
    <cellStyle name="Normal 12 9 4" xfId="18206"/>
    <cellStyle name="Normal 13" xfId="485"/>
    <cellStyle name="Normal 13 2" xfId="23224"/>
    <cellStyle name="Normal 13 3" xfId="23225"/>
    <cellStyle name="Normal 13 4" xfId="23226"/>
    <cellStyle name="Normal 13 5" xfId="23223"/>
    <cellStyle name="Normal 14" xfId="848"/>
    <cellStyle name="Normal 14 2" xfId="3487"/>
    <cellStyle name="Normal 14 3" xfId="23227"/>
    <cellStyle name="Normal 15" xfId="849"/>
    <cellStyle name="Normal 15 10" xfId="16702"/>
    <cellStyle name="Normal 15 11" xfId="3488"/>
    <cellStyle name="Normal 15 12" xfId="23228"/>
    <cellStyle name="Normal 15 2" xfId="3489"/>
    <cellStyle name="Normal 15 3" xfId="3490"/>
    <cellStyle name="Normal 15 3 2" xfId="5016"/>
    <cellStyle name="Normal 15 3 2 2" xfId="6641"/>
    <cellStyle name="Normal 15 3 2 2 2" xfId="9727"/>
    <cellStyle name="Normal 15 3 2 2 2 2" xfId="15920"/>
    <cellStyle name="Normal 15 3 2 2 2 3" xfId="22072"/>
    <cellStyle name="Normal 15 3 2 2 3" xfId="12854"/>
    <cellStyle name="Normal 15 3 2 2 4" xfId="19006"/>
    <cellStyle name="Normal 15 3 2 3" xfId="8192"/>
    <cellStyle name="Normal 15 3 2 3 2" xfId="14386"/>
    <cellStyle name="Normal 15 3 2 3 3" xfId="20538"/>
    <cellStyle name="Normal 15 3 2 4" xfId="11320"/>
    <cellStyle name="Normal 15 3 2 5" xfId="17472"/>
    <cellStyle name="Normal 15 3 3" xfId="5858"/>
    <cellStyle name="Normal 15 3 3 2" xfId="8958"/>
    <cellStyle name="Normal 15 3 3 2 2" xfId="15151"/>
    <cellStyle name="Normal 15 3 3 2 3" xfId="21303"/>
    <cellStyle name="Normal 15 3 3 3" xfId="12085"/>
    <cellStyle name="Normal 15 3 3 4" xfId="18237"/>
    <cellStyle name="Normal 15 3 4" xfId="7423"/>
    <cellStyle name="Normal 15 3 4 2" xfId="13617"/>
    <cellStyle name="Normal 15 3 4 3" xfId="19769"/>
    <cellStyle name="Normal 15 3 5" xfId="10551"/>
    <cellStyle name="Normal 15 3 6" xfId="16703"/>
    <cellStyle name="Normal 15 4" xfId="3491"/>
    <cellStyle name="Normal 15 4 2" xfId="3492"/>
    <cellStyle name="Normal 15 5" xfId="3493"/>
    <cellStyle name="Normal 15 5 2" xfId="3494"/>
    <cellStyle name="Normal 15 6" xfId="5015"/>
    <cellStyle name="Normal 15 6 2" xfId="6640"/>
    <cellStyle name="Normal 15 6 2 2" xfId="9726"/>
    <cellStyle name="Normal 15 6 2 2 2" xfId="15919"/>
    <cellStyle name="Normal 15 6 2 2 3" xfId="22071"/>
    <cellStyle name="Normal 15 6 2 3" xfId="12853"/>
    <cellStyle name="Normal 15 6 2 4" xfId="19005"/>
    <cellStyle name="Normal 15 6 3" xfId="8191"/>
    <cellStyle name="Normal 15 6 3 2" xfId="14385"/>
    <cellStyle name="Normal 15 6 3 3" xfId="20537"/>
    <cellStyle name="Normal 15 6 4" xfId="11319"/>
    <cellStyle name="Normal 15 6 5" xfId="17471"/>
    <cellStyle name="Normal 15 7" xfId="5857"/>
    <cellStyle name="Normal 15 7 2" xfId="8957"/>
    <cellStyle name="Normal 15 7 2 2" xfId="15150"/>
    <cellStyle name="Normal 15 7 2 3" xfId="21302"/>
    <cellStyle name="Normal 15 7 3" xfId="12084"/>
    <cellStyle name="Normal 15 7 4" xfId="18236"/>
    <cellStyle name="Normal 15 8" xfId="7422"/>
    <cellStyle name="Normal 15 8 2" xfId="13616"/>
    <cellStyle name="Normal 15 8 3" xfId="19768"/>
    <cellStyle name="Normal 15 9" xfId="10550"/>
    <cellStyle name="Normal 16" xfId="3495"/>
    <cellStyle name="Normal 16 2" xfId="3496"/>
    <cellStyle name="Normal 16 2 10" xfId="23230"/>
    <cellStyle name="Normal 16 2 2" xfId="3497"/>
    <cellStyle name="Normal 16 2 2 2" xfId="3498"/>
    <cellStyle name="Normal 16 2 2 2 2" xfId="5019"/>
    <cellStyle name="Normal 16 2 2 2 2 2" xfId="6644"/>
    <cellStyle name="Normal 16 2 2 2 2 2 2" xfId="9730"/>
    <cellStyle name="Normal 16 2 2 2 2 2 2 2" xfId="15923"/>
    <cellStyle name="Normal 16 2 2 2 2 2 2 3" xfId="22075"/>
    <cellStyle name="Normal 16 2 2 2 2 2 3" xfId="12857"/>
    <cellStyle name="Normal 16 2 2 2 2 2 4" xfId="19009"/>
    <cellStyle name="Normal 16 2 2 2 2 3" xfId="8195"/>
    <cellStyle name="Normal 16 2 2 2 2 3 2" xfId="14389"/>
    <cellStyle name="Normal 16 2 2 2 2 3 3" xfId="20541"/>
    <cellStyle name="Normal 16 2 2 2 2 4" xfId="11323"/>
    <cellStyle name="Normal 16 2 2 2 2 5" xfId="17475"/>
    <cellStyle name="Normal 16 2 2 2 3" xfId="5861"/>
    <cellStyle name="Normal 16 2 2 2 3 2" xfId="8961"/>
    <cellStyle name="Normal 16 2 2 2 3 2 2" xfId="15154"/>
    <cellStyle name="Normal 16 2 2 2 3 2 3" xfId="21306"/>
    <cellStyle name="Normal 16 2 2 2 3 3" xfId="12088"/>
    <cellStyle name="Normal 16 2 2 2 3 4" xfId="18240"/>
    <cellStyle name="Normal 16 2 2 2 4" xfId="7426"/>
    <cellStyle name="Normal 16 2 2 2 4 2" xfId="13620"/>
    <cellStyle name="Normal 16 2 2 2 4 3" xfId="19772"/>
    <cellStyle name="Normal 16 2 2 2 5" xfId="10554"/>
    <cellStyle name="Normal 16 2 2 2 6" xfId="16706"/>
    <cellStyle name="Normal 16 2 2 3" xfId="5018"/>
    <cellStyle name="Normal 16 2 2 3 2" xfId="6643"/>
    <cellStyle name="Normal 16 2 2 3 2 2" xfId="9729"/>
    <cellStyle name="Normal 16 2 2 3 2 2 2" xfId="15922"/>
    <cellStyle name="Normal 16 2 2 3 2 2 3" xfId="22074"/>
    <cellStyle name="Normal 16 2 2 3 2 3" xfId="12856"/>
    <cellStyle name="Normal 16 2 2 3 2 4" xfId="19008"/>
    <cellStyle name="Normal 16 2 2 3 3" xfId="8194"/>
    <cellStyle name="Normal 16 2 2 3 3 2" xfId="14388"/>
    <cellStyle name="Normal 16 2 2 3 3 3" xfId="20540"/>
    <cellStyle name="Normal 16 2 2 3 4" xfId="11322"/>
    <cellStyle name="Normal 16 2 2 3 5" xfId="17474"/>
    <cellStyle name="Normal 16 2 2 4" xfId="5860"/>
    <cellStyle name="Normal 16 2 2 4 2" xfId="8960"/>
    <cellStyle name="Normal 16 2 2 4 2 2" xfId="15153"/>
    <cellStyle name="Normal 16 2 2 4 2 3" xfId="21305"/>
    <cellStyle name="Normal 16 2 2 4 3" xfId="12087"/>
    <cellStyle name="Normal 16 2 2 4 4" xfId="18239"/>
    <cellStyle name="Normal 16 2 2 5" xfId="7425"/>
    <cellStyle name="Normal 16 2 2 5 2" xfId="13619"/>
    <cellStyle name="Normal 16 2 2 5 3" xfId="19771"/>
    <cellStyle name="Normal 16 2 2 6" xfId="10553"/>
    <cellStyle name="Normal 16 2 2 7" xfId="16705"/>
    <cellStyle name="Normal 16 2 3" xfId="3499"/>
    <cellStyle name="Normal 16 2 3 2" xfId="3500"/>
    <cellStyle name="Normal 16 2 3 2 2" xfId="5021"/>
    <cellStyle name="Normal 16 2 3 2 2 2" xfId="6646"/>
    <cellStyle name="Normal 16 2 3 2 2 2 2" xfId="9732"/>
    <cellStyle name="Normal 16 2 3 2 2 2 2 2" xfId="15925"/>
    <cellStyle name="Normal 16 2 3 2 2 2 2 3" xfId="22077"/>
    <cellStyle name="Normal 16 2 3 2 2 2 3" xfId="12859"/>
    <cellStyle name="Normal 16 2 3 2 2 2 4" xfId="19011"/>
    <cellStyle name="Normal 16 2 3 2 2 3" xfId="8197"/>
    <cellStyle name="Normal 16 2 3 2 2 3 2" xfId="14391"/>
    <cellStyle name="Normal 16 2 3 2 2 3 3" xfId="20543"/>
    <cellStyle name="Normal 16 2 3 2 2 4" xfId="11325"/>
    <cellStyle name="Normal 16 2 3 2 2 5" xfId="17477"/>
    <cellStyle name="Normal 16 2 3 2 3" xfId="5863"/>
    <cellStyle name="Normal 16 2 3 2 3 2" xfId="8963"/>
    <cellStyle name="Normal 16 2 3 2 3 2 2" xfId="15156"/>
    <cellStyle name="Normal 16 2 3 2 3 2 3" xfId="21308"/>
    <cellStyle name="Normal 16 2 3 2 3 3" xfId="12090"/>
    <cellStyle name="Normal 16 2 3 2 3 4" xfId="18242"/>
    <cellStyle name="Normal 16 2 3 2 4" xfId="7428"/>
    <cellStyle name="Normal 16 2 3 2 4 2" xfId="13622"/>
    <cellStyle name="Normal 16 2 3 2 4 3" xfId="19774"/>
    <cellStyle name="Normal 16 2 3 2 5" xfId="10556"/>
    <cellStyle name="Normal 16 2 3 2 6" xfId="16708"/>
    <cellStyle name="Normal 16 2 3 3" xfId="5020"/>
    <cellStyle name="Normal 16 2 3 3 2" xfId="6645"/>
    <cellStyle name="Normal 16 2 3 3 2 2" xfId="9731"/>
    <cellStyle name="Normal 16 2 3 3 2 2 2" xfId="15924"/>
    <cellStyle name="Normal 16 2 3 3 2 2 3" xfId="22076"/>
    <cellStyle name="Normal 16 2 3 3 2 3" xfId="12858"/>
    <cellStyle name="Normal 16 2 3 3 2 4" xfId="19010"/>
    <cellStyle name="Normal 16 2 3 3 3" xfId="8196"/>
    <cellStyle name="Normal 16 2 3 3 3 2" xfId="14390"/>
    <cellStyle name="Normal 16 2 3 3 3 3" xfId="20542"/>
    <cellStyle name="Normal 16 2 3 3 4" xfId="11324"/>
    <cellStyle name="Normal 16 2 3 3 5" xfId="17476"/>
    <cellStyle name="Normal 16 2 3 4" xfId="5862"/>
    <cellStyle name="Normal 16 2 3 4 2" xfId="8962"/>
    <cellStyle name="Normal 16 2 3 4 2 2" xfId="15155"/>
    <cellStyle name="Normal 16 2 3 4 2 3" xfId="21307"/>
    <cellStyle name="Normal 16 2 3 4 3" xfId="12089"/>
    <cellStyle name="Normal 16 2 3 4 4" xfId="18241"/>
    <cellStyle name="Normal 16 2 3 5" xfId="7427"/>
    <cellStyle name="Normal 16 2 3 5 2" xfId="13621"/>
    <cellStyle name="Normal 16 2 3 5 3" xfId="19773"/>
    <cellStyle name="Normal 16 2 3 6" xfId="10555"/>
    <cellStyle name="Normal 16 2 3 7" xfId="16707"/>
    <cellStyle name="Normal 16 2 4" xfId="3501"/>
    <cellStyle name="Normal 16 2 4 2" xfId="5022"/>
    <cellStyle name="Normal 16 2 4 2 2" xfId="6647"/>
    <cellStyle name="Normal 16 2 4 2 2 2" xfId="9733"/>
    <cellStyle name="Normal 16 2 4 2 2 2 2" xfId="15926"/>
    <cellStyle name="Normal 16 2 4 2 2 2 3" xfId="22078"/>
    <cellStyle name="Normal 16 2 4 2 2 3" xfId="12860"/>
    <cellStyle name="Normal 16 2 4 2 2 4" xfId="19012"/>
    <cellStyle name="Normal 16 2 4 2 3" xfId="8198"/>
    <cellStyle name="Normal 16 2 4 2 3 2" xfId="14392"/>
    <cellStyle name="Normal 16 2 4 2 3 3" xfId="20544"/>
    <cellStyle name="Normal 16 2 4 2 4" xfId="11326"/>
    <cellStyle name="Normal 16 2 4 2 5" xfId="17478"/>
    <cellStyle name="Normal 16 2 4 3" xfId="5864"/>
    <cellStyle name="Normal 16 2 4 3 2" xfId="8964"/>
    <cellStyle name="Normal 16 2 4 3 2 2" xfId="15157"/>
    <cellStyle name="Normal 16 2 4 3 2 3" xfId="21309"/>
    <cellStyle name="Normal 16 2 4 3 3" xfId="12091"/>
    <cellStyle name="Normal 16 2 4 3 4" xfId="18243"/>
    <cellStyle name="Normal 16 2 4 4" xfId="7429"/>
    <cellStyle name="Normal 16 2 4 4 2" xfId="13623"/>
    <cellStyle name="Normal 16 2 4 4 3" xfId="19775"/>
    <cellStyle name="Normal 16 2 4 5" xfId="10557"/>
    <cellStyle name="Normal 16 2 4 6" xfId="16709"/>
    <cellStyle name="Normal 16 2 5" xfId="5017"/>
    <cellStyle name="Normal 16 2 5 2" xfId="6642"/>
    <cellStyle name="Normal 16 2 5 2 2" xfId="9728"/>
    <cellStyle name="Normal 16 2 5 2 2 2" xfId="15921"/>
    <cellStyle name="Normal 16 2 5 2 2 3" xfId="22073"/>
    <cellStyle name="Normal 16 2 5 2 3" xfId="12855"/>
    <cellStyle name="Normal 16 2 5 2 4" xfId="19007"/>
    <cellStyle name="Normal 16 2 5 3" xfId="8193"/>
    <cellStyle name="Normal 16 2 5 3 2" xfId="14387"/>
    <cellStyle name="Normal 16 2 5 3 3" xfId="20539"/>
    <cellStyle name="Normal 16 2 5 4" xfId="11321"/>
    <cellStyle name="Normal 16 2 5 5" xfId="17473"/>
    <cellStyle name="Normal 16 2 6" xfId="5859"/>
    <cellStyle name="Normal 16 2 6 2" xfId="8959"/>
    <cellStyle name="Normal 16 2 6 2 2" xfId="15152"/>
    <cellStyle name="Normal 16 2 6 2 3" xfId="21304"/>
    <cellStyle name="Normal 16 2 6 3" xfId="12086"/>
    <cellStyle name="Normal 16 2 6 4" xfId="18238"/>
    <cellStyle name="Normal 16 2 7" xfId="7424"/>
    <cellStyle name="Normal 16 2 7 2" xfId="13618"/>
    <cellStyle name="Normal 16 2 7 3" xfId="19770"/>
    <cellStyle name="Normal 16 2 8" xfId="10552"/>
    <cellStyle name="Normal 16 2 9" xfId="16704"/>
    <cellStyle name="Normal 16 3" xfId="3502"/>
    <cellStyle name="Normal 16 3 2" xfId="3503"/>
    <cellStyle name="Normal 16 3 2 2" xfId="5024"/>
    <cellStyle name="Normal 16 3 2 2 2" xfId="6649"/>
    <cellStyle name="Normal 16 3 2 2 2 2" xfId="9735"/>
    <cellStyle name="Normal 16 3 2 2 2 2 2" xfId="15928"/>
    <cellStyle name="Normal 16 3 2 2 2 2 3" xfId="22080"/>
    <cellStyle name="Normal 16 3 2 2 2 3" xfId="12862"/>
    <cellStyle name="Normal 16 3 2 2 2 4" xfId="19014"/>
    <cellStyle name="Normal 16 3 2 2 3" xfId="8200"/>
    <cellStyle name="Normal 16 3 2 2 3 2" xfId="14394"/>
    <cellStyle name="Normal 16 3 2 2 3 3" xfId="20546"/>
    <cellStyle name="Normal 16 3 2 2 4" xfId="11328"/>
    <cellStyle name="Normal 16 3 2 2 5" xfId="17480"/>
    <cellStyle name="Normal 16 3 2 3" xfId="5866"/>
    <cellStyle name="Normal 16 3 2 3 2" xfId="8966"/>
    <cellStyle name="Normal 16 3 2 3 2 2" xfId="15159"/>
    <cellStyle name="Normal 16 3 2 3 2 3" xfId="21311"/>
    <cellStyle name="Normal 16 3 2 3 3" xfId="12093"/>
    <cellStyle name="Normal 16 3 2 3 4" xfId="18245"/>
    <cellStyle name="Normal 16 3 2 4" xfId="7431"/>
    <cellStyle name="Normal 16 3 2 4 2" xfId="13625"/>
    <cellStyle name="Normal 16 3 2 4 3" xfId="19777"/>
    <cellStyle name="Normal 16 3 2 5" xfId="10559"/>
    <cellStyle name="Normal 16 3 2 6" xfId="16711"/>
    <cellStyle name="Normal 16 3 3" xfId="5023"/>
    <cellStyle name="Normal 16 3 3 2" xfId="6648"/>
    <cellStyle name="Normal 16 3 3 2 2" xfId="9734"/>
    <cellStyle name="Normal 16 3 3 2 2 2" xfId="15927"/>
    <cellStyle name="Normal 16 3 3 2 2 3" xfId="22079"/>
    <cellStyle name="Normal 16 3 3 2 3" xfId="12861"/>
    <cellStyle name="Normal 16 3 3 2 4" xfId="19013"/>
    <cellStyle name="Normal 16 3 3 3" xfId="8199"/>
    <cellStyle name="Normal 16 3 3 3 2" xfId="14393"/>
    <cellStyle name="Normal 16 3 3 3 3" xfId="20545"/>
    <cellStyle name="Normal 16 3 3 4" xfId="11327"/>
    <cellStyle name="Normal 16 3 3 5" xfId="17479"/>
    <cellStyle name="Normal 16 3 4" xfId="5865"/>
    <cellStyle name="Normal 16 3 4 2" xfId="8965"/>
    <cellStyle name="Normal 16 3 4 2 2" xfId="15158"/>
    <cellStyle name="Normal 16 3 4 2 3" xfId="21310"/>
    <cellStyle name="Normal 16 3 4 3" xfId="12092"/>
    <cellStyle name="Normal 16 3 4 4" xfId="18244"/>
    <cellStyle name="Normal 16 3 5" xfId="7430"/>
    <cellStyle name="Normal 16 3 5 2" xfId="13624"/>
    <cellStyle name="Normal 16 3 5 3" xfId="19776"/>
    <cellStyle name="Normal 16 3 6" xfId="10558"/>
    <cellStyle name="Normal 16 3 7" xfId="16710"/>
    <cellStyle name="Normal 16 4" xfId="3504"/>
    <cellStyle name="Normal 16 4 2" xfId="3505"/>
    <cellStyle name="Normal 16 4 2 2" xfId="5026"/>
    <cellStyle name="Normal 16 4 2 2 2" xfId="6651"/>
    <cellStyle name="Normal 16 4 2 2 2 2" xfId="9737"/>
    <cellStyle name="Normal 16 4 2 2 2 2 2" xfId="15930"/>
    <cellStyle name="Normal 16 4 2 2 2 2 3" xfId="22082"/>
    <cellStyle name="Normal 16 4 2 2 2 3" xfId="12864"/>
    <cellStyle name="Normal 16 4 2 2 2 4" xfId="19016"/>
    <cellStyle name="Normal 16 4 2 2 3" xfId="8202"/>
    <cellStyle name="Normal 16 4 2 2 3 2" xfId="14396"/>
    <cellStyle name="Normal 16 4 2 2 3 3" xfId="20548"/>
    <cellStyle name="Normal 16 4 2 2 4" xfId="11330"/>
    <cellStyle name="Normal 16 4 2 2 5" xfId="17482"/>
    <cellStyle name="Normal 16 4 2 3" xfId="5868"/>
    <cellStyle name="Normal 16 4 2 3 2" xfId="8968"/>
    <cellStyle name="Normal 16 4 2 3 2 2" xfId="15161"/>
    <cellStyle name="Normal 16 4 2 3 2 3" xfId="21313"/>
    <cellStyle name="Normal 16 4 2 3 3" xfId="12095"/>
    <cellStyle name="Normal 16 4 2 3 4" xfId="18247"/>
    <cellStyle name="Normal 16 4 2 4" xfId="7433"/>
    <cellStyle name="Normal 16 4 2 4 2" xfId="13627"/>
    <cellStyle name="Normal 16 4 2 4 3" xfId="19779"/>
    <cellStyle name="Normal 16 4 2 5" xfId="10561"/>
    <cellStyle name="Normal 16 4 2 6" xfId="16713"/>
    <cellStyle name="Normal 16 4 3" xfId="5025"/>
    <cellStyle name="Normal 16 4 3 2" xfId="6650"/>
    <cellStyle name="Normal 16 4 3 2 2" xfId="9736"/>
    <cellStyle name="Normal 16 4 3 2 2 2" xfId="15929"/>
    <cellStyle name="Normal 16 4 3 2 2 3" xfId="22081"/>
    <cellStyle name="Normal 16 4 3 2 3" xfId="12863"/>
    <cellStyle name="Normal 16 4 3 2 4" xfId="19015"/>
    <cellStyle name="Normal 16 4 3 3" xfId="8201"/>
    <cellStyle name="Normal 16 4 3 3 2" xfId="14395"/>
    <cellStyle name="Normal 16 4 3 3 3" xfId="20547"/>
    <cellStyle name="Normal 16 4 3 4" xfId="11329"/>
    <cellStyle name="Normal 16 4 3 5" xfId="17481"/>
    <cellStyle name="Normal 16 4 4" xfId="5867"/>
    <cellStyle name="Normal 16 4 4 2" xfId="8967"/>
    <cellStyle name="Normal 16 4 4 2 2" xfId="15160"/>
    <cellStyle name="Normal 16 4 4 2 3" xfId="21312"/>
    <cellStyle name="Normal 16 4 4 3" xfId="12094"/>
    <cellStyle name="Normal 16 4 4 4" xfId="18246"/>
    <cellStyle name="Normal 16 4 5" xfId="7432"/>
    <cellStyle name="Normal 16 4 5 2" xfId="13626"/>
    <cellStyle name="Normal 16 4 5 3" xfId="19778"/>
    <cellStyle name="Normal 16 4 6" xfId="10560"/>
    <cellStyle name="Normal 16 4 7" xfId="16712"/>
    <cellStyle name="Normal 16 5" xfId="3506"/>
    <cellStyle name="Normal 16 5 2" xfId="3507"/>
    <cellStyle name="Normal 16 5 2 2" xfId="5027"/>
    <cellStyle name="Normal 16 5 2 2 2" xfId="6652"/>
    <cellStyle name="Normal 16 5 2 2 2 2" xfId="9738"/>
    <cellStyle name="Normal 16 5 2 2 2 2 2" xfId="15931"/>
    <cellStyle name="Normal 16 5 2 2 2 2 3" xfId="22083"/>
    <cellStyle name="Normal 16 5 2 2 2 3" xfId="12865"/>
    <cellStyle name="Normal 16 5 2 2 2 4" xfId="19017"/>
    <cellStyle name="Normal 16 5 2 2 3" xfId="8203"/>
    <cellStyle name="Normal 16 5 2 2 3 2" xfId="14397"/>
    <cellStyle name="Normal 16 5 2 2 3 3" xfId="20549"/>
    <cellStyle name="Normal 16 5 2 2 4" xfId="11331"/>
    <cellStyle name="Normal 16 5 2 2 5" xfId="17483"/>
    <cellStyle name="Normal 16 5 2 3" xfId="5869"/>
    <cellStyle name="Normal 16 5 2 3 2" xfId="8969"/>
    <cellStyle name="Normal 16 5 2 3 2 2" xfId="15162"/>
    <cellStyle name="Normal 16 5 2 3 2 3" xfId="21314"/>
    <cellStyle name="Normal 16 5 2 3 3" xfId="12096"/>
    <cellStyle name="Normal 16 5 2 3 4" xfId="18248"/>
    <cellStyle name="Normal 16 5 2 4" xfId="7434"/>
    <cellStyle name="Normal 16 5 2 4 2" xfId="13628"/>
    <cellStyle name="Normal 16 5 2 4 3" xfId="19780"/>
    <cellStyle name="Normal 16 5 2 5" xfId="10562"/>
    <cellStyle name="Normal 16 5 2 6" xfId="16714"/>
    <cellStyle name="Normal 16 6" xfId="3508"/>
    <cellStyle name="Normal 16 6 2" xfId="5028"/>
    <cellStyle name="Normal 16 6 2 2" xfId="6653"/>
    <cellStyle name="Normal 16 6 2 2 2" xfId="9739"/>
    <cellStyle name="Normal 16 6 2 2 2 2" xfId="15932"/>
    <cellStyle name="Normal 16 6 2 2 2 3" xfId="22084"/>
    <cellStyle name="Normal 16 6 2 2 3" xfId="12866"/>
    <cellStyle name="Normal 16 6 2 2 4" xfId="19018"/>
    <cellStyle name="Normal 16 6 2 3" xfId="8204"/>
    <cellStyle name="Normal 16 6 2 3 2" xfId="14398"/>
    <cellStyle name="Normal 16 6 2 3 3" xfId="20550"/>
    <cellStyle name="Normal 16 6 2 4" xfId="11332"/>
    <cellStyle name="Normal 16 6 2 5" xfId="17484"/>
    <cellStyle name="Normal 16 6 3" xfId="5870"/>
    <cellStyle name="Normal 16 6 3 2" xfId="8970"/>
    <cellStyle name="Normal 16 6 3 2 2" xfId="15163"/>
    <cellStyle name="Normal 16 6 3 2 3" xfId="21315"/>
    <cellStyle name="Normal 16 6 3 3" xfId="12097"/>
    <cellStyle name="Normal 16 6 3 4" xfId="18249"/>
    <cellStyle name="Normal 16 6 4" xfId="7435"/>
    <cellStyle name="Normal 16 6 4 2" xfId="13629"/>
    <cellStyle name="Normal 16 6 4 3" xfId="19781"/>
    <cellStyle name="Normal 16 6 5" xfId="10563"/>
    <cellStyle name="Normal 16 6 6" xfId="16715"/>
    <cellStyle name="Normal 16 7" xfId="23229"/>
    <cellStyle name="Normal 17" xfId="362"/>
    <cellStyle name="Normal 17 2" xfId="3509"/>
    <cellStyle name="Normal 17 2 10" xfId="23231"/>
    <cellStyle name="Normal 17 2 2" xfId="3510"/>
    <cellStyle name="Normal 17 2 2 2" xfId="3511"/>
    <cellStyle name="Normal 17 2 2 2 2" xfId="5031"/>
    <cellStyle name="Normal 17 2 2 2 2 2" xfId="6656"/>
    <cellStyle name="Normal 17 2 2 2 2 2 2" xfId="9742"/>
    <cellStyle name="Normal 17 2 2 2 2 2 2 2" xfId="15935"/>
    <cellStyle name="Normal 17 2 2 2 2 2 2 3" xfId="22087"/>
    <cellStyle name="Normal 17 2 2 2 2 2 3" xfId="12869"/>
    <cellStyle name="Normal 17 2 2 2 2 2 4" xfId="19021"/>
    <cellStyle name="Normal 17 2 2 2 2 3" xfId="8207"/>
    <cellStyle name="Normal 17 2 2 2 2 3 2" xfId="14401"/>
    <cellStyle name="Normal 17 2 2 2 2 3 3" xfId="20553"/>
    <cellStyle name="Normal 17 2 2 2 2 4" xfId="11335"/>
    <cellStyle name="Normal 17 2 2 2 2 5" xfId="17487"/>
    <cellStyle name="Normal 17 2 2 2 3" xfId="5873"/>
    <cellStyle name="Normal 17 2 2 2 3 2" xfId="8973"/>
    <cellStyle name="Normal 17 2 2 2 3 2 2" xfId="15166"/>
    <cellStyle name="Normal 17 2 2 2 3 2 3" xfId="21318"/>
    <cellStyle name="Normal 17 2 2 2 3 3" xfId="12100"/>
    <cellStyle name="Normal 17 2 2 2 3 4" xfId="18252"/>
    <cellStyle name="Normal 17 2 2 2 4" xfId="7438"/>
    <cellStyle name="Normal 17 2 2 2 4 2" xfId="13632"/>
    <cellStyle name="Normal 17 2 2 2 4 3" xfId="19784"/>
    <cellStyle name="Normal 17 2 2 2 5" xfId="10566"/>
    <cellStyle name="Normal 17 2 2 2 6" xfId="16718"/>
    <cellStyle name="Normal 17 2 2 3" xfId="5030"/>
    <cellStyle name="Normal 17 2 2 3 2" xfId="6655"/>
    <cellStyle name="Normal 17 2 2 3 2 2" xfId="9741"/>
    <cellStyle name="Normal 17 2 2 3 2 2 2" xfId="15934"/>
    <cellStyle name="Normal 17 2 2 3 2 2 3" xfId="22086"/>
    <cellStyle name="Normal 17 2 2 3 2 3" xfId="12868"/>
    <cellStyle name="Normal 17 2 2 3 2 4" xfId="19020"/>
    <cellStyle name="Normal 17 2 2 3 3" xfId="8206"/>
    <cellStyle name="Normal 17 2 2 3 3 2" xfId="14400"/>
    <cellStyle name="Normal 17 2 2 3 3 3" xfId="20552"/>
    <cellStyle name="Normal 17 2 2 3 4" xfId="11334"/>
    <cellStyle name="Normal 17 2 2 3 5" xfId="17486"/>
    <cellStyle name="Normal 17 2 2 4" xfId="5872"/>
    <cellStyle name="Normal 17 2 2 4 2" xfId="8972"/>
    <cellStyle name="Normal 17 2 2 4 2 2" xfId="15165"/>
    <cellStyle name="Normal 17 2 2 4 2 3" xfId="21317"/>
    <cellStyle name="Normal 17 2 2 4 3" xfId="12099"/>
    <cellStyle name="Normal 17 2 2 4 4" xfId="18251"/>
    <cellStyle name="Normal 17 2 2 5" xfId="7437"/>
    <cellStyle name="Normal 17 2 2 5 2" xfId="13631"/>
    <cellStyle name="Normal 17 2 2 5 3" xfId="19783"/>
    <cellStyle name="Normal 17 2 2 6" xfId="10565"/>
    <cellStyle name="Normal 17 2 2 7" xfId="16717"/>
    <cellStyle name="Normal 17 2 3" xfId="3512"/>
    <cellStyle name="Normal 17 2 3 2" xfId="3513"/>
    <cellStyle name="Normal 17 2 3 2 2" xfId="5033"/>
    <cellStyle name="Normal 17 2 3 2 2 2" xfId="6658"/>
    <cellStyle name="Normal 17 2 3 2 2 2 2" xfId="9744"/>
    <cellStyle name="Normal 17 2 3 2 2 2 2 2" xfId="15937"/>
    <cellStyle name="Normal 17 2 3 2 2 2 2 3" xfId="22089"/>
    <cellStyle name="Normal 17 2 3 2 2 2 3" xfId="12871"/>
    <cellStyle name="Normal 17 2 3 2 2 2 4" xfId="19023"/>
    <cellStyle name="Normal 17 2 3 2 2 3" xfId="8209"/>
    <cellStyle name="Normal 17 2 3 2 2 3 2" xfId="14403"/>
    <cellStyle name="Normal 17 2 3 2 2 3 3" xfId="20555"/>
    <cellStyle name="Normal 17 2 3 2 2 4" xfId="11337"/>
    <cellStyle name="Normal 17 2 3 2 2 5" xfId="17489"/>
    <cellStyle name="Normal 17 2 3 2 3" xfId="5875"/>
    <cellStyle name="Normal 17 2 3 2 3 2" xfId="8975"/>
    <cellStyle name="Normal 17 2 3 2 3 2 2" xfId="15168"/>
    <cellStyle name="Normal 17 2 3 2 3 2 3" xfId="21320"/>
    <cellStyle name="Normal 17 2 3 2 3 3" xfId="12102"/>
    <cellStyle name="Normal 17 2 3 2 3 4" xfId="18254"/>
    <cellStyle name="Normal 17 2 3 2 4" xfId="7440"/>
    <cellStyle name="Normal 17 2 3 2 4 2" xfId="13634"/>
    <cellStyle name="Normal 17 2 3 2 4 3" xfId="19786"/>
    <cellStyle name="Normal 17 2 3 2 5" xfId="10568"/>
    <cellStyle name="Normal 17 2 3 2 6" xfId="16720"/>
    <cellStyle name="Normal 17 2 3 3" xfId="5032"/>
    <cellStyle name="Normal 17 2 3 3 2" xfId="6657"/>
    <cellStyle name="Normal 17 2 3 3 2 2" xfId="9743"/>
    <cellStyle name="Normal 17 2 3 3 2 2 2" xfId="15936"/>
    <cellStyle name="Normal 17 2 3 3 2 2 3" xfId="22088"/>
    <cellStyle name="Normal 17 2 3 3 2 3" xfId="12870"/>
    <cellStyle name="Normal 17 2 3 3 2 4" xfId="19022"/>
    <cellStyle name="Normal 17 2 3 3 3" xfId="8208"/>
    <cellStyle name="Normal 17 2 3 3 3 2" xfId="14402"/>
    <cellStyle name="Normal 17 2 3 3 3 3" xfId="20554"/>
    <cellStyle name="Normal 17 2 3 3 4" xfId="11336"/>
    <cellStyle name="Normal 17 2 3 3 5" xfId="17488"/>
    <cellStyle name="Normal 17 2 3 4" xfId="5874"/>
    <cellStyle name="Normal 17 2 3 4 2" xfId="8974"/>
    <cellStyle name="Normal 17 2 3 4 2 2" xfId="15167"/>
    <cellStyle name="Normal 17 2 3 4 2 3" xfId="21319"/>
    <cellStyle name="Normal 17 2 3 4 3" xfId="12101"/>
    <cellStyle name="Normal 17 2 3 4 4" xfId="18253"/>
    <cellStyle name="Normal 17 2 3 5" xfId="7439"/>
    <cellStyle name="Normal 17 2 3 5 2" xfId="13633"/>
    <cellStyle name="Normal 17 2 3 5 3" xfId="19785"/>
    <cellStyle name="Normal 17 2 3 6" xfId="10567"/>
    <cellStyle name="Normal 17 2 3 7" xfId="16719"/>
    <cellStyle name="Normal 17 2 4" xfId="3514"/>
    <cellStyle name="Normal 17 2 4 2" xfId="5034"/>
    <cellStyle name="Normal 17 2 4 2 2" xfId="6659"/>
    <cellStyle name="Normal 17 2 4 2 2 2" xfId="9745"/>
    <cellStyle name="Normal 17 2 4 2 2 2 2" xfId="15938"/>
    <cellStyle name="Normal 17 2 4 2 2 2 3" xfId="22090"/>
    <cellStyle name="Normal 17 2 4 2 2 3" xfId="12872"/>
    <cellStyle name="Normal 17 2 4 2 2 4" xfId="19024"/>
    <cellStyle name="Normal 17 2 4 2 3" xfId="8210"/>
    <cellStyle name="Normal 17 2 4 2 3 2" xfId="14404"/>
    <cellStyle name="Normal 17 2 4 2 3 3" xfId="20556"/>
    <cellStyle name="Normal 17 2 4 2 4" xfId="11338"/>
    <cellStyle name="Normal 17 2 4 2 5" xfId="17490"/>
    <cellStyle name="Normal 17 2 4 3" xfId="5876"/>
    <cellStyle name="Normal 17 2 4 3 2" xfId="8976"/>
    <cellStyle name="Normal 17 2 4 3 2 2" xfId="15169"/>
    <cellStyle name="Normal 17 2 4 3 2 3" xfId="21321"/>
    <cellStyle name="Normal 17 2 4 3 3" xfId="12103"/>
    <cellStyle name="Normal 17 2 4 3 4" xfId="18255"/>
    <cellStyle name="Normal 17 2 4 4" xfId="7441"/>
    <cellStyle name="Normal 17 2 4 4 2" xfId="13635"/>
    <cellStyle name="Normal 17 2 4 4 3" xfId="19787"/>
    <cellStyle name="Normal 17 2 4 5" xfId="10569"/>
    <cellStyle name="Normal 17 2 4 6" xfId="16721"/>
    <cellStyle name="Normal 17 2 5" xfId="5029"/>
    <cellStyle name="Normal 17 2 5 2" xfId="6654"/>
    <cellStyle name="Normal 17 2 5 2 2" xfId="9740"/>
    <cellStyle name="Normal 17 2 5 2 2 2" xfId="15933"/>
    <cellStyle name="Normal 17 2 5 2 2 3" xfId="22085"/>
    <cellStyle name="Normal 17 2 5 2 3" xfId="12867"/>
    <cellStyle name="Normal 17 2 5 2 4" xfId="19019"/>
    <cellStyle name="Normal 17 2 5 3" xfId="8205"/>
    <cellStyle name="Normal 17 2 5 3 2" xfId="14399"/>
    <cellStyle name="Normal 17 2 5 3 3" xfId="20551"/>
    <cellStyle name="Normal 17 2 5 4" xfId="11333"/>
    <cellStyle name="Normal 17 2 5 5" xfId="17485"/>
    <cellStyle name="Normal 17 2 6" xfId="5871"/>
    <cellStyle name="Normal 17 2 6 2" xfId="8971"/>
    <cellStyle name="Normal 17 2 6 2 2" xfId="15164"/>
    <cellStyle name="Normal 17 2 6 2 3" xfId="21316"/>
    <cellStyle name="Normal 17 2 6 3" xfId="12098"/>
    <cellStyle name="Normal 17 2 6 4" xfId="18250"/>
    <cellStyle name="Normal 17 2 7" xfId="7436"/>
    <cellStyle name="Normal 17 2 7 2" xfId="13630"/>
    <cellStyle name="Normal 17 2 7 3" xfId="19782"/>
    <cellStyle name="Normal 17 2 8" xfId="10564"/>
    <cellStyle name="Normal 17 2 9" xfId="16716"/>
    <cellStyle name="Normal 17 3" xfId="3515"/>
    <cellStyle name="Normal 17 3 2" xfId="3516"/>
    <cellStyle name="Normal 17 3 2 2" xfId="5036"/>
    <cellStyle name="Normal 17 3 2 2 2" xfId="6661"/>
    <cellStyle name="Normal 17 3 2 2 2 2" xfId="9747"/>
    <cellStyle name="Normal 17 3 2 2 2 2 2" xfId="15940"/>
    <cellStyle name="Normal 17 3 2 2 2 2 3" xfId="22092"/>
    <cellStyle name="Normal 17 3 2 2 2 3" xfId="12874"/>
    <cellStyle name="Normal 17 3 2 2 2 4" xfId="19026"/>
    <cellStyle name="Normal 17 3 2 2 3" xfId="8212"/>
    <cellStyle name="Normal 17 3 2 2 3 2" xfId="14406"/>
    <cellStyle name="Normal 17 3 2 2 3 3" xfId="20558"/>
    <cellStyle name="Normal 17 3 2 2 4" xfId="11340"/>
    <cellStyle name="Normal 17 3 2 2 5" xfId="17492"/>
    <cellStyle name="Normal 17 3 2 3" xfId="5878"/>
    <cellStyle name="Normal 17 3 2 3 2" xfId="8978"/>
    <cellStyle name="Normal 17 3 2 3 2 2" xfId="15171"/>
    <cellStyle name="Normal 17 3 2 3 2 3" xfId="21323"/>
    <cellStyle name="Normal 17 3 2 3 3" xfId="12105"/>
    <cellStyle name="Normal 17 3 2 3 4" xfId="18257"/>
    <cellStyle name="Normal 17 3 2 4" xfId="7443"/>
    <cellStyle name="Normal 17 3 2 4 2" xfId="13637"/>
    <cellStyle name="Normal 17 3 2 4 3" xfId="19789"/>
    <cellStyle name="Normal 17 3 2 5" xfId="10571"/>
    <cellStyle name="Normal 17 3 2 6" xfId="16723"/>
    <cellStyle name="Normal 17 3 3" xfId="5035"/>
    <cellStyle name="Normal 17 3 3 2" xfId="6660"/>
    <cellStyle name="Normal 17 3 3 2 2" xfId="9746"/>
    <cellStyle name="Normal 17 3 3 2 2 2" xfId="15939"/>
    <cellStyle name="Normal 17 3 3 2 2 3" xfId="22091"/>
    <cellStyle name="Normal 17 3 3 2 3" xfId="12873"/>
    <cellStyle name="Normal 17 3 3 2 4" xfId="19025"/>
    <cellStyle name="Normal 17 3 3 3" xfId="8211"/>
    <cellStyle name="Normal 17 3 3 3 2" xfId="14405"/>
    <cellStyle name="Normal 17 3 3 3 3" xfId="20557"/>
    <cellStyle name="Normal 17 3 3 4" xfId="11339"/>
    <cellStyle name="Normal 17 3 3 5" xfId="17491"/>
    <cellStyle name="Normal 17 3 4" xfId="5877"/>
    <cellStyle name="Normal 17 3 4 2" xfId="8977"/>
    <cellStyle name="Normal 17 3 4 2 2" xfId="15170"/>
    <cellStyle name="Normal 17 3 4 2 3" xfId="21322"/>
    <cellStyle name="Normal 17 3 4 3" xfId="12104"/>
    <cellStyle name="Normal 17 3 4 4" xfId="18256"/>
    <cellStyle name="Normal 17 3 5" xfId="7442"/>
    <cellStyle name="Normal 17 3 5 2" xfId="13636"/>
    <cellStyle name="Normal 17 3 5 3" xfId="19788"/>
    <cellStyle name="Normal 17 3 6" xfId="10570"/>
    <cellStyle name="Normal 17 3 7" xfId="16722"/>
    <cellStyle name="Normal 17 4" xfId="3517"/>
    <cellStyle name="Normal 17 4 2" xfId="3518"/>
    <cellStyle name="Normal 17 4 2 2" xfId="5038"/>
    <cellStyle name="Normal 17 4 2 2 2" xfId="6663"/>
    <cellStyle name="Normal 17 4 2 2 2 2" xfId="9749"/>
    <cellStyle name="Normal 17 4 2 2 2 2 2" xfId="15942"/>
    <cellStyle name="Normal 17 4 2 2 2 2 3" xfId="22094"/>
    <cellStyle name="Normal 17 4 2 2 2 3" xfId="12876"/>
    <cellStyle name="Normal 17 4 2 2 2 4" xfId="19028"/>
    <cellStyle name="Normal 17 4 2 2 3" xfId="8214"/>
    <cellStyle name="Normal 17 4 2 2 3 2" xfId="14408"/>
    <cellStyle name="Normal 17 4 2 2 3 3" xfId="20560"/>
    <cellStyle name="Normal 17 4 2 2 4" xfId="11342"/>
    <cellStyle name="Normal 17 4 2 2 5" xfId="17494"/>
    <cellStyle name="Normal 17 4 2 3" xfId="5880"/>
    <cellStyle name="Normal 17 4 2 3 2" xfId="8980"/>
    <cellStyle name="Normal 17 4 2 3 2 2" xfId="15173"/>
    <cellStyle name="Normal 17 4 2 3 2 3" xfId="21325"/>
    <cellStyle name="Normal 17 4 2 3 3" xfId="12107"/>
    <cellStyle name="Normal 17 4 2 3 4" xfId="18259"/>
    <cellStyle name="Normal 17 4 2 4" xfId="7445"/>
    <cellStyle name="Normal 17 4 2 4 2" xfId="13639"/>
    <cellStyle name="Normal 17 4 2 4 3" xfId="19791"/>
    <cellStyle name="Normal 17 4 2 5" xfId="10573"/>
    <cellStyle name="Normal 17 4 2 6" xfId="16725"/>
    <cellStyle name="Normal 17 4 3" xfId="5037"/>
    <cellStyle name="Normal 17 4 3 2" xfId="6662"/>
    <cellStyle name="Normal 17 4 3 2 2" xfId="9748"/>
    <cellStyle name="Normal 17 4 3 2 2 2" xfId="15941"/>
    <cellStyle name="Normal 17 4 3 2 2 3" xfId="22093"/>
    <cellStyle name="Normal 17 4 3 2 3" xfId="12875"/>
    <cellStyle name="Normal 17 4 3 2 4" xfId="19027"/>
    <cellStyle name="Normal 17 4 3 3" xfId="8213"/>
    <cellStyle name="Normal 17 4 3 3 2" xfId="14407"/>
    <cellStyle name="Normal 17 4 3 3 3" xfId="20559"/>
    <cellStyle name="Normal 17 4 3 4" xfId="11341"/>
    <cellStyle name="Normal 17 4 3 5" xfId="17493"/>
    <cellStyle name="Normal 17 4 4" xfId="5879"/>
    <cellStyle name="Normal 17 4 4 2" xfId="8979"/>
    <cellStyle name="Normal 17 4 4 2 2" xfId="15172"/>
    <cellStyle name="Normal 17 4 4 2 3" xfId="21324"/>
    <cellStyle name="Normal 17 4 4 3" xfId="12106"/>
    <cellStyle name="Normal 17 4 4 4" xfId="18258"/>
    <cellStyle name="Normal 17 4 5" xfId="7444"/>
    <cellStyle name="Normal 17 4 5 2" xfId="13638"/>
    <cellStyle name="Normal 17 4 5 3" xfId="19790"/>
    <cellStyle name="Normal 17 4 6" xfId="10572"/>
    <cellStyle name="Normal 17 4 7" xfId="16724"/>
    <cellStyle name="Normal 17 5" xfId="3519"/>
    <cellStyle name="Normal 17 5 2" xfId="3520"/>
    <cellStyle name="Normal 17 5 2 2" xfId="5039"/>
    <cellStyle name="Normal 17 5 2 2 2" xfId="6664"/>
    <cellStyle name="Normal 17 5 2 2 2 2" xfId="9750"/>
    <cellStyle name="Normal 17 5 2 2 2 2 2" xfId="15943"/>
    <cellStyle name="Normal 17 5 2 2 2 2 3" xfId="22095"/>
    <cellStyle name="Normal 17 5 2 2 2 3" xfId="12877"/>
    <cellStyle name="Normal 17 5 2 2 2 4" xfId="19029"/>
    <cellStyle name="Normal 17 5 2 2 3" xfId="8215"/>
    <cellStyle name="Normal 17 5 2 2 3 2" xfId="14409"/>
    <cellStyle name="Normal 17 5 2 2 3 3" xfId="20561"/>
    <cellStyle name="Normal 17 5 2 2 4" xfId="11343"/>
    <cellStyle name="Normal 17 5 2 2 5" xfId="17495"/>
    <cellStyle name="Normal 17 5 2 3" xfId="5881"/>
    <cellStyle name="Normal 17 5 2 3 2" xfId="8981"/>
    <cellStyle name="Normal 17 5 2 3 2 2" xfId="15174"/>
    <cellStyle name="Normal 17 5 2 3 2 3" xfId="21326"/>
    <cellStyle name="Normal 17 5 2 3 3" xfId="12108"/>
    <cellStyle name="Normal 17 5 2 3 4" xfId="18260"/>
    <cellStyle name="Normal 17 5 2 4" xfId="7446"/>
    <cellStyle name="Normal 17 5 2 4 2" xfId="13640"/>
    <cellStyle name="Normal 17 5 2 4 3" xfId="19792"/>
    <cellStyle name="Normal 17 5 2 5" xfId="10574"/>
    <cellStyle name="Normal 17 5 2 6" xfId="16726"/>
    <cellStyle name="Normal 17 6" xfId="3521"/>
    <cellStyle name="Normal 17 6 2" xfId="5040"/>
    <cellStyle name="Normal 17 6 2 2" xfId="6665"/>
    <cellStyle name="Normal 17 6 2 2 2" xfId="9751"/>
    <cellStyle name="Normal 17 6 2 2 2 2" xfId="15944"/>
    <cellStyle name="Normal 17 6 2 2 2 3" xfId="22096"/>
    <cellStyle name="Normal 17 6 2 2 3" xfId="12878"/>
    <cellStyle name="Normal 17 6 2 2 4" xfId="19030"/>
    <cellStyle name="Normal 17 6 2 3" xfId="8216"/>
    <cellStyle name="Normal 17 6 2 3 2" xfId="14410"/>
    <cellStyle name="Normal 17 6 2 3 3" xfId="20562"/>
    <cellStyle name="Normal 17 6 2 4" xfId="11344"/>
    <cellStyle name="Normal 17 6 2 5" xfId="17496"/>
    <cellStyle name="Normal 17 6 3" xfId="5882"/>
    <cellStyle name="Normal 17 6 3 2" xfId="8982"/>
    <cellStyle name="Normal 17 6 3 2 2" xfId="15175"/>
    <cellStyle name="Normal 17 6 3 2 3" xfId="21327"/>
    <cellStyle name="Normal 17 6 3 3" xfId="12109"/>
    <cellStyle name="Normal 17 6 3 4" xfId="18261"/>
    <cellStyle name="Normal 17 6 4" xfId="7447"/>
    <cellStyle name="Normal 17 6 4 2" xfId="13641"/>
    <cellStyle name="Normal 17 6 4 3" xfId="19793"/>
    <cellStyle name="Normal 17 6 5" xfId="10575"/>
    <cellStyle name="Normal 17 6 6" xfId="16727"/>
    <cellStyle name="Normal 18" xfId="377"/>
    <cellStyle name="Normal 18 2" xfId="3522"/>
    <cellStyle name="Normal 19" xfId="393"/>
    <cellStyle name="Normal 19 2" xfId="3523"/>
    <cellStyle name="Normal 19 2 2" xfId="3524"/>
    <cellStyle name="Normal 19 2 2 2" xfId="3525"/>
    <cellStyle name="Normal 19 2 3" xfId="3526"/>
    <cellStyle name="Normal 19 2 4" xfId="23233"/>
    <cellStyle name="Normal 19 3" xfId="3527"/>
    <cellStyle name="Normal 2" xfId="21"/>
    <cellStyle name="Normal 2 10" xfId="1228"/>
    <cellStyle name="Normal 2 10 2" xfId="4665"/>
    <cellStyle name="Normal 2 10 3" xfId="3528"/>
    <cellStyle name="Normal 2 10 3 2" xfId="5041"/>
    <cellStyle name="Normal 2 10 3 2 2" xfId="6666"/>
    <cellStyle name="Normal 2 10 3 2 2 2" xfId="9752"/>
    <cellStyle name="Normal 2 10 3 2 2 2 2" xfId="15945"/>
    <cellStyle name="Normal 2 10 3 2 2 2 3" xfId="22097"/>
    <cellStyle name="Normal 2 10 3 2 2 3" xfId="12879"/>
    <cellStyle name="Normal 2 10 3 2 2 4" xfId="19031"/>
    <cellStyle name="Normal 2 10 3 2 3" xfId="8217"/>
    <cellStyle name="Normal 2 10 3 2 3 2" xfId="14411"/>
    <cellStyle name="Normal 2 10 3 2 3 3" xfId="20563"/>
    <cellStyle name="Normal 2 10 3 2 4" xfId="11345"/>
    <cellStyle name="Normal 2 10 3 2 5" xfId="17497"/>
    <cellStyle name="Normal 2 10 3 3" xfId="5883"/>
    <cellStyle name="Normal 2 10 3 3 2" xfId="8983"/>
    <cellStyle name="Normal 2 10 3 3 2 2" xfId="15176"/>
    <cellStyle name="Normal 2 10 3 3 2 3" xfId="21328"/>
    <cellStyle name="Normal 2 10 3 3 3" xfId="12110"/>
    <cellStyle name="Normal 2 10 3 3 4" xfId="18262"/>
    <cellStyle name="Normal 2 10 3 4" xfId="7448"/>
    <cellStyle name="Normal 2 10 3 4 2" xfId="13642"/>
    <cellStyle name="Normal 2 10 3 4 3" xfId="19794"/>
    <cellStyle name="Normal 2 10 3 5" xfId="10576"/>
    <cellStyle name="Normal 2 10 3 6" xfId="16728"/>
    <cellStyle name="Normal 2 11" xfId="1229"/>
    <cellStyle name="Normal 2 11 2" xfId="4666"/>
    <cellStyle name="Normal 2 11 3" xfId="3529"/>
    <cellStyle name="Normal 2 11 3 2" xfId="5042"/>
    <cellStyle name="Normal 2 11 3 2 2" xfId="6667"/>
    <cellStyle name="Normal 2 11 3 2 2 2" xfId="9753"/>
    <cellStyle name="Normal 2 11 3 2 2 2 2" xfId="15946"/>
    <cellStyle name="Normal 2 11 3 2 2 2 3" xfId="22098"/>
    <cellStyle name="Normal 2 11 3 2 2 3" xfId="12880"/>
    <cellStyle name="Normal 2 11 3 2 2 4" xfId="19032"/>
    <cellStyle name="Normal 2 11 3 2 3" xfId="8218"/>
    <cellStyle name="Normal 2 11 3 2 3 2" xfId="14412"/>
    <cellStyle name="Normal 2 11 3 2 3 3" xfId="20564"/>
    <cellStyle name="Normal 2 11 3 2 4" xfId="11346"/>
    <cellStyle name="Normal 2 11 3 2 5" xfId="17498"/>
    <cellStyle name="Normal 2 11 3 3" xfId="5884"/>
    <cellStyle name="Normal 2 11 3 3 2" xfId="8984"/>
    <cellStyle name="Normal 2 11 3 3 2 2" xfId="15177"/>
    <cellStyle name="Normal 2 11 3 3 2 3" xfId="21329"/>
    <cellStyle name="Normal 2 11 3 3 3" xfId="12111"/>
    <cellStyle name="Normal 2 11 3 3 4" xfId="18263"/>
    <cellStyle name="Normal 2 11 3 4" xfId="7449"/>
    <cellStyle name="Normal 2 11 3 4 2" xfId="13643"/>
    <cellStyle name="Normal 2 11 3 4 3" xfId="19795"/>
    <cellStyle name="Normal 2 11 3 5" xfId="10577"/>
    <cellStyle name="Normal 2 11 3 6" xfId="16729"/>
    <cellStyle name="Normal 2 12" xfId="1230"/>
    <cellStyle name="Normal 2 12 2" xfId="4667"/>
    <cellStyle name="Normal 2 12 3" xfId="3530"/>
    <cellStyle name="Normal 2 12 3 2" xfId="5043"/>
    <cellStyle name="Normal 2 12 3 2 2" xfId="6668"/>
    <cellStyle name="Normal 2 12 3 2 2 2" xfId="9754"/>
    <cellStyle name="Normal 2 12 3 2 2 2 2" xfId="15947"/>
    <cellStyle name="Normal 2 12 3 2 2 2 3" xfId="22099"/>
    <cellStyle name="Normal 2 12 3 2 2 3" xfId="12881"/>
    <cellStyle name="Normal 2 12 3 2 2 4" xfId="19033"/>
    <cellStyle name="Normal 2 12 3 2 3" xfId="8219"/>
    <cellStyle name="Normal 2 12 3 2 3 2" xfId="14413"/>
    <cellStyle name="Normal 2 12 3 2 3 3" xfId="20565"/>
    <cellStyle name="Normal 2 12 3 2 4" xfId="11347"/>
    <cellStyle name="Normal 2 12 3 2 5" xfId="17499"/>
    <cellStyle name="Normal 2 12 3 3" xfId="5885"/>
    <cellStyle name="Normal 2 12 3 3 2" xfId="8985"/>
    <cellStyle name="Normal 2 12 3 3 2 2" xfId="15178"/>
    <cellStyle name="Normal 2 12 3 3 2 3" xfId="21330"/>
    <cellStyle name="Normal 2 12 3 3 3" xfId="12112"/>
    <cellStyle name="Normal 2 12 3 3 4" xfId="18264"/>
    <cellStyle name="Normal 2 12 3 4" xfId="7450"/>
    <cellStyle name="Normal 2 12 3 4 2" xfId="13644"/>
    <cellStyle name="Normal 2 12 3 4 3" xfId="19796"/>
    <cellStyle name="Normal 2 12 3 5" xfId="10578"/>
    <cellStyle name="Normal 2 12 3 6" xfId="16730"/>
    <cellStyle name="Normal 2 13" xfId="1231"/>
    <cellStyle name="Normal 2 13 2" xfId="4668"/>
    <cellStyle name="Normal 2 13 3" xfId="3531"/>
    <cellStyle name="Normal 2 13 3 2" xfId="5044"/>
    <cellStyle name="Normal 2 13 3 2 2" xfId="6669"/>
    <cellStyle name="Normal 2 13 3 2 2 2" xfId="9755"/>
    <cellStyle name="Normal 2 13 3 2 2 2 2" xfId="15948"/>
    <cellStyle name="Normal 2 13 3 2 2 2 3" xfId="22100"/>
    <cellStyle name="Normal 2 13 3 2 2 3" xfId="12882"/>
    <cellStyle name="Normal 2 13 3 2 2 4" xfId="19034"/>
    <cellStyle name="Normal 2 13 3 2 3" xfId="8220"/>
    <cellStyle name="Normal 2 13 3 2 3 2" xfId="14414"/>
    <cellStyle name="Normal 2 13 3 2 3 3" xfId="20566"/>
    <cellStyle name="Normal 2 13 3 2 4" xfId="11348"/>
    <cellStyle name="Normal 2 13 3 2 5" xfId="17500"/>
    <cellStyle name="Normal 2 13 3 3" xfId="5886"/>
    <cellStyle name="Normal 2 13 3 3 2" xfId="8986"/>
    <cellStyle name="Normal 2 13 3 3 2 2" xfId="15179"/>
    <cellStyle name="Normal 2 13 3 3 2 3" xfId="21331"/>
    <cellStyle name="Normal 2 13 3 3 3" xfId="12113"/>
    <cellStyle name="Normal 2 13 3 3 4" xfId="18265"/>
    <cellStyle name="Normal 2 13 3 4" xfId="7451"/>
    <cellStyle name="Normal 2 13 3 4 2" xfId="13645"/>
    <cellStyle name="Normal 2 13 3 4 3" xfId="19797"/>
    <cellStyle name="Normal 2 13 3 5" xfId="10579"/>
    <cellStyle name="Normal 2 13 3 6" xfId="16731"/>
    <cellStyle name="Normal 2 14" xfId="1232"/>
    <cellStyle name="Normal 2 14 2" xfId="4669"/>
    <cellStyle name="Normal 2 14 3" xfId="3532"/>
    <cellStyle name="Normal 2 14 3 2" xfId="5045"/>
    <cellStyle name="Normal 2 14 3 2 2" xfId="6670"/>
    <cellStyle name="Normal 2 14 3 2 2 2" xfId="9756"/>
    <cellStyle name="Normal 2 14 3 2 2 2 2" xfId="15949"/>
    <cellStyle name="Normal 2 14 3 2 2 2 3" xfId="22101"/>
    <cellStyle name="Normal 2 14 3 2 2 3" xfId="12883"/>
    <cellStyle name="Normal 2 14 3 2 2 4" xfId="19035"/>
    <cellStyle name="Normal 2 14 3 2 3" xfId="8221"/>
    <cellStyle name="Normal 2 14 3 2 3 2" xfId="14415"/>
    <cellStyle name="Normal 2 14 3 2 3 3" xfId="20567"/>
    <cellStyle name="Normal 2 14 3 2 4" xfId="11349"/>
    <cellStyle name="Normal 2 14 3 2 5" xfId="17501"/>
    <cellStyle name="Normal 2 14 3 3" xfId="5887"/>
    <cellStyle name="Normal 2 14 3 3 2" xfId="8987"/>
    <cellStyle name="Normal 2 14 3 3 2 2" xfId="15180"/>
    <cellStyle name="Normal 2 14 3 3 2 3" xfId="21332"/>
    <cellStyle name="Normal 2 14 3 3 3" xfId="12114"/>
    <cellStyle name="Normal 2 14 3 3 4" xfId="18266"/>
    <cellStyle name="Normal 2 14 3 4" xfId="7452"/>
    <cellStyle name="Normal 2 14 3 4 2" xfId="13646"/>
    <cellStyle name="Normal 2 14 3 4 3" xfId="19798"/>
    <cellStyle name="Normal 2 14 3 5" xfId="10580"/>
    <cellStyle name="Normal 2 14 3 6" xfId="16732"/>
    <cellStyle name="Normal 2 15" xfId="1233"/>
    <cellStyle name="Normal 2 15 2" xfId="4670"/>
    <cellStyle name="Normal 2 15 3" xfId="3533"/>
    <cellStyle name="Normal 2 15 3 2" xfId="5046"/>
    <cellStyle name="Normal 2 15 3 2 2" xfId="6671"/>
    <cellStyle name="Normal 2 15 3 2 2 2" xfId="9757"/>
    <cellStyle name="Normal 2 15 3 2 2 2 2" xfId="15950"/>
    <cellStyle name="Normal 2 15 3 2 2 2 3" xfId="22102"/>
    <cellStyle name="Normal 2 15 3 2 2 3" xfId="12884"/>
    <cellStyle name="Normal 2 15 3 2 2 4" xfId="19036"/>
    <cellStyle name="Normal 2 15 3 2 3" xfId="8222"/>
    <cellStyle name="Normal 2 15 3 2 3 2" xfId="14416"/>
    <cellStyle name="Normal 2 15 3 2 3 3" xfId="20568"/>
    <cellStyle name="Normal 2 15 3 2 4" xfId="11350"/>
    <cellStyle name="Normal 2 15 3 2 5" xfId="17502"/>
    <cellStyle name="Normal 2 15 3 3" xfId="5888"/>
    <cellStyle name="Normal 2 15 3 3 2" xfId="8988"/>
    <cellStyle name="Normal 2 15 3 3 2 2" xfId="15181"/>
    <cellStyle name="Normal 2 15 3 3 2 3" xfId="21333"/>
    <cellStyle name="Normal 2 15 3 3 3" xfId="12115"/>
    <cellStyle name="Normal 2 15 3 3 4" xfId="18267"/>
    <cellStyle name="Normal 2 15 3 4" xfId="7453"/>
    <cellStyle name="Normal 2 15 3 4 2" xfId="13647"/>
    <cellStyle name="Normal 2 15 3 4 3" xfId="19799"/>
    <cellStyle name="Normal 2 15 3 5" xfId="10581"/>
    <cellStyle name="Normal 2 15 3 6" xfId="16733"/>
    <cellStyle name="Normal 2 16" xfId="1234"/>
    <cellStyle name="Normal 2 16 2" xfId="4671"/>
    <cellStyle name="Normal 2 16 3" xfId="3534"/>
    <cellStyle name="Normal 2 16 3 2" xfId="5047"/>
    <cellStyle name="Normal 2 16 3 2 2" xfId="6672"/>
    <cellStyle name="Normal 2 16 3 2 2 2" xfId="9758"/>
    <cellStyle name="Normal 2 16 3 2 2 2 2" xfId="15951"/>
    <cellStyle name="Normal 2 16 3 2 2 2 3" xfId="22103"/>
    <cellStyle name="Normal 2 16 3 2 2 3" xfId="12885"/>
    <cellStyle name="Normal 2 16 3 2 2 4" xfId="19037"/>
    <cellStyle name="Normal 2 16 3 2 3" xfId="8223"/>
    <cellStyle name="Normal 2 16 3 2 3 2" xfId="14417"/>
    <cellStyle name="Normal 2 16 3 2 3 3" xfId="20569"/>
    <cellStyle name="Normal 2 16 3 2 4" xfId="11351"/>
    <cellStyle name="Normal 2 16 3 2 5" xfId="17503"/>
    <cellStyle name="Normal 2 16 3 3" xfId="5889"/>
    <cellStyle name="Normal 2 16 3 3 2" xfId="8989"/>
    <cellStyle name="Normal 2 16 3 3 2 2" xfId="15182"/>
    <cellStyle name="Normal 2 16 3 3 2 3" xfId="21334"/>
    <cellStyle name="Normal 2 16 3 3 3" xfId="12116"/>
    <cellStyle name="Normal 2 16 3 3 4" xfId="18268"/>
    <cellStyle name="Normal 2 16 3 4" xfId="7454"/>
    <cellStyle name="Normal 2 16 3 4 2" xfId="13648"/>
    <cellStyle name="Normal 2 16 3 4 3" xfId="19800"/>
    <cellStyle name="Normal 2 16 3 5" xfId="10582"/>
    <cellStyle name="Normal 2 16 3 6" xfId="16734"/>
    <cellStyle name="Normal 2 17" xfId="1235"/>
    <cellStyle name="Normal 2 17 2" xfId="4672"/>
    <cellStyle name="Normal 2 17 3" xfId="3535"/>
    <cellStyle name="Normal 2 17 3 2" xfId="5048"/>
    <cellStyle name="Normal 2 17 3 2 2" xfId="6673"/>
    <cellStyle name="Normal 2 17 3 2 2 2" xfId="9759"/>
    <cellStyle name="Normal 2 17 3 2 2 2 2" xfId="15952"/>
    <cellStyle name="Normal 2 17 3 2 2 2 3" xfId="22104"/>
    <cellStyle name="Normal 2 17 3 2 2 3" xfId="12886"/>
    <cellStyle name="Normal 2 17 3 2 2 4" xfId="19038"/>
    <cellStyle name="Normal 2 17 3 2 3" xfId="8224"/>
    <cellStyle name="Normal 2 17 3 2 3 2" xfId="14418"/>
    <cellStyle name="Normal 2 17 3 2 3 3" xfId="20570"/>
    <cellStyle name="Normal 2 17 3 2 4" xfId="11352"/>
    <cellStyle name="Normal 2 17 3 2 5" xfId="17504"/>
    <cellStyle name="Normal 2 17 3 3" xfId="5890"/>
    <cellStyle name="Normal 2 17 3 3 2" xfId="8990"/>
    <cellStyle name="Normal 2 17 3 3 2 2" xfId="15183"/>
    <cellStyle name="Normal 2 17 3 3 2 3" xfId="21335"/>
    <cellStyle name="Normal 2 17 3 3 3" xfId="12117"/>
    <cellStyle name="Normal 2 17 3 3 4" xfId="18269"/>
    <cellStyle name="Normal 2 17 3 4" xfId="7455"/>
    <cellStyle name="Normal 2 17 3 4 2" xfId="13649"/>
    <cellStyle name="Normal 2 17 3 4 3" xfId="19801"/>
    <cellStyle name="Normal 2 17 3 5" xfId="10583"/>
    <cellStyle name="Normal 2 17 3 6" xfId="16735"/>
    <cellStyle name="Normal 2 18" xfId="1236"/>
    <cellStyle name="Normal 2 18 2" xfId="4673"/>
    <cellStyle name="Normal 2 18 3" xfId="3536"/>
    <cellStyle name="Normal 2 18 3 2" xfId="5049"/>
    <cellStyle name="Normal 2 18 3 2 2" xfId="6674"/>
    <cellStyle name="Normal 2 18 3 2 2 2" xfId="9760"/>
    <cellStyle name="Normal 2 18 3 2 2 2 2" xfId="15953"/>
    <cellStyle name="Normal 2 18 3 2 2 2 3" xfId="22105"/>
    <cellStyle name="Normal 2 18 3 2 2 3" xfId="12887"/>
    <cellStyle name="Normal 2 18 3 2 2 4" xfId="19039"/>
    <cellStyle name="Normal 2 18 3 2 3" xfId="8225"/>
    <cellStyle name="Normal 2 18 3 2 3 2" xfId="14419"/>
    <cellStyle name="Normal 2 18 3 2 3 3" xfId="20571"/>
    <cellStyle name="Normal 2 18 3 2 4" xfId="11353"/>
    <cellStyle name="Normal 2 18 3 2 5" xfId="17505"/>
    <cellStyle name="Normal 2 18 3 3" xfId="5891"/>
    <cellStyle name="Normal 2 18 3 3 2" xfId="8991"/>
    <cellStyle name="Normal 2 18 3 3 2 2" xfId="15184"/>
    <cellStyle name="Normal 2 18 3 3 2 3" xfId="21336"/>
    <cellStyle name="Normal 2 18 3 3 3" xfId="12118"/>
    <cellStyle name="Normal 2 18 3 3 4" xfId="18270"/>
    <cellStyle name="Normal 2 18 3 4" xfId="7456"/>
    <cellStyle name="Normal 2 18 3 4 2" xfId="13650"/>
    <cellStyle name="Normal 2 18 3 4 3" xfId="19802"/>
    <cellStyle name="Normal 2 18 3 5" xfId="10584"/>
    <cellStyle name="Normal 2 18 3 6" xfId="16736"/>
    <cellStyle name="Normal 2 19" xfId="1237"/>
    <cellStyle name="Normal 2 19 2" xfId="4674"/>
    <cellStyle name="Normal 2 19 3" xfId="3537"/>
    <cellStyle name="Normal 2 19 3 2" xfId="5050"/>
    <cellStyle name="Normal 2 19 3 2 2" xfId="6675"/>
    <cellStyle name="Normal 2 19 3 2 2 2" xfId="9761"/>
    <cellStyle name="Normal 2 19 3 2 2 2 2" xfId="15954"/>
    <cellStyle name="Normal 2 19 3 2 2 2 3" xfId="22106"/>
    <cellStyle name="Normal 2 19 3 2 2 3" xfId="12888"/>
    <cellStyle name="Normal 2 19 3 2 2 4" xfId="19040"/>
    <cellStyle name="Normal 2 19 3 2 3" xfId="8226"/>
    <cellStyle name="Normal 2 19 3 2 3 2" xfId="14420"/>
    <cellStyle name="Normal 2 19 3 2 3 3" xfId="20572"/>
    <cellStyle name="Normal 2 19 3 2 4" xfId="11354"/>
    <cellStyle name="Normal 2 19 3 2 5" xfId="17506"/>
    <cellStyle name="Normal 2 19 3 3" xfId="5892"/>
    <cellStyle name="Normal 2 19 3 3 2" xfId="8992"/>
    <cellStyle name="Normal 2 19 3 3 2 2" xfId="15185"/>
    <cellStyle name="Normal 2 19 3 3 2 3" xfId="21337"/>
    <cellStyle name="Normal 2 19 3 3 3" xfId="12119"/>
    <cellStyle name="Normal 2 19 3 3 4" xfId="18271"/>
    <cellStyle name="Normal 2 19 3 4" xfId="7457"/>
    <cellStyle name="Normal 2 19 3 4 2" xfId="13651"/>
    <cellStyle name="Normal 2 19 3 4 3" xfId="19803"/>
    <cellStyle name="Normal 2 19 3 5" xfId="10585"/>
    <cellStyle name="Normal 2 19 3 6" xfId="16737"/>
    <cellStyle name="Normal 2 2" xfId="22"/>
    <cellStyle name="Normal 2 2 10" xfId="331"/>
    <cellStyle name="Normal 2 2 10 2" xfId="5051"/>
    <cellStyle name="Normal 2 2 10 2 2" xfId="6676"/>
    <cellStyle name="Normal 2 2 10 2 2 2" xfId="9762"/>
    <cellStyle name="Normal 2 2 10 2 2 2 2" xfId="15955"/>
    <cellStyle name="Normal 2 2 10 2 2 2 3" xfId="22107"/>
    <cellStyle name="Normal 2 2 10 2 2 3" xfId="12889"/>
    <cellStyle name="Normal 2 2 10 2 2 4" xfId="19041"/>
    <cellStyle name="Normal 2 2 10 2 3" xfId="8227"/>
    <cellStyle name="Normal 2 2 10 2 3 2" xfId="14421"/>
    <cellStyle name="Normal 2 2 10 2 3 3" xfId="20573"/>
    <cellStyle name="Normal 2 2 10 2 4" xfId="11355"/>
    <cellStyle name="Normal 2 2 10 2 5" xfId="17507"/>
    <cellStyle name="Normal 2 2 10 3" xfId="5893"/>
    <cellStyle name="Normal 2 2 10 3 2" xfId="8993"/>
    <cellStyle name="Normal 2 2 10 3 2 2" xfId="15186"/>
    <cellStyle name="Normal 2 2 10 3 2 3" xfId="21338"/>
    <cellStyle name="Normal 2 2 10 3 3" xfId="12120"/>
    <cellStyle name="Normal 2 2 10 3 4" xfId="18272"/>
    <cellStyle name="Normal 2 2 10 4" xfId="7458"/>
    <cellStyle name="Normal 2 2 10 4 2" xfId="13652"/>
    <cellStyle name="Normal 2 2 10 4 3" xfId="19804"/>
    <cellStyle name="Normal 2 2 10 5" xfId="10586"/>
    <cellStyle name="Normal 2 2 10 6" xfId="16738"/>
    <cellStyle name="Normal 2 2 10 7" xfId="3538"/>
    <cellStyle name="Normal 2 2 11" xfId="352"/>
    <cellStyle name="Normal 2 2 11 2" xfId="5052"/>
    <cellStyle name="Normal 2 2 11 2 2" xfId="6677"/>
    <cellStyle name="Normal 2 2 11 2 2 2" xfId="9763"/>
    <cellStyle name="Normal 2 2 11 2 2 2 2" xfId="15956"/>
    <cellStyle name="Normal 2 2 11 2 2 2 3" xfId="22108"/>
    <cellStyle name="Normal 2 2 11 2 2 3" xfId="12890"/>
    <cellStyle name="Normal 2 2 11 2 2 4" xfId="19042"/>
    <cellStyle name="Normal 2 2 11 2 3" xfId="8228"/>
    <cellStyle name="Normal 2 2 11 2 3 2" xfId="14422"/>
    <cellStyle name="Normal 2 2 11 2 3 3" xfId="20574"/>
    <cellStyle name="Normal 2 2 11 2 4" xfId="11356"/>
    <cellStyle name="Normal 2 2 11 2 5" xfId="17508"/>
    <cellStyle name="Normal 2 2 11 3" xfId="5894"/>
    <cellStyle name="Normal 2 2 11 3 2" xfId="8994"/>
    <cellStyle name="Normal 2 2 11 3 2 2" xfId="15187"/>
    <cellStyle name="Normal 2 2 11 3 2 3" xfId="21339"/>
    <cellStyle name="Normal 2 2 11 3 3" xfId="12121"/>
    <cellStyle name="Normal 2 2 11 3 4" xfId="18273"/>
    <cellStyle name="Normal 2 2 11 4" xfId="7459"/>
    <cellStyle name="Normal 2 2 11 4 2" xfId="13653"/>
    <cellStyle name="Normal 2 2 11 4 3" xfId="19805"/>
    <cellStyle name="Normal 2 2 11 5" xfId="10587"/>
    <cellStyle name="Normal 2 2 11 6" xfId="16739"/>
    <cellStyle name="Normal 2 2 11 7" xfId="3539"/>
    <cellStyle name="Normal 2 2 12" xfId="316"/>
    <cellStyle name="Normal 2 2 12 2" xfId="5053"/>
    <cellStyle name="Normal 2 2 12 2 2" xfId="6678"/>
    <cellStyle name="Normal 2 2 12 2 2 2" xfId="9764"/>
    <cellStyle name="Normal 2 2 12 2 2 2 2" xfId="15957"/>
    <cellStyle name="Normal 2 2 12 2 2 2 3" xfId="22109"/>
    <cellStyle name="Normal 2 2 12 2 2 3" xfId="12891"/>
    <cellStyle name="Normal 2 2 12 2 2 4" xfId="19043"/>
    <cellStyle name="Normal 2 2 12 2 3" xfId="8229"/>
    <cellStyle name="Normal 2 2 12 2 3 2" xfId="14423"/>
    <cellStyle name="Normal 2 2 12 2 3 3" xfId="20575"/>
    <cellStyle name="Normal 2 2 12 2 4" xfId="11357"/>
    <cellStyle name="Normal 2 2 12 2 5" xfId="17509"/>
    <cellStyle name="Normal 2 2 12 3" xfId="5895"/>
    <cellStyle name="Normal 2 2 12 3 2" xfId="8995"/>
    <cellStyle name="Normal 2 2 12 3 2 2" xfId="15188"/>
    <cellStyle name="Normal 2 2 12 3 2 3" xfId="21340"/>
    <cellStyle name="Normal 2 2 12 3 3" xfId="12122"/>
    <cellStyle name="Normal 2 2 12 3 4" xfId="18274"/>
    <cellStyle name="Normal 2 2 12 4" xfId="7460"/>
    <cellStyle name="Normal 2 2 12 4 2" xfId="13654"/>
    <cellStyle name="Normal 2 2 12 4 3" xfId="19806"/>
    <cellStyle name="Normal 2 2 12 5" xfId="10588"/>
    <cellStyle name="Normal 2 2 12 6" xfId="16740"/>
    <cellStyle name="Normal 2 2 12 7" xfId="3540"/>
    <cellStyle name="Normal 2 2 13" xfId="355"/>
    <cellStyle name="Normal 2 2 13 2" xfId="5054"/>
    <cellStyle name="Normal 2 2 13 2 2" xfId="6679"/>
    <cellStyle name="Normal 2 2 13 2 2 2" xfId="9765"/>
    <cellStyle name="Normal 2 2 13 2 2 2 2" xfId="15958"/>
    <cellStyle name="Normal 2 2 13 2 2 2 3" xfId="22110"/>
    <cellStyle name="Normal 2 2 13 2 2 3" xfId="12892"/>
    <cellStyle name="Normal 2 2 13 2 2 4" xfId="19044"/>
    <cellStyle name="Normal 2 2 13 2 3" xfId="8230"/>
    <cellStyle name="Normal 2 2 13 2 3 2" xfId="14424"/>
    <cellStyle name="Normal 2 2 13 2 3 3" xfId="20576"/>
    <cellStyle name="Normal 2 2 13 2 4" xfId="11358"/>
    <cellStyle name="Normal 2 2 13 2 5" xfId="17510"/>
    <cellStyle name="Normal 2 2 13 3" xfId="5896"/>
    <cellStyle name="Normal 2 2 13 3 2" xfId="8996"/>
    <cellStyle name="Normal 2 2 13 3 2 2" xfId="15189"/>
    <cellStyle name="Normal 2 2 13 3 2 3" xfId="21341"/>
    <cellStyle name="Normal 2 2 13 3 3" xfId="12123"/>
    <cellStyle name="Normal 2 2 13 3 4" xfId="18275"/>
    <cellStyle name="Normal 2 2 13 4" xfId="7461"/>
    <cellStyle name="Normal 2 2 13 4 2" xfId="13655"/>
    <cellStyle name="Normal 2 2 13 4 3" xfId="19807"/>
    <cellStyle name="Normal 2 2 13 5" xfId="10589"/>
    <cellStyle name="Normal 2 2 13 6" xfId="16741"/>
    <cellStyle name="Normal 2 2 13 7" xfId="3541"/>
    <cellStyle name="Normal 2 2 14" xfId="370"/>
    <cellStyle name="Normal 2 2 14 2" xfId="5055"/>
    <cellStyle name="Normal 2 2 14 2 2" xfId="6680"/>
    <cellStyle name="Normal 2 2 14 2 2 2" xfId="9766"/>
    <cellStyle name="Normal 2 2 14 2 2 2 2" xfId="15959"/>
    <cellStyle name="Normal 2 2 14 2 2 2 3" xfId="22111"/>
    <cellStyle name="Normal 2 2 14 2 2 3" xfId="12893"/>
    <cellStyle name="Normal 2 2 14 2 2 4" xfId="19045"/>
    <cellStyle name="Normal 2 2 14 2 3" xfId="8231"/>
    <cellStyle name="Normal 2 2 14 2 3 2" xfId="14425"/>
    <cellStyle name="Normal 2 2 14 2 3 3" xfId="20577"/>
    <cellStyle name="Normal 2 2 14 2 4" xfId="11359"/>
    <cellStyle name="Normal 2 2 14 2 5" xfId="17511"/>
    <cellStyle name="Normal 2 2 14 3" xfId="5897"/>
    <cellStyle name="Normal 2 2 14 3 2" xfId="8997"/>
    <cellStyle name="Normal 2 2 14 3 2 2" xfId="15190"/>
    <cellStyle name="Normal 2 2 14 3 2 3" xfId="21342"/>
    <cellStyle name="Normal 2 2 14 3 3" xfId="12124"/>
    <cellStyle name="Normal 2 2 14 3 4" xfId="18276"/>
    <cellStyle name="Normal 2 2 14 4" xfId="7462"/>
    <cellStyle name="Normal 2 2 14 4 2" xfId="13656"/>
    <cellStyle name="Normal 2 2 14 4 3" xfId="19808"/>
    <cellStyle name="Normal 2 2 14 5" xfId="10590"/>
    <cellStyle name="Normal 2 2 14 6" xfId="16742"/>
    <cellStyle name="Normal 2 2 14 7" xfId="3542"/>
    <cellStyle name="Normal 2 2 15" xfId="436"/>
    <cellStyle name="Normal 2 2 15 2" xfId="5056"/>
    <cellStyle name="Normal 2 2 15 2 2" xfId="6681"/>
    <cellStyle name="Normal 2 2 15 2 2 2" xfId="9767"/>
    <cellStyle name="Normal 2 2 15 2 2 2 2" xfId="15960"/>
    <cellStyle name="Normal 2 2 15 2 2 2 3" xfId="22112"/>
    <cellStyle name="Normal 2 2 15 2 2 3" xfId="12894"/>
    <cellStyle name="Normal 2 2 15 2 2 4" xfId="19046"/>
    <cellStyle name="Normal 2 2 15 2 3" xfId="8232"/>
    <cellStyle name="Normal 2 2 15 2 3 2" xfId="14426"/>
    <cellStyle name="Normal 2 2 15 2 3 3" xfId="20578"/>
    <cellStyle name="Normal 2 2 15 2 4" xfId="11360"/>
    <cellStyle name="Normal 2 2 15 2 5" xfId="17512"/>
    <cellStyle name="Normal 2 2 15 3" xfId="5898"/>
    <cellStyle name="Normal 2 2 15 3 2" xfId="8998"/>
    <cellStyle name="Normal 2 2 15 3 2 2" xfId="15191"/>
    <cellStyle name="Normal 2 2 15 3 2 3" xfId="21343"/>
    <cellStyle name="Normal 2 2 15 3 3" xfId="12125"/>
    <cellStyle name="Normal 2 2 15 3 4" xfId="18277"/>
    <cellStyle name="Normal 2 2 15 4" xfId="7463"/>
    <cellStyle name="Normal 2 2 15 4 2" xfId="13657"/>
    <cellStyle name="Normal 2 2 15 4 3" xfId="19809"/>
    <cellStyle name="Normal 2 2 15 5" xfId="10591"/>
    <cellStyle name="Normal 2 2 15 6" xfId="16743"/>
    <cellStyle name="Normal 2 2 15 7" xfId="3543"/>
    <cellStyle name="Normal 2 2 16" xfId="456"/>
    <cellStyle name="Normal 2 2 16 2" xfId="5057"/>
    <cellStyle name="Normal 2 2 16 2 2" xfId="6682"/>
    <cellStyle name="Normal 2 2 16 2 2 2" xfId="9768"/>
    <cellStyle name="Normal 2 2 16 2 2 2 2" xfId="15961"/>
    <cellStyle name="Normal 2 2 16 2 2 2 3" xfId="22113"/>
    <cellStyle name="Normal 2 2 16 2 2 3" xfId="12895"/>
    <cellStyle name="Normal 2 2 16 2 2 4" xfId="19047"/>
    <cellStyle name="Normal 2 2 16 2 3" xfId="8233"/>
    <cellStyle name="Normal 2 2 16 2 3 2" xfId="14427"/>
    <cellStyle name="Normal 2 2 16 2 3 3" xfId="20579"/>
    <cellStyle name="Normal 2 2 16 2 4" xfId="11361"/>
    <cellStyle name="Normal 2 2 16 2 5" xfId="17513"/>
    <cellStyle name="Normal 2 2 16 3" xfId="5899"/>
    <cellStyle name="Normal 2 2 16 3 2" xfId="8999"/>
    <cellStyle name="Normal 2 2 16 3 2 2" xfId="15192"/>
    <cellStyle name="Normal 2 2 16 3 2 3" xfId="21344"/>
    <cellStyle name="Normal 2 2 16 3 3" xfId="12126"/>
    <cellStyle name="Normal 2 2 16 3 4" xfId="18278"/>
    <cellStyle name="Normal 2 2 16 4" xfId="7464"/>
    <cellStyle name="Normal 2 2 16 4 2" xfId="13658"/>
    <cellStyle name="Normal 2 2 16 4 3" xfId="19810"/>
    <cellStyle name="Normal 2 2 16 5" xfId="10592"/>
    <cellStyle name="Normal 2 2 16 6" xfId="16744"/>
    <cellStyle name="Normal 2 2 16 7" xfId="3544"/>
    <cellStyle name="Normal 2 2 17" xfId="479"/>
    <cellStyle name="Normal 2 2 17 2" xfId="5058"/>
    <cellStyle name="Normal 2 2 17 2 2" xfId="6683"/>
    <cellStyle name="Normal 2 2 17 2 2 2" xfId="9769"/>
    <cellStyle name="Normal 2 2 17 2 2 2 2" xfId="15962"/>
    <cellStyle name="Normal 2 2 17 2 2 2 3" xfId="22114"/>
    <cellStyle name="Normal 2 2 17 2 2 3" xfId="12896"/>
    <cellStyle name="Normal 2 2 17 2 2 4" xfId="19048"/>
    <cellStyle name="Normal 2 2 17 2 3" xfId="8234"/>
    <cellStyle name="Normal 2 2 17 2 3 2" xfId="14428"/>
    <cellStyle name="Normal 2 2 17 2 3 3" xfId="20580"/>
    <cellStyle name="Normal 2 2 17 2 4" xfId="11362"/>
    <cellStyle name="Normal 2 2 17 2 5" xfId="17514"/>
    <cellStyle name="Normal 2 2 17 3" xfId="5900"/>
    <cellStyle name="Normal 2 2 17 3 2" xfId="9000"/>
    <cellStyle name="Normal 2 2 17 3 2 2" xfId="15193"/>
    <cellStyle name="Normal 2 2 17 3 2 3" xfId="21345"/>
    <cellStyle name="Normal 2 2 17 3 3" xfId="12127"/>
    <cellStyle name="Normal 2 2 17 3 4" xfId="18279"/>
    <cellStyle name="Normal 2 2 17 4" xfId="7465"/>
    <cellStyle name="Normal 2 2 17 4 2" xfId="13659"/>
    <cellStyle name="Normal 2 2 17 4 3" xfId="19811"/>
    <cellStyle name="Normal 2 2 17 5" xfId="10593"/>
    <cellStyle name="Normal 2 2 17 6" xfId="16745"/>
    <cellStyle name="Normal 2 2 17 7" xfId="3545"/>
    <cellStyle name="Normal 2 2 18" xfId="514"/>
    <cellStyle name="Normal 2 2 18 2" xfId="5059"/>
    <cellStyle name="Normal 2 2 18 2 2" xfId="6684"/>
    <cellStyle name="Normal 2 2 18 2 2 2" xfId="9770"/>
    <cellStyle name="Normal 2 2 18 2 2 2 2" xfId="15963"/>
    <cellStyle name="Normal 2 2 18 2 2 2 3" xfId="22115"/>
    <cellStyle name="Normal 2 2 18 2 2 3" xfId="12897"/>
    <cellStyle name="Normal 2 2 18 2 2 4" xfId="19049"/>
    <cellStyle name="Normal 2 2 18 2 3" xfId="8235"/>
    <cellStyle name="Normal 2 2 18 2 3 2" xfId="14429"/>
    <cellStyle name="Normal 2 2 18 2 3 3" xfId="20581"/>
    <cellStyle name="Normal 2 2 18 2 4" xfId="11363"/>
    <cellStyle name="Normal 2 2 18 2 5" xfId="17515"/>
    <cellStyle name="Normal 2 2 18 3" xfId="5901"/>
    <cellStyle name="Normal 2 2 18 3 2" xfId="9001"/>
    <cellStyle name="Normal 2 2 18 3 2 2" xfId="15194"/>
    <cellStyle name="Normal 2 2 18 3 2 3" xfId="21346"/>
    <cellStyle name="Normal 2 2 18 3 3" xfId="12128"/>
    <cellStyle name="Normal 2 2 18 3 4" xfId="18280"/>
    <cellStyle name="Normal 2 2 18 4" xfId="7466"/>
    <cellStyle name="Normal 2 2 18 4 2" xfId="13660"/>
    <cellStyle name="Normal 2 2 18 4 3" xfId="19812"/>
    <cellStyle name="Normal 2 2 18 5" xfId="10594"/>
    <cellStyle name="Normal 2 2 18 6" xfId="16746"/>
    <cellStyle name="Normal 2 2 18 7" xfId="3546"/>
    <cellStyle name="Normal 2 2 19" xfId="527"/>
    <cellStyle name="Normal 2 2 19 2" xfId="5060"/>
    <cellStyle name="Normal 2 2 19 2 2" xfId="6685"/>
    <cellStyle name="Normal 2 2 19 2 2 2" xfId="9771"/>
    <cellStyle name="Normal 2 2 19 2 2 2 2" xfId="15964"/>
    <cellStyle name="Normal 2 2 19 2 2 2 3" xfId="22116"/>
    <cellStyle name="Normal 2 2 19 2 2 3" xfId="12898"/>
    <cellStyle name="Normal 2 2 19 2 2 4" xfId="19050"/>
    <cellStyle name="Normal 2 2 19 2 3" xfId="8236"/>
    <cellStyle name="Normal 2 2 19 2 3 2" xfId="14430"/>
    <cellStyle name="Normal 2 2 19 2 3 3" xfId="20582"/>
    <cellStyle name="Normal 2 2 19 2 4" xfId="11364"/>
    <cellStyle name="Normal 2 2 19 2 5" xfId="17516"/>
    <cellStyle name="Normal 2 2 19 3" xfId="5902"/>
    <cellStyle name="Normal 2 2 19 3 2" xfId="9002"/>
    <cellStyle name="Normal 2 2 19 3 2 2" xfId="15195"/>
    <cellStyle name="Normal 2 2 19 3 2 3" xfId="21347"/>
    <cellStyle name="Normal 2 2 19 3 3" xfId="12129"/>
    <cellStyle name="Normal 2 2 19 3 4" xfId="18281"/>
    <cellStyle name="Normal 2 2 19 4" xfId="7467"/>
    <cellStyle name="Normal 2 2 19 4 2" xfId="13661"/>
    <cellStyle name="Normal 2 2 19 4 3" xfId="19813"/>
    <cellStyle name="Normal 2 2 19 5" xfId="10595"/>
    <cellStyle name="Normal 2 2 19 6" xfId="16747"/>
    <cellStyle name="Normal 2 2 19 7" xfId="3547"/>
    <cellStyle name="Normal 2 2 2" xfId="75"/>
    <cellStyle name="Normal 2 2 2 2" xfId="222"/>
    <cellStyle name="Normal 2 2 2 2 10" xfId="16748"/>
    <cellStyle name="Normal 2 2 2 2 11" xfId="3549"/>
    <cellStyle name="Normal 2 2 2 2 2" xfId="3550"/>
    <cellStyle name="Normal 2 2 2 2 2 2" xfId="3551"/>
    <cellStyle name="Normal 2 2 2 2 2 2 2" xfId="5063"/>
    <cellStyle name="Normal 2 2 2 2 2 2 2 2" xfId="6688"/>
    <cellStyle name="Normal 2 2 2 2 2 2 2 2 2" xfId="9774"/>
    <cellStyle name="Normal 2 2 2 2 2 2 2 2 2 2" xfId="15967"/>
    <cellStyle name="Normal 2 2 2 2 2 2 2 2 2 3" xfId="22119"/>
    <cellStyle name="Normal 2 2 2 2 2 2 2 2 3" xfId="12901"/>
    <cellStyle name="Normal 2 2 2 2 2 2 2 2 4" xfId="19053"/>
    <cellStyle name="Normal 2 2 2 2 2 2 2 3" xfId="8239"/>
    <cellStyle name="Normal 2 2 2 2 2 2 2 3 2" xfId="14433"/>
    <cellStyle name="Normal 2 2 2 2 2 2 2 3 3" xfId="20585"/>
    <cellStyle name="Normal 2 2 2 2 2 2 2 4" xfId="11367"/>
    <cellStyle name="Normal 2 2 2 2 2 2 2 5" xfId="17519"/>
    <cellStyle name="Normal 2 2 2 2 2 2 3" xfId="5905"/>
    <cellStyle name="Normal 2 2 2 2 2 2 3 2" xfId="9005"/>
    <cellStyle name="Normal 2 2 2 2 2 2 3 2 2" xfId="15198"/>
    <cellStyle name="Normal 2 2 2 2 2 2 3 2 3" xfId="21350"/>
    <cellStyle name="Normal 2 2 2 2 2 2 3 3" xfId="12132"/>
    <cellStyle name="Normal 2 2 2 2 2 2 3 4" xfId="18284"/>
    <cellStyle name="Normal 2 2 2 2 2 2 4" xfId="7470"/>
    <cellStyle name="Normal 2 2 2 2 2 2 4 2" xfId="13664"/>
    <cellStyle name="Normal 2 2 2 2 2 2 4 3" xfId="19816"/>
    <cellStyle name="Normal 2 2 2 2 2 2 5" xfId="10598"/>
    <cellStyle name="Normal 2 2 2 2 2 2 6" xfId="16750"/>
    <cellStyle name="Normal 2 2 2 2 2 3" xfId="5062"/>
    <cellStyle name="Normal 2 2 2 2 2 3 2" xfId="6687"/>
    <cellStyle name="Normal 2 2 2 2 2 3 2 2" xfId="9773"/>
    <cellStyle name="Normal 2 2 2 2 2 3 2 2 2" xfId="15966"/>
    <cellStyle name="Normal 2 2 2 2 2 3 2 2 3" xfId="22118"/>
    <cellStyle name="Normal 2 2 2 2 2 3 2 3" xfId="12900"/>
    <cellStyle name="Normal 2 2 2 2 2 3 2 4" xfId="19052"/>
    <cellStyle name="Normal 2 2 2 2 2 3 3" xfId="8238"/>
    <cellStyle name="Normal 2 2 2 2 2 3 3 2" xfId="14432"/>
    <cellStyle name="Normal 2 2 2 2 2 3 3 3" xfId="20584"/>
    <cellStyle name="Normal 2 2 2 2 2 3 4" xfId="11366"/>
    <cellStyle name="Normal 2 2 2 2 2 3 5" xfId="17518"/>
    <cellStyle name="Normal 2 2 2 2 2 4" xfId="5904"/>
    <cellStyle name="Normal 2 2 2 2 2 4 2" xfId="9004"/>
    <cellStyle name="Normal 2 2 2 2 2 4 2 2" xfId="15197"/>
    <cellStyle name="Normal 2 2 2 2 2 4 2 3" xfId="21349"/>
    <cellStyle name="Normal 2 2 2 2 2 4 3" xfId="12131"/>
    <cellStyle name="Normal 2 2 2 2 2 4 4" xfId="18283"/>
    <cellStyle name="Normal 2 2 2 2 2 5" xfId="7469"/>
    <cellStyle name="Normal 2 2 2 2 2 5 2" xfId="13663"/>
    <cellStyle name="Normal 2 2 2 2 2 5 3" xfId="19815"/>
    <cellStyle name="Normal 2 2 2 2 2 6" xfId="10597"/>
    <cellStyle name="Normal 2 2 2 2 2 7" xfId="16749"/>
    <cellStyle name="Normal 2 2 2 2 3" xfId="3552"/>
    <cellStyle name="Normal 2 2 2 2 3 2" xfId="5064"/>
    <cellStyle name="Normal 2 2 2 2 3 2 2" xfId="6689"/>
    <cellStyle name="Normal 2 2 2 2 3 2 2 2" xfId="9775"/>
    <cellStyle name="Normal 2 2 2 2 3 2 2 2 2" xfId="15968"/>
    <cellStyle name="Normal 2 2 2 2 3 2 2 2 3" xfId="22120"/>
    <cellStyle name="Normal 2 2 2 2 3 2 2 3" xfId="12902"/>
    <cellStyle name="Normal 2 2 2 2 3 2 2 4" xfId="19054"/>
    <cellStyle name="Normal 2 2 2 2 3 2 3" xfId="8240"/>
    <cellStyle name="Normal 2 2 2 2 3 2 3 2" xfId="14434"/>
    <cellStyle name="Normal 2 2 2 2 3 2 3 3" xfId="20586"/>
    <cellStyle name="Normal 2 2 2 2 3 2 4" xfId="11368"/>
    <cellStyle name="Normal 2 2 2 2 3 2 5" xfId="17520"/>
    <cellStyle name="Normal 2 2 2 2 3 3" xfId="5906"/>
    <cellStyle name="Normal 2 2 2 2 3 3 2" xfId="9006"/>
    <cellStyle name="Normal 2 2 2 2 3 3 2 2" xfId="15199"/>
    <cellStyle name="Normal 2 2 2 2 3 3 2 3" xfId="21351"/>
    <cellStyle name="Normal 2 2 2 2 3 3 3" xfId="12133"/>
    <cellStyle name="Normal 2 2 2 2 3 3 4" xfId="18285"/>
    <cellStyle name="Normal 2 2 2 2 3 4" xfId="7471"/>
    <cellStyle name="Normal 2 2 2 2 3 4 2" xfId="13665"/>
    <cellStyle name="Normal 2 2 2 2 3 4 3" xfId="19817"/>
    <cellStyle name="Normal 2 2 2 2 3 5" xfId="10599"/>
    <cellStyle name="Normal 2 2 2 2 3 6" xfId="16751"/>
    <cellStyle name="Normal 2 2 2 2 4" xfId="3553"/>
    <cellStyle name="Normal 2 2 2 2 4 2" xfId="5065"/>
    <cellStyle name="Normal 2 2 2 2 4 2 2" xfId="6690"/>
    <cellStyle name="Normal 2 2 2 2 4 2 2 2" xfId="9776"/>
    <cellStyle name="Normal 2 2 2 2 4 2 2 2 2" xfId="15969"/>
    <cellStyle name="Normal 2 2 2 2 4 2 2 2 3" xfId="22121"/>
    <cellStyle name="Normal 2 2 2 2 4 2 2 3" xfId="12903"/>
    <cellStyle name="Normal 2 2 2 2 4 2 2 4" xfId="19055"/>
    <cellStyle name="Normal 2 2 2 2 4 2 3" xfId="8241"/>
    <cellStyle name="Normal 2 2 2 2 4 2 3 2" xfId="14435"/>
    <cellStyle name="Normal 2 2 2 2 4 2 3 3" xfId="20587"/>
    <cellStyle name="Normal 2 2 2 2 4 2 4" xfId="11369"/>
    <cellStyle name="Normal 2 2 2 2 4 2 5" xfId="17521"/>
    <cellStyle name="Normal 2 2 2 2 4 3" xfId="5907"/>
    <cellStyle name="Normal 2 2 2 2 4 3 2" xfId="9007"/>
    <cellStyle name="Normal 2 2 2 2 4 3 2 2" xfId="15200"/>
    <cellStyle name="Normal 2 2 2 2 4 3 2 3" xfId="21352"/>
    <cellStyle name="Normal 2 2 2 2 4 3 3" xfId="12134"/>
    <cellStyle name="Normal 2 2 2 2 4 3 4" xfId="18286"/>
    <cellStyle name="Normal 2 2 2 2 4 4" xfId="7472"/>
    <cellStyle name="Normal 2 2 2 2 4 4 2" xfId="13666"/>
    <cellStyle name="Normal 2 2 2 2 4 4 3" xfId="19818"/>
    <cellStyle name="Normal 2 2 2 2 4 5" xfId="10600"/>
    <cellStyle name="Normal 2 2 2 2 4 6" xfId="16752"/>
    <cellStyle name="Normal 2 2 2 2 5" xfId="3554"/>
    <cellStyle name="Normal 2 2 2 2 5 2" xfId="5066"/>
    <cellStyle name="Normal 2 2 2 2 5 2 2" xfId="6691"/>
    <cellStyle name="Normal 2 2 2 2 5 2 2 2" xfId="9777"/>
    <cellStyle name="Normal 2 2 2 2 5 2 2 2 2" xfId="15970"/>
    <cellStyle name="Normal 2 2 2 2 5 2 2 2 3" xfId="22122"/>
    <cellStyle name="Normal 2 2 2 2 5 2 2 3" xfId="12904"/>
    <cellStyle name="Normal 2 2 2 2 5 2 2 4" xfId="19056"/>
    <cellStyle name="Normal 2 2 2 2 5 2 3" xfId="8242"/>
    <cellStyle name="Normal 2 2 2 2 5 2 3 2" xfId="14436"/>
    <cellStyle name="Normal 2 2 2 2 5 2 3 3" xfId="20588"/>
    <cellStyle name="Normal 2 2 2 2 5 2 4" xfId="11370"/>
    <cellStyle name="Normal 2 2 2 2 5 2 5" xfId="17522"/>
    <cellStyle name="Normal 2 2 2 2 5 3" xfId="5908"/>
    <cellStyle name="Normal 2 2 2 2 5 3 2" xfId="9008"/>
    <cellStyle name="Normal 2 2 2 2 5 3 2 2" xfId="15201"/>
    <cellStyle name="Normal 2 2 2 2 5 3 2 3" xfId="21353"/>
    <cellStyle name="Normal 2 2 2 2 5 3 3" xfId="12135"/>
    <cellStyle name="Normal 2 2 2 2 5 3 4" xfId="18287"/>
    <cellStyle name="Normal 2 2 2 2 5 4" xfId="7473"/>
    <cellStyle name="Normal 2 2 2 2 5 4 2" xfId="13667"/>
    <cellStyle name="Normal 2 2 2 2 5 4 3" xfId="19819"/>
    <cellStyle name="Normal 2 2 2 2 5 5" xfId="10601"/>
    <cellStyle name="Normal 2 2 2 2 5 6" xfId="16753"/>
    <cellStyle name="Normal 2 2 2 2 6" xfId="5061"/>
    <cellStyle name="Normal 2 2 2 2 6 2" xfId="6686"/>
    <cellStyle name="Normal 2 2 2 2 6 2 2" xfId="9772"/>
    <cellStyle name="Normal 2 2 2 2 6 2 2 2" xfId="15965"/>
    <cellStyle name="Normal 2 2 2 2 6 2 2 3" xfId="22117"/>
    <cellStyle name="Normal 2 2 2 2 6 2 3" xfId="12899"/>
    <cellStyle name="Normal 2 2 2 2 6 2 4" xfId="19051"/>
    <cellStyle name="Normal 2 2 2 2 6 3" xfId="8237"/>
    <cellStyle name="Normal 2 2 2 2 6 3 2" xfId="14431"/>
    <cellStyle name="Normal 2 2 2 2 6 3 3" xfId="20583"/>
    <cellStyle name="Normal 2 2 2 2 6 4" xfId="11365"/>
    <cellStyle name="Normal 2 2 2 2 6 5" xfId="17517"/>
    <cellStyle name="Normal 2 2 2 2 7" xfId="5903"/>
    <cellStyle name="Normal 2 2 2 2 7 2" xfId="9003"/>
    <cellStyle name="Normal 2 2 2 2 7 2 2" xfId="15196"/>
    <cellStyle name="Normal 2 2 2 2 7 2 3" xfId="21348"/>
    <cellStyle name="Normal 2 2 2 2 7 3" xfId="12130"/>
    <cellStyle name="Normal 2 2 2 2 7 4" xfId="18282"/>
    <cellStyle name="Normal 2 2 2 2 8" xfId="7468"/>
    <cellStyle name="Normal 2 2 2 2 8 2" xfId="13662"/>
    <cellStyle name="Normal 2 2 2 2 8 3" xfId="19814"/>
    <cellStyle name="Normal 2 2 2 2 9" xfId="10596"/>
    <cellStyle name="Normal 2 2 2 3" xfId="3555"/>
    <cellStyle name="Normal 2 2 2 4" xfId="3556"/>
    <cellStyle name="Normal 2 2 2 4 2" xfId="3557"/>
    <cellStyle name="Normal 2 2 2 5" xfId="3558"/>
    <cellStyle name="Normal 2 2 2 5 2" xfId="3559"/>
    <cellStyle name="Normal 2 2 2 6" xfId="3548"/>
    <cellStyle name="Normal 2 2 2 7" xfId="1170"/>
    <cellStyle name="Normal 2 2 2 8" xfId="212"/>
    <cellStyle name="Normal 2 2 2 9" xfId="23235"/>
    <cellStyle name="Normal 2 2 20" xfId="554"/>
    <cellStyle name="Normal 2 2 20 2" xfId="5067"/>
    <cellStyle name="Normal 2 2 20 2 2" xfId="6692"/>
    <cellStyle name="Normal 2 2 20 2 2 2" xfId="9778"/>
    <cellStyle name="Normal 2 2 20 2 2 2 2" xfId="15971"/>
    <cellStyle name="Normal 2 2 20 2 2 2 3" xfId="22123"/>
    <cellStyle name="Normal 2 2 20 2 2 3" xfId="12905"/>
    <cellStyle name="Normal 2 2 20 2 2 4" xfId="19057"/>
    <cellStyle name="Normal 2 2 20 2 3" xfId="8243"/>
    <cellStyle name="Normal 2 2 20 2 3 2" xfId="14437"/>
    <cellStyle name="Normal 2 2 20 2 3 3" xfId="20589"/>
    <cellStyle name="Normal 2 2 20 2 4" xfId="11371"/>
    <cellStyle name="Normal 2 2 20 2 5" xfId="17523"/>
    <cellStyle name="Normal 2 2 20 3" xfId="5909"/>
    <cellStyle name="Normal 2 2 20 3 2" xfId="9009"/>
    <cellStyle name="Normal 2 2 20 3 2 2" xfId="15202"/>
    <cellStyle name="Normal 2 2 20 3 2 3" xfId="21354"/>
    <cellStyle name="Normal 2 2 20 3 3" xfId="12136"/>
    <cellStyle name="Normal 2 2 20 3 4" xfId="18288"/>
    <cellStyle name="Normal 2 2 20 4" xfId="7474"/>
    <cellStyle name="Normal 2 2 20 4 2" xfId="13668"/>
    <cellStyle name="Normal 2 2 20 4 3" xfId="19820"/>
    <cellStyle name="Normal 2 2 20 5" xfId="10602"/>
    <cellStyle name="Normal 2 2 20 6" xfId="16754"/>
    <cellStyle name="Normal 2 2 20 7" xfId="3560"/>
    <cellStyle name="Normal 2 2 21" xfId="582"/>
    <cellStyle name="Normal 2 2 21 2" xfId="5068"/>
    <cellStyle name="Normal 2 2 21 2 2" xfId="6693"/>
    <cellStyle name="Normal 2 2 21 2 2 2" xfId="9779"/>
    <cellStyle name="Normal 2 2 21 2 2 2 2" xfId="15972"/>
    <cellStyle name="Normal 2 2 21 2 2 2 3" xfId="22124"/>
    <cellStyle name="Normal 2 2 21 2 2 3" xfId="12906"/>
    <cellStyle name="Normal 2 2 21 2 2 4" xfId="19058"/>
    <cellStyle name="Normal 2 2 21 2 3" xfId="8244"/>
    <cellStyle name="Normal 2 2 21 2 3 2" xfId="14438"/>
    <cellStyle name="Normal 2 2 21 2 3 3" xfId="20590"/>
    <cellStyle name="Normal 2 2 21 2 4" xfId="11372"/>
    <cellStyle name="Normal 2 2 21 2 5" xfId="17524"/>
    <cellStyle name="Normal 2 2 21 3" xfId="5910"/>
    <cellStyle name="Normal 2 2 21 3 2" xfId="9010"/>
    <cellStyle name="Normal 2 2 21 3 2 2" xfId="15203"/>
    <cellStyle name="Normal 2 2 21 3 2 3" xfId="21355"/>
    <cellStyle name="Normal 2 2 21 3 3" xfId="12137"/>
    <cellStyle name="Normal 2 2 21 3 4" xfId="18289"/>
    <cellStyle name="Normal 2 2 21 4" xfId="7475"/>
    <cellStyle name="Normal 2 2 21 4 2" xfId="13669"/>
    <cellStyle name="Normal 2 2 21 4 3" xfId="19821"/>
    <cellStyle name="Normal 2 2 21 5" xfId="10603"/>
    <cellStyle name="Normal 2 2 21 6" xfId="16755"/>
    <cellStyle name="Normal 2 2 21 7" xfId="3561"/>
    <cellStyle name="Normal 2 2 22" xfId="599"/>
    <cellStyle name="Normal 2 2 22 2" xfId="5069"/>
    <cellStyle name="Normal 2 2 22 2 2" xfId="6694"/>
    <cellStyle name="Normal 2 2 22 2 2 2" xfId="9780"/>
    <cellStyle name="Normal 2 2 22 2 2 2 2" xfId="15973"/>
    <cellStyle name="Normal 2 2 22 2 2 2 3" xfId="22125"/>
    <cellStyle name="Normal 2 2 22 2 2 3" xfId="12907"/>
    <cellStyle name="Normal 2 2 22 2 2 4" xfId="19059"/>
    <cellStyle name="Normal 2 2 22 2 3" xfId="8245"/>
    <cellStyle name="Normal 2 2 22 2 3 2" xfId="14439"/>
    <cellStyle name="Normal 2 2 22 2 3 3" xfId="20591"/>
    <cellStyle name="Normal 2 2 22 2 4" xfId="11373"/>
    <cellStyle name="Normal 2 2 22 2 5" xfId="17525"/>
    <cellStyle name="Normal 2 2 22 3" xfId="5911"/>
    <cellStyle name="Normal 2 2 22 3 2" xfId="9011"/>
    <cellStyle name="Normal 2 2 22 3 2 2" xfId="15204"/>
    <cellStyle name="Normal 2 2 22 3 2 3" xfId="21356"/>
    <cellStyle name="Normal 2 2 22 3 3" xfId="12138"/>
    <cellStyle name="Normal 2 2 22 3 4" xfId="18290"/>
    <cellStyle name="Normal 2 2 22 4" xfId="7476"/>
    <cellStyle name="Normal 2 2 22 4 2" xfId="13670"/>
    <cellStyle name="Normal 2 2 22 4 3" xfId="19822"/>
    <cellStyle name="Normal 2 2 22 5" xfId="10604"/>
    <cellStyle name="Normal 2 2 22 6" xfId="16756"/>
    <cellStyle name="Normal 2 2 22 7" xfId="3562"/>
    <cellStyle name="Normal 2 2 23" xfId="623"/>
    <cellStyle name="Normal 2 2 23 2" xfId="3564"/>
    <cellStyle name="Normal 2 2 23 3" xfId="3563"/>
    <cellStyle name="Normal 2 2 24" xfId="664"/>
    <cellStyle name="Normal 2 2 24 2" xfId="3566"/>
    <cellStyle name="Normal 2 2 24 3" xfId="3565"/>
    <cellStyle name="Normal 2 2 25" xfId="692"/>
    <cellStyle name="Normal 2 2 25 2" xfId="10243"/>
    <cellStyle name="Normal 2 2 26" xfId="724"/>
    <cellStyle name="Normal 2 2 27" xfId="751"/>
    <cellStyle name="Normal 2 2 28" xfId="777"/>
    <cellStyle name="Normal 2 2 29" xfId="801"/>
    <cellStyle name="Normal 2 2 3" xfId="94"/>
    <cellStyle name="Normal 2 2 3 10" xfId="5912"/>
    <cellStyle name="Normal 2 2 3 10 2" xfId="9012"/>
    <cellStyle name="Normal 2 2 3 10 2 2" xfId="15205"/>
    <cellStyle name="Normal 2 2 3 10 2 3" xfId="21357"/>
    <cellStyle name="Normal 2 2 3 10 3" xfId="12139"/>
    <cellStyle name="Normal 2 2 3 10 4" xfId="18291"/>
    <cellStyle name="Normal 2 2 3 11" xfId="7477"/>
    <cellStyle name="Normal 2 2 3 11 2" xfId="13671"/>
    <cellStyle name="Normal 2 2 3 11 3" xfId="19823"/>
    <cellStyle name="Normal 2 2 3 12" xfId="10605"/>
    <cellStyle name="Normal 2 2 3 13" xfId="16757"/>
    <cellStyle name="Normal 2 2 3 14" xfId="3567"/>
    <cellStyle name="Normal 2 2 3 15" xfId="247"/>
    <cellStyle name="Normal 2 2 3 2" xfId="140"/>
    <cellStyle name="Normal 2 2 3 2 2" xfId="5071"/>
    <cellStyle name="Normal 2 2 3 2 2 2" xfId="6696"/>
    <cellStyle name="Normal 2 2 3 2 2 2 2" xfId="9782"/>
    <cellStyle name="Normal 2 2 3 2 2 2 2 2" xfId="15975"/>
    <cellStyle name="Normal 2 2 3 2 2 2 2 3" xfId="22127"/>
    <cellStyle name="Normal 2 2 3 2 2 2 3" xfId="12909"/>
    <cellStyle name="Normal 2 2 3 2 2 2 4" xfId="19061"/>
    <cellStyle name="Normal 2 2 3 2 2 3" xfId="8247"/>
    <cellStyle name="Normal 2 2 3 2 2 3 2" xfId="14441"/>
    <cellStyle name="Normal 2 2 3 2 2 3 3" xfId="20593"/>
    <cellStyle name="Normal 2 2 3 2 2 4" xfId="11375"/>
    <cellStyle name="Normal 2 2 3 2 2 5" xfId="17527"/>
    <cellStyle name="Normal 2 2 3 2 3" xfId="5913"/>
    <cellStyle name="Normal 2 2 3 2 3 2" xfId="9013"/>
    <cellStyle name="Normal 2 2 3 2 3 2 2" xfId="15206"/>
    <cellStyle name="Normal 2 2 3 2 3 2 3" xfId="21358"/>
    <cellStyle name="Normal 2 2 3 2 3 3" xfId="12140"/>
    <cellStyle name="Normal 2 2 3 2 3 4" xfId="18292"/>
    <cellStyle name="Normal 2 2 3 2 4" xfId="7478"/>
    <cellStyle name="Normal 2 2 3 2 4 2" xfId="13672"/>
    <cellStyle name="Normal 2 2 3 2 4 3" xfId="19824"/>
    <cellStyle name="Normal 2 2 3 2 5" xfId="10606"/>
    <cellStyle name="Normal 2 2 3 2 6" xfId="16758"/>
    <cellStyle name="Normal 2 2 3 2 7" xfId="3568"/>
    <cellStyle name="Normal 2 2 3 3" xfId="110"/>
    <cellStyle name="Normal 2 2 3 3 2" xfId="5072"/>
    <cellStyle name="Normal 2 2 3 3 2 2" xfId="6697"/>
    <cellStyle name="Normal 2 2 3 3 2 2 2" xfId="9783"/>
    <cellStyle name="Normal 2 2 3 3 2 2 2 2" xfId="15976"/>
    <cellStyle name="Normal 2 2 3 3 2 2 2 3" xfId="22128"/>
    <cellStyle name="Normal 2 2 3 3 2 2 3" xfId="12910"/>
    <cellStyle name="Normal 2 2 3 3 2 2 4" xfId="19062"/>
    <cellStyle name="Normal 2 2 3 3 2 3" xfId="8248"/>
    <cellStyle name="Normal 2 2 3 3 2 3 2" xfId="14442"/>
    <cellStyle name="Normal 2 2 3 3 2 3 3" xfId="20594"/>
    <cellStyle name="Normal 2 2 3 3 2 4" xfId="11376"/>
    <cellStyle name="Normal 2 2 3 3 2 5" xfId="17528"/>
    <cellStyle name="Normal 2 2 3 3 3" xfId="5914"/>
    <cellStyle name="Normal 2 2 3 3 3 2" xfId="9014"/>
    <cellStyle name="Normal 2 2 3 3 3 2 2" xfId="15207"/>
    <cellStyle name="Normal 2 2 3 3 3 2 3" xfId="21359"/>
    <cellStyle name="Normal 2 2 3 3 3 3" xfId="12141"/>
    <cellStyle name="Normal 2 2 3 3 3 4" xfId="18293"/>
    <cellStyle name="Normal 2 2 3 3 4" xfId="7479"/>
    <cellStyle name="Normal 2 2 3 3 4 2" xfId="13673"/>
    <cellStyle name="Normal 2 2 3 3 4 3" xfId="19825"/>
    <cellStyle name="Normal 2 2 3 3 5" xfId="10607"/>
    <cellStyle name="Normal 2 2 3 3 6" xfId="16759"/>
    <cellStyle name="Normal 2 2 3 3 7" xfId="3569"/>
    <cellStyle name="Normal 2 2 3 4" xfId="3570"/>
    <cellStyle name="Normal 2 2 3 4 2" xfId="5073"/>
    <cellStyle name="Normal 2 2 3 4 2 2" xfId="6698"/>
    <cellStyle name="Normal 2 2 3 4 2 2 2" xfId="9784"/>
    <cellStyle name="Normal 2 2 3 4 2 2 2 2" xfId="15977"/>
    <cellStyle name="Normal 2 2 3 4 2 2 2 3" xfId="22129"/>
    <cellStyle name="Normal 2 2 3 4 2 2 3" xfId="12911"/>
    <cellStyle name="Normal 2 2 3 4 2 2 4" xfId="19063"/>
    <cellStyle name="Normal 2 2 3 4 2 3" xfId="8249"/>
    <cellStyle name="Normal 2 2 3 4 2 3 2" xfId="14443"/>
    <cellStyle name="Normal 2 2 3 4 2 3 3" xfId="20595"/>
    <cellStyle name="Normal 2 2 3 4 2 4" xfId="11377"/>
    <cellStyle name="Normal 2 2 3 4 2 5" xfId="17529"/>
    <cellStyle name="Normal 2 2 3 4 3" xfId="5915"/>
    <cellStyle name="Normal 2 2 3 4 3 2" xfId="9015"/>
    <cellStyle name="Normal 2 2 3 4 3 2 2" xfId="15208"/>
    <cellStyle name="Normal 2 2 3 4 3 2 3" xfId="21360"/>
    <cellStyle name="Normal 2 2 3 4 3 3" xfId="12142"/>
    <cellStyle name="Normal 2 2 3 4 3 4" xfId="18294"/>
    <cellStyle name="Normal 2 2 3 4 4" xfId="7480"/>
    <cellStyle name="Normal 2 2 3 4 4 2" xfId="13674"/>
    <cellStyle name="Normal 2 2 3 4 4 3" xfId="19826"/>
    <cellStyle name="Normal 2 2 3 4 5" xfId="10608"/>
    <cellStyle name="Normal 2 2 3 4 6" xfId="16760"/>
    <cellStyle name="Normal 2 2 3 5" xfId="3571"/>
    <cellStyle name="Normal 2 2 3 5 2" xfId="5074"/>
    <cellStyle name="Normal 2 2 3 5 2 2" xfId="6699"/>
    <cellStyle name="Normal 2 2 3 5 2 2 2" xfId="9785"/>
    <cellStyle name="Normal 2 2 3 5 2 2 2 2" xfId="15978"/>
    <cellStyle name="Normal 2 2 3 5 2 2 2 3" xfId="22130"/>
    <cellStyle name="Normal 2 2 3 5 2 2 3" xfId="12912"/>
    <cellStyle name="Normal 2 2 3 5 2 2 4" xfId="19064"/>
    <cellStyle name="Normal 2 2 3 5 2 3" xfId="8250"/>
    <cellStyle name="Normal 2 2 3 5 2 3 2" xfId="14444"/>
    <cellStyle name="Normal 2 2 3 5 2 3 3" xfId="20596"/>
    <cellStyle name="Normal 2 2 3 5 2 4" xfId="11378"/>
    <cellStyle name="Normal 2 2 3 5 2 5" xfId="17530"/>
    <cellStyle name="Normal 2 2 3 5 3" xfId="5916"/>
    <cellStyle name="Normal 2 2 3 5 3 2" xfId="9016"/>
    <cellStyle name="Normal 2 2 3 5 3 2 2" xfId="15209"/>
    <cellStyle name="Normal 2 2 3 5 3 2 3" xfId="21361"/>
    <cellStyle name="Normal 2 2 3 5 3 3" xfId="12143"/>
    <cellStyle name="Normal 2 2 3 5 3 4" xfId="18295"/>
    <cellStyle name="Normal 2 2 3 5 4" xfId="7481"/>
    <cellStyle name="Normal 2 2 3 5 4 2" xfId="13675"/>
    <cellStyle name="Normal 2 2 3 5 4 3" xfId="19827"/>
    <cellStyle name="Normal 2 2 3 5 5" xfId="10609"/>
    <cellStyle name="Normal 2 2 3 5 6" xfId="16761"/>
    <cellStyle name="Normal 2 2 3 6" xfId="3572"/>
    <cellStyle name="Normal 2 2 3 6 2" xfId="5075"/>
    <cellStyle name="Normal 2 2 3 6 2 2" xfId="6700"/>
    <cellStyle name="Normal 2 2 3 6 2 2 2" xfId="9786"/>
    <cellStyle name="Normal 2 2 3 6 2 2 2 2" xfId="15979"/>
    <cellStyle name="Normal 2 2 3 6 2 2 2 3" xfId="22131"/>
    <cellStyle name="Normal 2 2 3 6 2 2 3" xfId="12913"/>
    <cellStyle name="Normal 2 2 3 6 2 2 4" xfId="19065"/>
    <cellStyle name="Normal 2 2 3 6 2 3" xfId="8251"/>
    <cellStyle name="Normal 2 2 3 6 2 3 2" xfId="14445"/>
    <cellStyle name="Normal 2 2 3 6 2 3 3" xfId="20597"/>
    <cellStyle name="Normal 2 2 3 6 2 4" xfId="11379"/>
    <cellStyle name="Normal 2 2 3 6 2 5" xfId="17531"/>
    <cellStyle name="Normal 2 2 3 6 3" xfId="5917"/>
    <cellStyle name="Normal 2 2 3 6 3 2" xfId="9017"/>
    <cellStyle name="Normal 2 2 3 6 3 2 2" xfId="15210"/>
    <cellStyle name="Normal 2 2 3 6 3 2 3" xfId="21362"/>
    <cellStyle name="Normal 2 2 3 6 3 3" xfId="12144"/>
    <cellStyle name="Normal 2 2 3 6 3 4" xfId="18296"/>
    <cellStyle name="Normal 2 2 3 6 4" xfId="7482"/>
    <cellStyle name="Normal 2 2 3 6 4 2" xfId="13676"/>
    <cellStyle name="Normal 2 2 3 6 4 3" xfId="19828"/>
    <cellStyle name="Normal 2 2 3 6 5" xfId="10610"/>
    <cellStyle name="Normal 2 2 3 6 6" xfId="16762"/>
    <cellStyle name="Normal 2 2 3 7" xfId="3573"/>
    <cellStyle name="Normal 2 2 3 7 2" xfId="3574"/>
    <cellStyle name="Normal 2 2 3 8" xfId="3575"/>
    <cellStyle name="Normal 2 2 3 8 2" xfId="3576"/>
    <cellStyle name="Normal 2 2 3 9" xfId="5070"/>
    <cellStyle name="Normal 2 2 3 9 2" xfId="6695"/>
    <cellStyle name="Normal 2 2 3 9 2 2" xfId="9781"/>
    <cellStyle name="Normal 2 2 3 9 2 2 2" xfId="15974"/>
    <cellStyle name="Normal 2 2 3 9 2 2 3" xfId="22126"/>
    <cellStyle name="Normal 2 2 3 9 2 3" xfId="12908"/>
    <cellStyle name="Normal 2 2 3 9 2 4" xfId="19060"/>
    <cellStyle name="Normal 2 2 3 9 3" xfId="8246"/>
    <cellStyle name="Normal 2 2 3 9 3 2" xfId="14440"/>
    <cellStyle name="Normal 2 2 3 9 3 3" xfId="20592"/>
    <cellStyle name="Normal 2 2 3 9 4" xfId="11374"/>
    <cellStyle name="Normal 2 2 3 9 5" xfId="17526"/>
    <cellStyle name="Normal 2 2 30" xfId="1160"/>
    <cellStyle name="Normal 2 2 31" xfId="200"/>
    <cellStyle name="Normal 2 2 4" xfId="123"/>
    <cellStyle name="Normal 2 2 4 10" xfId="3577"/>
    <cellStyle name="Normal 2 2 4 11" xfId="266"/>
    <cellStyle name="Normal 2 2 4 2" xfId="3578"/>
    <cellStyle name="Normal 2 2 4 2 2" xfId="5077"/>
    <cellStyle name="Normal 2 2 4 2 2 2" xfId="6702"/>
    <cellStyle name="Normal 2 2 4 2 2 2 2" xfId="9788"/>
    <cellStyle name="Normal 2 2 4 2 2 2 2 2" xfId="15981"/>
    <cellStyle name="Normal 2 2 4 2 2 2 2 3" xfId="22133"/>
    <cellStyle name="Normal 2 2 4 2 2 2 3" xfId="12915"/>
    <cellStyle name="Normal 2 2 4 2 2 2 4" xfId="19067"/>
    <cellStyle name="Normal 2 2 4 2 2 3" xfId="8253"/>
    <cellStyle name="Normal 2 2 4 2 2 3 2" xfId="14447"/>
    <cellStyle name="Normal 2 2 4 2 2 3 3" xfId="20599"/>
    <cellStyle name="Normal 2 2 4 2 2 4" xfId="11381"/>
    <cellStyle name="Normal 2 2 4 2 2 5" xfId="17533"/>
    <cellStyle name="Normal 2 2 4 2 3" xfId="5919"/>
    <cellStyle name="Normal 2 2 4 2 3 2" xfId="9019"/>
    <cellStyle name="Normal 2 2 4 2 3 2 2" xfId="15212"/>
    <cellStyle name="Normal 2 2 4 2 3 2 3" xfId="21364"/>
    <cellStyle name="Normal 2 2 4 2 3 3" xfId="12146"/>
    <cellStyle name="Normal 2 2 4 2 3 4" xfId="18298"/>
    <cellStyle name="Normal 2 2 4 2 4" xfId="7484"/>
    <cellStyle name="Normal 2 2 4 2 4 2" xfId="13678"/>
    <cellStyle name="Normal 2 2 4 2 4 3" xfId="19830"/>
    <cellStyle name="Normal 2 2 4 2 5" xfId="10612"/>
    <cellStyle name="Normal 2 2 4 2 6" xfId="16764"/>
    <cellStyle name="Normal 2 2 4 3" xfId="3579"/>
    <cellStyle name="Normal 2 2 4 3 2" xfId="3580"/>
    <cellStyle name="Normal 2 2 4 4" xfId="3581"/>
    <cellStyle name="Normal 2 2 4 4 2" xfId="3582"/>
    <cellStyle name="Normal 2 2 4 5" xfId="5076"/>
    <cellStyle name="Normal 2 2 4 5 2" xfId="6701"/>
    <cellStyle name="Normal 2 2 4 5 2 2" xfId="9787"/>
    <cellStyle name="Normal 2 2 4 5 2 2 2" xfId="15980"/>
    <cellStyle name="Normal 2 2 4 5 2 2 3" xfId="22132"/>
    <cellStyle name="Normal 2 2 4 5 2 3" xfId="12914"/>
    <cellStyle name="Normal 2 2 4 5 2 4" xfId="19066"/>
    <cellStyle name="Normal 2 2 4 5 3" xfId="8252"/>
    <cellStyle name="Normal 2 2 4 5 3 2" xfId="14446"/>
    <cellStyle name="Normal 2 2 4 5 3 3" xfId="20598"/>
    <cellStyle name="Normal 2 2 4 5 4" xfId="11380"/>
    <cellStyle name="Normal 2 2 4 5 5" xfId="17532"/>
    <cellStyle name="Normal 2 2 4 6" xfId="5918"/>
    <cellStyle name="Normal 2 2 4 6 2" xfId="9018"/>
    <cellStyle name="Normal 2 2 4 6 2 2" xfId="15211"/>
    <cellStyle name="Normal 2 2 4 6 2 3" xfId="21363"/>
    <cellStyle name="Normal 2 2 4 6 3" xfId="12145"/>
    <cellStyle name="Normal 2 2 4 6 4" xfId="18297"/>
    <cellStyle name="Normal 2 2 4 7" xfId="7483"/>
    <cellStyle name="Normal 2 2 4 7 2" xfId="13677"/>
    <cellStyle name="Normal 2 2 4 7 3" xfId="19829"/>
    <cellStyle name="Normal 2 2 4 8" xfId="10611"/>
    <cellStyle name="Normal 2 2 4 9" xfId="16763"/>
    <cellStyle name="Normal 2 2 5" xfId="291"/>
    <cellStyle name="Normal 2 2 5 2" xfId="3584"/>
    <cellStyle name="Normal 2 2 5 2 2" xfId="5079"/>
    <cellStyle name="Normal 2 2 5 2 2 2" xfId="6704"/>
    <cellStyle name="Normal 2 2 5 2 2 2 2" xfId="9790"/>
    <cellStyle name="Normal 2 2 5 2 2 2 2 2" xfId="15983"/>
    <cellStyle name="Normal 2 2 5 2 2 2 2 3" xfId="22135"/>
    <cellStyle name="Normal 2 2 5 2 2 2 3" xfId="12917"/>
    <cellStyle name="Normal 2 2 5 2 2 2 4" xfId="19069"/>
    <cellStyle name="Normal 2 2 5 2 2 3" xfId="8255"/>
    <cellStyle name="Normal 2 2 5 2 2 3 2" xfId="14449"/>
    <cellStyle name="Normal 2 2 5 2 2 3 3" xfId="20601"/>
    <cellStyle name="Normal 2 2 5 2 2 4" xfId="11383"/>
    <cellStyle name="Normal 2 2 5 2 2 5" xfId="17535"/>
    <cellStyle name="Normal 2 2 5 2 3" xfId="5921"/>
    <cellStyle name="Normal 2 2 5 2 3 2" xfId="9021"/>
    <cellStyle name="Normal 2 2 5 2 3 2 2" xfId="15214"/>
    <cellStyle name="Normal 2 2 5 2 3 2 3" xfId="21366"/>
    <cellStyle name="Normal 2 2 5 2 3 3" xfId="12148"/>
    <cellStyle name="Normal 2 2 5 2 3 4" xfId="18300"/>
    <cellStyle name="Normal 2 2 5 2 4" xfId="7486"/>
    <cellStyle name="Normal 2 2 5 2 4 2" xfId="13680"/>
    <cellStyle name="Normal 2 2 5 2 4 3" xfId="19832"/>
    <cellStyle name="Normal 2 2 5 2 5" xfId="10614"/>
    <cellStyle name="Normal 2 2 5 2 6" xfId="16766"/>
    <cellStyle name="Normal 2 2 5 3" xfId="3585"/>
    <cellStyle name="Normal 2 2 5 4" xfId="5078"/>
    <cellStyle name="Normal 2 2 5 4 2" xfId="6703"/>
    <cellStyle name="Normal 2 2 5 4 2 2" xfId="9789"/>
    <cellStyle name="Normal 2 2 5 4 2 2 2" xfId="15982"/>
    <cellStyle name="Normal 2 2 5 4 2 2 3" xfId="22134"/>
    <cellStyle name="Normal 2 2 5 4 2 3" xfId="12916"/>
    <cellStyle name="Normal 2 2 5 4 2 4" xfId="19068"/>
    <cellStyle name="Normal 2 2 5 4 3" xfId="8254"/>
    <cellStyle name="Normal 2 2 5 4 3 2" xfId="14448"/>
    <cellStyle name="Normal 2 2 5 4 3 3" xfId="20600"/>
    <cellStyle name="Normal 2 2 5 4 4" xfId="11382"/>
    <cellStyle name="Normal 2 2 5 4 5" xfId="17534"/>
    <cellStyle name="Normal 2 2 5 5" xfId="5920"/>
    <cellStyle name="Normal 2 2 5 5 2" xfId="9020"/>
    <cellStyle name="Normal 2 2 5 5 2 2" xfId="15213"/>
    <cellStyle name="Normal 2 2 5 5 2 3" xfId="21365"/>
    <cellStyle name="Normal 2 2 5 5 3" xfId="12147"/>
    <cellStyle name="Normal 2 2 5 5 4" xfId="18299"/>
    <cellStyle name="Normal 2 2 5 6" xfId="7485"/>
    <cellStyle name="Normal 2 2 5 6 2" xfId="13679"/>
    <cellStyle name="Normal 2 2 5 6 3" xfId="19831"/>
    <cellStyle name="Normal 2 2 5 7" xfId="10613"/>
    <cellStyle name="Normal 2 2 5 8" xfId="16765"/>
    <cellStyle name="Normal 2 2 5 9" xfId="3583"/>
    <cellStyle name="Normal 2 2 6" xfId="271"/>
    <cellStyle name="Normal 2 2 6 2" xfId="5080"/>
    <cellStyle name="Normal 2 2 6 2 2" xfId="6705"/>
    <cellStyle name="Normal 2 2 6 2 2 2" xfId="9791"/>
    <cellStyle name="Normal 2 2 6 2 2 2 2" xfId="15984"/>
    <cellStyle name="Normal 2 2 6 2 2 2 3" xfId="22136"/>
    <cellStyle name="Normal 2 2 6 2 2 3" xfId="12918"/>
    <cellStyle name="Normal 2 2 6 2 2 4" xfId="19070"/>
    <cellStyle name="Normal 2 2 6 2 3" xfId="8256"/>
    <cellStyle name="Normal 2 2 6 2 3 2" xfId="14450"/>
    <cellStyle name="Normal 2 2 6 2 3 3" xfId="20602"/>
    <cellStyle name="Normal 2 2 6 2 4" xfId="11384"/>
    <cellStyle name="Normal 2 2 6 2 5" xfId="17536"/>
    <cellStyle name="Normal 2 2 6 3" xfId="5922"/>
    <cellStyle name="Normal 2 2 6 3 2" xfId="9022"/>
    <cellStyle name="Normal 2 2 6 3 2 2" xfId="15215"/>
    <cellStyle name="Normal 2 2 6 3 2 3" xfId="21367"/>
    <cellStyle name="Normal 2 2 6 3 3" xfId="12149"/>
    <cellStyle name="Normal 2 2 6 3 4" xfId="18301"/>
    <cellStyle name="Normal 2 2 6 4" xfId="7487"/>
    <cellStyle name="Normal 2 2 6 4 2" xfId="13681"/>
    <cellStyle name="Normal 2 2 6 4 3" xfId="19833"/>
    <cellStyle name="Normal 2 2 6 5" xfId="10615"/>
    <cellStyle name="Normal 2 2 6 6" xfId="16767"/>
    <cellStyle name="Normal 2 2 6 7" xfId="3586"/>
    <cellStyle name="Normal 2 2 7" xfId="329"/>
    <cellStyle name="Normal 2 2 7 2" xfId="5081"/>
    <cellStyle name="Normal 2 2 7 2 2" xfId="6706"/>
    <cellStyle name="Normal 2 2 7 2 2 2" xfId="9792"/>
    <cellStyle name="Normal 2 2 7 2 2 2 2" xfId="15985"/>
    <cellStyle name="Normal 2 2 7 2 2 2 3" xfId="22137"/>
    <cellStyle name="Normal 2 2 7 2 2 3" xfId="12919"/>
    <cellStyle name="Normal 2 2 7 2 2 4" xfId="19071"/>
    <cellStyle name="Normal 2 2 7 2 3" xfId="8257"/>
    <cellStyle name="Normal 2 2 7 2 3 2" xfId="14451"/>
    <cellStyle name="Normal 2 2 7 2 3 3" xfId="20603"/>
    <cellStyle name="Normal 2 2 7 2 4" xfId="11385"/>
    <cellStyle name="Normal 2 2 7 2 5" xfId="17537"/>
    <cellStyle name="Normal 2 2 7 3" xfId="5923"/>
    <cellStyle name="Normal 2 2 7 3 2" xfId="9023"/>
    <cellStyle name="Normal 2 2 7 3 2 2" xfId="15216"/>
    <cellStyle name="Normal 2 2 7 3 2 3" xfId="21368"/>
    <cellStyle name="Normal 2 2 7 3 3" xfId="12150"/>
    <cellStyle name="Normal 2 2 7 3 4" xfId="18302"/>
    <cellStyle name="Normal 2 2 7 4" xfId="7488"/>
    <cellStyle name="Normal 2 2 7 4 2" xfId="13682"/>
    <cellStyle name="Normal 2 2 7 4 3" xfId="19834"/>
    <cellStyle name="Normal 2 2 7 5" xfId="10616"/>
    <cellStyle name="Normal 2 2 7 6" xfId="16768"/>
    <cellStyle name="Normal 2 2 7 7" xfId="3587"/>
    <cellStyle name="Normal 2 2 8" xfId="332"/>
    <cellStyle name="Normal 2 2 8 2" xfId="5082"/>
    <cellStyle name="Normal 2 2 8 2 2" xfId="6707"/>
    <cellStyle name="Normal 2 2 8 2 2 2" xfId="9793"/>
    <cellStyle name="Normal 2 2 8 2 2 2 2" xfId="15986"/>
    <cellStyle name="Normal 2 2 8 2 2 2 3" xfId="22138"/>
    <cellStyle name="Normal 2 2 8 2 2 3" xfId="12920"/>
    <cellStyle name="Normal 2 2 8 2 2 4" xfId="19072"/>
    <cellStyle name="Normal 2 2 8 2 3" xfId="8258"/>
    <cellStyle name="Normal 2 2 8 2 3 2" xfId="14452"/>
    <cellStyle name="Normal 2 2 8 2 3 3" xfId="20604"/>
    <cellStyle name="Normal 2 2 8 2 4" xfId="11386"/>
    <cellStyle name="Normal 2 2 8 2 5" xfId="17538"/>
    <cellStyle name="Normal 2 2 8 3" xfId="5924"/>
    <cellStyle name="Normal 2 2 8 3 2" xfId="9024"/>
    <cellStyle name="Normal 2 2 8 3 2 2" xfId="15217"/>
    <cellStyle name="Normal 2 2 8 3 2 3" xfId="21369"/>
    <cellStyle name="Normal 2 2 8 3 3" xfId="12151"/>
    <cellStyle name="Normal 2 2 8 3 4" xfId="18303"/>
    <cellStyle name="Normal 2 2 8 4" xfId="7489"/>
    <cellStyle name="Normal 2 2 8 4 2" xfId="13683"/>
    <cellStyle name="Normal 2 2 8 4 3" xfId="19835"/>
    <cellStyle name="Normal 2 2 8 5" xfId="10617"/>
    <cellStyle name="Normal 2 2 8 6" xfId="16769"/>
    <cellStyle name="Normal 2 2 8 7" xfId="3588"/>
    <cellStyle name="Normal 2 2 9" xfId="345"/>
    <cellStyle name="Normal 2 2 9 2" xfId="5083"/>
    <cellStyle name="Normal 2 2 9 2 2" xfId="6708"/>
    <cellStyle name="Normal 2 2 9 2 2 2" xfId="9794"/>
    <cellStyle name="Normal 2 2 9 2 2 2 2" xfId="15987"/>
    <cellStyle name="Normal 2 2 9 2 2 2 3" xfId="22139"/>
    <cellStyle name="Normal 2 2 9 2 2 3" xfId="12921"/>
    <cellStyle name="Normal 2 2 9 2 2 4" xfId="19073"/>
    <cellStyle name="Normal 2 2 9 2 3" xfId="8259"/>
    <cellStyle name="Normal 2 2 9 2 3 2" xfId="14453"/>
    <cellStyle name="Normal 2 2 9 2 3 3" xfId="20605"/>
    <cellStyle name="Normal 2 2 9 2 4" xfId="11387"/>
    <cellStyle name="Normal 2 2 9 2 5" xfId="17539"/>
    <cellStyle name="Normal 2 2 9 3" xfId="5925"/>
    <cellStyle name="Normal 2 2 9 3 2" xfId="9025"/>
    <cellStyle name="Normal 2 2 9 3 2 2" xfId="15218"/>
    <cellStyle name="Normal 2 2 9 3 2 3" xfId="21370"/>
    <cellStyle name="Normal 2 2 9 3 3" xfId="12152"/>
    <cellStyle name="Normal 2 2 9 3 4" xfId="18304"/>
    <cellStyle name="Normal 2 2 9 4" xfId="7490"/>
    <cellStyle name="Normal 2 2 9 4 2" xfId="13684"/>
    <cellStyle name="Normal 2 2 9 4 3" xfId="19836"/>
    <cellStyle name="Normal 2 2 9 5" xfId="10618"/>
    <cellStyle name="Normal 2 2 9 6" xfId="16770"/>
    <cellStyle name="Normal 2 2 9 7" xfId="3589"/>
    <cellStyle name="Normal 2 20" xfId="3590"/>
    <cellStyle name="Normal 2 20 2" xfId="5084"/>
    <cellStyle name="Normal 2 20 2 2" xfId="6709"/>
    <cellStyle name="Normal 2 20 2 2 2" xfId="9795"/>
    <cellStyle name="Normal 2 20 2 2 2 2" xfId="15988"/>
    <cellStyle name="Normal 2 20 2 2 2 3" xfId="22140"/>
    <cellStyle name="Normal 2 20 2 2 3" xfId="12922"/>
    <cellStyle name="Normal 2 20 2 2 4" xfId="19074"/>
    <cellStyle name="Normal 2 20 2 3" xfId="8260"/>
    <cellStyle name="Normal 2 20 2 3 2" xfId="14454"/>
    <cellStyle name="Normal 2 20 2 3 3" xfId="20606"/>
    <cellStyle name="Normal 2 20 2 4" xfId="11388"/>
    <cellStyle name="Normal 2 20 2 5" xfId="17540"/>
    <cellStyle name="Normal 2 20 3" xfId="5926"/>
    <cellStyle name="Normal 2 20 3 2" xfId="9026"/>
    <cellStyle name="Normal 2 20 3 2 2" xfId="15219"/>
    <cellStyle name="Normal 2 20 3 2 3" xfId="21371"/>
    <cellStyle name="Normal 2 20 3 3" xfId="12153"/>
    <cellStyle name="Normal 2 20 3 4" xfId="18305"/>
    <cellStyle name="Normal 2 20 4" xfId="7491"/>
    <cellStyle name="Normal 2 20 4 2" xfId="13685"/>
    <cellStyle name="Normal 2 20 4 3" xfId="19837"/>
    <cellStyle name="Normal 2 20 5" xfId="10619"/>
    <cellStyle name="Normal 2 20 6" xfId="16771"/>
    <cellStyle name="Normal 2 21" xfId="3591"/>
    <cellStyle name="Normal 2 22" xfId="1278"/>
    <cellStyle name="Normal 2 22 2" xfId="4699"/>
    <cellStyle name="Normal 2 22 3" xfId="3592"/>
    <cellStyle name="Normal 2 23" xfId="4616"/>
    <cellStyle name="Normal 2 24" xfId="1326"/>
    <cellStyle name="Normal 2 24 2" xfId="4767"/>
    <cellStyle name="Normal 2 24 2 2" xfId="6392"/>
    <cellStyle name="Normal 2 24 2 2 2" xfId="9478"/>
    <cellStyle name="Normal 2 24 2 2 2 2" xfId="15671"/>
    <cellStyle name="Normal 2 24 2 2 2 3" xfId="21823"/>
    <cellStyle name="Normal 2 24 2 2 3" xfId="12605"/>
    <cellStyle name="Normal 2 24 2 2 4" xfId="18757"/>
    <cellStyle name="Normal 2 24 2 3" xfId="7943"/>
    <cellStyle name="Normal 2 24 2 3 2" xfId="14137"/>
    <cellStyle name="Normal 2 24 2 3 3" xfId="20289"/>
    <cellStyle name="Normal 2 24 2 4" xfId="11071"/>
    <cellStyle name="Normal 2 24 2 5" xfId="17223"/>
    <cellStyle name="Normal 2 24 3" xfId="5606"/>
    <cellStyle name="Normal 2 24 3 2" xfId="8709"/>
    <cellStyle name="Normal 2 24 3 2 2" xfId="14902"/>
    <cellStyle name="Normal 2 24 3 2 3" xfId="21054"/>
    <cellStyle name="Normal 2 24 3 3" xfId="11836"/>
    <cellStyle name="Normal 2 24 3 4" xfId="17988"/>
    <cellStyle name="Normal 2 24 4" xfId="7174"/>
    <cellStyle name="Normal 2 24 4 2" xfId="13368"/>
    <cellStyle name="Normal 2 24 4 3" xfId="19520"/>
    <cellStyle name="Normal 2 24 5" xfId="10302"/>
    <cellStyle name="Normal 2 24 6" xfId="16454"/>
    <cellStyle name="Normal 2 25" xfId="5578"/>
    <cellStyle name="Normal 2 25 2" xfId="8682"/>
    <cellStyle name="Normal 2 26" xfId="10222"/>
    <cellStyle name="Normal 2 27" xfId="1176"/>
    <cellStyle name="Normal 2 28" xfId="23234"/>
    <cellStyle name="Normal 2 3" xfId="23"/>
    <cellStyle name="Normal 2 3 10" xfId="10258"/>
    <cellStyle name="Normal 2 3 11" xfId="23236"/>
    <cellStyle name="Normal 2 3 2" xfId="3594"/>
    <cellStyle name="Normal 2 3 2 2" xfId="3595"/>
    <cellStyle name="Normal 2 3 2 2 2" xfId="23238"/>
    <cellStyle name="Normal 2 3 2 3" xfId="5085"/>
    <cellStyle name="Normal 2 3 2 3 2" xfId="6710"/>
    <cellStyle name="Normal 2 3 2 3 2 2" xfId="9796"/>
    <cellStyle name="Normal 2 3 2 3 2 2 2" xfId="15989"/>
    <cellStyle name="Normal 2 3 2 3 2 2 3" xfId="22141"/>
    <cellStyle name="Normal 2 3 2 3 2 3" xfId="12923"/>
    <cellStyle name="Normal 2 3 2 3 2 4" xfId="19075"/>
    <cellStyle name="Normal 2 3 2 3 3" xfId="8261"/>
    <cellStyle name="Normal 2 3 2 3 3 2" xfId="14455"/>
    <cellStyle name="Normal 2 3 2 3 3 3" xfId="20607"/>
    <cellStyle name="Normal 2 3 2 3 4" xfId="11389"/>
    <cellStyle name="Normal 2 3 2 3 5" xfId="17541"/>
    <cellStyle name="Normal 2 3 2 4" xfId="5927"/>
    <cellStyle name="Normal 2 3 2 4 2" xfId="9027"/>
    <cellStyle name="Normal 2 3 2 4 2 2" xfId="15220"/>
    <cellStyle name="Normal 2 3 2 4 2 3" xfId="21372"/>
    <cellStyle name="Normal 2 3 2 4 3" xfId="12154"/>
    <cellStyle name="Normal 2 3 2 4 4" xfId="18306"/>
    <cellStyle name="Normal 2 3 2 5" xfId="7492"/>
    <cellStyle name="Normal 2 3 2 5 2" xfId="13686"/>
    <cellStyle name="Normal 2 3 2 5 3" xfId="19838"/>
    <cellStyle name="Normal 2 3 2 6" xfId="10620"/>
    <cellStyle name="Normal 2 3 2 7" xfId="16772"/>
    <cellStyle name="Normal 2 3 2 8" xfId="23237"/>
    <cellStyle name="Normal 2 3 3" xfId="3596"/>
    <cellStyle name="Normal 2 3 3 2" xfId="5086"/>
    <cellStyle name="Normal 2 3 3 2 2" xfId="6711"/>
    <cellStyle name="Normal 2 3 3 2 2 2" xfId="9797"/>
    <cellStyle name="Normal 2 3 3 2 2 2 2" xfId="15990"/>
    <cellStyle name="Normal 2 3 3 2 2 2 3" xfId="22142"/>
    <cellStyle name="Normal 2 3 3 2 2 3" xfId="12924"/>
    <cellStyle name="Normal 2 3 3 2 2 4" xfId="19076"/>
    <cellStyle name="Normal 2 3 3 2 3" xfId="8262"/>
    <cellStyle name="Normal 2 3 3 2 3 2" xfId="14456"/>
    <cellStyle name="Normal 2 3 3 2 3 3" xfId="20608"/>
    <cellStyle name="Normal 2 3 3 2 4" xfId="11390"/>
    <cellStyle name="Normal 2 3 3 2 5" xfId="17542"/>
    <cellStyle name="Normal 2 3 3 3" xfId="5928"/>
    <cellStyle name="Normal 2 3 3 3 2" xfId="9028"/>
    <cellStyle name="Normal 2 3 3 3 2 2" xfId="15221"/>
    <cellStyle name="Normal 2 3 3 3 2 3" xfId="21373"/>
    <cellStyle name="Normal 2 3 3 3 3" xfId="12155"/>
    <cellStyle name="Normal 2 3 3 3 4" xfId="18307"/>
    <cellStyle name="Normal 2 3 3 4" xfId="7493"/>
    <cellStyle name="Normal 2 3 3 4 2" xfId="13687"/>
    <cellStyle name="Normal 2 3 3 4 3" xfId="19839"/>
    <cellStyle name="Normal 2 3 3 5" xfId="10621"/>
    <cellStyle name="Normal 2 3 3 6" xfId="16773"/>
    <cellStyle name="Normal 2 3 3 7" xfId="23239"/>
    <cellStyle name="Normal 2 3 4" xfId="3597"/>
    <cellStyle name="Normal 2 3 4 2" xfId="5087"/>
    <cellStyle name="Normal 2 3 4 2 2" xfId="6712"/>
    <cellStyle name="Normal 2 3 4 2 2 2" xfId="9798"/>
    <cellStyle name="Normal 2 3 4 2 2 2 2" xfId="15991"/>
    <cellStyle name="Normal 2 3 4 2 2 2 3" xfId="22143"/>
    <cellStyle name="Normal 2 3 4 2 2 3" xfId="12925"/>
    <cellStyle name="Normal 2 3 4 2 2 4" xfId="19077"/>
    <cellStyle name="Normal 2 3 4 2 3" xfId="8263"/>
    <cellStyle name="Normal 2 3 4 2 3 2" xfId="14457"/>
    <cellStyle name="Normal 2 3 4 2 3 3" xfId="20609"/>
    <cellStyle name="Normal 2 3 4 2 4" xfId="11391"/>
    <cellStyle name="Normal 2 3 4 2 5" xfId="17543"/>
    <cellStyle name="Normal 2 3 4 3" xfId="5929"/>
    <cellStyle name="Normal 2 3 4 3 2" xfId="9029"/>
    <cellStyle name="Normal 2 3 4 3 2 2" xfId="15222"/>
    <cellStyle name="Normal 2 3 4 3 2 3" xfId="21374"/>
    <cellStyle name="Normal 2 3 4 3 3" xfId="12156"/>
    <cellStyle name="Normal 2 3 4 3 4" xfId="18308"/>
    <cellStyle name="Normal 2 3 4 4" xfId="7494"/>
    <cellStyle name="Normal 2 3 4 4 2" xfId="13688"/>
    <cellStyle name="Normal 2 3 4 4 3" xfId="19840"/>
    <cellStyle name="Normal 2 3 4 5" xfId="10622"/>
    <cellStyle name="Normal 2 3 4 6" xfId="16774"/>
    <cellStyle name="Normal 2 3 5" xfId="3598"/>
    <cellStyle name="Normal 2 3 5 2" xfId="5088"/>
    <cellStyle name="Normal 2 3 5 2 2" xfId="6713"/>
    <cellStyle name="Normal 2 3 5 2 2 2" xfId="9799"/>
    <cellStyle name="Normal 2 3 5 2 2 2 2" xfId="15992"/>
    <cellStyle name="Normal 2 3 5 2 2 2 3" xfId="22144"/>
    <cellStyle name="Normal 2 3 5 2 2 3" xfId="12926"/>
    <cellStyle name="Normal 2 3 5 2 2 4" xfId="19078"/>
    <cellStyle name="Normal 2 3 5 2 3" xfId="8264"/>
    <cellStyle name="Normal 2 3 5 2 3 2" xfId="14458"/>
    <cellStyle name="Normal 2 3 5 2 3 3" xfId="20610"/>
    <cellStyle name="Normal 2 3 5 2 4" xfId="11392"/>
    <cellStyle name="Normal 2 3 5 2 5" xfId="17544"/>
    <cellStyle name="Normal 2 3 5 3" xfId="5930"/>
    <cellStyle name="Normal 2 3 5 3 2" xfId="9030"/>
    <cellStyle name="Normal 2 3 5 3 2 2" xfId="15223"/>
    <cellStyle name="Normal 2 3 5 3 2 3" xfId="21375"/>
    <cellStyle name="Normal 2 3 5 3 3" xfId="12157"/>
    <cellStyle name="Normal 2 3 5 3 4" xfId="18309"/>
    <cellStyle name="Normal 2 3 5 4" xfId="7495"/>
    <cellStyle name="Normal 2 3 5 4 2" xfId="13689"/>
    <cellStyle name="Normal 2 3 5 4 3" xfId="19841"/>
    <cellStyle name="Normal 2 3 5 5" xfId="10623"/>
    <cellStyle name="Normal 2 3 5 6" xfId="16775"/>
    <cellStyle name="Normal 2 3 6" xfId="3599"/>
    <cellStyle name="Normal 2 3 6 2" xfId="5089"/>
    <cellStyle name="Normal 2 3 6 2 2" xfId="6714"/>
    <cellStyle name="Normal 2 3 6 2 2 2" xfId="9800"/>
    <cellStyle name="Normal 2 3 6 2 2 2 2" xfId="15993"/>
    <cellStyle name="Normal 2 3 6 2 2 2 3" xfId="22145"/>
    <cellStyle name="Normal 2 3 6 2 2 3" xfId="12927"/>
    <cellStyle name="Normal 2 3 6 2 2 4" xfId="19079"/>
    <cellStyle name="Normal 2 3 6 2 3" xfId="8265"/>
    <cellStyle name="Normal 2 3 6 2 3 2" xfId="14459"/>
    <cellStyle name="Normal 2 3 6 2 3 3" xfId="20611"/>
    <cellStyle name="Normal 2 3 6 2 4" xfId="11393"/>
    <cellStyle name="Normal 2 3 6 2 5" xfId="17545"/>
    <cellStyle name="Normal 2 3 6 3" xfId="5931"/>
    <cellStyle name="Normal 2 3 6 3 2" xfId="9031"/>
    <cellStyle name="Normal 2 3 6 3 2 2" xfId="15224"/>
    <cellStyle name="Normal 2 3 6 3 2 3" xfId="21376"/>
    <cellStyle name="Normal 2 3 6 3 3" xfId="12158"/>
    <cellStyle name="Normal 2 3 6 3 4" xfId="18310"/>
    <cellStyle name="Normal 2 3 6 4" xfId="7496"/>
    <cellStyle name="Normal 2 3 6 4 2" xfId="13690"/>
    <cellStyle name="Normal 2 3 6 4 3" xfId="19842"/>
    <cellStyle name="Normal 2 3 6 5" xfId="10624"/>
    <cellStyle name="Normal 2 3 6 6" xfId="16776"/>
    <cellStyle name="Normal 2 3 7" xfId="3600"/>
    <cellStyle name="Normal 2 3 8" xfId="3601"/>
    <cellStyle name="Normal 2 3 9" xfId="3593"/>
    <cellStyle name="Normal 2 4" xfId="54"/>
    <cellStyle name="Normal 2 4 2" xfId="105"/>
    <cellStyle name="Normal 2 4 2 2" xfId="148"/>
    <cellStyle name="Normal 2 4 2 2 2" xfId="6716"/>
    <cellStyle name="Normal 2 4 2 2 2 2" xfId="9802"/>
    <cellStyle name="Normal 2 4 2 2 2 2 2" xfId="15995"/>
    <cellStyle name="Normal 2 4 2 2 2 2 3" xfId="22147"/>
    <cellStyle name="Normal 2 4 2 2 2 3" xfId="12929"/>
    <cellStyle name="Normal 2 4 2 2 2 4" xfId="19081"/>
    <cellStyle name="Normal 2 4 2 2 3" xfId="8267"/>
    <cellStyle name="Normal 2 4 2 2 3 2" xfId="14461"/>
    <cellStyle name="Normal 2 4 2 2 3 3" xfId="20613"/>
    <cellStyle name="Normal 2 4 2 2 4" xfId="11395"/>
    <cellStyle name="Normal 2 4 2 2 5" xfId="17547"/>
    <cellStyle name="Normal 2 4 2 2 6" xfId="5091"/>
    <cellStyle name="Normal 2 4 2 2 7" xfId="23242"/>
    <cellStyle name="Normal 2 4 2 3" xfId="5933"/>
    <cellStyle name="Normal 2 4 2 3 2" xfId="9033"/>
    <cellStyle name="Normal 2 4 2 3 2 2" xfId="15226"/>
    <cellStyle name="Normal 2 4 2 3 2 3" xfId="21378"/>
    <cellStyle name="Normal 2 4 2 3 3" xfId="12160"/>
    <cellStyle name="Normal 2 4 2 3 4" xfId="18312"/>
    <cellStyle name="Normal 2 4 2 4" xfId="7498"/>
    <cellStyle name="Normal 2 4 2 4 2" xfId="13692"/>
    <cellStyle name="Normal 2 4 2 4 3" xfId="19844"/>
    <cellStyle name="Normal 2 4 2 5" xfId="10626"/>
    <cellStyle name="Normal 2 4 2 6" xfId="16778"/>
    <cellStyle name="Normal 2 4 2 7" xfId="3603"/>
    <cellStyle name="Normal 2 4 2 8" xfId="23241"/>
    <cellStyle name="Normal 2 4 3" xfId="133"/>
    <cellStyle name="Normal 2 4 3 2" xfId="3604"/>
    <cellStyle name="Normal 2 4 3 3" xfId="23243"/>
    <cellStyle name="Normal 2 4 4" xfId="118"/>
    <cellStyle name="Normal 2 4 4 2" xfId="4675"/>
    <cellStyle name="Normal 2 4 5" xfId="3602"/>
    <cellStyle name="Normal 2 4 5 2" xfId="5090"/>
    <cellStyle name="Normal 2 4 5 2 2" xfId="6715"/>
    <cellStyle name="Normal 2 4 5 2 2 2" xfId="9801"/>
    <cellStyle name="Normal 2 4 5 2 2 2 2" xfId="15994"/>
    <cellStyle name="Normal 2 4 5 2 2 2 3" xfId="22146"/>
    <cellStyle name="Normal 2 4 5 2 2 3" xfId="12928"/>
    <cellStyle name="Normal 2 4 5 2 2 4" xfId="19080"/>
    <cellStyle name="Normal 2 4 5 2 3" xfId="8266"/>
    <cellStyle name="Normal 2 4 5 2 3 2" xfId="14460"/>
    <cellStyle name="Normal 2 4 5 2 3 3" xfId="20612"/>
    <cellStyle name="Normal 2 4 5 2 4" xfId="11394"/>
    <cellStyle name="Normal 2 4 5 2 5" xfId="17546"/>
    <cellStyle name="Normal 2 4 5 3" xfId="5932"/>
    <cellStyle name="Normal 2 4 5 3 2" xfId="9032"/>
    <cellStyle name="Normal 2 4 5 3 2 2" xfId="15225"/>
    <cellStyle name="Normal 2 4 5 3 2 3" xfId="21377"/>
    <cellStyle name="Normal 2 4 5 3 3" xfId="12159"/>
    <cellStyle name="Normal 2 4 5 3 4" xfId="18311"/>
    <cellStyle name="Normal 2 4 5 4" xfId="7497"/>
    <cellStyle name="Normal 2 4 5 4 2" xfId="13691"/>
    <cellStyle name="Normal 2 4 5 4 3" xfId="19843"/>
    <cellStyle name="Normal 2 4 5 5" xfId="10625"/>
    <cellStyle name="Normal 2 4 5 6" xfId="16777"/>
    <cellStyle name="Normal 2 4 6" xfId="1238"/>
    <cellStyle name="Normal 2 4 7" xfId="23240"/>
    <cellStyle name="Normal 2 5" xfId="72"/>
    <cellStyle name="Normal 2 5 2" xfId="106"/>
    <cellStyle name="Normal 2 5 2 2" xfId="149"/>
    <cellStyle name="Normal 2 5 2 3" xfId="4676"/>
    <cellStyle name="Normal 2 5 2 4" xfId="23245"/>
    <cellStyle name="Normal 2 5 3" xfId="136"/>
    <cellStyle name="Normal 2 5 3 2" xfId="5092"/>
    <cellStyle name="Normal 2 5 3 2 2" xfId="6717"/>
    <cellStyle name="Normal 2 5 3 2 2 2" xfId="9803"/>
    <cellStyle name="Normal 2 5 3 2 2 2 2" xfId="15996"/>
    <cellStyle name="Normal 2 5 3 2 2 2 3" xfId="22148"/>
    <cellStyle name="Normal 2 5 3 2 2 3" xfId="12930"/>
    <cellStyle name="Normal 2 5 3 2 2 4" xfId="19082"/>
    <cellStyle name="Normal 2 5 3 2 3" xfId="8268"/>
    <cellStyle name="Normal 2 5 3 2 3 2" xfId="14462"/>
    <cellStyle name="Normal 2 5 3 2 3 3" xfId="20614"/>
    <cellStyle name="Normal 2 5 3 2 4" xfId="11396"/>
    <cellStyle name="Normal 2 5 3 2 5" xfId="17548"/>
    <cellStyle name="Normal 2 5 3 3" xfId="5934"/>
    <cellStyle name="Normal 2 5 3 3 2" xfId="9034"/>
    <cellStyle name="Normal 2 5 3 3 2 2" xfId="15227"/>
    <cellStyle name="Normal 2 5 3 3 2 3" xfId="21379"/>
    <cellStyle name="Normal 2 5 3 3 3" xfId="12161"/>
    <cellStyle name="Normal 2 5 3 3 4" xfId="18313"/>
    <cellStyle name="Normal 2 5 3 4" xfId="7499"/>
    <cellStyle name="Normal 2 5 3 4 2" xfId="13693"/>
    <cellStyle name="Normal 2 5 3 4 3" xfId="19845"/>
    <cellStyle name="Normal 2 5 3 5" xfId="10627"/>
    <cellStyle name="Normal 2 5 3 6" xfId="16779"/>
    <cellStyle name="Normal 2 5 3 7" xfId="3605"/>
    <cellStyle name="Normal 2 5 4" xfId="119"/>
    <cellStyle name="Normal 2 5 5" xfId="1239"/>
    <cellStyle name="Normal 2 5 6" xfId="23244"/>
    <cellStyle name="Normal 2 6" xfId="93"/>
    <cellStyle name="Normal 2 6 2" xfId="4677"/>
    <cellStyle name="Normal 2 6 3" xfId="3606"/>
    <cellStyle name="Normal 2 6 3 2" xfId="5093"/>
    <cellStyle name="Normal 2 6 3 2 2" xfId="6718"/>
    <cellStyle name="Normal 2 6 3 2 2 2" xfId="9804"/>
    <cellStyle name="Normal 2 6 3 2 2 2 2" xfId="15997"/>
    <cellStyle name="Normal 2 6 3 2 2 2 3" xfId="22149"/>
    <cellStyle name="Normal 2 6 3 2 2 3" xfId="12931"/>
    <cellStyle name="Normal 2 6 3 2 2 4" xfId="19083"/>
    <cellStyle name="Normal 2 6 3 2 3" xfId="8269"/>
    <cellStyle name="Normal 2 6 3 2 3 2" xfId="14463"/>
    <cellStyle name="Normal 2 6 3 2 3 3" xfId="20615"/>
    <cellStyle name="Normal 2 6 3 2 4" xfId="11397"/>
    <cellStyle name="Normal 2 6 3 2 5" xfId="17549"/>
    <cellStyle name="Normal 2 6 3 3" xfId="5935"/>
    <cellStyle name="Normal 2 6 3 3 2" xfId="9035"/>
    <cellStyle name="Normal 2 6 3 3 2 2" xfId="15228"/>
    <cellStyle name="Normal 2 6 3 3 2 3" xfId="21380"/>
    <cellStyle name="Normal 2 6 3 3 3" xfId="12162"/>
    <cellStyle name="Normal 2 6 3 3 4" xfId="18314"/>
    <cellStyle name="Normal 2 6 3 4" xfId="7500"/>
    <cellStyle name="Normal 2 6 3 4 2" xfId="13694"/>
    <cellStyle name="Normal 2 6 3 4 3" xfId="19846"/>
    <cellStyle name="Normal 2 6 3 5" xfId="10628"/>
    <cellStyle name="Normal 2 6 3 6" xfId="16780"/>
    <cellStyle name="Normal 2 6 4" xfId="1240"/>
    <cellStyle name="Normal 2 6 5" xfId="23246"/>
    <cellStyle name="Normal 2 7" xfId="80"/>
    <cellStyle name="Normal 2 7 2" xfId="4678"/>
    <cellStyle name="Normal 2 7 3" xfId="3607"/>
    <cellStyle name="Normal 2 7 3 2" xfId="5094"/>
    <cellStyle name="Normal 2 7 3 2 2" xfId="6719"/>
    <cellStyle name="Normal 2 7 3 2 2 2" xfId="9805"/>
    <cellStyle name="Normal 2 7 3 2 2 2 2" xfId="15998"/>
    <cellStyle name="Normal 2 7 3 2 2 2 3" xfId="22150"/>
    <cellStyle name="Normal 2 7 3 2 2 3" xfId="12932"/>
    <cellStyle name="Normal 2 7 3 2 2 4" xfId="19084"/>
    <cellStyle name="Normal 2 7 3 2 3" xfId="8270"/>
    <cellStyle name="Normal 2 7 3 2 3 2" xfId="14464"/>
    <cellStyle name="Normal 2 7 3 2 3 3" xfId="20616"/>
    <cellStyle name="Normal 2 7 3 2 4" xfId="11398"/>
    <cellStyle name="Normal 2 7 3 2 5" xfId="17550"/>
    <cellStyle name="Normal 2 7 3 3" xfId="5936"/>
    <cellStyle name="Normal 2 7 3 3 2" xfId="9036"/>
    <cellStyle name="Normal 2 7 3 3 2 2" xfId="15229"/>
    <cellStyle name="Normal 2 7 3 3 2 3" xfId="21381"/>
    <cellStyle name="Normal 2 7 3 3 3" xfId="12163"/>
    <cellStyle name="Normal 2 7 3 3 4" xfId="18315"/>
    <cellStyle name="Normal 2 7 3 4" xfId="7501"/>
    <cellStyle name="Normal 2 7 3 4 2" xfId="13695"/>
    <cellStyle name="Normal 2 7 3 4 3" xfId="19847"/>
    <cellStyle name="Normal 2 7 3 5" xfId="10629"/>
    <cellStyle name="Normal 2 7 3 6" xfId="16781"/>
    <cellStyle name="Normal 2 7 4" xfId="1241"/>
    <cellStyle name="Normal 2 8" xfId="1242"/>
    <cellStyle name="Normal 2 8 2" xfId="4679"/>
    <cellStyle name="Normal 2 8 3" xfId="3608"/>
    <cellStyle name="Normal 2 8 3 2" xfId="5095"/>
    <cellStyle name="Normal 2 8 3 2 2" xfId="6720"/>
    <cellStyle name="Normal 2 8 3 2 2 2" xfId="9806"/>
    <cellStyle name="Normal 2 8 3 2 2 2 2" xfId="15999"/>
    <cellStyle name="Normal 2 8 3 2 2 2 3" xfId="22151"/>
    <cellStyle name="Normal 2 8 3 2 2 3" xfId="12933"/>
    <cellStyle name="Normal 2 8 3 2 2 4" xfId="19085"/>
    <cellStyle name="Normal 2 8 3 2 3" xfId="8271"/>
    <cellStyle name="Normal 2 8 3 2 3 2" xfId="14465"/>
    <cellStyle name="Normal 2 8 3 2 3 3" xfId="20617"/>
    <cellStyle name="Normal 2 8 3 2 4" xfId="11399"/>
    <cellStyle name="Normal 2 8 3 2 5" xfId="17551"/>
    <cellStyle name="Normal 2 8 3 3" xfId="5937"/>
    <cellStyle name="Normal 2 8 3 3 2" xfId="9037"/>
    <cellStyle name="Normal 2 8 3 3 2 2" xfId="15230"/>
    <cellStyle name="Normal 2 8 3 3 2 3" xfId="21382"/>
    <cellStyle name="Normal 2 8 3 3 3" xfId="12164"/>
    <cellStyle name="Normal 2 8 3 3 4" xfId="18316"/>
    <cellStyle name="Normal 2 8 3 4" xfId="7502"/>
    <cellStyle name="Normal 2 8 3 4 2" xfId="13696"/>
    <cellStyle name="Normal 2 8 3 4 3" xfId="19848"/>
    <cellStyle name="Normal 2 8 3 5" xfId="10630"/>
    <cellStyle name="Normal 2 8 3 6" xfId="16782"/>
    <cellStyle name="Normal 2 9" xfId="1243"/>
    <cellStyle name="Normal 2 9 2" xfId="4680"/>
    <cellStyle name="Normal 2 9 3" xfId="3609"/>
    <cellStyle name="Normal 2 9 3 2" xfId="5096"/>
    <cellStyle name="Normal 2 9 3 2 2" xfId="6721"/>
    <cellStyle name="Normal 2 9 3 2 2 2" xfId="9807"/>
    <cellStyle name="Normal 2 9 3 2 2 2 2" xfId="16000"/>
    <cellStyle name="Normal 2 9 3 2 2 2 3" xfId="22152"/>
    <cellStyle name="Normal 2 9 3 2 2 3" xfId="12934"/>
    <cellStyle name="Normal 2 9 3 2 2 4" xfId="19086"/>
    <cellStyle name="Normal 2 9 3 2 3" xfId="8272"/>
    <cellStyle name="Normal 2 9 3 2 3 2" xfId="14466"/>
    <cellStyle name="Normal 2 9 3 2 3 3" xfId="20618"/>
    <cellStyle name="Normal 2 9 3 2 4" xfId="11400"/>
    <cellStyle name="Normal 2 9 3 2 5" xfId="17552"/>
    <cellStyle name="Normal 2 9 3 3" xfId="5938"/>
    <cellStyle name="Normal 2 9 3 3 2" xfId="9038"/>
    <cellStyle name="Normal 2 9 3 3 2 2" xfId="15231"/>
    <cellStyle name="Normal 2 9 3 3 2 3" xfId="21383"/>
    <cellStyle name="Normal 2 9 3 3 3" xfId="12165"/>
    <cellStyle name="Normal 2 9 3 3 4" xfId="18317"/>
    <cellStyle name="Normal 2 9 3 4" xfId="7503"/>
    <cellStyle name="Normal 2 9 3 4 2" xfId="13697"/>
    <cellStyle name="Normal 2 9 3 4 3" xfId="19849"/>
    <cellStyle name="Normal 2 9 3 5" xfId="10631"/>
    <cellStyle name="Normal 2 9 3 6" xfId="16783"/>
    <cellStyle name="Normal 2_Gas CBR Summary" xfId="24"/>
    <cellStyle name="Normal 20" xfId="406"/>
    <cellStyle name="Normal 20 10" xfId="3611"/>
    <cellStyle name="Normal 20 11" xfId="3612"/>
    <cellStyle name="Normal 20 12" xfId="3613"/>
    <cellStyle name="Normal 20 13" xfId="3614"/>
    <cellStyle name="Normal 20 14" xfId="3615"/>
    <cellStyle name="Normal 20 15" xfId="3616"/>
    <cellStyle name="Normal 20 16" xfId="3617"/>
    <cellStyle name="Normal 20 17" xfId="3618"/>
    <cellStyle name="Normal 20 18" xfId="3619"/>
    <cellStyle name="Normal 20 19" xfId="3620"/>
    <cellStyle name="Normal 20 2" xfId="3621"/>
    <cellStyle name="Normal 20 2 2" xfId="23248"/>
    <cellStyle name="Normal 20 20" xfId="3622"/>
    <cellStyle name="Normal 20 21" xfId="3623"/>
    <cellStyle name="Normal 20 22" xfId="3624"/>
    <cellStyle name="Normal 20 23" xfId="3625"/>
    <cellStyle name="Normal 20 24" xfId="3626"/>
    <cellStyle name="Normal 20 25" xfId="3610"/>
    <cellStyle name="Normal 20 26" xfId="23247"/>
    <cellStyle name="Normal 20 3" xfId="3627"/>
    <cellStyle name="Normal 20 4" xfId="3628"/>
    <cellStyle name="Normal 20 5" xfId="3629"/>
    <cellStyle name="Normal 20 6" xfId="3630"/>
    <cellStyle name="Normal 20 7" xfId="3631"/>
    <cellStyle name="Normal 20 8" xfId="3632"/>
    <cellStyle name="Normal 20 9" xfId="3633"/>
    <cellStyle name="Normal 21" xfId="418"/>
    <cellStyle name="Normal 21 10" xfId="5939"/>
    <cellStyle name="Normal 21 10 2" xfId="9039"/>
    <cellStyle name="Normal 21 10 2 2" xfId="15232"/>
    <cellStyle name="Normal 21 10 2 3" xfId="21384"/>
    <cellStyle name="Normal 21 10 3" xfId="12166"/>
    <cellStyle name="Normal 21 10 4" xfId="18318"/>
    <cellStyle name="Normal 21 11" xfId="7504"/>
    <cellStyle name="Normal 21 11 2" xfId="13698"/>
    <cellStyle name="Normal 21 11 3" xfId="19850"/>
    <cellStyle name="Normal 21 12" xfId="10632"/>
    <cellStyle name="Normal 21 13" xfId="16784"/>
    <cellStyle name="Normal 21 14" xfId="3634"/>
    <cellStyle name="Normal 21 2" xfId="3635"/>
    <cellStyle name="Normal 21 2 10" xfId="10633"/>
    <cellStyle name="Normal 21 2 11" xfId="16785"/>
    <cellStyle name="Normal 21 2 12" xfId="23249"/>
    <cellStyle name="Normal 21 2 2" xfId="3636"/>
    <cellStyle name="Normal 21 2 2 2" xfId="5099"/>
    <cellStyle name="Normal 21 2 2 2 2" xfId="6724"/>
    <cellStyle name="Normal 21 2 2 2 2 2" xfId="9810"/>
    <cellStyle name="Normal 21 2 2 2 2 2 2" xfId="16003"/>
    <cellStyle name="Normal 21 2 2 2 2 2 3" xfId="22155"/>
    <cellStyle name="Normal 21 2 2 2 2 3" xfId="12937"/>
    <cellStyle name="Normal 21 2 2 2 2 4" xfId="19089"/>
    <cellStyle name="Normal 21 2 2 2 3" xfId="8275"/>
    <cellStyle name="Normal 21 2 2 2 3 2" xfId="14469"/>
    <cellStyle name="Normal 21 2 2 2 3 3" xfId="20621"/>
    <cellStyle name="Normal 21 2 2 2 4" xfId="11403"/>
    <cellStyle name="Normal 21 2 2 2 5" xfId="17555"/>
    <cellStyle name="Normal 21 2 2 3" xfId="5941"/>
    <cellStyle name="Normal 21 2 2 3 2" xfId="9041"/>
    <cellStyle name="Normal 21 2 2 3 2 2" xfId="15234"/>
    <cellStyle name="Normal 21 2 2 3 2 3" xfId="21386"/>
    <cellStyle name="Normal 21 2 2 3 3" xfId="12168"/>
    <cellStyle name="Normal 21 2 2 3 4" xfId="18320"/>
    <cellStyle name="Normal 21 2 2 4" xfId="7506"/>
    <cellStyle name="Normal 21 2 2 4 2" xfId="13700"/>
    <cellStyle name="Normal 21 2 2 4 3" xfId="19852"/>
    <cellStyle name="Normal 21 2 2 5" xfId="10634"/>
    <cellStyle name="Normal 21 2 2 6" xfId="16786"/>
    <cellStyle name="Normal 21 2 3" xfId="3637"/>
    <cellStyle name="Normal 21 2 3 2" xfId="5100"/>
    <cellStyle name="Normal 21 2 3 2 2" xfId="6725"/>
    <cellStyle name="Normal 21 2 3 2 2 2" xfId="9811"/>
    <cellStyle name="Normal 21 2 3 2 2 2 2" xfId="16004"/>
    <cellStyle name="Normal 21 2 3 2 2 2 3" xfId="22156"/>
    <cellStyle name="Normal 21 2 3 2 2 3" xfId="12938"/>
    <cellStyle name="Normal 21 2 3 2 2 4" xfId="19090"/>
    <cellStyle name="Normal 21 2 3 2 3" xfId="8276"/>
    <cellStyle name="Normal 21 2 3 2 3 2" xfId="14470"/>
    <cellStyle name="Normal 21 2 3 2 3 3" xfId="20622"/>
    <cellStyle name="Normal 21 2 3 2 4" xfId="11404"/>
    <cellStyle name="Normal 21 2 3 2 5" xfId="17556"/>
    <cellStyle name="Normal 21 2 3 3" xfId="5942"/>
    <cellStyle name="Normal 21 2 3 3 2" xfId="9042"/>
    <cellStyle name="Normal 21 2 3 3 2 2" xfId="15235"/>
    <cellStyle name="Normal 21 2 3 3 2 3" xfId="21387"/>
    <cellStyle name="Normal 21 2 3 3 3" xfId="12169"/>
    <cellStyle name="Normal 21 2 3 3 4" xfId="18321"/>
    <cellStyle name="Normal 21 2 3 4" xfId="7507"/>
    <cellStyle name="Normal 21 2 3 4 2" xfId="13701"/>
    <cellStyle name="Normal 21 2 3 4 3" xfId="19853"/>
    <cellStyle name="Normal 21 2 3 5" xfId="10635"/>
    <cellStyle name="Normal 21 2 3 6" xfId="16787"/>
    <cellStyle name="Normal 21 2 4" xfId="3638"/>
    <cellStyle name="Normal 21 2 4 2" xfId="5101"/>
    <cellStyle name="Normal 21 2 4 2 2" xfId="6726"/>
    <cellStyle name="Normal 21 2 4 2 2 2" xfId="9812"/>
    <cellStyle name="Normal 21 2 4 2 2 2 2" xfId="16005"/>
    <cellStyle name="Normal 21 2 4 2 2 2 3" xfId="22157"/>
    <cellStyle name="Normal 21 2 4 2 2 3" xfId="12939"/>
    <cellStyle name="Normal 21 2 4 2 2 4" xfId="19091"/>
    <cellStyle name="Normal 21 2 4 2 3" xfId="8277"/>
    <cellStyle name="Normal 21 2 4 2 3 2" xfId="14471"/>
    <cellStyle name="Normal 21 2 4 2 3 3" xfId="20623"/>
    <cellStyle name="Normal 21 2 4 2 4" xfId="11405"/>
    <cellStyle name="Normal 21 2 4 2 5" xfId="17557"/>
    <cellStyle name="Normal 21 2 4 3" xfId="5943"/>
    <cellStyle name="Normal 21 2 4 3 2" xfId="9043"/>
    <cellStyle name="Normal 21 2 4 3 2 2" xfId="15236"/>
    <cellStyle name="Normal 21 2 4 3 2 3" xfId="21388"/>
    <cellStyle name="Normal 21 2 4 3 3" xfId="12170"/>
    <cellStyle name="Normal 21 2 4 3 4" xfId="18322"/>
    <cellStyle name="Normal 21 2 4 4" xfId="7508"/>
    <cellStyle name="Normal 21 2 4 4 2" xfId="13702"/>
    <cellStyle name="Normal 21 2 4 4 3" xfId="19854"/>
    <cellStyle name="Normal 21 2 4 5" xfId="10636"/>
    <cellStyle name="Normal 21 2 4 6" xfId="16788"/>
    <cellStyle name="Normal 21 2 5" xfId="3639"/>
    <cellStyle name="Normal 21 2 5 2" xfId="5102"/>
    <cellStyle name="Normal 21 2 5 2 2" xfId="6727"/>
    <cellStyle name="Normal 21 2 5 2 2 2" xfId="9813"/>
    <cellStyle name="Normal 21 2 5 2 2 2 2" xfId="16006"/>
    <cellStyle name="Normal 21 2 5 2 2 2 3" xfId="22158"/>
    <cellStyle name="Normal 21 2 5 2 2 3" xfId="12940"/>
    <cellStyle name="Normal 21 2 5 2 2 4" xfId="19092"/>
    <cellStyle name="Normal 21 2 5 2 3" xfId="8278"/>
    <cellStyle name="Normal 21 2 5 2 3 2" xfId="14472"/>
    <cellStyle name="Normal 21 2 5 2 3 3" xfId="20624"/>
    <cellStyle name="Normal 21 2 5 2 4" xfId="11406"/>
    <cellStyle name="Normal 21 2 5 2 5" xfId="17558"/>
    <cellStyle name="Normal 21 2 5 3" xfId="5944"/>
    <cellStyle name="Normal 21 2 5 3 2" xfId="9044"/>
    <cellStyle name="Normal 21 2 5 3 2 2" xfId="15237"/>
    <cellStyle name="Normal 21 2 5 3 2 3" xfId="21389"/>
    <cellStyle name="Normal 21 2 5 3 3" xfId="12171"/>
    <cellStyle name="Normal 21 2 5 3 4" xfId="18323"/>
    <cellStyle name="Normal 21 2 5 4" xfId="7509"/>
    <cellStyle name="Normal 21 2 5 4 2" xfId="13703"/>
    <cellStyle name="Normal 21 2 5 4 3" xfId="19855"/>
    <cellStyle name="Normal 21 2 5 5" xfId="10637"/>
    <cellStyle name="Normal 21 2 5 6" xfId="16789"/>
    <cellStyle name="Normal 21 2 6" xfId="3640"/>
    <cellStyle name="Normal 21 2 6 2" xfId="5103"/>
    <cellStyle name="Normal 21 2 6 2 2" xfId="6728"/>
    <cellStyle name="Normal 21 2 6 2 2 2" xfId="9814"/>
    <cellStyle name="Normal 21 2 6 2 2 2 2" xfId="16007"/>
    <cellStyle name="Normal 21 2 6 2 2 2 3" xfId="22159"/>
    <cellStyle name="Normal 21 2 6 2 2 3" xfId="12941"/>
    <cellStyle name="Normal 21 2 6 2 2 4" xfId="19093"/>
    <cellStyle name="Normal 21 2 6 2 3" xfId="8279"/>
    <cellStyle name="Normal 21 2 6 2 3 2" xfId="14473"/>
    <cellStyle name="Normal 21 2 6 2 3 3" xfId="20625"/>
    <cellStyle name="Normal 21 2 6 2 4" xfId="11407"/>
    <cellStyle name="Normal 21 2 6 2 5" xfId="17559"/>
    <cellStyle name="Normal 21 2 6 3" xfId="5945"/>
    <cellStyle name="Normal 21 2 6 3 2" xfId="9045"/>
    <cellStyle name="Normal 21 2 6 3 2 2" xfId="15238"/>
    <cellStyle name="Normal 21 2 6 3 2 3" xfId="21390"/>
    <cellStyle name="Normal 21 2 6 3 3" xfId="12172"/>
    <cellStyle name="Normal 21 2 6 3 4" xfId="18324"/>
    <cellStyle name="Normal 21 2 6 4" xfId="7510"/>
    <cellStyle name="Normal 21 2 6 4 2" xfId="13704"/>
    <cellStyle name="Normal 21 2 6 4 3" xfId="19856"/>
    <cellStyle name="Normal 21 2 6 5" xfId="10638"/>
    <cellStyle name="Normal 21 2 6 6" xfId="16790"/>
    <cellStyle name="Normal 21 2 7" xfId="5098"/>
    <cellStyle name="Normal 21 2 7 2" xfId="6723"/>
    <cellStyle name="Normal 21 2 7 2 2" xfId="9809"/>
    <cellStyle name="Normal 21 2 7 2 2 2" xfId="16002"/>
    <cellStyle name="Normal 21 2 7 2 2 3" xfId="22154"/>
    <cellStyle name="Normal 21 2 7 2 3" xfId="12936"/>
    <cellStyle name="Normal 21 2 7 2 4" xfId="19088"/>
    <cellStyle name="Normal 21 2 7 3" xfId="8274"/>
    <cellStyle name="Normal 21 2 7 3 2" xfId="14468"/>
    <cellStyle name="Normal 21 2 7 3 3" xfId="20620"/>
    <cellStyle name="Normal 21 2 7 4" xfId="11402"/>
    <cellStyle name="Normal 21 2 7 5" xfId="17554"/>
    <cellStyle name="Normal 21 2 8" xfId="5940"/>
    <cellStyle name="Normal 21 2 8 2" xfId="9040"/>
    <cellStyle name="Normal 21 2 8 2 2" xfId="15233"/>
    <cellStyle name="Normal 21 2 8 2 3" xfId="21385"/>
    <cellStyle name="Normal 21 2 8 3" xfId="12167"/>
    <cellStyle name="Normal 21 2 8 4" xfId="18319"/>
    <cellStyle name="Normal 21 2 9" xfId="7505"/>
    <cellStyle name="Normal 21 2 9 2" xfId="13699"/>
    <cellStyle name="Normal 21 2 9 3" xfId="19851"/>
    <cellStyle name="Normal 21 3" xfId="3641"/>
    <cellStyle name="Normal 21 3 2" xfId="3642"/>
    <cellStyle name="Normal 21 3 2 2" xfId="5105"/>
    <cellStyle name="Normal 21 3 2 2 2" xfId="6730"/>
    <cellStyle name="Normal 21 3 2 2 2 2" xfId="9816"/>
    <cellStyle name="Normal 21 3 2 2 2 2 2" xfId="16009"/>
    <cellStyle name="Normal 21 3 2 2 2 2 3" xfId="22161"/>
    <cellStyle name="Normal 21 3 2 2 2 3" xfId="12943"/>
    <cellStyle name="Normal 21 3 2 2 2 4" xfId="19095"/>
    <cellStyle name="Normal 21 3 2 2 3" xfId="8281"/>
    <cellStyle name="Normal 21 3 2 2 3 2" xfId="14475"/>
    <cellStyle name="Normal 21 3 2 2 3 3" xfId="20627"/>
    <cellStyle name="Normal 21 3 2 2 4" xfId="11409"/>
    <cellStyle name="Normal 21 3 2 2 5" xfId="17561"/>
    <cellStyle name="Normal 21 3 2 3" xfId="5947"/>
    <cellStyle name="Normal 21 3 2 3 2" xfId="9047"/>
    <cellStyle name="Normal 21 3 2 3 2 2" xfId="15240"/>
    <cellStyle name="Normal 21 3 2 3 2 3" xfId="21392"/>
    <cellStyle name="Normal 21 3 2 3 3" xfId="12174"/>
    <cellStyle name="Normal 21 3 2 3 4" xfId="18326"/>
    <cellStyle name="Normal 21 3 2 4" xfId="7512"/>
    <cellStyle name="Normal 21 3 2 4 2" xfId="13706"/>
    <cellStyle name="Normal 21 3 2 4 3" xfId="19858"/>
    <cellStyle name="Normal 21 3 2 5" xfId="10640"/>
    <cellStyle name="Normal 21 3 2 6" xfId="16792"/>
    <cellStyle name="Normal 21 3 3" xfId="5104"/>
    <cellStyle name="Normal 21 3 3 2" xfId="6729"/>
    <cellStyle name="Normal 21 3 3 2 2" xfId="9815"/>
    <cellStyle name="Normal 21 3 3 2 2 2" xfId="16008"/>
    <cellStyle name="Normal 21 3 3 2 2 3" xfId="22160"/>
    <cellStyle name="Normal 21 3 3 2 3" xfId="12942"/>
    <cellStyle name="Normal 21 3 3 2 4" xfId="19094"/>
    <cellStyle name="Normal 21 3 3 3" xfId="8280"/>
    <cellStyle name="Normal 21 3 3 3 2" xfId="14474"/>
    <cellStyle name="Normal 21 3 3 3 3" xfId="20626"/>
    <cellStyle name="Normal 21 3 3 4" xfId="11408"/>
    <cellStyle name="Normal 21 3 3 5" xfId="17560"/>
    <cellStyle name="Normal 21 3 4" xfId="5946"/>
    <cellStyle name="Normal 21 3 4 2" xfId="9046"/>
    <cellStyle name="Normal 21 3 4 2 2" xfId="15239"/>
    <cellStyle name="Normal 21 3 4 2 3" xfId="21391"/>
    <cellStyle name="Normal 21 3 4 3" xfId="12173"/>
    <cellStyle name="Normal 21 3 4 4" xfId="18325"/>
    <cellStyle name="Normal 21 3 5" xfId="7511"/>
    <cellStyle name="Normal 21 3 5 2" xfId="13705"/>
    <cellStyle name="Normal 21 3 5 3" xfId="19857"/>
    <cellStyle name="Normal 21 3 6" xfId="10639"/>
    <cellStyle name="Normal 21 3 7" xfId="16791"/>
    <cellStyle name="Normal 21 4" xfId="3643"/>
    <cellStyle name="Normal 21 4 2" xfId="5106"/>
    <cellStyle name="Normal 21 4 2 2" xfId="6731"/>
    <cellStyle name="Normal 21 4 2 2 2" xfId="9817"/>
    <cellStyle name="Normal 21 4 2 2 2 2" xfId="16010"/>
    <cellStyle name="Normal 21 4 2 2 2 3" xfId="22162"/>
    <cellStyle name="Normal 21 4 2 2 3" xfId="12944"/>
    <cellStyle name="Normal 21 4 2 2 4" xfId="19096"/>
    <cellStyle name="Normal 21 4 2 3" xfId="8282"/>
    <cellStyle name="Normal 21 4 2 3 2" xfId="14476"/>
    <cellStyle name="Normal 21 4 2 3 3" xfId="20628"/>
    <cellStyle name="Normal 21 4 2 4" xfId="11410"/>
    <cellStyle name="Normal 21 4 2 5" xfId="17562"/>
    <cellStyle name="Normal 21 4 3" xfId="5948"/>
    <cellStyle name="Normal 21 4 3 2" xfId="9048"/>
    <cellStyle name="Normal 21 4 3 2 2" xfId="15241"/>
    <cellStyle name="Normal 21 4 3 2 3" xfId="21393"/>
    <cellStyle name="Normal 21 4 3 3" xfId="12175"/>
    <cellStyle name="Normal 21 4 3 4" xfId="18327"/>
    <cellStyle name="Normal 21 4 4" xfId="7513"/>
    <cellStyle name="Normal 21 4 4 2" xfId="13707"/>
    <cellStyle name="Normal 21 4 4 3" xfId="19859"/>
    <cellStyle name="Normal 21 4 5" xfId="10641"/>
    <cellStyle name="Normal 21 4 6" xfId="16793"/>
    <cellStyle name="Normal 21 5" xfId="3644"/>
    <cellStyle name="Normal 21 5 2" xfId="5107"/>
    <cellStyle name="Normal 21 5 2 2" xfId="6732"/>
    <cellStyle name="Normal 21 5 2 2 2" xfId="9818"/>
    <cellStyle name="Normal 21 5 2 2 2 2" xfId="16011"/>
    <cellStyle name="Normal 21 5 2 2 2 3" xfId="22163"/>
    <cellStyle name="Normal 21 5 2 2 3" xfId="12945"/>
    <cellStyle name="Normal 21 5 2 2 4" xfId="19097"/>
    <cellStyle name="Normal 21 5 2 3" xfId="8283"/>
    <cellStyle name="Normal 21 5 2 3 2" xfId="14477"/>
    <cellStyle name="Normal 21 5 2 3 3" xfId="20629"/>
    <cellStyle name="Normal 21 5 2 4" xfId="11411"/>
    <cellStyle name="Normal 21 5 2 5" xfId="17563"/>
    <cellStyle name="Normal 21 5 3" xfId="5949"/>
    <cellStyle name="Normal 21 5 3 2" xfId="9049"/>
    <cellStyle name="Normal 21 5 3 2 2" xfId="15242"/>
    <cellStyle name="Normal 21 5 3 2 3" xfId="21394"/>
    <cellStyle name="Normal 21 5 3 3" xfId="12176"/>
    <cellStyle name="Normal 21 5 3 4" xfId="18328"/>
    <cellStyle name="Normal 21 5 4" xfId="7514"/>
    <cellStyle name="Normal 21 5 4 2" xfId="13708"/>
    <cellStyle name="Normal 21 5 4 3" xfId="19860"/>
    <cellStyle name="Normal 21 5 5" xfId="10642"/>
    <cellStyle name="Normal 21 5 6" xfId="16794"/>
    <cellStyle name="Normal 21 6" xfId="3645"/>
    <cellStyle name="Normal 21 6 2" xfId="5108"/>
    <cellStyle name="Normal 21 6 2 2" xfId="6733"/>
    <cellStyle name="Normal 21 6 2 2 2" xfId="9819"/>
    <cellStyle name="Normal 21 6 2 2 2 2" xfId="16012"/>
    <cellStyle name="Normal 21 6 2 2 2 3" xfId="22164"/>
    <cellStyle name="Normal 21 6 2 2 3" xfId="12946"/>
    <cellStyle name="Normal 21 6 2 2 4" xfId="19098"/>
    <cellStyle name="Normal 21 6 2 3" xfId="8284"/>
    <cellStyle name="Normal 21 6 2 3 2" xfId="14478"/>
    <cellStyle name="Normal 21 6 2 3 3" xfId="20630"/>
    <cellStyle name="Normal 21 6 2 4" xfId="11412"/>
    <cellStyle name="Normal 21 6 2 5" xfId="17564"/>
    <cellStyle name="Normal 21 6 3" xfId="5950"/>
    <cellStyle name="Normal 21 6 3 2" xfId="9050"/>
    <cellStyle name="Normal 21 6 3 2 2" xfId="15243"/>
    <cellStyle name="Normal 21 6 3 2 3" xfId="21395"/>
    <cellStyle name="Normal 21 6 3 3" xfId="12177"/>
    <cellStyle name="Normal 21 6 3 4" xfId="18329"/>
    <cellStyle name="Normal 21 6 4" xfId="7515"/>
    <cellStyle name="Normal 21 6 4 2" xfId="13709"/>
    <cellStyle name="Normal 21 6 4 3" xfId="19861"/>
    <cellStyle name="Normal 21 6 5" xfId="10643"/>
    <cellStyle name="Normal 21 6 6" xfId="16795"/>
    <cellStyle name="Normal 21 7" xfId="3646"/>
    <cellStyle name="Normal 21 8" xfId="3647"/>
    <cellStyle name="Normal 21 8 2" xfId="5109"/>
    <cellStyle name="Normal 21 8 2 2" xfId="6734"/>
    <cellStyle name="Normal 21 8 2 2 2" xfId="9820"/>
    <cellStyle name="Normal 21 8 2 2 2 2" xfId="16013"/>
    <cellStyle name="Normal 21 8 2 2 2 3" xfId="22165"/>
    <cellStyle name="Normal 21 8 2 2 3" xfId="12947"/>
    <cellStyle name="Normal 21 8 2 2 4" xfId="19099"/>
    <cellStyle name="Normal 21 8 2 3" xfId="8285"/>
    <cellStyle name="Normal 21 8 2 3 2" xfId="14479"/>
    <cellStyle name="Normal 21 8 2 3 3" xfId="20631"/>
    <cellStyle name="Normal 21 8 2 4" xfId="11413"/>
    <cellStyle name="Normal 21 8 2 5" xfId="17565"/>
    <cellStyle name="Normal 21 8 3" xfId="5951"/>
    <cellStyle name="Normal 21 8 3 2" xfId="9051"/>
    <cellStyle name="Normal 21 8 3 2 2" xfId="15244"/>
    <cellStyle name="Normal 21 8 3 2 3" xfId="21396"/>
    <cellStyle name="Normal 21 8 3 3" xfId="12178"/>
    <cellStyle name="Normal 21 8 3 4" xfId="18330"/>
    <cellStyle name="Normal 21 8 4" xfId="7516"/>
    <cellStyle name="Normal 21 8 4 2" xfId="13710"/>
    <cellStyle name="Normal 21 8 4 3" xfId="19862"/>
    <cellStyle name="Normal 21 8 5" xfId="10644"/>
    <cellStyle name="Normal 21 8 6" xfId="16796"/>
    <cellStyle name="Normal 21 9" xfId="5097"/>
    <cellStyle name="Normal 21 9 2" xfId="6722"/>
    <cellStyle name="Normal 21 9 2 2" xfId="9808"/>
    <cellStyle name="Normal 21 9 2 2 2" xfId="16001"/>
    <cellStyle name="Normal 21 9 2 2 3" xfId="22153"/>
    <cellStyle name="Normal 21 9 2 3" xfId="12935"/>
    <cellStyle name="Normal 21 9 2 4" xfId="19087"/>
    <cellStyle name="Normal 21 9 3" xfId="8273"/>
    <cellStyle name="Normal 21 9 3 2" xfId="14467"/>
    <cellStyle name="Normal 21 9 3 3" xfId="20619"/>
    <cellStyle name="Normal 21 9 4" xfId="11401"/>
    <cellStyle name="Normal 21 9 5" xfId="17553"/>
    <cellStyle name="Normal 22" xfId="430"/>
    <cellStyle name="Normal 22 10" xfId="7517"/>
    <cellStyle name="Normal 22 10 2" xfId="13711"/>
    <cellStyle name="Normal 22 10 3" xfId="19863"/>
    <cellStyle name="Normal 22 11" xfId="10645"/>
    <cellStyle name="Normal 22 12" xfId="16797"/>
    <cellStyle name="Normal 22 13" xfId="3648"/>
    <cellStyle name="Normal 22 2" xfId="3649"/>
    <cellStyle name="Normal 22 2 10" xfId="10646"/>
    <cellStyle name="Normal 22 2 11" xfId="16798"/>
    <cellStyle name="Normal 22 2 2" xfId="3650"/>
    <cellStyle name="Normal 22 2 2 2" xfId="5112"/>
    <cellStyle name="Normal 22 2 2 2 2" xfId="6737"/>
    <cellStyle name="Normal 22 2 2 2 2 2" xfId="9823"/>
    <cellStyle name="Normal 22 2 2 2 2 2 2" xfId="16016"/>
    <cellStyle name="Normal 22 2 2 2 2 2 3" xfId="22168"/>
    <cellStyle name="Normal 22 2 2 2 2 3" xfId="12950"/>
    <cellStyle name="Normal 22 2 2 2 2 4" xfId="19102"/>
    <cellStyle name="Normal 22 2 2 2 3" xfId="8288"/>
    <cellStyle name="Normal 22 2 2 2 3 2" xfId="14482"/>
    <cellStyle name="Normal 22 2 2 2 3 3" xfId="20634"/>
    <cellStyle name="Normal 22 2 2 2 4" xfId="11416"/>
    <cellStyle name="Normal 22 2 2 2 5" xfId="17568"/>
    <cellStyle name="Normal 22 2 2 3" xfId="5954"/>
    <cellStyle name="Normal 22 2 2 3 2" xfId="9054"/>
    <cellStyle name="Normal 22 2 2 3 2 2" xfId="15247"/>
    <cellStyle name="Normal 22 2 2 3 2 3" xfId="21399"/>
    <cellStyle name="Normal 22 2 2 3 3" xfId="12181"/>
    <cellStyle name="Normal 22 2 2 3 4" xfId="18333"/>
    <cellStyle name="Normal 22 2 2 4" xfId="7519"/>
    <cellStyle name="Normal 22 2 2 4 2" xfId="13713"/>
    <cellStyle name="Normal 22 2 2 4 3" xfId="19865"/>
    <cellStyle name="Normal 22 2 2 5" xfId="10647"/>
    <cellStyle name="Normal 22 2 2 6" xfId="16799"/>
    <cellStyle name="Normal 22 2 3" xfId="3651"/>
    <cellStyle name="Normal 22 2 3 2" xfId="5113"/>
    <cellStyle name="Normal 22 2 3 2 2" xfId="6738"/>
    <cellStyle name="Normal 22 2 3 2 2 2" xfId="9824"/>
    <cellStyle name="Normal 22 2 3 2 2 2 2" xfId="16017"/>
    <cellStyle name="Normal 22 2 3 2 2 2 3" xfId="22169"/>
    <cellStyle name="Normal 22 2 3 2 2 3" xfId="12951"/>
    <cellStyle name="Normal 22 2 3 2 2 4" xfId="19103"/>
    <cellStyle name="Normal 22 2 3 2 3" xfId="8289"/>
    <cellStyle name="Normal 22 2 3 2 3 2" xfId="14483"/>
    <cellStyle name="Normal 22 2 3 2 3 3" xfId="20635"/>
    <cellStyle name="Normal 22 2 3 2 4" xfId="11417"/>
    <cellStyle name="Normal 22 2 3 2 5" xfId="17569"/>
    <cellStyle name="Normal 22 2 3 3" xfId="5955"/>
    <cellStyle name="Normal 22 2 3 3 2" xfId="9055"/>
    <cellStyle name="Normal 22 2 3 3 2 2" xfId="15248"/>
    <cellStyle name="Normal 22 2 3 3 2 3" xfId="21400"/>
    <cellStyle name="Normal 22 2 3 3 3" xfId="12182"/>
    <cellStyle name="Normal 22 2 3 3 4" xfId="18334"/>
    <cellStyle name="Normal 22 2 3 4" xfId="7520"/>
    <cellStyle name="Normal 22 2 3 4 2" xfId="13714"/>
    <cellStyle name="Normal 22 2 3 4 3" xfId="19866"/>
    <cellStyle name="Normal 22 2 3 5" xfId="10648"/>
    <cellStyle name="Normal 22 2 3 6" xfId="16800"/>
    <cellStyle name="Normal 22 2 4" xfId="3652"/>
    <cellStyle name="Normal 22 2 4 2" xfId="5114"/>
    <cellStyle name="Normal 22 2 4 2 2" xfId="6739"/>
    <cellStyle name="Normal 22 2 4 2 2 2" xfId="9825"/>
    <cellStyle name="Normal 22 2 4 2 2 2 2" xfId="16018"/>
    <cellStyle name="Normal 22 2 4 2 2 2 3" xfId="22170"/>
    <cellStyle name="Normal 22 2 4 2 2 3" xfId="12952"/>
    <cellStyle name="Normal 22 2 4 2 2 4" xfId="19104"/>
    <cellStyle name="Normal 22 2 4 2 3" xfId="8290"/>
    <cellStyle name="Normal 22 2 4 2 3 2" xfId="14484"/>
    <cellStyle name="Normal 22 2 4 2 3 3" xfId="20636"/>
    <cellStyle name="Normal 22 2 4 2 4" xfId="11418"/>
    <cellStyle name="Normal 22 2 4 2 5" xfId="17570"/>
    <cellStyle name="Normal 22 2 4 3" xfId="5956"/>
    <cellStyle name="Normal 22 2 4 3 2" xfId="9056"/>
    <cellStyle name="Normal 22 2 4 3 2 2" xfId="15249"/>
    <cellStyle name="Normal 22 2 4 3 2 3" xfId="21401"/>
    <cellStyle name="Normal 22 2 4 3 3" xfId="12183"/>
    <cellStyle name="Normal 22 2 4 3 4" xfId="18335"/>
    <cellStyle name="Normal 22 2 4 4" xfId="7521"/>
    <cellStyle name="Normal 22 2 4 4 2" xfId="13715"/>
    <cellStyle name="Normal 22 2 4 4 3" xfId="19867"/>
    <cellStyle name="Normal 22 2 4 5" xfId="10649"/>
    <cellStyle name="Normal 22 2 4 6" xfId="16801"/>
    <cellStyle name="Normal 22 2 5" xfId="3653"/>
    <cellStyle name="Normal 22 2 5 2" xfId="5115"/>
    <cellStyle name="Normal 22 2 5 2 2" xfId="6740"/>
    <cellStyle name="Normal 22 2 5 2 2 2" xfId="9826"/>
    <cellStyle name="Normal 22 2 5 2 2 2 2" xfId="16019"/>
    <cellStyle name="Normal 22 2 5 2 2 2 3" xfId="22171"/>
    <cellStyle name="Normal 22 2 5 2 2 3" xfId="12953"/>
    <cellStyle name="Normal 22 2 5 2 2 4" xfId="19105"/>
    <cellStyle name="Normal 22 2 5 2 3" xfId="8291"/>
    <cellStyle name="Normal 22 2 5 2 3 2" xfId="14485"/>
    <cellStyle name="Normal 22 2 5 2 3 3" xfId="20637"/>
    <cellStyle name="Normal 22 2 5 2 4" xfId="11419"/>
    <cellStyle name="Normal 22 2 5 2 5" xfId="17571"/>
    <cellStyle name="Normal 22 2 5 3" xfId="5957"/>
    <cellStyle name="Normal 22 2 5 3 2" xfId="9057"/>
    <cellStyle name="Normal 22 2 5 3 2 2" xfId="15250"/>
    <cellStyle name="Normal 22 2 5 3 2 3" xfId="21402"/>
    <cellStyle name="Normal 22 2 5 3 3" xfId="12184"/>
    <cellStyle name="Normal 22 2 5 3 4" xfId="18336"/>
    <cellStyle name="Normal 22 2 5 4" xfId="7522"/>
    <cellStyle name="Normal 22 2 5 4 2" xfId="13716"/>
    <cellStyle name="Normal 22 2 5 4 3" xfId="19868"/>
    <cellStyle name="Normal 22 2 5 5" xfId="10650"/>
    <cellStyle name="Normal 22 2 5 6" xfId="16802"/>
    <cellStyle name="Normal 22 2 6" xfId="3654"/>
    <cellStyle name="Normal 22 2 7" xfId="5111"/>
    <cellStyle name="Normal 22 2 7 2" xfId="6736"/>
    <cellStyle name="Normal 22 2 7 2 2" xfId="9822"/>
    <cellStyle name="Normal 22 2 7 2 2 2" xfId="16015"/>
    <cellStyle name="Normal 22 2 7 2 2 3" xfId="22167"/>
    <cellStyle name="Normal 22 2 7 2 3" xfId="12949"/>
    <cellStyle name="Normal 22 2 7 2 4" xfId="19101"/>
    <cellStyle name="Normal 22 2 7 3" xfId="8287"/>
    <cellStyle name="Normal 22 2 7 3 2" xfId="14481"/>
    <cellStyle name="Normal 22 2 7 3 3" xfId="20633"/>
    <cellStyle name="Normal 22 2 7 4" xfId="11415"/>
    <cellStyle name="Normal 22 2 7 5" xfId="17567"/>
    <cellStyle name="Normal 22 2 8" xfId="5953"/>
    <cellStyle name="Normal 22 2 8 2" xfId="9053"/>
    <cellStyle name="Normal 22 2 8 2 2" xfId="15246"/>
    <cellStyle name="Normal 22 2 8 2 3" xfId="21398"/>
    <cellStyle name="Normal 22 2 8 3" xfId="12180"/>
    <cellStyle name="Normal 22 2 8 4" xfId="18332"/>
    <cellStyle name="Normal 22 2 9" xfId="7518"/>
    <cellStyle name="Normal 22 2 9 2" xfId="13712"/>
    <cellStyle name="Normal 22 2 9 3" xfId="19864"/>
    <cellStyle name="Normal 22 3" xfId="3655"/>
    <cellStyle name="Normal 22 3 2" xfId="5116"/>
    <cellStyle name="Normal 22 3 2 2" xfId="6741"/>
    <cellStyle name="Normal 22 3 2 2 2" xfId="9827"/>
    <cellStyle name="Normal 22 3 2 2 2 2" xfId="16020"/>
    <cellStyle name="Normal 22 3 2 2 2 3" xfId="22172"/>
    <cellStyle name="Normal 22 3 2 2 3" xfId="12954"/>
    <cellStyle name="Normal 22 3 2 2 4" xfId="19106"/>
    <cellStyle name="Normal 22 3 2 3" xfId="8292"/>
    <cellStyle name="Normal 22 3 2 3 2" xfId="14486"/>
    <cellStyle name="Normal 22 3 2 3 3" xfId="20638"/>
    <cellStyle name="Normal 22 3 2 4" xfId="11420"/>
    <cellStyle name="Normal 22 3 2 5" xfId="17572"/>
    <cellStyle name="Normal 22 3 3" xfId="5958"/>
    <cellStyle name="Normal 22 3 3 2" xfId="9058"/>
    <cellStyle name="Normal 22 3 3 2 2" xfId="15251"/>
    <cellStyle name="Normal 22 3 3 2 3" xfId="21403"/>
    <cellStyle name="Normal 22 3 3 3" xfId="12185"/>
    <cellStyle name="Normal 22 3 3 4" xfId="18337"/>
    <cellStyle name="Normal 22 3 4" xfId="7523"/>
    <cellStyle name="Normal 22 3 4 2" xfId="13717"/>
    <cellStyle name="Normal 22 3 4 3" xfId="19869"/>
    <cellStyle name="Normal 22 3 5" xfId="10651"/>
    <cellStyle name="Normal 22 3 6" xfId="16803"/>
    <cellStyle name="Normal 22 4" xfId="3656"/>
    <cellStyle name="Normal 22 4 2" xfId="5117"/>
    <cellStyle name="Normal 22 4 2 2" xfId="6742"/>
    <cellStyle name="Normal 22 4 2 2 2" xfId="9828"/>
    <cellStyle name="Normal 22 4 2 2 2 2" xfId="16021"/>
    <cellStyle name="Normal 22 4 2 2 2 3" xfId="22173"/>
    <cellStyle name="Normal 22 4 2 2 3" xfId="12955"/>
    <cellStyle name="Normal 22 4 2 2 4" xfId="19107"/>
    <cellStyle name="Normal 22 4 2 3" xfId="8293"/>
    <cellStyle name="Normal 22 4 2 3 2" xfId="14487"/>
    <cellStyle name="Normal 22 4 2 3 3" xfId="20639"/>
    <cellStyle name="Normal 22 4 2 4" xfId="11421"/>
    <cellStyle name="Normal 22 4 2 5" xfId="17573"/>
    <cellStyle name="Normal 22 4 3" xfId="5959"/>
    <cellStyle name="Normal 22 4 3 2" xfId="9059"/>
    <cellStyle name="Normal 22 4 3 2 2" xfId="15252"/>
    <cellStyle name="Normal 22 4 3 2 3" xfId="21404"/>
    <cellStyle name="Normal 22 4 3 3" xfId="12186"/>
    <cellStyle name="Normal 22 4 3 4" xfId="18338"/>
    <cellStyle name="Normal 22 4 4" xfId="7524"/>
    <cellStyle name="Normal 22 4 4 2" xfId="13718"/>
    <cellStyle name="Normal 22 4 4 3" xfId="19870"/>
    <cellStyle name="Normal 22 4 5" xfId="10652"/>
    <cellStyle name="Normal 22 4 6" xfId="16804"/>
    <cellStyle name="Normal 22 5" xfId="3657"/>
    <cellStyle name="Normal 22 5 2" xfId="5118"/>
    <cellStyle name="Normal 22 5 2 2" xfId="6743"/>
    <cellStyle name="Normal 22 5 2 2 2" xfId="9829"/>
    <cellStyle name="Normal 22 5 2 2 2 2" xfId="16022"/>
    <cellStyle name="Normal 22 5 2 2 2 3" xfId="22174"/>
    <cellStyle name="Normal 22 5 2 2 3" xfId="12956"/>
    <cellStyle name="Normal 22 5 2 2 4" xfId="19108"/>
    <cellStyle name="Normal 22 5 2 3" xfId="8294"/>
    <cellStyle name="Normal 22 5 2 3 2" xfId="14488"/>
    <cellStyle name="Normal 22 5 2 3 3" xfId="20640"/>
    <cellStyle name="Normal 22 5 2 4" xfId="11422"/>
    <cellStyle name="Normal 22 5 2 5" xfId="17574"/>
    <cellStyle name="Normal 22 5 3" xfId="5960"/>
    <cellStyle name="Normal 22 5 3 2" xfId="9060"/>
    <cellStyle name="Normal 22 5 3 2 2" xfId="15253"/>
    <cellStyle name="Normal 22 5 3 2 3" xfId="21405"/>
    <cellStyle name="Normal 22 5 3 3" xfId="12187"/>
    <cellStyle name="Normal 22 5 3 4" xfId="18339"/>
    <cellStyle name="Normal 22 5 4" xfId="7525"/>
    <cellStyle name="Normal 22 5 4 2" xfId="13719"/>
    <cellStyle name="Normal 22 5 4 3" xfId="19871"/>
    <cellStyle name="Normal 22 5 5" xfId="10653"/>
    <cellStyle name="Normal 22 5 6" xfId="16805"/>
    <cellStyle name="Normal 22 6" xfId="3658"/>
    <cellStyle name="Normal 22 6 2" xfId="5119"/>
    <cellStyle name="Normal 22 6 2 2" xfId="6744"/>
    <cellStyle name="Normal 22 6 2 2 2" xfId="9830"/>
    <cellStyle name="Normal 22 6 2 2 2 2" xfId="16023"/>
    <cellStyle name="Normal 22 6 2 2 2 3" xfId="22175"/>
    <cellStyle name="Normal 22 6 2 2 3" xfId="12957"/>
    <cellStyle name="Normal 22 6 2 2 4" xfId="19109"/>
    <cellStyle name="Normal 22 6 2 3" xfId="8295"/>
    <cellStyle name="Normal 22 6 2 3 2" xfId="14489"/>
    <cellStyle name="Normal 22 6 2 3 3" xfId="20641"/>
    <cellStyle name="Normal 22 6 2 4" xfId="11423"/>
    <cellStyle name="Normal 22 6 2 5" xfId="17575"/>
    <cellStyle name="Normal 22 6 3" xfId="5961"/>
    <cellStyle name="Normal 22 6 3 2" xfId="9061"/>
    <cellStyle name="Normal 22 6 3 2 2" xfId="15254"/>
    <cellStyle name="Normal 22 6 3 2 3" xfId="21406"/>
    <cellStyle name="Normal 22 6 3 3" xfId="12188"/>
    <cellStyle name="Normal 22 6 3 4" xfId="18340"/>
    <cellStyle name="Normal 22 6 4" xfId="7526"/>
    <cellStyle name="Normal 22 6 4 2" xfId="13720"/>
    <cellStyle name="Normal 22 6 4 3" xfId="19872"/>
    <cellStyle name="Normal 22 6 5" xfId="10654"/>
    <cellStyle name="Normal 22 6 6" xfId="16806"/>
    <cellStyle name="Normal 22 7" xfId="3659"/>
    <cellStyle name="Normal 22 8" xfId="5110"/>
    <cellStyle name="Normal 22 8 2" xfId="6735"/>
    <cellStyle name="Normal 22 8 2 2" xfId="9821"/>
    <cellStyle name="Normal 22 8 2 2 2" xfId="16014"/>
    <cellStyle name="Normal 22 8 2 2 3" xfId="22166"/>
    <cellStyle name="Normal 22 8 2 3" xfId="12948"/>
    <cellStyle name="Normal 22 8 2 4" xfId="19100"/>
    <cellStyle name="Normal 22 8 3" xfId="8286"/>
    <cellStyle name="Normal 22 8 3 2" xfId="14480"/>
    <cellStyle name="Normal 22 8 3 3" xfId="20632"/>
    <cellStyle name="Normal 22 8 4" xfId="11414"/>
    <cellStyle name="Normal 22 8 5" xfId="17566"/>
    <cellStyle name="Normal 22 9" xfId="5952"/>
    <cellStyle name="Normal 22 9 2" xfId="9052"/>
    <cellStyle name="Normal 22 9 2 2" xfId="15245"/>
    <cellStyle name="Normal 22 9 2 3" xfId="21397"/>
    <cellStyle name="Normal 22 9 3" xfId="12179"/>
    <cellStyle name="Normal 22 9 4" xfId="18331"/>
    <cellStyle name="Normal 23" xfId="598"/>
    <cellStyle name="Normal 23 10" xfId="7527"/>
    <cellStyle name="Normal 23 10 2" xfId="13721"/>
    <cellStyle name="Normal 23 10 3" xfId="19873"/>
    <cellStyle name="Normal 23 11" xfId="10655"/>
    <cellStyle name="Normal 23 12" xfId="16807"/>
    <cellStyle name="Normal 23 13" xfId="3660"/>
    <cellStyle name="Normal 23 2" xfId="3661"/>
    <cellStyle name="Normal 23 2 10" xfId="16808"/>
    <cellStyle name="Normal 23 2 11" xfId="23250"/>
    <cellStyle name="Normal 23 2 2" xfId="3662"/>
    <cellStyle name="Normal 23 2 2 2" xfId="5122"/>
    <cellStyle name="Normal 23 2 2 2 2" xfId="6747"/>
    <cellStyle name="Normal 23 2 2 2 2 2" xfId="9833"/>
    <cellStyle name="Normal 23 2 2 2 2 2 2" xfId="16026"/>
    <cellStyle name="Normal 23 2 2 2 2 2 3" xfId="22178"/>
    <cellStyle name="Normal 23 2 2 2 2 3" xfId="12960"/>
    <cellStyle name="Normal 23 2 2 2 2 4" xfId="19112"/>
    <cellStyle name="Normal 23 2 2 2 3" xfId="8298"/>
    <cellStyle name="Normal 23 2 2 2 3 2" xfId="14492"/>
    <cellStyle name="Normal 23 2 2 2 3 3" xfId="20644"/>
    <cellStyle name="Normal 23 2 2 2 4" xfId="11426"/>
    <cellStyle name="Normal 23 2 2 2 5" xfId="17578"/>
    <cellStyle name="Normal 23 2 2 3" xfId="5964"/>
    <cellStyle name="Normal 23 2 2 3 2" xfId="9064"/>
    <cellStyle name="Normal 23 2 2 3 2 2" xfId="15257"/>
    <cellStyle name="Normal 23 2 2 3 2 3" xfId="21409"/>
    <cellStyle name="Normal 23 2 2 3 3" xfId="12191"/>
    <cellStyle name="Normal 23 2 2 3 4" xfId="18343"/>
    <cellStyle name="Normal 23 2 2 4" xfId="7529"/>
    <cellStyle name="Normal 23 2 2 4 2" xfId="13723"/>
    <cellStyle name="Normal 23 2 2 4 3" xfId="19875"/>
    <cellStyle name="Normal 23 2 2 5" xfId="10657"/>
    <cellStyle name="Normal 23 2 2 6" xfId="16809"/>
    <cellStyle name="Normal 23 2 3" xfId="3663"/>
    <cellStyle name="Normal 23 2 3 2" xfId="5123"/>
    <cellStyle name="Normal 23 2 3 2 2" xfId="6748"/>
    <cellStyle name="Normal 23 2 3 2 2 2" xfId="9834"/>
    <cellStyle name="Normal 23 2 3 2 2 2 2" xfId="16027"/>
    <cellStyle name="Normal 23 2 3 2 2 2 3" xfId="22179"/>
    <cellStyle name="Normal 23 2 3 2 2 3" xfId="12961"/>
    <cellStyle name="Normal 23 2 3 2 2 4" xfId="19113"/>
    <cellStyle name="Normal 23 2 3 2 3" xfId="8299"/>
    <cellStyle name="Normal 23 2 3 2 3 2" xfId="14493"/>
    <cellStyle name="Normal 23 2 3 2 3 3" xfId="20645"/>
    <cellStyle name="Normal 23 2 3 2 4" xfId="11427"/>
    <cellStyle name="Normal 23 2 3 2 5" xfId="17579"/>
    <cellStyle name="Normal 23 2 3 3" xfId="5965"/>
    <cellStyle name="Normal 23 2 3 3 2" xfId="9065"/>
    <cellStyle name="Normal 23 2 3 3 2 2" xfId="15258"/>
    <cellStyle name="Normal 23 2 3 3 2 3" xfId="21410"/>
    <cellStyle name="Normal 23 2 3 3 3" xfId="12192"/>
    <cellStyle name="Normal 23 2 3 3 4" xfId="18344"/>
    <cellStyle name="Normal 23 2 3 4" xfId="7530"/>
    <cellStyle name="Normal 23 2 3 4 2" xfId="13724"/>
    <cellStyle name="Normal 23 2 3 4 3" xfId="19876"/>
    <cellStyle name="Normal 23 2 3 5" xfId="10658"/>
    <cellStyle name="Normal 23 2 3 6" xfId="16810"/>
    <cellStyle name="Normal 23 2 4" xfId="3664"/>
    <cellStyle name="Normal 23 2 4 2" xfId="5124"/>
    <cellStyle name="Normal 23 2 4 2 2" xfId="6749"/>
    <cellStyle name="Normal 23 2 4 2 2 2" xfId="9835"/>
    <cellStyle name="Normal 23 2 4 2 2 2 2" xfId="16028"/>
    <cellStyle name="Normal 23 2 4 2 2 2 3" xfId="22180"/>
    <cellStyle name="Normal 23 2 4 2 2 3" xfId="12962"/>
    <cellStyle name="Normal 23 2 4 2 2 4" xfId="19114"/>
    <cellStyle name="Normal 23 2 4 2 3" xfId="8300"/>
    <cellStyle name="Normal 23 2 4 2 3 2" xfId="14494"/>
    <cellStyle name="Normal 23 2 4 2 3 3" xfId="20646"/>
    <cellStyle name="Normal 23 2 4 2 4" xfId="11428"/>
    <cellStyle name="Normal 23 2 4 2 5" xfId="17580"/>
    <cellStyle name="Normal 23 2 4 3" xfId="5966"/>
    <cellStyle name="Normal 23 2 4 3 2" xfId="9066"/>
    <cellStyle name="Normal 23 2 4 3 2 2" xfId="15259"/>
    <cellStyle name="Normal 23 2 4 3 2 3" xfId="21411"/>
    <cellStyle name="Normal 23 2 4 3 3" xfId="12193"/>
    <cellStyle name="Normal 23 2 4 3 4" xfId="18345"/>
    <cellStyle name="Normal 23 2 4 4" xfId="7531"/>
    <cellStyle name="Normal 23 2 4 4 2" xfId="13725"/>
    <cellStyle name="Normal 23 2 4 4 3" xfId="19877"/>
    <cellStyle name="Normal 23 2 4 5" xfId="10659"/>
    <cellStyle name="Normal 23 2 4 6" xfId="16811"/>
    <cellStyle name="Normal 23 2 5" xfId="3665"/>
    <cellStyle name="Normal 23 2 5 2" xfId="5125"/>
    <cellStyle name="Normal 23 2 5 2 2" xfId="6750"/>
    <cellStyle name="Normal 23 2 5 2 2 2" xfId="9836"/>
    <cellStyle name="Normal 23 2 5 2 2 2 2" xfId="16029"/>
    <cellStyle name="Normal 23 2 5 2 2 2 3" xfId="22181"/>
    <cellStyle name="Normal 23 2 5 2 2 3" xfId="12963"/>
    <cellStyle name="Normal 23 2 5 2 2 4" xfId="19115"/>
    <cellStyle name="Normal 23 2 5 2 3" xfId="8301"/>
    <cellStyle name="Normal 23 2 5 2 3 2" xfId="14495"/>
    <cellStyle name="Normal 23 2 5 2 3 3" xfId="20647"/>
    <cellStyle name="Normal 23 2 5 2 4" xfId="11429"/>
    <cellStyle name="Normal 23 2 5 2 5" xfId="17581"/>
    <cellStyle name="Normal 23 2 5 3" xfId="5967"/>
    <cellStyle name="Normal 23 2 5 3 2" xfId="9067"/>
    <cellStyle name="Normal 23 2 5 3 2 2" xfId="15260"/>
    <cellStyle name="Normal 23 2 5 3 2 3" xfId="21412"/>
    <cellStyle name="Normal 23 2 5 3 3" xfId="12194"/>
    <cellStyle name="Normal 23 2 5 3 4" xfId="18346"/>
    <cellStyle name="Normal 23 2 5 4" xfId="7532"/>
    <cellStyle name="Normal 23 2 5 4 2" xfId="13726"/>
    <cellStyle name="Normal 23 2 5 4 3" xfId="19878"/>
    <cellStyle name="Normal 23 2 5 5" xfId="10660"/>
    <cellStyle name="Normal 23 2 5 6" xfId="16812"/>
    <cellStyle name="Normal 23 2 6" xfId="5121"/>
    <cellStyle name="Normal 23 2 6 2" xfId="6746"/>
    <cellStyle name="Normal 23 2 6 2 2" xfId="9832"/>
    <cellStyle name="Normal 23 2 6 2 2 2" xfId="16025"/>
    <cellStyle name="Normal 23 2 6 2 2 3" xfId="22177"/>
    <cellStyle name="Normal 23 2 6 2 3" xfId="12959"/>
    <cellStyle name="Normal 23 2 6 2 4" xfId="19111"/>
    <cellStyle name="Normal 23 2 6 3" xfId="8297"/>
    <cellStyle name="Normal 23 2 6 3 2" xfId="14491"/>
    <cellStyle name="Normal 23 2 6 3 3" xfId="20643"/>
    <cellStyle name="Normal 23 2 6 4" xfId="11425"/>
    <cellStyle name="Normal 23 2 6 5" xfId="17577"/>
    <cellStyle name="Normal 23 2 7" xfId="5963"/>
    <cellStyle name="Normal 23 2 7 2" xfId="9063"/>
    <cellStyle name="Normal 23 2 7 2 2" xfId="15256"/>
    <cellStyle name="Normal 23 2 7 2 3" xfId="21408"/>
    <cellStyle name="Normal 23 2 7 3" xfId="12190"/>
    <cellStyle name="Normal 23 2 7 4" xfId="18342"/>
    <cellStyle name="Normal 23 2 8" xfId="7528"/>
    <cellStyle name="Normal 23 2 8 2" xfId="13722"/>
    <cellStyle name="Normal 23 2 8 3" xfId="19874"/>
    <cellStyle name="Normal 23 2 9" xfId="10656"/>
    <cellStyle name="Normal 23 3" xfId="3666"/>
    <cellStyle name="Normal 23 3 2" xfId="5126"/>
    <cellStyle name="Normal 23 3 2 2" xfId="6751"/>
    <cellStyle name="Normal 23 3 2 2 2" xfId="9837"/>
    <cellStyle name="Normal 23 3 2 2 2 2" xfId="16030"/>
    <cellStyle name="Normal 23 3 2 2 2 3" xfId="22182"/>
    <cellStyle name="Normal 23 3 2 2 3" xfId="12964"/>
    <cellStyle name="Normal 23 3 2 2 4" xfId="19116"/>
    <cellStyle name="Normal 23 3 2 3" xfId="8302"/>
    <cellStyle name="Normal 23 3 2 3 2" xfId="14496"/>
    <cellStyle name="Normal 23 3 2 3 3" xfId="20648"/>
    <cellStyle name="Normal 23 3 2 4" xfId="11430"/>
    <cellStyle name="Normal 23 3 2 5" xfId="17582"/>
    <cellStyle name="Normal 23 3 3" xfId="5968"/>
    <cellStyle name="Normal 23 3 3 2" xfId="9068"/>
    <cellStyle name="Normal 23 3 3 2 2" xfId="15261"/>
    <cellStyle name="Normal 23 3 3 2 3" xfId="21413"/>
    <cellStyle name="Normal 23 3 3 3" xfId="12195"/>
    <cellStyle name="Normal 23 3 3 4" xfId="18347"/>
    <cellStyle name="Normal 23 3 4" xfId="7533"/>
    <cellStyle name="Normal 23 3 4 2" xfId="13727"/>
    <cellStyle name="Normal 23 3 4 3" xfId="19879"/>
    <cellStyle name="Normal 23 3 5" xfId="10661"/>
    <cellStyle name="Normal 23 3 6" xfId="16813"/>
    <cellStyle name="Normal 23 4" xfId="3667"/>
    <cellStyle name="Normal 23 4 2" xfId="5127"/>
    <cellStyle name="Normal 23 4 2 2" xfId="6752"/>
    <cellStyle name="Normal 23 4 2 2 2" xfId="9838"/>
    <cellStyle name="Normal 23 4 2 2 2 2" xfId="16031"/>
    <cellStyle name="Normal 23 4 2 2 2 3" xfId="22183"/>
    <cellStyle name="Normal 23 4 2 2 3" xfId="12965"/>
    <cellStyle name="Normal 23 4 2 2 4" xfId="19117"/>
    <cellStyle name="Normal 23 4 2 3" xfId="8303"/>
    <cellStyle name="Normal 23 4 2 3 2" xfId="14497"/>
    <cellStyle name="Normal 23 4 2 3 3" xfId="20649"/>
    <cellStyle name="Normal 23 4 2 4" xfId="11431"/>
    <cellStyle name="Normal 23 4 2 5" xfId="17583"/>
    <cellStyle name="Normal 23 4 3" xfId="5969"/>
    <cellStyle name="Normal 23 4 3 2" xfId="9069"/>
    <cellStyle name="Normal 23 4 3 2 2" xfId="15262"/>
    <cellStyle name="Normal 23 4 3 2 3" xfId="21414"/>
    <cellStyle name="Normal 23 4 3 3" xfId="12196"/>
    <cellStyle name="Normal 23 4 3 4" xfId="18348"/>
    <cellStyle name="Normal 23 4 4" xfId="7534"/>
    <cellStyle name="Normal 23 4 4 2" xfId="13728"/>
    <cellStyle name="Normal 23 4 4 3" xfId="19880"/>
    <cellStyle name="Normal 23 4 5" xfId="10662"/>
    <cellStyle name="Normal 23 4 6" xfId="16814"/>
    <cellStyle name="Normal 23 5" xfId="3668"/>
    <cellStyle name="Normal 23 5 2" xfId="5128"/>
    <cellStyle name="Normal 23 5 2 2" xfId="6753"/>
    <cellStyle name="Normal 23 5 2 2 2" xfId="9839"/>
    <cellStyle name="Normal 23 5 2 2 2 2" xfId="16032"/>
    <cellStyle name="Normal 23 5 2 2 2 3" xfId="22184"/>
    <cellStyle name="Normal 23 5 2 2 3" xfId="12966"/>
    <cellStyle name="Normal 23 5 2 2 4" xfId="19118"/>
    <cellStyle name="Normal 23 5 2 3" xfId="8304"/>
    <cellStyle name="Normal 23 5 2 3 2" xfId="14498"/>
    <cellStyle name="Normal 23 5 2 3 3" xfId="20650"/>
    <cellStyle name="Normal 23 5 2 4" xfId="11432"/>
    <cellStyle name="Normal 23 5 2 5" xfId="17584"/>
    <cellStyle name="Normal 23 5 3" xfId="5970"/>
    <cellStyle name="Normal 23 5 3 2" xfId="9070"/>
    <cellStyle name="Normal 23 5 3 2 2" xfId="15263"/>
    <cellStyle name="Normal 23 5 3 2 3" xfId="21415"/>
    <cellStyle name="Normal 23 5 3 3" xfId="12197"/>
    <cellStyle name="Normal 23 5 3 4" xfId="18349"/>
    <cellStyle name="Normal 23 5 4" xfId="7535"/>
    <cellStyle name="Normal 23 5 4 2" xfId="13729"/>
    <cellStyle name="Normal 23 5 4 3" xfId="19881"/>
    <cellStyle name="Normal 23 5 5" xfId="10663"/>
    <cellStyle name="Normal 23 5 6" xfId="16815"/>
    <cellStyle name="Normal 23 6" xfId="3669"/>
    <cellStyle name="Normal 23 6 2" xfId="5129"/>
    <cellStyle name="Normal 23 6 2 2" xfId="6754"/>
    <cellStyle name="Normal 23 6 2 2 2" xfId="9840"/>
    <cellStyle name="Normal 23 6 2 2 2 2" xfId="16033"/>
    <cellStyle name="Normal 23 6 2 2 2 3" xfId="22185"/>
    <cellStyle name="Normal 23 6 2 2 3" xfId="12967"/>
    <cellStyle name="Normal 23 6 2 2 4" xfId="19119"/>
    <cellStyle name="Normal 23 6 2 3" xfId="8305"/>
    <cellStyle name="Normal 23 6 2 3 2" xfId="14499"/>
    <cellStyle name="Normal 23 6 2 3 3" xfId="20651"/>
    <cellStyle name="Normal 23 6 2 4" xfId="11433"/>
    <cellStyle name="Normal 23 6 2 5" xfId="17585"/>
    <cellStyle name="Normal 23 6 3" xfId="5971"/>
    <cellStyle name="Normal 23 6 3 2" xfId="9071"/>
    <cellStyle name="Normal 23 6 3 2 2" xfId="15264"/>
    <cellStyle name="Normal 23 6 3 2 3" xfId="21416"/>
    <cellStyle name="Normal 23 6 3 3" xfId="12198"/>
    <cellStyle name="Normal 23 6 3 4" xfId="18350"/>
    <cellStyle name="Normal 23 6 4" xfId="7536"/>
    <cellStyle name="Normal 23 6 4 2" xfId="13730"/>
    <cellStyle name="Normal 23 6 4 3" xfId="19882"/>
    <cellStyle name="Normal 23 6 5" xfId="10664"/>
    <cellStyle name="Normal 23 6 6" xfId="16816"/>
    <cellStyle name="Normal 23 7" xfId="3670"/>
    <cellStyle name="Normal 23 8" xfId="5120"/>
    <cellStyle name="Normal 23 8 2" xfId="6745"/>
    <cellStyle name="Normal 23 8 2 2" xfId="9831"/>
    <cellStyle name="Normal 23 8 2 2 2" xfId="16024"/>
    <cellStyle name="Normal 23 8 2 2 3" xfId="22176"/>
    <cellStyle name="Normal 23 8 2 3" xfId="12958"/>
    <cellStyle name="Normal 23 8 2 4" xfId="19110"/>
    <cellStyle name="Normal 23 8 3" xfId="8296"/>
    <cellStyle name="Normal 23 8 3 2" xfId="14490"/>
    <cellStyle name="Normal 23 8 3 3" xfId="20642"/>
    <cellStyle name="Normal 23 8 4" xfId="11424"/>
    <cellStyle name="Normal 23 8 5" xfId="17576"/>
    <cellStyle name="Normal 23 9" xfId="5962"/>
    <cellStyle name="Normal 23 9 2" xfId="9062"/>
    <cellStyle name="Normal 23 9 2 2" xfId="15255"/>
    <cellStyle name="Normal 23 9 2 3" xfId="21407"/>
    <cellStyle name="Normal 23 9 3" xfId="12189"/>
    <cellStyle name="Normal 23 9 4" xfId="18341"/>
    <cellStyle name="Normal 24" xfId="3671"/>
    <cellStyle name="Normal 24 10" xfId="7537"/>
    <cellStyle name="Normal 24 10 2" xfId="13731"/>
    <cellStyle name="Normal 24 10 3" xfId="19883"/>
    <cellStyle name="Normal 24 11" xfId="10665"/>
    <cellStyle name="Normal 24 12" xfId="16817"/>
    <cellStyle name="Normal 24 2" xfId="3672"/>
    <cellStyle name="Normal 24 2 10" xfId="16818"/>
    <cellStyle name="Normal 24 2 2" xfId="3673"/>
    <cellStyle name="Normal 24 2 2 2" xfId="5132"/>
    <cellStyle name="Normal 24 2 2 2 2" xfId="6757"/>
    <cellStyle name="Normal 24 2 2 2 2 2" xfId="9843"/>
    <cellStyle name="Normal 24 2 2 2 2 2 2" xfId="16036"/>
    <cellStyle name="Normal 24 2 2 2 2 2 3" xfId="22188"/>
    <cellStyle name="Normal 24 2 2 2 2 3" xfId="12970"/>
    <cellStyle name="Normal 24 2 2 2 2 4" xfId="19122"/>
    <cellStyle name="Normal 24 2 2 2 3" xfId="8308"/>
    <cellStyle name="Normal 24 2 2 2 3 2" xfId="14502"/>
    <cellStyle name="Normal 24 2 2 2 3 3" xfId="20654"/>
    <cellStyle name="Normal 24 2 2 2 4" xfId="11436"/>
    <cellStyle name="Normal 24 2 2 2 5" xfId="17588"/>
    <cellStyle name="Normal 24 2 2 3" xfId="5974"/>
    <cellStyle name="Normal 24 2 2 3 2" xfId="9074"/>
    <cellStyle name="Normal 24 2 2 3 2 2" xfId="15267"/>
    <cellStyle name="Normal 24 2 2 3 2 3" xfId="21419"/>
    <cellStyle name="Normal 24 2 2 3 3" xfId="12201"/>
    <cellStyle name="Normal 24 2 2 3 4" xfId="18353"/>
    <cellStyle name="Normal 24 2 2 4" xfId="7539"/>
    <cellStyle name="Normal 24 2 2 4 2" xfId="13733"/>
    <cellStyle name="Normal 24 2 2 4 3" xfId="19885"/>
    <cellStyle name="Normal 24 2 2 5" xfId="10667"/>
    <cellStyle name="Normal 24 2 2 6" xfId="16819"/>
    <cellStyle name="Normal 24 2 3" xfId="3674"/>
    <cellStyle name="Normal 24 2 3 2" xfId="5133"/>
    <cellStyle name="Normal 24 2 3 2 2" xfId="6758"/>
    <cellStyle name="Normal 24 2 3 2 2 2" xfId="9844"/>
    <cellStyle name="Normal 24 2 3 2 2 2 2" xfId="16037"/>
    <cellStyle name="Normal 24 2 3 2 2 2 3" xfId="22189"/>
    <cellStyle name="Normal 24 2 3 2 2 3" xfId="12971"/>
    <cellStyle name="Normal 24 2 3 2 2 4" xfId="19123"/>
    <cellStyle name="Normal 24 2 3 2 3" xfId="8309"/>
    <cellStyle name="Normal 24 2 3 2 3 2" xfId="14503"/>
    <cellStyle name="Normal 24 2 3 2 3 3" xfId="20655"/>
    <cellStyle name="Normal 24 2 3 2 4" xfId="11437"/>
    <cellStyle name="Normal 24 2 3 2 5" xfId="17589"/>
    <cellStyle name="Normal 24 2 3 3" xfId="5975"/>
    <cellStyle name="Normal 24 2 3 3 2" xfId="9075"/>
    <cellStyle name="Normal 24 2 3 3 2 2" xfId="15268"/>
    <cellStyle name="Normal 24 2 3 3 2 3" xfId="21420"/>
    <cellStyle name="Normal 24 2 3 3 3" xfId="12202"/>
    <cellStyle name="Normal 24 2 3 3 4" xfId="18354"/>
    <cellStyle name="Normal 24 2 3 4" xfId="7540"/>
    <cellStyle name="Normal 24 2 3 4 2" xfId="13734"/>
    <cellStyle name="Normal 24 2 3 4 3" xfId="19886"/>
    <cellStyle name="Normal 24 2 3 5" xfId="10668"/>
    <cellStyle name="Normal 24 2 3 6" xfId="16820"/>
    <cellStyle name="Normal 24 2 4" xfId="3675"/>
    <cellStyle name="Normal 24 2 4 2" xfId="5134"/>
    <cellStyle name="Normal 24 2 4 2 2" xfId="6759"/>
    <cellStyle name="Normal 24 2 4 2 2 2" xfId="9845"/>
    <cellStyle name="Normal 24 2 4 2 2 2 2" xfId="16038"/>
    <cellStyle name="Normal 24 2 4 2 2 2 3" xfId="22190"/>
    <cellStyle name="Normal 24 2 4 2 2 3" xfId="12972"/>
    <cellStyle name="Normal 24 2 4 2 2 4" xfId="19124"/>
    <cellStyle name="Normal 24 2 4 2 3" xfId="8310"/>
    <cellStyle name="Normal 24 2 4 2 3 2" xfId="14504"/>
    <cellStyle name="Normal 24 2 4 2 3 3" xfId="20656"/>
    <cellStyle name="Normal 24 2 4 2 4" xfId="11438"/>
    <cellStyle name="Normal 24 2 4 2 5" xfId="17590"/>
    <cellStyle name="Normal 24 2 4 3" xfId="5976"/>
    <cellStyle name="Normal 24 2 4 3 2" xfId="9076"/>
    <cellStyle name="Normal 24 2 4 3 2 2" xfId="15269"/>
    <cellStyle name="Normal 24 2 4 3 2 3" xfId="21421"/>
    <cellStyle name="Normal 24 2 4 3 3" xfId="12203"/>
    <cellStyle name="Normal 24 2 4 3 4" xfId="18355"/>
    <cellStyle name="Normal 24 2 4 4" xfId="7541"/>
    <cellStyle name="Normal 24 2 4 4 2" xfId="13735"/>
    <cellStyle name="Normal 24 2 4 4 3" xfId="19887"/>
    <cellStyle name="Normal 24 2 4 5" xfId="10669"/>
    <cellStyle name="Normal 24 2 4 6" xfId="16821"/>
    <cellStyle name="Normal 24 2 5" xfId="3676"/>
    <cellStyle name="Normal 24 2 5 2" xfId="5135"/>
    <cellStyle name="Normal 24 2 5 2 2" xfId="6760"/>
    <cellStyle name="Normal 24 2 5 2 2 2" xfId="9846"/>
    <cellStyle name="Normal 24 2 5 2 2 2 2" xfId="16039"/>
    <cellStyle name="Normal 24 2 5 2 2 2 3" xfId="22191"/>
    <cellStyle name="Normal 24 2 5 2 2 3" xfId="12973"/>
    <cellStyle name="Normal 24 2 5 2 2 4" xfId="19125"/>
    <cellStyle name="Normal 24 2 5 2 3" xfId="8311"/>
    <cellStyle name="Normal 24 2 5 2 3 2" xfId="14505"/>
    <cellStyle name="Normal 24 2 5 2 3 3" xfId="20657"/>
    <cellStyle name="Normal 24 2 5 2 4" xfId="11439"/>
    <cellStyle name="Normal 24 2 5 2 5" xfId="17591"/>
    <cellStyle name="Normal 24 2 5 3" xfId="5977"/>
    <cellStyle name="Normal 24 2 5 3 2" xfId="9077"/>
    <cellStyle name="Normal 24 2 5 3 2 2" xfId="15270"/>
    <cellStyle name="Normal 24 2 5 3 2 3" xfId="21422"/>
    <cellStyle name="Normal 24 2 5 3 3" xfId="12204"/>
    <cellStyle name="Normal 24 2 5 3 4" xfId="18356"/>
    <cellStyle name="Normal 24 2 5 4" xfId="7542"/>
    <cellStyle name="Normal 24 2 5 4 2" xfId="13736"/>
    <cellStyle name="Normal 24 2 5 4 3" xfId="19888"/>
    <cellStyle name="Normal 24 2 5 5" xfId="10670"/>
    <cellStyle name="Normal 24 2 5 6" xfId="16822"/>
    <cellStyle name="Normal 24 2 6" xfId="5131"/>
    <cellStyle name="Normal 24 2 6 2" xfId="6756"/>
    <cellStyle name="Normal 24 2 6 2 2" xfId="9842"/>
    <cellStyle name="Normal 24 2 6 2 2 2" xfId="16035"/>
    <cellStyle name="Normal 24 2 6 2 2 3" xfId="22187"/>
    <cellStyle name="Normal 24 2 6 2 3" xfId="12969"/>
    <cellStyle name="Normal 24 2 6 2 4" xfId="19121"/>
    <cellStyle name="Normal 24 2 6 3" xfId="8307"/>
    <cellStyle name="Normal 24 2 6 3 2" xfId="14501"/>
    <cellStyle name="Normal 24 2 6 3 3" xfId="20653"/>
    <cellStyle name="Normal 24 2 6 4" xfId="11435"/>
    <cellStyle name="Normal 24 2 6 5" xfId="17587"/>
    <cellStyle name="Normal 24 2 7" xfId="5973"/>
    <cellStyle name="Normal 24 2 7 2" xfId="9073"/>
    <cellStyle name="Normal 24 2 7 2 2" xfId="15266"/>
    <cellStyle name="Normal 24 2 7 2 3" xfId="21418"/>
    <cellStyle name="Normal 24 2 7 3" xfId="12200"/>
    <cellStyle name="Normal 24 2 7 4" xfId="18352"/>
    <cellStyle name="Normal 24 2 8" xfId="7538"/>
    <cellStyle name="Normal 24 2 8 2" xfId="13732"/>
    <cellStyle name="Normal 24 2 8 3" xfId="19884"/>
    <cellStyle name="Normal 24 2 9" xfId="10666"/>
    <cellStyle name="Normal 24 3" xfId="3677"/>
    <cellStyle name="Normal 24 3 2" xfId="5136"/>
    <cellStyle name="Normal 24 3 2 2" xfId="6761"/>
    <cellStyle name="Normal 24 3 2 2 2" xfId="9847"/>
    <cellStyle name="Normal 24 3 2 2 2 2" xfId="16040"/>
    <cellStyle name="Normal 24 3 2 2 2 3" xfId="22192"/>
    <cellStyle name="Normal 24 3 2 2 3" xfId="12974"/>
    <cellStyle name="Normal 24 3 2 2 4" xfId="19126"/>
    <cellStyle name="Normal 24 3 2 3" xfId="8312"/>
    <cellStyle name="Normal 24 3 2 3 2" xfId="14506"/>
    <cellStyle name="Normal 24 3 2 3 3" xfId="20658"/>
    <cellStyle name="Normal 24 3 2 4" xfId="11440"/>
    <cellStyle name="Normal 24 3 2 5" xfId="17592"/>
    <cellStyle name="Normal 24 3 3" xfId="5978"/>
    <cellStyle name="Normal 24 3 3 2" xfId="9078"/>
    <cellStyle name="Normal 24 3 3 2 2" xfId="15271"/>
    <cellStyle name="Normal 24 3 3 2 3" xfId="21423"/>
    <cellStyle name="Normal 24 3 3 3" xfId="12205"/>
    <cellStyle name="Normal 24 3 3 4" xfId="18357"/>
    <cellStyle name="Normal 24 3 4" xfId="7543"/>
    <cellStyle name="Normal 24 3 4 2" xfId="13737"/>
    <cellStyle name="Normal 24 3 4 3" xfId="19889"/>
    <cellStyle name="Normal 24 3 5" xfId="10671"/>
    <cellStyle name="Normal 24 3 6" xfId="16823"/>
    <cellStyle name="Normal 24 4" xfId="3678"/>
    <cellStyle name="Normal 24 4 2" xfId="5137"/>
    <cellStyle name="Normal 24 4 2 2" xfId="6762"/>
    <cellStyle name="Normal 24 4 2 2 2" xfId="9848"/>
    <cellStyle name="Normal 24 4 2 2 2 2" xfId="16041"/>
    <cellStyle name="Normal 24 4 2 2 2 3" xfId="22193"/>
    <cellStyle name="Normal 24 4 2 2 3" xfId="12975"/>
    <cellStyle name="Normal 24 4 2 2 4" xfId="19127"/>
    <cellStyle name="Normal 24 4 2 3" xfId="8313"/>
    <cellStyle name="Normal 24 4 2 3 2" xfId="14507"/>
    <cellStyle name="Normal 24 4 2 3 3" xfId="20659"/>
    <cellStyle name="Normal 24 4 2 4" xfId="11441"/>
    <cellStyle name="Normal 24 4 2 5" xfId="17593"/>
    <cellStyle name="Normal 24 4 3" xfId="5979"/>
    <cellStyle name="Normal 24 4 3 2" xfId="9079"/>
    <cellStyle name="Normal 24 4 3 2 2" xfId="15272"/>
    <cellStyle name="Normal 24 4 3 2 3" xfId="21424"/>
    <cellStyle name="Normal 24 4 3 3" xfId="12206"/>
    <cellStyle name="Normal 24 4 3 4" xfId="18358"/>
    <cellStyle name="Normal 24 4 4" xfId="7544"/>
    <cellStyle name="Normal 24 4 4 2" xfId="13738"/>
    <cellStyle name="Normal 24 4 4 3" xfId="19890"/>
    <cellStyle name="Normal 24 4 5" xfId="10672"/>
    <cellStyle name="Normal 24 4 6" xfId="16824"/>
    <cellStyle name="Normal 24 5" xfId="3679"/>
    <cellStyle name="Normal 24 5 2" xfId="5138"/>
    <cellStyle name="Normal 24 5 2 2" xfId="6763"/>
    <cellStyle name="Normal 24 5 2 2 2" xfId="9849"/>
    <cellStyle name="Normal 24 5 2 2 2 2" xfId="16042"/>
    <cellStyle name="Normal 24 5 2 2 2 3" xfId="22194"/>
    <cellStyle name="Normal 24 5 2 2 3" xfId="12976"/>
    <cellStyle name="Normal 24 5 2 2 4" xfId="19128"/>
    <cellStyle name="Normal 24 5 2 3" xfId="8314"/>
    <cellStyle name="Normal 24 5 2 3 2" xfId="14508"/>
    <cellStyle name="Normal 24 5 2 3 3" xfId="20660"/>
    <cellStyle name="Normal 24 5 2 4" xfId="11442"/>
    <cellStyle name="Normal 24 5 2 5" xfId="17594"/>
    <cellStyle name="Normal 24 5 3" xfId="5980"/>
    <cellStyle name="Normal 24 5 3 2" xfId="9080"/>
    <cellStyle name="Normal 24 5 3 2 2" xfId="15273"/>
    <cellStyle name="Normal 24 5 3 2 3" xfId="21425"/>
    <cellStyle name="Normal 24 5 3 3" xfId="12207"/>
    <cellStyle name="Normal 24 5 3 4" xfId="18359"/>
    <cellStyle name="Normal 24 5 4" xfId="7545"/>
    <cellStyle name="Normal 24 5 4 2" xfId="13739"/>
    <cellStyle name="Normal 24 5 4 3" xfId="19891"/>
    <cellStyle name="Normal 24 5 5" xfId="10673"/>
    <cellStyle name="Normal 24 5 6" xfId="16825"/>
    <cellStyle name="Normal 24 6" xfId="3680"/>
    <cellStyle name="Normal 24 6 2" xfId="5139"/>
    <cellStyle name="Normal 24 6 2 2" xfId="6764"/>
    <cellStyle name="Normal 24 6 2 2 2" xfId="9850"/>
    <cellStyle name="Normal 24 6 2 2 2 2" xfId="16043"/>
    <cellStyle name="Normal 24 6 2 2 2 3" xfId="22195"/>
    <cellStyle name="Normal 24 6 2 2 3" xfId="12977"/>
    <cellStyle name="Normal 24 6 2 2 4" xfId="19129"/>
    <cellStyle name="Normal 24 6 2 3" xfId="8315"/>
    <cellStyle name="Normal 24 6 2 3 2" xfId="14509"/>
    <cellStyle name="Normal 24 6 2 3 3" xfId="20661"/>
    <cellStyle name="Normal 24 6 2 4" xfId="11443"/>
    <cellStyle name="Normal 24 6 2 5" xfId="17595"/>
    <cellStyle name="Normal 24 6 3" xfId="5981"/>
    <cellStyle name="Normal 24 6 3 2" xfId="9081"/>
    <cellStyle name="Normal 24 6 3 2 2" xfId="15274"/>
    <cellStyle name="Normal 24 6 3 2 3" xfId="21426"/>
    <cellStyle name="Normal 24 6 3 3" xfId="12208"/>
    <cellStyle name="Normal 24 6 3 4" xfId="18360"/>
    <cellStyle name="Normal 24 6 4" xfId="7546"/>
    <cellStyle name="Normal 24 6 4 2" xfId="13740"/>
    <cellStyle name="Normal 24 6 4 3" xfId="19892"/>
    <cellStyle name="Normal 24 6 5" xfId="10674"/>
    <cellStyle name="Normal 24 6 6" xfId="16826"/>
    <cellStyle name="Normal 24 7" xfId="3681"/>
    <cellStyle name="Normal 24 8" xfId="5130"/>
    <cellStyle name="Normal 24 8 2" xfId="6755"/>
    <cellStyle name="Normal 24 8 2 2" xfId="9841"/>
    <cellStyle name="Normal 24 8 2 2 2" xfId="16034"/>
    <cellStyle name="Normal 24 8 2 2 3" xfId="22186"/>
    <cellStyle name="Normal 24 8 2 3" xfId="12968"/>
    <cellStyle name="Normal 24 8 2 4" xfId="19120"/>
    <cellStyle name="Normal 24 8 3" xfId="8306"/>
    <cellStyle name="Normal 24 8 3 2" xfId="14500"/>
    <cellStyle name="Normal 24 8 3 3" xfId="20652"/>
    <cellStyle name="Normal 24 8 4" xfId="11434"/>
    <cellStyle name="Normal 24 8 5" xfId="17586"/>
    <cellStyle name="Normal 24 9" xfId="5972"/>
    <cellStyle name="Normal 24 9 2" xfId="9072"/>
    <cellStyle name="Normal 24 9 2 2" xfId="15265"/>
    <cellStyle name="Normal 24 9 2 3" xfId="21417"/>
    <cellStyle name="Normal 24 9 3" xfId="12199"/>
    <cellStyle name="Normal 24 9 4" xfId="18351"/>
    <cellStyle name="Normal 25" xfId="636"/>
    <cellStyle name="Normal 25 10" xfId="3683"/>
    <cellStyle name="Normal 25 11" xfId="3684"/>
    <cellStyle name="Normal 25 12" xfId="3685"/>
    <cellStyle name="Normal 25 13" xfId="3686"/>
    <cellStyle name="Normal 25 14" xfId="3687"/>
    <cellStyle name="Normal 25 15" xfId="3688"/>
    <cellStyle name="Normal 25 16" xfId="3689"/>
    <cellStyle name="Normal 25 17" xfId="3690"/>
    <cellStyle name="Normal 25 18" xfId="3691"/>
    <cellStyle name="Normal 25 19" xfId="3692"/>
    <cellStyle name="Normal 25 2" xfId="3693"/>
    <cellStyle name="Normal 25 20" xfId="3694"/>
    <cellStyle name="Normal 25 21" xfId="3695"/>
    <cellStyle name="Normal 25 22" xfId="3696"/>
    <cellStyle name="Normal 25 23" xfId="3697"/>
    <cellStyle name="Normal 25 24" xfId="3682"/>
    <cellStyle name="Normal 25 25" xfId="23251"/>
    <cellStyle name="Normal 25 3" xfId="3698"/>
    <cellStyle name="Normal 25 4" xfId="3699"/>
    <cellStyle name="Normal 25 5" xfId="3700"/>
    <cellStyle name="Normal 25 6" xfId="3701"/>
    <cellStyle name="Normal 25 7" xfId="3702"/>
    <cellStyle name="Normal 25 8" xfId="3703"/>
    <cellStyle name="Normal 25 9" xfId="3704"/>
    <cellStyle name="Normal 26" xfId="653"/>
    <cellStyle name="Normal 26 10" xfId="7547"/>
    <cellStyle name="Normal 26 10 2" xfId="13741"/>
    <cellStyle name="Normal 26 10 3" xfId="19893"/>
    <cellStyle name="Normal 26 11" xfId="10675"/>
    <cellStyle name="Normal 26 12" xfId="16827"/>
    <cellStyle name="Normal 26 13" xfId="3705"/>
    <cellStyle name="Normal 26 2" xfId="3706"/>
    <cellStyle name="Normal 26 2 10" xfId="16828"/>
    <cellStyle name="Normal 26 2 11" xfId="23252"/>
    <cellStyle name="Normal 26 2 2" xfId="3707"/>
    <cellStyle name="Normal 26 2 2 2" xfId="5142"/>
    <cellStyle name="Normal 26 2 2 2 2" xfId="6767"/>
    <cellStyle name="Normal 26 2 2 2 2 2" xfId="9853"/>
    <cellStyle name="Normal 26 2 2 2 2 2 2" xfId="16046"/>
    <cellStyle name="Normal 26 2 2 2 2 2 3" xfId="22198"/>
    <cellStyle name="Normal 26 2 2 2 2 3" xfId="12980"/>
    <cellStyle name="Normal 26 2 2 2 2 4" xfId="19132"/>
    <cellStyle name="Normal 26 2 2 2 3" xfId="8318"/>
    <cellStyle name="Normal 26 2 2 2 3 2" xfId="14512"/>
    <cellStyle name="Normal 26 2 2 2 3 3" xfId="20664"/>
    <cellStyle name="Normal 26 2 2 2 4" xfId="11446"/>
    <cellStyle name="Normal 26 2 2 2 5" xfId="17598"/>
    <cellStyle name="Normal 26 2 2 3" xfId="5984"/>
    <cellStyle name="Normal 26 2 2 3 2" xfId="9084"/>
    <cellStyle name="Normal 26 2 2 3 2 2" xfId="15277"/>
    <cellStyle name="Normal 26 2 2 3 2 3" xfId="21429"/>
    <cellStyle name="Normal 26 2 2 3 3" xfId="12211"/>
    <cellStyle name="Normal 26 2 2 3 4" xfId="18363"/>
    <cellStyle name="Normal 26 2 2 4" xfId="7549"/>
    <cellStyle name="Normal 26 2 2 4 2" xfId="13743"/>
    <cellStyle name="Normal 26 2 2 4 3" xfId="19895"/>
    <cellStyle name="Normal 26 2 2 5" xfId="10677"/>
    <cellStyle name="Normal 26 2 2 6" xfId="16829"/>
    <cellStyle name="Normal 26 2 3" xfId="3708"/>
    <cellStyle name="Normal 26 2 3 2" xfId="5143"/>
    <cellStyle name="Normal 26 2 3 2 2" xfId="6768"/>
    <cellStyle name="Normal 26 2 3 2 2 2" xfId="9854"/>
    <cellStyle name="Normal 26 2 3 2 2 2 2" xfId="16047"/>
    <cellStyle name="Normal 26 2 3 2 2 2 3" xfId="22199"/>
    <cellStyle name="Normal 26 2 3 2 2 3" xfId="12981"/>
    <cellStyle name="Normal 26 2 3 2 2 4" xfId="19133"/>
    <cellStyle name="Normal 26 2 3 2 3" xfId="8319"/>
    <cellStyle name="Normal 26 2 3 2 3 2" xfId="14513"/>
    <cellStyle name="Normal 26 2 3 2 3 3" xfId="20665"/>
    <cellStyle name="Normal 26 2 3 2 4" xfId="11447"/>
    <cellStyle name="Normal 26 2 3 2 5" xfId="17599"/>
    <cellStyle name="Normal 26 2 3 3" xfId="5985"/>
    <cellStyle name="Normal 26 2 3 3 2" xfId="9085"/>
    <cellStyle name="Normal 26 2 3 3 2 2" xfId="15278"/>
    <cellStyle name="Normal 26 2 3 3 2 3" xfId="21430"/>
    <cellStyle name="Normal 26 2 3 3 3" xfId="12212"/>
    <cellStyle name="Normal 26 2 3 3 4" xfId="18364"/>
    <cellStyle name="Normal 26 2 3 4" xfId="7550"/>
    <cellStyle name="Normal 26 2 3 4 2" xfId="13744"/>
    <cellStyle name="Normal 26 2 3 4 3" xfId="19896"/>
    <cellStyle name="Normal 26 2 3 5" xfId="10678"/>
    <cellStyle name="Normal 26 2 3 6" xfId="16830"/>
    <cellStyle name="Normal 26 2 4" xfId="3709"/>
    <cellStyle name="Normal 26 2 4 2" xfId="5144"/>
    <cellStyle name="Normal 26 2 4 2 2" xfId="6769"/>
    <cellStyle name="Normal 26 2 4 2 2 2" xfId="9855"/>
    <cellStyle name="Normal 26 2 4 2 2 2 2" xfId="16048"/>
    <cellStyle name="Normal 26 2 4 2 2 2 3" xfId="22200"/>
    <cellStyle name="Normal 26 2 4 2 2 3" xfId="12982"/>
    <cellStyle name="Normal 26 2 4 2 2 4" xfId="19134"/>
    <cellStyle name="Normal 26 2 4 2 3" xfId="8320"/>
    <cellStyle name="Normal 26 2 4 2 3 2" xfId="14514"/>
    <cellStyle name="Normal 26 2 4 2 3 3" xfId="20666"/>
    <cellStyle name="Normal 26 2 4 2 4" xfId="11448"/>
    <cellStyle name="Normal 26 2 4 2 5" xfId="17600"/>
    <cellStyle name="Normal 26 2 4 3" xfId="5986"/>
    <cellStyle name="Normal 26 2 4 3 2" xfId="9086"/>
    <cellStyle name="Normal 26 2 4 3 2 2" xfId="15279"/>
    <cellStyle name="Normal 26 2 4 3 2 3" xfId="21431"/>
    <cellStyle name="Normal 26 2 4 3 3" xfId="12213"/>
    <cellStyle name="Normal 26 2 4 3 4" xfId="18365"/>
    <cellStyle name="Normal 26 2 4 4" xfId="7551"/>
    <cellStyle name="Normal 26 2 4 4 2" xfId="13745"/>
    <cellStyle name="Normal 26 2 4 4 3" xfId="19897"/>
    <cellStyle name="Normal 26 2 4 5" xfId="10679"/>
    <cellStyle name="Normal 26 2 4 6" xfId="16831"/>
    <cellStyle name="Normal 26 2 5" xfId="3710"/>
    <cellStyle name="Normal 26 2 5 2" xfId="5145"/>
    <cellStyle name="Normal 26 2 5 2 2" xfId="6770"/>
    <cellStyle name="Normal 26 2 5 2 2 2" xfId="9856"/>
    <cellStyle name="Normal 26 2 5 2 2 2 2" xfId="16049"/>
    <cellStyle name="Normal 26 2 5 2 2 2 3" xfId="22201"/>
    <cellStyle name="Normal 26 2 5 2 2 3" xfId="12983"/>
    <cellStyle name="Normal 26 2 5 2 2 4" xfId="19135"/>
    <cellStyle name="Normal 26 2 5 2 3" xfId="8321"/>
    <cellStyle name="Normal 26 2 5 2 3 2" xfId="14515"/>
    <cellStyle name="Normal 26 2 5 2 3 3" xfId="20667"/>
    <cellStyle name="Normal 26 2 5 2 4" xfId="11449"/>
    <cellStyle name="Normal 26 2 5 2 5" xfId="17601"/>
    <cellStyle name="Normal 26 2 5 3" xfId="5987"/>
    <cellStyle name="Normal 26 2 5 3 2" xfId="9087"/>
    <cellStyle name="Normal 26 2 5 3 2 2" xfId="15280"/>
    <cellStyle name="Normal 26 2 5 3 2 3" xfId="21432"/>
    <cellStyle name="Normal 26 2 5 3 3" xfId="12214"/>
    <cellStyle name="Normal 26 2 5 3 4" xfId="18366"/>
    <cellStyle name="Normal 26 2 5 4" xfId="7552"/>
    <cellStyle name="Normal 26 2 5 4 2" xfId="13746"/>
    <cellStyle name="Normal 26 2 5 4 3" xfId="19898"/>
    <cellStyle name="Normal 26 2 5 5" xfId="10680"/>
    <cellStyle name="Normal 26 2 5 6" xfId="16832"/>
    <cellStyle name="Normal 26 2 6" xfId="5141"/>
    <cellStyle name="Normal 26 2 6 2" xfId="6766"/>
    <cellStyle name="Normal 26 2 6 2 2" xfId="9852"/>
    <cellStyle name="Normal 26 2 6 2 2 2" xfId="16045"/>
    <cellStyle name="Normal 26 2 6 2 2 3" xfId="22197"/>
    <cellStyle name="Normal 26 2 6 2 3" xfId="12979"/>
    <cellStyle name="Normal 26 2 6 2 4" xfId="19131"/>
    <cellStyle name="Normal 26 2 6 3" xfId="8317"/>
    <cellStyle name="Normal 26 2 6 3 2" xfId="14511"/>
    <cellStyle name="Normal 26 2 6 3 3" xfId="20663"/>
    <cellStyle name="Normal 26 2 6 4" xfId="11445"/>
    <cellStyle name="Normal 26 2 6 5" xfId="17597"/>
    <cellStyle name="Normal 26 2 7" xfId="5983"/>
    <cellStyle name="Normal 26 2 7 2" xfId="9083"/>
    <cellStyle name="Normal 26 2 7 2 2" xfId="15276"/>
    <cellStyle name="Normal 26 2 7 2 3" xfId="21428"/>
    <cellStyle name="Normal 26 2 7 3" xfId="12210"/>
    <cellStyle name="Normal 26 2 7 4" xfId="18362"/>
    <cellStyle name="Normal 26 2 8" xfId="7548"/>
    <cellStyle name="Normal 26 2 8 2" xfId="13742"/>
    <cellStyle name="Normal 26 2 8 3" xfId="19894"/>
    <cellStyle name="Normal 26 2 9" xfId="10676"/>
    <cellStyle name="Normal 26 3" xfId="3711"/>
    <cellStyle name="Normal 26 3 2" xfId="5146"/>
    <cellStyle name="Normal 26 3 2 2" xfId="6771"/>
    <cellStyle name="Normal 26 3 2 2 2" xfId="9857"/>
    <cellStyle name="Normal 26 3 2 2 2 2" xfId="16050"/>
    <cellStyle name="Normal 26 3 2 2 2 3" xfId="22202"/>
    <cellStyle name="Normal 26 3 2 2 3" xfId="12984"/>
    <cellStyle name="Normal 26 3 2 2 4" xfId="19136"/>
    <cellStyle name="Normal 26 3 2 3" xfId="8322"/>
    <cellStyle name="Normal 26 3 2 3 2" xfId="14516"/>
    <cellStyle name="Normal 26 3 2 3 3" xfId="20668"/>
    <cellStyle name="Normal 26 3 2 4" xfId="11450"/>
    <cellStyle name="Normal 26 3 2 5" xfId="17602"/>
    <cellStyle name="Normal 26 3 3" xfId="5988"/>
    <cellStyle name="Normal 26 3 3 2" xfId="9088"/>
    <cellStyle name="Normal 26 3 3 2 2" xfId="15281"/>
    <cellStyle name="Normal 26 3 3 2 3" xfId="21433"/>
    <cellStyle name="Normal 26 3 3 3" xfId="12215"/>
    <cellStyle name="Normal 26 3 3 4" xfId="18367"/>
    <cellStyle name="Normal 26 3 4" xfId="7553"/>
    <cellStyle name="Normal 26 3 4 2" xfId="13747"/>
    <cellStyle name="Normal 26 3 4 3" xfId="19899"/>
    <cellStyle name="Normal 26 3 5" xfId="10681"/>
    <cellStyle name="Normal 26 3 6" xfId="16833"/>
    <cellStyle name="Normal 26 4" xfId="3712"/>
    <cellStyle name="Normal 26 4 2" xfId="5147"/>
    <cellStyle name="Normal 26 4 2 2" xfId="6772"/>
    <cellStyle name="Normal 26 4 2 2 2" xfId="9858"/>
    <cellStyle name="Normal 26 4 2 2 2 2" xfId="16051"/>
    <cellStyle name="Normal 26 4 2 2 2 3" xfId="22203"/>
    <cellStyle name="Normal 26 4 2 2 3" xfId="12985"/>
    <cellStyle name="Normal 26 4 2 2 4" xfId="19137"/>
    <cellStyle name="Normal 26 4 2 3" xfId="8323"/>
    <cellStyle name="Normal 26 4 2 3 2" xfId="14517"/>
    <cellStyle name="Normal 26 4 2 3 3" xfId="20669"/>
    <cellStyle name="Normal 26 4 2 4" xfId="11451"/>
    <cellStyle name="Normal 26 4 2 5" xfId="17603"/>
    <cellStyle name="Normal 26 4 3" xfId="5989"/>
    <cellStyle name="Normal 26 4 3 2" xfId="9089"/>
    <cellStyle name="Normal 26 4 3 2 2" xfId="15282"/>
    <cellStyle name="Normal 26 4 3 2 3" xfId="21434"/>
    <cellStyle name="Normal 26 4 3 3" xfId="12216"/>
    <cellStyle name="Normal 26 4 3 4" xfId="18368"/>
    <cellStyle name="Normal 26 4 4" xfId="7554"/>
    <cellStyle name="Normal 26 4 4 2" xfId="13748"/>
    <cellStyle name="Normal 26 4 4 3" xfId="19900"/>
    <cellStyle name="Normal 26 4 5" xfId="10682"/>
    <cellStyle name="Normal 26 4 6" xfId="16834"/>
    <cellStyle name="Normal 26 5" xfId="3713"/>
    <cellStyle name="Normal 26 5 2" xfId="5148"/>
    <cellStyle name="Normal 26 5 2 2" xfId="6773"/>
    <cellStyle name="Normal 26 5 2 2 2" xfId="9859"/>
    <cellStyle name="Normal 26 5 2 2 2 2" xfId="16052"/>
    <cellStyle name="Normal 26 5 2 2 2 3" xfId="22204"/>
    <cellStyle name="Normal 26 5 2 2 3" xfId="12986"/>
    <cellStyle name="Normal 26 5 2 2 4" xfId="19138"/>
    <cellStyle name="Normal 26 5 2 3" xfId="8324"/>
    <cellStyle name="Normal 26 5 2 3 2" xfId="14518"/>
    <cellStyle name="Normal 26 5 2 3 3" xfId="20670"/>
    <cellStyle name="Normal 26 5 2 4" xfId="11452"/>
    <cellStyle name="Normal 26 5 2 5" xfId="17604"/>
    <cellStyle name="Normal 26 5 3" xfId="5990"/>
    <cellStyle name="Normal 26 5 3 2" xfId="9090"/>
    <cellStyle name="Normal 26 5 3 2 2" xfId="15283"/>
    <cellStyle name="Normal 26 5 3 2 3" xfId="21435"/>
    <cellStyle name="Normal 26 5 3 3" xfId="12217"/>
    <cellStyle name="Normal 26 5 3 4" xfId="18369"/>
    <cellStyle name="Normal 26 5 4" xfId="7555"/>
    <cellStyle name="Normal 26 5 4 2" xfId="13749"/>
    <cellStyle name="Normal 26 5 4 3" xfId="19901"/>
    <cellStyle name="Normal 26 5 5" xfId="10683"/>
    <cellStyle name="Normal 26 5 6" xfId="16835"/>
    <cellStyle name="Normal 26 6" xfId="3714"/>
    <cellStyle name="Normal 26 6 2" xfId="5149"/>
    <cellStyle name="Normal 26 6 2 2" xfId="6774"/>
    <cellStyle name="Normal 26 6 2 2 2" xfId="9860"/>
    <cellStyle name="Normal 26 6 2 2 2 2" xfId="16053"/>
    <cellStyle name="Normal 26 6 2 2 2 3" xfId="22205"/>
    <cellStyle name="Normal 26 6 2 2 3" xfId="12987"/>
    <cellStyle name="Normal 26 6 2 2 4" xfId="19139"/>
    <cellStyle name="Normal 26 6 2 3" xfId="8325"/>
    <cellStyle name="Normal 26 6 2 3 2" xfId="14519"/>
    <cellStyle name="Normal 26 6 2 3 3" xfId="20671"/>
    <cellStyle name="Normal 26 6 2 4" xfId="11453"/>
    <cellStyle name="Normal 26 6 2 5" xfId="17605"/>
    <cellStyle name="Normal 26 6 3" xfId="5991"/>
    <cellStyle name="Normal 26 6 3 2" xfId="9091"/>
    <cellStyle name="Normal 26 6 3 2 2" xfId="15284"/>
    <cellStyle name="Normal 26 6 3 2 3" xfId="21436"/>
    <cellStyle name="Normal 26 6 3 3" xfId="12218"/>
    <cellStyle name="Normal 26 6 3 4" xfId="18370"/>
    <cellStyle name="Normal 26 6 4" xfId="7556"/>
    <cellStyle name="Normal 26 6 4 2" xfId="13750"/>
    <cellStyle name="Normal 26 6 4 3" xfId="19902"/>
    <cellStyle name="Normal 26 6 5" xfId="10684"/>
    <cellStyle name="Normal 26 6 6" xfId="16836"/>
    <cellStyle name="Normal 26 7" xfId="3715"/>
    <cellStyle name="Normal 26 8" xfId="5140"/>
    <cellStyle name="Normal 26 8 2" xfId="6765"/>
    <cellStyle name="Normal 26 8 2 2" xfId="9851"/>
    <cellStyle name="Normal 26 8 2 2 2" xfId="16044"/>
    <cellStyle name="Normal 26 8 2 2 3" xfId="22196"/>
    <cellStyle name="Normal 26 8 2 3" xfId="12978"/>
    <cellStyle name="Normal 26 8 2 4" xfId="19130"/>
    <cellStyle name="Normal 26 8 3" xfId="8316"/>
    <cellStyle name="Normal 26 8 3 2" xfId="14510"/>
    <cellStyle name="Normal 26 8 3 3" xfId="20662"/>
    <cellStyle name="Normal 26 8 4" xfId="11444"/>
    <cellStyle name="Normal 26 8 5" xfId="17596"/>
    <cellStyle name="Normal 26 9" xfId="5982"/>
    <cellStyle name="Normal 26 9 2" xfId="9082"/>
    <cellStyle name="Normal 26 9 2 2" xfId="15275"/>
    <cellStyle name="Normal 26 9 2 3" xfId="21427"/>
    <cellStyle name="Normal 26 9 3" xfId="12209"/>
    <cellStyle name="Normal 26 9 4" xfId="18361"/>
    <cellStyle name="Normal 27" xfId="3716"/>
    <cellStyle name="Normal 27 2" xfId="23254"/>
    <cellStyle name="Normal 27 2 2" xfId="23255"/>
    <cellStyle name="Normal 27 3" xfId="23256"/>
    <cellStyle name="Normal 27 4" xfId="23253"/>
    <cellStyle name="Normal 28" xfId="3717"/>
    <cellStyle name="Normal 28 2" xfId="3718"/>
    <cellStyle name="Normal 29" xfId="767"/>
    <cellStyle name="Normal 29 2" xfId="3720"/>
    <cellStyle name="Normal 29 3" xfId="3719"/>
    <cellStyle name="Normal 29 4" xfId="23257"/>
    <cellStyle name="Normal 3" xfId="25"/>
    <cellStyle name="Normal 3 10" xfId="365"/>
    <cellStyle name="Normal 3 10 2" xfId="5150"/>
    <cellStyle name="Normal 3 10 2 2" xfId="6775"/>
    <cellStyle name="Normal 3 10 2 2 2" xfId="9861"/>
    <cellStyle name="Normal 3 10 2 2 2 2" xfId="16054"/>
    <cellStyle name="Normal 3 10 2 2 2 3" xfId="22206"/>
    <cellStyle name="Normal 3 10 2 2 3" xfId="12988"/>
    <cellStyle name="Normal 3 10 2 2 4" xfId="19140"/>
    <cellStyle name="Normal 3 10 2 3" xfId="8326"/>
    <cellStyle name="Normal 3 10 2 3 2" xfId="14520"/>
    <cellStyle name="Normal 3 10 2 3 3" xfId="20672"/>
    <cellStyle name="Normal 3 10 2 4" xfId="11454"/>
    <cellStyle name="Normal 3 10 2 5" xfId="17606"/>
    <cellStyle name="Normal 3 10 3" xfId="5992"/>
    <cellStyle name="Normal 3 10 3 2" xfId="9092"/>
    <cellStyle name="Normal 3 10 3 2 2" xfId="15285"/>
    <cellStyle name="Normal 3 10 3 2 3" xfId="21437"/>
    <cellStyle name="Normal 3 10 3 3" xfId="12219"/>
    <cellStyle name="Normal 3 10 3 4" xfId="18371"/>
    <cellStyle name="Normal 3 10 4" xfId="7557"/>
    <cellStyle name="Normal 3 10 4 2" xfId="13751"/>
    <cellStyle name="Normal 3 10 4 3" xfId="19903"/>
    <cellStyle name="Normal 3 10 5" xfId="10685"/>
    <cellStyle name="Normal 3 10 6" xfId="16837"/>
    <cellStyle name="Normal 3 10 7" xfId="3721"/>
    <cellStyle name="Normal 3 11" xfId="380"/>
    <cellStyle name="Normal 3 11 2" xfId="5151"/>
    <cellStyle name="Normal 3 11 2 2" xfId="6776"/>
    <cellStyle name="Normal 3 11 2 2 2" xfId="9862"/>
    <cellStyle name="Normal 3 11 2 2 2 2" xfId="16055"/>
    <cellStyle name="Normal 3 11 2 2 2 3" xfId="22207"/>
    <cellStyle name="Normal 3 11 2 2 3" xfId="12989"/>
    <cellStyle name="Normal 3 11 2 2 4" xfId="19141"/>
    <cellStyle name="Normal 3 11 2 3" xfId="8327"/>
    <cellStyle name="Normal 3 11 2 3 2" xfId="14521"/>
    <cellStyle name="Normal 3 11 2 3 3" xfId="20673"/>
    <cellStyle name="Normal 3 11 2 4" xfId="11455"/>
    <cellStyle name="Normal 3 11 2 5" xfId="17607"/>
    <cellStyle name="Normal 3 11 3" xfId="5993"/>
    <cellStyle name="Normal 3 11 3 2" xfId="9093"/>
    <cellStyle name="Normal 3 11 3 2 2" xfId="15286"/>
    <cellStyle name="Normal 3 11 3 2 3" xfId="21438"/>
    <cellStyle name="Normal 3 11 3 3" xfId="12220"/>
    <cellStyle name="Normal 3 11 3 4" xfId="18372"/>
    <cellStyle name="Normal 3 11 4" xfId="7558"/>
    <cellStyle name="Normal 3 11 4 2" xfId="13752"/>
    <cellStyle name="Normal 3 11 4 3" xfId="19904"/>
    <cellStyle name="Normal 3 11 5" xfId="10686"/>
    <cellStyle name="Normal 3 11 6" xfId="16838"/>
    <cellStyle name="Normal 3 11 7" xfId="3722"/>
    <cellStyle name="Normal 3 12" xfId="396"/>
    <cellStyle name="Normal 3 12 2" xfId="5152"/>
    <cellStyle name="Normal 3 12 2 2" xfId="6777"/>
    <cellStyle name="Normal 3 12 2 2 2" xfId="9863"/>
    <cellStyle name="Normal 3 12 2 2 2 2" xfId="16056"/>
    <cellStyle name="Normal 3 12 2 2 2 3" xfId="22208"/>
    <cellStyle name="Normal 3 12 2 2 3" xfId="12990"/>
    <cellStyle name="Normal 3 12 2 2 4" xfId="19142"/>
    <cellStyle name="Normal 3 12 2 3" xfId="8328"/>
    <cellStyle name="Normal 3 12 2 3 2" xfId="14522"/>
    <cellStyle name="Normal 3 12 2 3 3" xfId="20674"/>
    <cellStyle name="Normal 3 12 2 4" xfId="11456"/>
    <cellStyle name="Normal 3 12 2 5" xfId="17608"/>
    <cellStyle name="Normal 3 12 3" xfId="5994"/>
    <cellStyle name="Normal 3 12 3 2" xfId="9094"/>
    <cellStyle name="Normal 3 12 3 2 2" xfId="15287"/>
    <cellStyle name="Normal 3 12 3 2 3" xfId="21439"/>
    <cellStyle name="Normal 3 12 3 3" xfId="12221"/>
    <cellStyle name="Normal 3 12 3 4" xfId="18373"/>
    <cellStyle name="Normal 3 12 4" xfId="7559"/>
    <cellStyle name="Normal 3 12 4 2" xfId="13753"/>
    <cellStyle name="Normal 3 12 4 3" xfId="19905"/>
    <cellStyle name="Normal 3 12 5" xfId="10687"/>
    <cellStyle name="Normal 3 12 6" xfId="16839"/>
    <cellStyle name="Normal 3 12 7" xfId="3723"/>
    <cellStyle name="Normal 3 13" xfId="409"/>
    <cellStyle name="Normal 3 13 2" xfId="5153"/>
    <cellStyle name="Normal 3 13 2 2" xfId="6778"/>
    <cellStyle name="Normal 3 13 2 2 2" xfId="9864"/>
    <cellStyle name="Normal 3 13 2 2 2 2" xfId="16057"/>
    <cellStyle name="Normal 3 13 2 2 2 3" xfId="22209"/>
    <cellStyle name="Normal 3 13 2 2 3" xfId="12991"/>
    <cellStyle name="Normal 3 13 2 2 4" xfId="19143"/>
    <cellStyle name="Normal 3 13 2 3" xfId="8329"/>
    <cellStyle name="Normal 3 13 2 3 2" xfId="14523"/>
    <cellStyle name="Normal 3 13 2 3 3" xfId="20675"/>
    <cellStyle name="Normal 3 13 2 4" xfId="11457"/>
    <cellStyle name="Normal 3 13 2 5" xfId="17609"/>
    <cellStyle name="Normal 3 13 3" xfId="5995"/>
    <cellStyle name="Normal 3 13 3 2" xfId="9095"/>
    <cellStyle name="Normal 3 13 3 2 2" xfId="15288"/>
    <cellStyle name="Normal 3 13 3 2 3" xfId="21440"/>
    <cellStyle name="Normal 3 13 3 3" xfId="12222"/>
    <cellStyle name="Normal 3 13 3 4" xfId="18374"/>
    <cellStyle name="Normal 3 13 4" xfId="7560"/>
    <cellStyle name="Normal 3 13 4 2" xfId="13754"/>
    <cellStyle name="Normal 3 13 4 3" xfId="19906"/>
    <cellStyle name="Normal 3 13 5" xfId="10688"/>
    <cellStyle name="Normal 3 13 6" xfId="16840"/>
    <cellStyle name="Normal 3 13 7" xfId="3724"/>
    <cellStyle name="Normal 3 14" xfId="421"/>
    <cellStyle name="Normal 3 14 2" xfId="5154"/>
    <cellStyle name="Normal 3 14 2 2" xfId="6779"/>
    <cellStyle name="Normal 3 14 2 2 2" xfId="9865"/>
    <cellStyle name="Normal 3 14 2 2 2 2" xfId="16058"/>
    <cellStyle name="Normal 3 14 2 2 2 3" xfId="22210"/>
    <cellStyle name="Normal 3 14 2 2 3" xfId="12992"/>
    <cellStyle name="Normal 3 14 2 2 4" xfId="19144"/>
    <cellStyle name="Normal 3 14 2 3" xfId="8330"/>
    <cellStyle name="Normal 3 14 2 3 2" xfId="14524"/>
    <cellStyle name="Normal 3 14 2 3 3" xfId="20676"/>
    <cellStyle name="Normal 3 14 2 4" xfId="11458"/>
    <cellStyle name="Normal 3 14 2 5" xfId="17610"/>
    <cellStyle name="Normal 3 14 3" xfId="5996"/>
    <cellStyle name="Normal 3 14 3 2" xfId="9096"/>
    <cellStyle name="Normal 3 14 3 2 2" xfId="15289"/>
    <cellStyle name="Normal 3 14 3 2 3" xfId="21441"/>
    <cellStyle name="Normal 3 14 3 3" xfId="12223"/>
    <cellStyle name="Normal 3 14 3 4" xfId="18375"/>
    <cellStyle name="Normal 3 14 4" xfId="7561"/>
    <cellStyle name="Normal 3 14 4 2" xfId="13755"/>
    <cellStyle name="Normal 3 14 4 3" xfId="19907"/>
    <cellStyle name="Normal 3 14 5" xfId="10689"/>
    <cellStyle name="Normal 3 14 6" xfId="16841"/>
    <cellStyle name="Normal 3 14 7" xfId="3725"/>
    <cellStyle name="Normal 3 15" xfId="432"/>
    <cellStyle name="Normal 3 15 2" xfId="5155"/>
    <cellStyle name="Normal 3 15 2 2" xfId="6780"/>
    <cellStyle name="Normal 3 15 2 2 2" xfId="9866"/>
    <cellStyle name="Normal 3 15 2 2 2 2" xfId="16059"/>
    <cellStyle name="Normal 3 15 2 2 2 3" xfId="22211"/>
    <cellStyle name="Normal 3 15 2 2 3" xfId="12993"/>
    <cellStyle name="Normal 3 15 2 2 4" xfId="19145"/>
    <cellStyle name="Normal 3 15 2 3" xfId="8331"/>
    <cellStyle name="Normal 3 15 2 3 2" xfId="14525"/>
    <cellStyle name="Normal 3 15 2 3 3" xfId="20677"/>
    <cellStyle name="Normal 3 15 2 4" xfId="11459"/>
    <cellStyle name="Normal 3 15 2 5" xfId="17611"/>
    <cellStyle name="Normal 3 15 3" xfId="5997"/>
    <cellStyle name="Normal 3 15 3 2" xfId="9097"/>
    <cellStyle name="Normal 3 15 3 2 2" xfId="15290"/>
    <cellStyle name="Normal 3 15 3 2 3" xfId="21442"/>
    <cellStyle name="Normal 3 15 3 3" xfId="12224"/>
    <cellStyle name="Normal 3 15 3 4" xfId="18376"/>
    <cellStyle name="Normal 3 15 4" xfId="7562"/>
    <cellStyle name="Normal 3 15 4 2" xfId="13756"/>
    <cellStyle name="Normal 3 15 4 3" xfId="19908"/>
    <cellStyle name="Normal 3 15 5" xfId="10690"/>
    <cellStyle name="Normal 3 15 6" xfId="16842"/>
    <cellStyle name="Normal 3 15 7" xfId="3726"/>
    <cellStyle name="Normal 3 16" xfId="440"/>
    <cellStyle name="Normal 3 16 2" xfId="5156"/>
    <cellStyle name="Normal 3 16 2 2" xfId="6781"/>
    <cellStyle name="Normal 3 16 2 2 2" xfId="9867"/>
    <cellStyle name="Normal 3 16 2 2 2 2" xfId="16060"/>
    <cellStyle name="Normal 3 16 2 2 2 3" xfId="22212"/>
    <cellStyle name="Normal 3 16 2 2 3" xfId="12994"/>
    <cellStyle name="Normal 3 16 2 2 4" xfId="19146"/>
    <cellStyle name="Normal 3 16 2 3" xfId="8332"/>
    <cellStyle name="Normal 3 16 2 3 2" xfId="14526"/>
    <cellStyle name="Normal 3 16 2 3 3" xfId="20678"/>
    <cellStyle name="Normal 3 16 2 4" xfId="11460"/>
    <cellStyle name="Normal 3 16 2 5" xfId="17612"/>
    <cellStyle name="Normal 3 16 3" xfId="5998"/>
    <cellStyle name="Normal 3 16 3 2" xfId="9098"/>
    <cellStyle name="Normal 3 16 3 2 2" xfId="15291"/>
    <cellStyle name="Normal 3 16 3 2 3" xfId="21443"/>
    <cellStyle name="Normal 3 16 3 3" xfId="12225"/>
    <cellStyle name="Normal 3 16 3 4" xfId="18377"/>
    <cellStyle name="Normal 3 16 4" xfId="7563"/>
    <cellStyle name="Normal 3 16 4 2" xfId="13757"/>
    <cellStyle name="Normal 3 16 4 3" xfId="19909"/>
    <cellStyle name="Normal 3 16 5" xfId="10691"/>
    <cellStyle name="Normal 3 16 6" xfId="16843"/>
    <cellStyle name="Normal 3 16 7" xfId="3727"/>
    <cellStyle name="Normal 3 17" xfId="415"/>
    <cellStyle name="Normal 3 17 2" xfId="5157"/>
    <cellStyle name="Normal 3 17 2 2" xfId="6782"/>
    <cellStyle name="Normal 3 17 2 2 2" xfId="9868"/>
    <cellStyle name="Normal 3 17 2 2 2 2" xfId="16061"/>
    <cellStyle name="Normal 3 17 2 2 2 3" xfId="22213"/>
    <cellStyle name="Normal 3 17 2 2 3" xfId="12995"/>
    <cellStyle name="Normal 3 17 2 2 4" xfId="19147"/>
    <cellStyle name="Normal 3 17 2 3" xfId="8333"/>
    <cellStyle name="Normal 3 17 2 3 2" xfId="14527"/>
    <cellStyle name="Normal 3 17 2 3 3" xfId="20679"/>
    <cellStyle name="Normal 3 17 2 4" xfId="11461"/>
    <cellStyle name="Normal 3 17 2 5" xfId="17613"/>
    <cellStyle name="Normal 3 17 3" xfId="5999"/>
    <cellStyle name="Normal 3 17 3 2" xfId="9099"/>
    <cellStyle name="Normal 3 17 3 2 2" xfId="15292"/>
    <cellStyle name="Normal 3 17 3 2 3" xfId="21444"/>
    <cellStyle name="Normal 3 17 3 3" xfId="12226"/>
    <cellStyle name="Normal 3 17 3 4" xfId="18378"/>
    <cellStyle name="Normal 3 17 4" xfId="7564"/>
    <cellStyle name="Normal 3 17 4 2" xfId="13758"/>
    <cellStyle name="Normal 3 17 4 3" xfId="19910"/>
    <cellStyle name="Normal 3 17 5" xfId="10692"/>
    <cellStyle name="Normal 3 17 6" xfId="16844"/>
    <cellStyle name="Normal 3 17 7" xfId="3728"/>
    <cellStyle name="Normal 3 18" xfId="452"/>
    <cellStyle name="Normal 3 18 2" xfId="5158"/>
    <cellStyle name="Normal 3 18 2 2" xfId="6783"/>
    <cellStyle name="Normal 3 18 2 2 2" xfId="9869"/>
    <cellStyle name="Normal 3 18 2 2 2 2" xfId="16062"/>
    <cellStyle name="Normal 3 18 2 2 2 3" xfId="22214"/>
    <cellStyle name="Normal 3 18 2 2 3" xfId="12996"/>
    <cellStyle name="Normal 3 18 2 2 4" xfId="19148"/>
    <cellStyle name="Normal 3 18 2 3" xfId="8334"/>
    <cellStyle name="Normal 3 18 2 3 2" xfId="14528"/>
    <cellStyle name="Normal 3 18 2 3 3" xfId="20680"/>
    <cellStyle name="Normal 3 18 2 4" xfId="11462"/>
    <cellStyle name="Normal 3 18 2 5" xfId="17614"/>
    <cellStyle name="Normal 3 18 3" xfId="6000"/>
    <cellStyle name="Normal 3 18 3 2" xfId="9100"/>
    <cellStyle name="Normal 3 18 3 2 2" xfId="15293"/>
    <cellStyle name="Normal 3 18 3 2 3" xfId="21445"/>
    <cellStyle name="Normal 3 18 3 3" xfId="12227"/>
    <cellStyle name="Normal 3 18 3 4" xfId="18379"/>
    <cellStyle name="Normal 3 18 4" xfId="7565"/>
    <cellStyle name="Normal 3 18 4 2" xfId="13759"/>
    <cellStyle name="Normal 3 18 4 3" xfId="19911"/>
    <cellStyle name="Normal 3 18 5" xfId="10693"/>
    <cellStyle name="Normal 3 18 6" xfId="16845"/>
    <cellStyle name="Normal 3 18 7" xfId="3729"/>
    <cellStyle name="Normal 3 19" xfId="450"/>
    <cellStyle name="Normal 3 19 2" xfId="5159"/>
    <cellStyle name="Normal 3 19 2 2" xfId="6784"/>
    <cellStyle name="Normal 3 19 2 2 2" xfId="9870"/>
    <cellStyle name="Normal 3 19 2 2 2 2" xfId="16063"/>
    <cellStyle name="Normal 3 19 2 2 2 3" xfId="22215"/>
    <cellStyle name="Normal 3 19 2 2 3" xfId="12997"/>
    <cellStyle name="Normal 3 19 2 2 4" xfId="19149"/>
    <cellStyle name="Normal 3 19 2 3" xfId="8335"/>
    <cellStyle name="Normal 3 19 2 3 2" xfId="14529"/>
    <cellStyle name="Normal 3 19 2 3 3" xfId="20681"/>
    <cellStyle name="Normal 3 19 2 4" xfId="11463"/>
    <cellStyle name="Normal 3 19 2 5" xfId="17615"/>
    <cellStyle name="Normal 3 19 3" xfId="6001"/>
    <cellStyle name="Normal 3 19 3 2" xfId="9101"/>
    <cellStyle name="Normal 3 19 3 2 2" xfId="15294"/>
    <cellStyle name="Normal 3 19 3 2 3" xfId="21446"/>
    <cellStyle name="Normal 3 19 3 3" xfId="12228"/>
    <cellStyle name="Normal 3 19 3 4" xfId="18380"/>
    <cellStyle name="Normal 3 19 4" xfId="7566"/>
    <cellStyle name="Normal 3 19 4 2" xfId="13760"/>
    <cellStyle name="Normal 3 19 4 3" xfId="19912"/>
    <cellStyle name="Normal 3 19 5" xfId="10694"/>
    <cellStyle name="Normal 3 19 6" xfId="16846"/>
    <cellStyle name="Normal 3 19 7" xfId="3730"/>
    <cellStyle name="Normal 3 2" xfId="26"/>
    <cellStyle name="Normal 3 2 2" xfId="3732"/>
    <cellStyle name="Normal 3 2 2 2" xfId="5160"/>
    <cellStyle name="Normal 3 2 2 2 2" xfId="6785"/>
    <cellStyle name="Normal 3 2 2 2 2 2" xfId="9871"/>
    <cellStyle name="Normal 3 2 2 2 2 2 2" xfId="16064"/>
    <cellStyle name="Normal 3 2 2 2 2 2 3" xfId="22216"/>
    <cellStyle name="Normal 3 2 2 2 2 3" xfId="12998"/>
    <cellStyle name="Normal 3 2 2 2 2 4" xfId="19150"/>
    <cellStyle name="Normal 3 2 2 2 3" xfId="8336"/>
    <cellStyle name="Normal 3 2 2 2 3 2" xfId="14530"/>
    <cellStyle name="Normal 3 2 2 2 3 3" xfId="20682"/>
    <cellStyle name="Normal 3 2 2 2 4" xfId="11464"/>
    <cellStyle name="Normal 3 2 2 2 5" xfId="17616"/>
    <cellStyle name="Normal 3 2 2 2 6" xfId="23261"/>
    <cellStyle name="Normal 3 2 2 3" xfId="6002"/>
    <cellStyle name="Normal 3 2 2 3 2" xfId="9102"/>
    <cellStyle name="Normal 3 2 2 3 2 2" xfId="15295"/>
    <cellStyle name="Normal 3 2 2 3 2 3" xfId="21447"/>
    <cellStyle name="Normal 3 2 2 3 3" xfId="12229"/>
    <cellStyle name="Normal 3 2 2 3 4" xfId="18381"/>
    <cellStyle name="Normal 3 2 2 3 5" xfId="23262"/>
    <cellStyle name="Normal 3 2 2 4" xfId="7567"/>
    <cellStyle name="Normal 3 2 2 4 2" xfId="13761"/>
    <cellStyle name="Normal 3 2 2 4 3" xfId="19913"/>
    <cellStyle name="Normal 3 2 2 5" xfId="10695"/>
    <cellStyle name="Normal 3 2 2 6" xfId="16847"/>
    <cellStyle name="Normal 3 2 2 7" xfId="23260"/>
    <cellStyle name="Normal 3 2 3" xfId="3733"/>
    <cellStyle name="Normal 3 2 3 2" xfId="5161"/>
    <cellStyle name="Normal 3 2 3 2 2" xfId="6786"/>
    <cellStyle name="Normal 3 2 3 2 2 2" xfId="9872"/>
    <cellStyle name="Normal 3 2 3 2 2 2 2" xfId="16065"/>
    <cellStyle name="Normal 3 2 3 2 2 2 3" xfId="22217"/>
    <cellStyle name="Normal 3 2 3 2 2 3" xfId="12999"/>
    <cellStyle name="Normal 3 2 3 2 2 4" xfId="19151"/>
    <cellStyle name="Normal 3 2 3 2 3" xfId="8337"/>
    <cellStyle name="Normal 3 2 3 2 3 2" xfId="14531"/>
    <cellStyle name="Normal 3 2 3 2 3 3" xfId="20683"/>
    <cellStyle name="Normal 3 2 3 2 4" xfId="11465"/>
    <cellStyle name="Normal 3 2 3 2 5" xfId="17617"/>
    <cellStyle name="Normal 3 2 3 2 6" xfId="23264"/>
    <cellStyle name="Normal 3 2 3 3" xfId="6003"/>
    <cellStyle name="Normal 3 2 3 3 2" xfId="9103"/>
    <cellStyle name="Normal 3 2 3 3 2 2" xfId="15296"/>
    <cellStyle name="Normal 3 2 3 3 2 3" xfId="21448"/>
    <cellStyle name="Normal 3 2 3 3 3" xfId="12230"/>
    <cellStyle name="Normal 3 2 3 3 4" xfId="18382"/>
    <cellStyle name="Normal 3 2 3 3 5" xfId="23265"/>
    <cellStyle name="Normal 3 2 3 4" xfId="7568"/>
    <cellStyle name="Normal 3 2 3 4 2" xfId="13762"/>
    <cellStyle name="Normal 3 2 3 4 3" xfId="19914"/>
    <cellStyle name="Normal 3 2 3 5" xfId="10696"/>
    <cellStyle name="Normal 3 2 3 6" xfId="16848"/>
    <cellStyle name="Normal 3 2 3 7" xfId="23263"/>
    <cellStyle name="Normal 3 2 4" xfId="3734"/>
    <cellStyle name="Normal 3 2 4 2" xfId="5162"/>
    <cellStyle name="Normal 3 2 4 2 2" xfId="6787"/>
    <cellStyle name="Normal 3 2 4 2 2 2" xfId="9873"/>
    <cellStyle name="Normal 3 2 4 2 2 2 2" xfId="16066"/>
    <cellStyle name="Normal 3 2 4 2 2 2 3" xfId="22218"/>
    <cellStyle name="Normal 3 2 4 2 2 3" xfId="13000"/>
    <cellStyle name="Normal 3 2 4 2 2 4" xfId="19152"/>
    <cellStyle name="Normal 3 2 4 2 3" xfId="8338"/>
    <cellStyle name="Normal 3 2 4 2 3 2" xfId="14532"/>
    <cellStyle name="Normal 3 2 4 2 3 3" xfId="20684"/>
    <cellStyle name="Normal 3 2 4 2 4" xfId="11466"/>
    <cellStyle name="Normal 3 2 4 2 5" xfId="17618"/>
    <cellStyle name="Normal 3 2 4 3" xfId="6004"/>
    <cellStyle name="Normal 3 2 4 3 2" xfId="9104"/>
    <cellStyle name="Normal 3 2 4 3 2 2" xfId="15297"/>
    <cellStyle name="Normal 3 2 4 3 2 3" xfId="21449"/>
    <cellStyle name="Normal 3 2 4 3 3" xfId="12231"/>
    <cellStyle name="Normal 3 2 4 3 4" xfId="18383"/>
    <cellStyle name="Normal 3 2 4 4" xfId="7569"/>
    <cellStyle name="Normal 3 2 4 4 2" xfId="13763"/>
    <cellStyle name="Normal 3 2 4 4 3" xfId="19915"/>
    <cellStyle name="Normal 3 2 4 5" xfId="10697"/>
    <cellStyle name="Normal 3 2 4 6" xfId="16849"/>
    <cellStyle name="Normal 3 2 4 7" xfId="23266"/>
    <cellStyle name="Normal 3 2 5" xfId="3735"/>
    <cellStyle name="Normal 3 2 5 2" xfId="5163"/>
    <cellStyle name="Normal 3 2 5 2 2" xfId="6788"/>
    <cellStyle name="Normal 3 2 5 2 2 2" xfId="9874"/>
    <cellStyle name="Normal 3 2 5 2 2 2 2" xfId="16067"/>
    <cellStyle name="Normal 3 2 5 2 2 2 3" xfId="22219"/>
    <cellStyle name="Normal 3 2 5 2 2 3" xfId="13001"/>
    <cellStyle name="Normal 3 2 5 2 2 4" xfId="19153"/>
    <cellStyle name="Normal 3 2 5 2 3" xfId="8339"/>
    <cellStyle name="Normal 3 2 5 2 3 2" xfId="14533"/>
    <cellStyle name="Normal 3 2 5 2 3 3" xfId="20685"/>
    <cellStyle name="Normal 3 2 5 2 4" xfId="11467"/>
    <cellStyle name="Normal 3 2 5 2 5" xfId="17619"/>
    <cellStyle name="Normal 3 2 5 3" xfId="6005"/>
    <cellStyle name="Normal 3 2 5 3 2" xfId="9105"/>
    <cellStyle name="Normal 3 2 5 3 2 2" xfId="15298"/>
    <cellStyle name="Normal 3 2 5 3 2 3" xfId="21450"/>
    <cellStyle name="Normal 3 2 5 3 3" xfId="12232"/>
    <cellStyle name="Normal 3 2 5 3 4" xfId="18384"/>
    <cellStyle name="Normal 3 2 5 4" xfId="7570"/>
    <cellStyle name="Normal 3 2 5 4 2" xfId="13764"/>
    <cellStyle name="Normal 3 2 5 4 3" xfId="19916"/>
    <cellStyle name="Normal 3 2 5 5" xfId="10698"/>
    <cellStyle name="Normal 3 2 5 6" xfId="16850"/>
    <cellStyle name="Normal 3 2 5 7" xfId="23267"/>
    <cellStyle name="Normal 3 2 6" xfId="3736"/>
    <cellStyle name="Normal 3 2 6 2" xfId="5164"/>
    <cellStyle name="Normal 3 2 6 2 2" xfId="6789"/>
    <cellStyle name="Normal 3 2 6 2 2 2" xfId="9875"/>
    <cellStyle name="Normal 3 2 6 2 2 2 2" xfId="16068"/>
    <cellStyle name="Normal 3 2 6 2 2 2 3" xfId="22220"/>
    <cellStyle name="Normal 3 2 6 2 2 3" xfId="13002"/>
    <cellStyle name="Normal 3 2 6 2 2 4" xfId="19154"/>
    <cellStyle name="Normal 3 2 6 2 3" xfId="8340"/>
    <cellStyle name="Normal 3 2 6 2 3 2" xfId="14534"/>
    <cellStyle name="Normal 3 2 6 2 3 3" xfId="20686"/>
    <cellStyle name="Normal 3 2 6 2 4" xfId="11468"/>
    <cellStyle name="Normal 3 2 6 2 5" xfId="17620"/>
    <cellStyle name="Normal 3 2 6 3" xfId="6006"/>
    <cellStyle name="Normal 3 2 6 3 2" xfId="9106"/>
    <cellStyle name="Normal 3 2 6 3 2 2" xfId="15299"/>
    <cellStyle name="Normal 3 2 6 3 2 3" xfId="21451"/>
    <cellStyle name="Normal 3 2 6 3 3" xfId="12233"/>
    <cellStyle name="Normal 3 2 6 3 4" xfId="18385"/>
    <cellStyle name="Normal 3 2 6 4" xfId="7571"/>
    <cellStyle name="Normal 3 2 6 4 2" xfId="13765"/>
    <cellStyle name="Normal 3 2 6 4 3" xfId="19917"/>
    <cellStyle name="Normal 3 2 6 5" xfId="10699"/>
    <cellStyle name="Normal 3 2 6 6" xfId="16851"/>
    <cellStyle name="Normal 3 2 7" xfId="3731"/>
    <cellStyle name="Normal 3 2 8" xfId="198"/>
    <cellStyle name="Normal 3 2 9" xfId="23259"/>
    <cellStyle name="Normal 3 20" xfId="473"/>
    <cellStyle name="Normal 3 20 2" xfId="5165"/>
    <cellStyle name="Normal 3 20 2 2" xfId="6790"/>
    <cellStyle name="Normal 3 20 2 2 2" xfId="9876"/>
    <cellStyle name="Normal 3 20 2 2 2 2" xfId="16069"/>
    <cellStyle name="Normal 3 20 2 2 2 3" xfId="22221"/>
    <cellStyle name="Normal 3 20 2 2 3" xfId="13003"/>
    <cellStyle name="Normal 3 20 2 2 4" xfId="19155"/>
    <cellStyle name="Normal 3 20 2 3" xfId="8341"/>
    <cellStyle name="Normal 3 20 2 3 2" xfId="14535"/>
    <cellStyle name="Normal 3 20 2 3 3" xfId="20687"/>
    <cellStyle name="Normal 3 20 2 4" xfId="11469"/>
    <cellStyle name="Normal 3 20 2 5" xfId="17621"/>
    <cellStyle name="Normal 3 20 3" xfId="6007"/>
    <cellStyle name="Normal 3 20 3 2" xfId="9107"/>
    <cellStyle name="Normal 3 20 3 2 2" xfId="15300"/>
    <cellStyle name="Normal 3 20 3 2 3" xfId="21452"/>
    <cellStyle name="Normal 3 20 3 3" xfId="12234"/>
    <cellStyle name="Normal 3 20 3 4" xfId="18386"/>
    <cellStyle name="Normal 3 20 4" xfId="7572"/>
    <cellStyle name="Normal 3 20 4 2" xfId="13766"/>
    <cellStyle name="Normal 3 20 4 3" xfId="19918"/>
    <cellStyle name="Normal 3 20 5" xfId="10700"/>
    <cellStyle name="Normal 3 20 6" xfId="16852"/>
    <cellStyle name="Normal 3 20 7" xfId="3737"/>
    <cellStyle name="Normal 3 21" xfId="471"/>
    <cellStyle name="Normal 3 21 2" xfId="5166"/>
    <cellStyle name="Normal 3 21 2 2" xfId="6791"/>
    <cellStyle name="Normal 3 21 2 2 2" xfId="9877"/>
    <cellStyle name="Normal 3 21 2 2 2 2" xfId="16070"/>
    <cellStyle name="Normal 3 21 2 2 2 3" xfId="22222"/>
    <cellStyle name="Normal 3 21 2 2 3" xfId="13004"/>
    <cellStyle name="Normal 3 21 2 2 4" xfId="19156"/>
    <cellStyle name="Normal 3 21 2 3" xfId="8342"/>
    <cellStyle name="Normal 3 21 2 3 2" xfId="14536"/>
    <cellStyle name="Normal 3 21 2 3 3" xfId="20688"/>
    <cellStyle name="Normal 3 21 2 4" xfId="11470"/>
    <cellStyle name="Normal 3 21 2 5" xfId="17622"/>
    <cellStyle name="Normal 3 21 3" xfId="6008"/>
    <cellStyle name="Normal 3 21 3 2" xfId="9108"/>
    <cellStyle name="Normal 3 21 3 2 2" xfId="15301"/>
    <cellStyle name="Normal 3 21 3 2 3" xfId="21453"/>
    <cellStyle name="Normal 3 21 3 3" xfId="12235"/>
    <cellStyle name="Normal 3 21 3 4" xfId="18387"/>
    <cellStyle name="Normal 3 21 4" xfId="7573"/>
    <cellStyle name="Normal 3 21 4 2" xfId="13767"/>
    <cellStyle name="Normal 3 21 4 3" xfId="19919"/>
    <cellStyle name="Normal 3 21 5" xfId="10701"/>
    <cellStyle name="Normal 3 21 6" xfId="16853"/>
    <cellStyle name="Normal 3 21 7" xfId="3738"/>
    <cellStyle name="Normal 3 22" xfId="502"/>
    <cellStyle name="Normal 3 22 2" xfId="5167"/>
    <cellStyle name="Normal 3 22 2 2" xfId="6792"/>
    <cellStyle name="Normal 3 22 2 2 2" xfId="9878"/>
    <cellStyle name="Normal 3 22 2 2 2 2" xfId="16071"/>
    <cellStyle name="Normal 3 22 2 2 2 3" xfId="22223"/>
    <cellStyle name="Normal 3 22 2 2 3" xfId="13005"/>
    <cellStyle name="Normal 3 22 2 2 4" xfId="19157"/>
    <cellStyle name="Normal 3 22 2 3" xfId="8343"/>
    <cellStyle name="Normal 3 22 2 3 2" xfId="14537"/>
    <cellStyle name="Normal 3 22 2 3 3" xfId="20689"/>
    <cellStyle name="Normal 3 22 2 4" xfId="11471"/>
    <cellStyle name="Normal 3 22 2 5" xfId="17623"/>
    <cellStyle name="Normal 3 22 3" xfId="6009"/>
    <cellStyle name="Normal 3 22 3 2" xfId="9109"/>
    <cellStyle name="Normal 3 22 3 2 2" xfId="15302"/>
    <cellStyle name="Normal 3 22 3 2 3" xfId="21454"/>
    <cellStyle name="Normal 3 22 3 3" xfId="12236"/>
    <cellStyle name="Normal 3 22 3 4" xfId="18388"/>
    <cellStyle name="Normal 3 22 4" xfId="7574"/>
    <cellStyle name="Normal 3 22 4 2" xfId="13768"/>
    <cellStyle name="Normal 3 22 4 3" xfId="19920"/>
    <cellStyle name="Normal 3 22 5" xfId="10702"/>
    <cellStyle name="Normal 3 22 6" xfId="16854"/>
    <cellStyle name="Normal 3 22 7" xfId="3739"/>
    <cellStyle name="Normal 3 23" xfId="489"/>
    <cellStyle name="Normal 3 23 2" xfId="5168"/>
    <cellStyle name="Normal 3 23 2 2" xfId="6793"/>
    <cellStyle name="Normal 3 23 2 2 2" xfId="9879"/>
    <cellStyle name="Normal 3 23 2 2 2 2" xfId="16072"/>
    <cellStyle name="Normal 3 23 2 2 2 3" xfId="22224"/>
    <cellStyle name="Normal 3 23 2 2 3" xfId="13006"/>
    <cellStyle name="Normal 3 23 2 2 4" xfId="19158"/>
    <cellStyle name="Normal 3 23 2 3" xfId="8344"/>
    <cellStyle name="Normal 3 23 2 3 2" xfId="14538"/>
    <cellStyle name="Normal 3 23 2 3 3" xfId="20690"/>
    <cellStyle name="Normal 3 23 2 4" xfId="11472"/>
    <cellStyle name="Normal 3 23 2 5" xfId="17624"/>
    <cellStyle name="Normal 3 23 3" xfId="6010"/>
    <cellStyle name="Normal 3 23 3 2" xfId="9110"/>
    <cellStyle name="Normal 3 23 3 2 2" xfId="15303"/>
    <cellStyle name="Normal 3 23 3 2 3" xfId="21455"/>
    <cellStyle name="Normal 3 23 3 3" xfId="12237"/>
    <cellStyle name="Normal 3 23 3 4" xfId="18389"/>
    <cellStyle name="Normal 3 23 4" xfId="7575"/>
    <cellStyle name="Normal 3 23 4 2" xfId="13769"/>
    <cellStyle name="Normal 3 23 4 3" xfId="19921"/>
    <cellStyle name="Normal 3 23 5" xfId="10703"/>
    <cellStyle name="Normal 3 23 6" xfId="16855"/>
    <cellStyle name="Normal 3 23 7" xfId="3740"/>
    <cellStyle name="Normal 3 24" xfId="615"/>
    <cellStyle name="Normal 3 24 2" xfId="5169"/>
    <cellStyle name="Normal 3 24 2 2" xfId="6794"/>
    <cellStyle name="Normal 3 24 2 2 2" xfId="9880"/>
    <cellStyle name="Normal 3 24 2 2 2 2" xfId="16073"/>
    <cellStyle name="Normal 3 24 2 2 2 3" xfId="22225"/>
    <cellStyle name="Normal 3 24 2 2 3" xfId="13007"/>
    <cellStyle name="Normal 3 24 2 2 4" xfId="19159"/>
    <cellStyle name="Normal 3 24 2 3" xfId="8345"/>
    <cellStyle name="Normal 3 24 2 3 2" xfId="14539"/>
    <cellStyle name="Normal 3 24 2 3 3" xfId="20691"/>
    <cellStyle name="Normal 3 24 2 4" xfId="11473"/>
    <cellStyle name="Normal 3 24 2 5" xfId="17625"/>
    <cellStyle name="Normal 3 24 3" xfId="6011"/>
    <cellStyle name="Normal 3 24 3 2" xfId="9111"/>
    <cellStyle name="Normal 3 24 3 2 2" xfId="15304"/>
    <cellStyle name="Normal 3 24 3 2 3" xfId="21456"/>
    <cellStyle name="Normal 3 24 3 3" xfId="12238"/>
    <cellStyle name="Normal 3 24 3 4" xfId="18390"/>
    <cellStyle name="Normal 3 24 4" xfId="7576"/>
    <cellStyle name="Normal 3 24 4 2" xfId="13770"/>
    <cellStyle name="Normal 3 24 4 3" xfId="19922"/>
    <cellStyle name="Normal 3 24 5" xfId="10704"/>
    <cellStyle name="Normal 3 24 6" xfId="16856"/>
    <cellStyle name="Normal 3 24 7" xfId="3741"/>
    <cellStyle name="Normal 3 25" xfId="633"/>
    <cellStyle name="Normal 3 25 2" xfId="3742"/>
    <cellStyle name="Normal 3 26" xfId="597"/>
    <cellStyle name="Normal 3 26 2" xfId="3744"/>
    <cellStyle name="Normal 3 26 3" xfId="3745"/>
    <cellStyle name="Normal 3 26 4" xfId="3746"/>
    <cellStyle name="Normal 3 26 5" xfId="3743"/>
    <cellStyle name="Normal 3 27" xfId="675"/>
    <cellStyle name="Normal 3 27 2" xfId="3747"/>
    <cellStyle name="Normal 3 28" xfId="611"/>
    <cellStyle name="Normal 3 28 2" xfId="4618"/>
    <cellStyle name="Normal 3 29" xfId="677"/>
    <cellStyle name="Normal 3 29 2" xfId="1327"/>
    <cellStyle name="Normal 3 3" xfId="73"/>
    <cellStyle name="Normal 3 3 10" xfId="3748"/>
    <cellStyle name="Normal 3 3 11" xfId="1169"/>
    <cellStyle name="Normal 3 3 12" xfId="22831"/>
    <cellStyle name="Normal 3 3 13" xfId="209"/>
    <cellStyle name="Normal 3 3 14" xfId="23268"/>
    <cellStyle name="Normal 3 3 2" xfId="868"/>
    <cellStyle name="Normal 3 3 2 2" xfId="5171"/>
    <cellStyle name="Normal 3 3 2 2 2" xfId="6796"/>
    <cellStyle name="Normal 3 3 2 2 2 2" xfId="9882"/>
    <cellStyle name="Normal 3 3 2 2 2 2 2" xfId="16075"/>
    <cellStyle name="Normal 3 3 2 2 2 2 3" xfId="22227"/>
    <cellStyle name="Normal 3 3 2 2 2 3" xfId="13009"/>
    <cellStyle name="Normal 3 3 2 2 2 4" xfId="19161"/>
    <cellStyle name="Normal 3 3 2 2 3" xfId="8347"/>
    <cellStyle name="Normal 3 3 2 2 3 2" xfId="14541"/>
    <cellStyle name="Normal 3 3 2 2 3 3" xfId="20693"/>
    <cellStyle name="Normal 3 3 2 2 4" xfId="11475"/>
    <cellStyle name="Normal 3 3 2 2 5" xfId="17627"/>
    <cellStyle name="Normal 3 3 2 2 6" xfId="23270"/>
    <cellStyle name="Normal 3 3 2 3" xfId="6013"/>
    <cellStyle name="Normal 3 3 2 3 2" xfId="9113"/>
    <cellStyle name="Normal 3 3 2 3 2 2" xfId="15306"/>
    <cellStyle name="Normal 3 3 2 3 2 3" xfId="21458"/>
    <cellStyle name="Normal 3 3 2 3 3" xfId="12240"/>
    <cellStyle name="Normal 3 3 2 3 4" xfId="18392"/>
    <cellStyle name="Normal 3 3 2 4" xfId="7578"/>
    <cellStyle name="Normal 3 3 2 4 2" xfId="13772"/>
    <cellStyle name="Normal 3 3 2 4 3" xfId="19924"/>
    <cellStyle name="Normal 3 3 2 5" xfId="10706"/>
    <cellStyle name="Normal 3 3 2 6" xfId="16858"/>
    <cellStyle name="Normal 3 3 2 7" xfId="3749"/>
    <cellStyle name="Normal 3 3 2 8" xfId="23269"/>
    <cellStyle name="Normal 3 3 3" xfId="3750"/>
    <cellStyle name="Normal 3 3 3 2" xfId="5172"/>
    <cellStyle name="Normal 3 3 3 2 2" xfId="6797"/>
    <cellStyle name="Normal 3 3 3 2 2 2" xfId="9883"/>
    <cellStyle name="Normal 3 3 3 2 2 2 2" xfId="16076"/>
    <cellStyle name="Normal 3 3 3 2 2 2 3" xfId="22228"/>
    <cellStyle name="Normal 3 3 3 2 2 3" xfId="13010"/>
    <cellStyle name="Normal 3 3 3 2 2 4" xfId="19162"/>
    <cellStyle name="Normal 3 3 3 2 3" xfId="8348"/>
    <cellStyle name="Normal 3 3 3 2 3 2" xfId="14542"/>
    <cellStyle name="Normal 3 3 3 2 3 3" xfId="20694"/>
    <cellStyle name="Normal 3 3 3 2 4" xfId="11476"/>
    <cellStyle name="Normal 3 3 3 2 5" xfId="17628"/>
    <cellStyle name="Normal 3 3 3 3" xfId="6014"/>
    <cellStyle name="Normal 3 3 3 3 2" xfId="9114"/>
    <cellStyle name="Normal 3 3 3 3 2 2" xfId="15307"/>
    <cellStyle name="Normal 3 3 3 3 2 3" xfId="21459"/>
    <cellStyle name="Normal 3 3 3 3 3" xfId="12241"/>
    <cellStyle name="Normal 3 3 3 3 4" xfId="18393"/>
    <cellStyle name="Normal 3 3 3 4" xfId="7579"/>
    <cellStyle name="Normal 3 3 3 4 2" xfId="13773"/>
    <cellStyle name="Normal 3 3 3 4 3" xfId="19925"/>
    <cellStyle name="Normal 3 3 3 5" xfId="10707"/>
    <cellStyle name="Normal 3 3 3 6" xfId="16859"/>
    <cellStyle name="Normal 3 3 3 7" xfId="23271"/>
    <cellStyle name="Normal 3 3 4" xfId="3751"/>
    <cellStyle name="Normal 3 3 5" xfId="5170"/>
    <cellStyle name="Normal 3 3 5 2" xfId="6795"/>
    <cellStyle name="Normal 3 3 5 2 2" xfId="9881"/>
    <cellStyle name="Normal 3 3 5 2 2 2" xfId="16074"/>
    <cellStyle name="Normal 3 3 5 2 2 3" xfId="22226"/>
    <cellStyle name="Normal 3 3 5 2 3" xfId="13008"/>
    <cellStyle name="Normal 3 3 5 2 4" xfId="19160"/>
    <cellStyle name="Normal 3 3 5 3" xfId="8346"/>
    <cellStyle name="Normal 3 3 5 3 2" xfId="14540"/>
    <cellStyle name="Normal 3 3 5 3 3" xfId="20692"/>
    <cellStyle name="Normal 3 3 5 4" xfId="11474"/>
    <cellStyle name="Normal 3 3 5 5" xfId="17626"/>
    <cellStyle name="Normal 3 3 6" xfId="6012"/>
    <cellStyle name="Normal 3 3 6 2" xfId="9112"/>
    <cellStyle name="Normal 3 3 6 2 2" xfId="15305"/>
    <cellStyle name="Normal 3 3 6 2 3" xfId="21457"/>
    <cellStyle name="Normal 3 3 6 3" xfId="12239"/>
    <cellStyle name="Normal 3 3 6 4" xfId="18391"/>
    <cellStyle name="Normal 3 3 7" xfId="7577"/>
    <cellStyle name="Normal 3 3 7 2" xfId="13771"/>
    <cellStyle name="Normal 3 3 7 3" xfId="19923"/>
    <cellStyle name="Normal 3 3 8" xfId="10705"/>
    <cellStyle name="Normal 3 3 9" xfId="16857"/>
    <cellStyle name="Normal 3 30" xfId="696"/>
    <cellStyle name="Normal 3 30 2" xfId="10234"/>
    <cellStyle name="Normal 3 31" xfId="728"/>
    <cellStyle name="Normal 3 32" xfId="23258"/>
    <cellStyle name="Normal 3 4" xfId="221"/>
    <cellStyle name="Normal 3 4 2" xfId="3753"/>
    <cellStyle name="Normal 3 4 2 2" xfId="5174"/>
    <cellStyle name="Normal 3 4 2 2 2" xfId="6799"/>
    <cellStyle name="Normal 3 4 2 2 2 2" xfId="9885"/>
    <cellStyle name="Normal 3 4 2 2 2 2 2" xfId="16078"/>
    <cellStyle name="Normal 3 4 2 2 2 2 3" xfId="22230"/>
    <cellStyle name="Normal 3 4 2 2 2 3" xfId="13012"/>
    <cellStyle name="Normal 3 4 2 2 2 4" xfId="19164"/>
    <cellStyle name="Normal 3 4 2 2 3" xfId="8350"/>
    <cellStyle name="Normal 3 4 2 2 3 2" xfId="14544"/>
    <cellStyle name="Normal 3 4 2 2 3 3" xfId="20696"/>
    <cellStyle name="Normal 3 4 2 2 4" xfId="11478"/>
    <cellStyle name="Normal 3 4 2 2 5" xfId="17630"/>
    <cellStyle name="Normal 3 4 2 3" xfId="6016"/>
    <cellStyle name="Normal 3 4 2 3 2" xfId="9116"/>
    <cellStyle name="Normal 3 4 2 3 2 2" xfId="15309"/>
    <cellStyle name="Normal 3 4 2 3 2 3" xfId="21461"/>
    <cellStyle name="Normal 3 4 2 3 3" xfId="12243"/>
    <cellStyle name="Normal 3 4 2 3 4" xfId="18395"/>
    <cellStyle name="Normal 3 4 2 4" xfId="7581"/>
    <cellStyle name="Normal 3 4 2 4 2" xfId="13775"/>
    <cellStyle name="Normal 3 4 2 4 3" xfId="19927"/>
    <cellStyle name="Normal 3 4 2 5" xfId="10709"/>
    <cellStyle name="Normal 3 4 2 6" xfId="16861"/>
    <cellStyle name="Normal 3 4 2 7" xfId="23273"/>
    <cellStyle name="Normal 3 4 3" xfId="5173"/>
    <cellStyle name="Normal 3 4 3 2" xfId="6798"/>
    <cellStyle name="Normal 3 4 3 2 2" xfId="9884"/>
    <cellStyle name="Normal 3 4 3 2 2 2" xfId="16077"/>
    <cellStyle name="Normal 3 4 3 2 2 3" xfId="22229"/>
    <cellStyle name="Normal 3 4 3 2 3" xfId="13011"/>
    <cellStyle name="Normal 3 4 3 2 4" xfId="19163"/>
    <cellStyle name="Normal 3 4 3 3" xfId="8349"/>
    <cellStyle name="Normal 3 4 3 3 2" xfId="14543"/>
    <cellStyle name="Normal 3 4 3 3 3" xfId="20695"/>
    <cellStyle name="Normal 3 4 3 4" xfId="11477"/>
    <cellStyle name="Normal 3 4 3 5" xfId="17629"/>
    <cellStyle name="Normal 3 4 4" xfId="6015"/>
    <cellStyle name="Normal 3 4 4 2" xfId="9115"/>
    <cellStyle name="Normal 3 4 4 2 2" xfId="15308"/>
    <cellStyle name="Normal 3 4 4 2 3" xfId="21460"/>
    <cellStyle name="Normal 3 4 4 3" xfId="12242"/>
    <cellStyle name="Normal 3 4 4 4" xfId="18394"/>
    <cellStyle name="Normal 3 4 5" xfId="7580"/>
    <cellStyle name="Normal 3 4 5 2" xfId="13774"/>
    <cellStyle name="Normal 3 4 5 3" xfId="19926"/>
    <cellStyle name="Normal 3 4 6" xfId="10708"/>
    <cellStyle name="Normal 3 4 7" xfId="16860"/>
    <cellStyle name="Normal 3 4 8" xfId="3752"/>
    <cellStyle name="Normal 3 4 9" xfId="23272"/>
    <cellStyle name="Normal 3 5" xfId="243"/>
    <cellStyle name="Normal 3 5 2" xfId="3755"/>
    <cellStyle name="Normal 3 5 2 2" xfId="5176"/>
    <cellStyle name="Normal 3 5 2 2 2" xfId="6801"/>
    <cellStyle name="Normal 3 5 2 2 2 2" xfId="9887"/>
    <cellStyle name="Normal 3 5 2 2 2 2 2" xfId="16080"/>
    <cellStyle name="Normal 3 5 2 2 2 2 3" xfId="22232"/>
    <cellStyle name="Normal 3 5 2 2 2 3" xfId="13014"/>
    <cellStyle name="Normal 3 5 2 2 2 4" xfId="19166"/>
    <cellStyle name="Normal 3 5 2 2 3" xfId="8352"/>
    <cellStyle name="Normal 3 5 2 2 3 2" xfId="14546"/>
    <cellStyle name="Normal 3 5 2 2 3 3" xfId="20698"/>
    <cellStyle name="Normal 3 5 2 2 4" xfId="11480"/>
    <cellStyle name="Normal 3 5 2 2 5" xfId="17632"/>
    <cellStyle name="Normal 3 5 2 3" xfId="6018"/>
    <cellStyle name="Normal 3 5 2 3 2" xfId="9118"/>
    <cellStyle name="Normal 3 5 2 3 2 2" xfId="15311"/>
    <cellStyle name="Normal 3 5 2 3 2 3" xfId="21463"/>
    <cellStyle name="Normal 3 5 2 3 3" xfId="12245"/>
    <cellStyle name="Normal 3 5 2 3 4" xfId="18397"/>
    <cellStyle name="Normal 3 5 2 4" xfId="7583"/>
    <cellStyle name="Normal 3 5 2 4 2" xfId="13777"/>
    <cellStyle name="Normal 3 5 2 4 3" xfId="19929"/>
    <cellStyle name="Normal 3 5 2 5" xfId="10711"/>
    <cellStyle name="Normal 3 5 2 6" xfId="16863"/>
    <cellStyle name="Normal 3 5 3" xfId="5175"/>
    <cellStyle name="Normal 3 5 3 2" xfId="6800"/>
    <cellStyle name="Normal 3 5 3 2 2" xfId="9886"/>
    <cellStyle name="Normal 3 5 3 2 2 2" xfId="16079"/>
    <cellStyle name="Normal 3 5 3 2 2 3" xfId="22231"/>
    <cellStyle name="Normal 3 5 3 2 3" xfId="13013"/>
    <cellStyle name="Normal 3 5 3 2 4" xfId="19165"/>
    <cellStyle name="Normal 3 5 3 3" xfId="8351"/>
    <cellStyle name="Normal 3 5 3 3 2" xfId="14545"/>
    <cellStyle name="Normal 3 5 3 3 3" xfId="20697"/>
    <cellStyle name="Normal 3 5 3 4" xfId="11479"/>
    <cellStyle name="Normal 3 5 3 5" xfId="17631"/>
    <cellStyle name="Normal 3 5 4" xfId="6017"/>
    <cellStyle name="Normal 3 5 4 2" xfId="9117"/>
    <cellStyle name="Normal 3 5 4 2 2" xfId="15310"/>
    <cellStyle name="Normal 3 5 4 2 3" xfId="21462"/>
    <cellStyle name="Normal 3 5 4 3" xfId="12244"/>
    <cellStyle name="Normal 3 5 4 4" xfId="18396"/>
    <cellStyle name="Normal 3 5 5" xfId="7582"/>
    <cellStyle name="Normal 3 5 5 2" xfId="13776"/>
    <cellStyle name="Normal 3 5 5 3" xfId="19928"/>
    <cellStyle name="Normal 3 5 6" xfId="10710"/>
    <cellStyle name="Normal 3 5 7" xfId="16862"/>
    <cellStyle name="Normal 3 5 8" xfId="3754"/>
    <cellStyle name="Normal 3 5 9" xfId="23274"/>
    <cellStyle name="Normal 3 6" xfId="241"/>
    <cellStyle name="Normal 3 6 2" xfId="5177"/>
    <cellStyle name="Normal 3 6 2 2" xfId="6802"/>
    <cellStyle name="Normal 3 6 2 2 2" xfId="9888"/>
    <cellStyle name="Normal 3 6 2 2 2 2" xfId="16081"/>
    <cellStyle name="Normal 3 6 2 2 2 3" xfId="22233"/>
    <cellStyle name="Normal 3 6 2 2 3" xfId="13015"/>
    <cellStyle name="Normal 3 6 2 2 4" xfId="19167"/>
    <cellStyle name="Normal 3 6 2 3" xfId="8353"/>
    <cellStyle name="Normal 3 6 2 3 2" xfId="14547"/>
    <cellStyle name="Normal 3 6 2 3 3" xfId="20699"/>
    <cellStyle name="Normal 3 6 2 4" xfId="11481"/>
    <cellStyle name="Normal 3 6 2 5" xfId="17633"/>
    <cellStyle name="Normal 3 6 3" xfId="6019"/>
    <cellStyle name="Normal 3 6 3 2" xfId="9119"/>
    <cellStyle name="Normal 3 6 3 2 2" xfId="15312"/>
    <cellStyle name="Normal 3 6 3 2 3" xfId="21464"/>
    <cellStyle name="Normal 3 6 3 3" xfId="12246"/>
    <cellStyle name="Normal 3 6 3 4" xfId="18398"/>
    <cellStyle name="Normal 3 6 4" xfId="7584"/>
    <cellStyle name="Normal 3 6 4 2" xfId="13778"/>
    <cellStyle name="Normal 3 6 4 3" xfId="19930"/>
    <cellStyle name="Normal 3 6 5" xfId="10712"/>
    <cellStyle name="Normal 3 6 6" xfId="16864"/>
    <cellStyle name="Normal 3 6 7" xfId="3756"/>
    <cellStyle name="Normal 3 7" xfId="320"/>
    <cellStyle name="Normal 3 7 2" xfId="5178"/>
    <cellStyle name="Normal 3 7 2 2" xfId="6803"/>
    <cellStyle name="Normal 3 7 2 2 2" xfId="9889"/>
    <cellStyle name="Normal 3 7 2 2 2 2" xfId="16082"/>
    <cellStyle name="Normal 3 7 2 2 2 3" xfId="22234"/>
    <cellStyle name="Normal 3 7 2 2 3" xfId="13016"/>
    <cellStyle name="Normal 3 7 2 2 4" xfId="19168"/>
    <cellStyle name="Normal 3 7 2 3" xfId="8354"/>
    <cellStyle name="Normal 3 7 2 3 2" xfId="14548"/>
    <cellStyle name="Normal 3 7 2 3 3" xfId="20700"/>
    <cellStyle name="Normal 3 7 2 4" xfId="11482"/>
    <cellStyle name="Normal 3 7 2 5" xfId="17634"/>
    <cellStyle name="Normal 3 7 3" xfId="6020"/>
    <cellStyle name="Normal 3 7 3 2" xfId="9120"/>
    <cellStyle name="Normal 3 7 3 2 2" xfId="15313"/>
    <cellStyle name="Normal 3 7 3 2 3" xfId="21465"/>
    <cellStyle name="Normal 3 7 3 3" xfId="12247"/>
    <cellStyle name="Normal 3 7 3 4" xfId="18399"/>
    <cellStyle name="Normal 3 7 4" xfId="7585"/>
    <cellStyle name="Normal 3 7 4 2" xfId="13779"/>
    <cellStyle name="Normal 3 7 4 3" xfId="19931"/>
    <cellStyle name="Normal 3 7 5" xfId="10713"/>
    <cellStyle name="Normal 3 7 6" xfId="16865"/>
    <cellStyle name="Normal 3 7 7" xfId="3757"/>
    <cellStyle name="Normal 3 8" xfId="318"/>
    <cellStyle name="Normal 3 8 2" xfId="5179"/>
    <cellStyle name="Normal 3 8 2 2" xfId="6804"/>
    <cellStyle name="Normal 3 8 2 2 2" xfId="9890"/>
    <cellStyle name="Normal 3 8 2 2 2 2" xfId="16083"/>
    <cellStyle name="Normal 3 8 2 2 2 3" xfId="22235"/>
    <cellStyle name="Normal 3 8 2 2 3" xfId="13017"/>
    <cellStyle name="Normal 3 8 2 2 4" xfId="19169"/>
    <cellStyle name="Normal 3 8 2 3" xfId="8355"/>
    <cellStyle name="Normal 3 8 2 3 2" xfId="14549"/>
    <cellStyle name="Normal 3 8 2 3 3" xfId="20701"/>
    <cellStyle name="Normal 3 8 2 4" xfId="11483"/>
    <cellStyle name="Normal 3 8 2 5" xfId="17635"/>
    <cellStyle name="Normal 3 8 3" xfId="6021"/>
    <cellStyle name="Normal 3 8 3 2" xfId="9121"/>
    <cellStyle name="Normal 3 8 3 2 2" xfId="15314"/>
    <cellStyle name="Normal 3 8 3 2 3" xfId="21466"/>
    <cellStyle name="Normal 3 8 3 3" xfId="12248"/>
    <cellStyle name="Normal 3 8 3 4" xfId="18400"/>
    <cellStyle name="Normal 3 8 4" xfId="7586"/>
    <cellStyle name="Normal 3 8 4 2" xfId="13780"/>
    <cellStyle name="Normal 3 8 4 3" xfId="19932"/>
    <cellStyle name="Normal 3 8 5" xfId="10714"/>
    <cellStyle name="Normal 3 8 6" xfId="16866"/>
    <cellStyle name="Normal 3 8 7" xfId="3758"/>
    <cellStyle name="Normal 3 9" xfId="279"/>
    <cellStyle name="Normal 3 9 2" xfId="5180"/>
    <cellStyle name="Normal 3 9 2 2" xfId="6805"/>
    <cellStyle name="Normal 3 9 2 2 2" xfId="9891"/>
    <cellStyle name="Normal 3 9 2 2 2 2" xfId="16084"/>
    <cellStyle name="Normal 3 9 2 2 2 3" xfId="22236"/>
    <cellStyle name="Normal 3 9 2 2 3" xfId="13018"/>
    <cellStyle name="Normal 3 9 2 2 4" xfId="19170"/>
    <cellStyle name="Normal 3 9 2 3" xfId="8356"/>
    <cellStyle name="Normal 3 9 2 3 2" xfId="14550"/>
    <cellStyle name="Normal 3 9 2 3 3" xfId="20702"/>
    <cellStyle name="Normal 3 9 2 4" xfId="11484"/>
    <cellStyle name="Normal 3 9 2 5" xfId="17636"/>
    <cellStyle name="Normal 3 9 3" xfId="6022"/>
    <cellStyle name="Normal 3 9 3 2" xfId="9122"/>
    <cellStyle name="Normal 3 9 3 2 2" xfId="15315"/>
    <cellStyle name="Normal 3 9 3 2 3" xfId="21467"/>
    <cellStyle name="Normal 3 9 3 3" xfId="12249"/>
    <cellStyle name="Normal 3 9 3 4" xfId="18401"/>
    <cellStyle name="Normal 3 9 4" xfId="7587"/>
    <cellStyle name="Normal 3 9 4 2" xfId="13781"/>
    <cellStyle name="Normal 3 9 4 3" xfId="19933"/>
    <cellStyle name="Normal 3 9 5" xfId="10715"/>
    <cellStyle name="Normal 3 9 6" xfId="16867"/>
    <cellStyle name="Normal 3 9 7" xfId="3759"/>
    <cellStyle name="Normal 3_Gas CBR Summary" xfId="27"/>
    <cellStyle name="Normal 30" xfId="792"/>
    <cellStyle name="Normal 30 2" xfId="23275"/>
    <cellStyle name="Normal 31" xfId="3760"/>
    <cellStyle name="Normal 31 2" xfId="3761"/>
    <cellStyle name="Normal 32" xfId="3762"/>
    <cellStyle name="Normal 32 2" xfId="3763"/>
    <cellStyle name="Normal 33" xfId="3764"/>
    <cellStyle name="Normal 33 2" xfId="3765"/>
    <cellStyle name="Normal 34" xfId="3766"/>
    <cellStyle name="Normal 34 10" xfId="3767"/>
    <cellStyle name="Normal 34 10 2" xfId="3768"/>
    <cellStyle name="Normal 34 11" xfId="3769"/>
    <cellStyle name="Normal 34 11 2" xfId="3770"/>
    <cellStyle name="Normal 34 12" xfId="3771"/>
    <cellStyle name="Normal 34 2" xfId="3772"/>
    <cellStyle name="Normal 34 2 2" xfId="3773"/>
    <cellStyle name="Normal 34 2 2 2" xfId="3774"/>
    <cellStyle name="Normal 34 2 2 2 2" xfId="3775"/>
    <cellStyle name="Normal 34 2 2 3" xfId="3776"/>
    <cellStyle name="Normal 34 2 3" xfId="3777"/>
    <cellStyle name="Normal 34 2 3 2" xfId="3778"/>
    <cellStyle name="Normal 34 2 4" xfId="3779"/>
    <cellStyle name="Normal 34 2 4 2" xfId="3780"/>
    <cellStyle name="Normal 34 2 5" xfId="3781"/>
    <cellStyle name="Normal 34 3" xfId="3782"/>
    <cellStyle name="Normal 34 3 2" xfId="3783"/>
    <cellStyle name="Normal 34 3 2 2" xfId="3784"/>
    <cellStyle name="Normal 34 3 2 2 2" xfId="3785"/>
    <cellStyle name="Normal 34 3 2 3" xfId="3786"/>
    <cellStyle name="Normal 34 3 3" xfId="3787"/>
    <cellStyle name="Normal 34 3 3 2" xfId="3788"/>
    <cellStyle name="Normal 34 3 4" xfId="3789"/>
    <cellStyle name="Normal 34 3 4 2" xfId="3790"/>
    <cellStyle name="Normal 34 3 5" xfId="3791"/>
    <cellStyle name="Normal 34 4" xfId="3792"/>
    <cellStyle name="Normal 34 4 2" xfId="3793"/>
    <cellStyle name="Normal 34 4 2 2" xfId="3794"/>
    <cellStyle name="Normal 34 4 2 2 2" xfId="3795"/>
    <cellStyle name="Normal 34 4 2 3" xfId="3796"/>
    <cellStyle name="Normal 34 4 3" xfId="3797"/>
    <cellStyle name="Normal 34 4 3 2" xfId="3798"/>
    <cellStyle name="Normal 34 4 4" xfId="3799"/>
    <cellStyle name="Normal 34 4 4 2" xfId="3800"/>
    <cellStyle name="Normal 34 4 5" xfId="3801"/>
    <cellStyle name="Normal 34 5" xfId="3802"/>
    <cellStyle name="Normal 34 5 2" xfId="3803"/>
    <cellStyle name="Normal 34 5 2 2" xfId="3804"/>
    <cellStyle name="Normal 34 5 2 2 2" xfId="3805"/>
    <cellStyle name="Normal 34 5 2 3" xfId="3806"/>
    <cellStyle name="Normal 34 5 3" xfId="3807"/>
    <cellStyle name="Normal 34 5 3 2" xfId="3808"/>
    <cellStyle name="Normal 34 5 4" xfId="3809"/>
    <cellStyle name="Normal 34 5 4 2" xfId="3810"/>
    <cellStyle name="Normal 34 5 5" xfId="3811"/>
    <cellStyle name="Normal 34 6" xfId="3812"/>
    <cellStyle name="Normal 34 6 2" xfId="3813"/>
    <cellStyle name="Normal 34 6 2 2" xfId="3814"/>
    <cellStyle name="Normal 34 6 2 2 2" xfId="3815"/>
    <cellStyle name="Normal 34 6 2 3" xfId="3816"/>
    <cellStyle name="Normal 34 6 3" xfId="3817"/>
    <cellStyle name="Normal 34 6 3 2" xfId="3818"/>
    <cellStyle name="Normal 34 6 4" xfId="3819"/>
    <cellStyle name="Normal 34 6 4 2" xfId="3820"/>
    <cellStyle name="Normal 34 6 5" xfId="3821"/>
    <cellStyle name="Normal 34 7" xfId="3822"/>
    <cellStyle name="Normal 34 7 2" xfId="3823"/>
    <cellStyle name="Normal 34 7 2 2" xfId="3824"/>
    <cellStyle name="Normal 34 7 2 2 2" xfId="3825"/>
    <cellStyle name="Normal 34 7 2 3" xfId="3826"/>
    <cellStyle name="Normal 34 7 3" xfId="3827"/>
    <cellStyle name="Normal 34 7 3 2" xfId="3828"/>
    <cellStyle name="Normal 34 7 4" xfId="3829"/>
    <cellStyle name="Normal 34 8" xfId="3830"/>
    <cellStyle name="Normal 34 8 2" xfId="3831"/>
    <cellStyle name="Normal 34 8 2 2" xfId="3832"/>
    <cellStyle name="Normal 34 8 2 2 2" xfId="3833"/>
    <cellStyle name="Normal 34 8 2 3" xfId="3834"/>
    <cellStyle name="Normal 34 8 3" xfId="3835"/>
    <cellStyle name="Normal 34 8 3 2" xfId="3836"/>
    <cellStyle name="Normal 34 8 4" xfId="3837"/>
    <cellStyle name="Normal 34 9" xfId="3838"/>
    <cellStyle name="Normal 34 9 2" xfId="3839"/>
    <cellStyle name="Normal 34 9 2 2" xfId="3840"/>
    <cellStyle name="Normal 34 9 3" xfId="3841"/>
    <cellStyle name="Normal 35" xfId="3842"/>
    <cellStyle name="Normal 35 10" xfId="3843"/>
    <cellStyle name="Normal 35 10 2" xfId="3844"/>
    <cellStyle name="Normal 35 11" xfId="3845"/>
    <cellStyle name="Normal 35 11 2" xfId="3846"/>
    <cellStyle name="Normal 35 12" xfId="3847"/>
    <cellStyle name="Normal 35 2" xfId="3848"/>
    <cellStyle name="Normal 35 2 2" xfId="3849"/>
    <cellStyle name="Normal 35 2 2 2" xfId="3850"/>
    <cellStyle name="Normal 35 2 2 2 2" xfId="3851"/>
    <cellStyle name="Normal 35 2 2 3" xfId="3852"/>
    <cellStyle name="Normal 35 2 3" xfId="3853"/>
    <cellStyle name="Normal 35 2 3 2" xfId="3854"/>
    <cellStyle name="Normal 35 2 4" xfId="3855"/>
    <cellStyle name="Normal 35 2 4 2" xfId="3856"/>
    <cellStyle name="Normal 35 2 5" xfId="3857"/>
    <cellStyle name="Normal 35 3" xfId="3858"/>
    <cellStyle name="Normal 35 3 2" xfId="3859"/>
    <cellStyle name="Normal 35 3 2 2" xfId="3860"/>
    <cellStyle name="Normal 35 3 2 2 2" xfId="3861"/>
    <cellStyle name="Normal 35 3 2 3" xfId="3862"/>
    <cellStyle name="Normal 35 3 3" xfId="3863"/>
    <cellStyle name="Normal 35 3 3 2" xfId="3864"/>
    <cellStyle name="Normal 35 3 4" xfId="3865"/>
    <cellStyle name="Normal 35 3 4 2" xfId="3866"/>
    <cellStyle name="Normal 35 3 5" xfId="3867"/>
    <cellStyle name="Normal 35 4" xfId="3868"/>
    <cellStyle name="Normal 35 4 2" xfId="3869"/>
    <cellStyle name="Normal 35 4 2 2" xfId="3870"/>
    <cellStyle name="Normal 35 4 2 2 2" xfId="3871"/>
    <cellStyle name="Normal 35 4 2 3" xfId="3872"/>
    <cellStyle name="Normal 35 4 3" xfId="3873"/>
    <cellStyle name="Normal 35 4 3 2" xfId="3874"/>
    <cellStyle name="Normal 35 4 4" xfId="3875"/>
    <cellStyle name="Normal 35 4 4 2" xfId="3876"/>
    <cellStyle name="Normal 35 4 5" xfId="3877"/>
    <cellStyle name="Normal 35 5" xfId="3878"/>
    <cellStyle name="Normal 35 5 2" xfId="3879"/>
    <cellStyle name="Normal 35 5 2 2" xfId="3880"/>
    <cellStyle name="Normal 35 5 2 2 2" xfId="3881"/>
    <cellStyle name="Normal 35 5 2 3" xfId="3882"/>
    <cellStyle name="Normal 35 5 3" xfId="3883"/>
    <cellStyle name="Normal 35 5 3 2" xfId="3884"/>
    <cellStyle name="Normal 35 5 4" xfId="3885"/>
    <cellStyle name="Normal 35 5 4 2" xfId="3886"/>
    <cellStyle name="Normal 35 5 5" xfId="3887"/>
    <cellStyle name="Normal 35 6" xfId="3888"/>
    <cellStyle name="Normal 35 6 2" xfId="3889"/>
    <cellStyle name="Normal 35 6 2 2" xfId="3890"/>
    <cellStyle name="Normal 35 6 2 2 2" xfId="3891"/>
    <cellStyle name="Normal 35 6 2 3" xfId="3892"/>
    <cellStyle name="Normal 35 6 3" xfId="3893"/>
    <cellStyle name="Normal 35 6 3 2" xfId="3894"/>
    <cellStyle name="Normal 35 6 4" xfId="3895"/>
    <cellStyle name="Normal 35 6 4 2" xfId="3896"/>
    <cellStyle name="Normal 35 6 5" xfId="3897"/>
    <cellStyle name="Normal 35 7" xfId="3898"/>
    <cellStyle name="Normal 35 7 2" xfId="3899"/>
    <cellStyle name="Normal 35 7 2 2" xfId="3900"/>
    <cellStyle name="Normal 35 7 2 2 2" xfId="3901"/>
    <cellStyle name="Normal 35 7 2 3" xfId="3902"/>
    <cellStyle name="Normal 35 7 3" xfId="3903"/>
    <cellStyle name="Normal 35 7 3 2" xfId="3904"/>
    <cellStyle name="Normal 35 7 4" xfId="3905"/>
    <cellStyle name="Normal 35 8" xfId="3906"/>
    <cellStyle name="Normal 35 8 2" xfId="3907"/>
    <cellStyle name="Normal 35 8 2 2" xfId="3908"/>
    <cellStyle name="Normal 35 8 2 2 2" xfId="3909"/>
    <cellStyle name="Normal 35 8 2 3" xfId="3910"/>
    <cellStyle name="Normal 35 8 3" xfId="3911"/>
    <cellStyle name="Normal 35 8 3 2" xfId="3912"/>
    <cellStyle name="Normal 35 8 4" xfId="3913"/>
    <cellStyle name="Normal 35 9" xfId="3914"/>
    <cellStyle name="Normal 35 9 2" xfId="3915"/>
    <cellStyle name="Normal 35 9 2 2" xfId="3916"/>
    <cellStyle name="Normal 35 9 3" xfId="3917"/>
    <cellStyle name="Normal 36" xfId="3918"/>
    <cellStyle name="Normal 36 2" xfId="3919"/>
    <cellStyle name="Normal 37" xfId="3920"/>
    <cellStyle name="Normal 37 2" xfId="3921"/>
    <cellStyle name="Normal 38" xfId="3922"/>
    <cellStyle name="Normal 38 2" xfId="3923"/>
    <cellStyle name="Normal 38 2 2" xfId="3924"/>
    <cellStyle name="Normal 38 2 2 2" xfId="3925"/>
    <cellStyle name="Normal 38 2 3" xfId="3926"/>
    <cellStyle name="Normal 38 3" xfId="3927"/>
    <cellStyle name="Normal 38 3 2" xfId="3928"/>
    <cellStyle name="Normal 38 4" xfId="3929"/>
    <cellStyle name="Normal 38 4 2" xfId="3930"/>
    <cellStyle name="Normal 38 5" xfId="3931"/>
    <cellStyle name="Normal 39" xfId="3932"/>
    <cellStyle name="Normal 39 2" xfId="3933"/>
    <cellStyle name="Normal 4" xfId="28"/>
    <cellStyle name="Normal 4 10" xfId="375"/>
    <cellStyle name="Normal 4 10 2" xfId="3934"/>
    <cellStyle name="Normal 4 11" xfId="391"/>
    <cellStyle name="Normal 4 12" xfId="405"/>
    <cellStyle name="Normal 4 12 2" xfId="3936"/>
    <cellStyle name="Normal 4 12 3" xfId="3935"/>
    <cellStyle name="Normal 4 13" xfId="417"/>
    <cellStyle name="Normal 4 13 2" xfId="3938"/>
    <cellStyle name="Normal 4 13 3" xfId="3937"/>
    <cellStyle name="Normal 4 14" xfId="429"/>
    <cellStyle name="Normal 4 14 2" xfId="4619"/>
    <cellStyle name="Normal 4 15" xfId="392"/>
    <cellStyle name="Normal 4 16" xfId="460"/>
    <cellStyle name="Normal 4 16 2" xfId="10235"/>
    <cellStyle name="Normal 4 17" xfId="467"/>
    <cellStyle name="Normal 4 17 2" xfId="1178"/>
    <cellStyle name="Normal 4 18" xfId="494"/>
    <cellStyle name="Normal 4 19" xfId="536"/>
    <cellStyle name="Normal 4 2" xfId="218"/>
    <cellStyle name="Normal 4 2 10" xfId="3940"/>
    <cellStyle name="Normal 4 2 10 2" xfId="5181"/>
    <cellStyle name="Normal 4 2 10 2 2" xfId="6806"/>
    <cellStyle name="Normal 4 2 10 2 2 2" xfId="9892"/>
    <cellStyle name="Normal 4 2 10 2 2 2 2" xfId="16085"/>
    <cellStyle name="Normal 4 2 10 2 2 2 3" xfId="22237"/>
    <cellStyle name="Normal 4 2 10 2 2 3" xfId="13019"/>
    <cellStyle name="Normal 4 2 10 2 2 4" xfId="19171"/>
    <cellStyle name="Normal 4 2 10 2 3" xfId="8357"/>
    <cellStyle name="Normal 4 2 10 2 3 2" xfId="14551"/>
    <cellStyle name="Normal 4 2 10 2 3 3" xfId="20703"/>
    <cellStyle name="Normal 4 2 10 2 4" xfId="11485"/>
    <cellStyle name="Normal 4 2 10 2 5" xfId="17637"/>
    <cellStyle name="Normal 4 2 10 3" xfId="6023"/>
    <cellStyle name="Normal 4 2 10 3 2" xfId="9123"/>
    <cellStyle name="Normal 4 2 10 3 2 2" xfId="15316"/>
    <cellStyle name="Normal 4 2 10 3 2 3" xfId="21468"/>
    <cellStyle name="Normal 4 2 10 3 3" xfId="12250"/>
    <cellStyle name="Normal 4 2 10 3 4" xfId="18402"/>
    <cellStyle name="Normal 4 2 10 4" xfId="7588"/>
    <cellStyle name="Normal 4 2 10 4 2" xfId="13782"/>
    <cellStyle name="Normal 4 2 10 4 3" xfId="19934"/>
    <cellStyle name="Normal 4 2 10 5" xfId="10716"/>
    <cellStyle name="Normal 4 2 10 6" xfId="16868"/>
    <cellStyle name="Normal 4 2 11" xfId="3941"/>
    <cellStyle name="Normal 4 2 11 2" xfId="5182"/>
    <cellStyle name="Normal 4 2 11 2 2" xfId="6807"/>
    <cellStyle name="Normal 4 2 11 2 2 2" xfId="9893"/>
    <cellStyle name="Normal 4 2 11 2 2 2 2" xfId="16086"/>
    <cellStyle name="Normal 4 2 11 2 2 2 3" xfId="22238"/>
    <cellStyle name="Normal 4 2 11 2 2 3" xfId="13020"/>
    <cellStyle name="Normal 4 2 11 2 2 4" xfId="19172"/>
    <cellStyle name="Normal 4 2 11 2 3" xfId="8358"/>
    <cellStyle name="Normal 4 2 11 2 3 2" xfId="14552"/>
    <cellStyle name="Normal 4 2 11 2 3 3" xfId="20704"/>
    <cellStyle name="Normal 4 2 11 2 4" xfId="11486"/>
    <cellStyle name="Normal 4 2 11 2 5" xfId="17638"/>
    <cellStyle name="Normal 4 2 11 3" xfId="6024"/>
    <cellStyle name="Normal 4 2 11 3 2" xfId="9124"/>
    <cellStyle name="Normal 4 2 11 3 2 2" xfId="15317"/>
    <cellStyle name="Normal 4 2 11 3 2 3" xfId="21469"/>
    <cellStyle name="Normal 4 2 11 3 3" xfId="12251"/>
    <cellStyle name="Normal 4 2 11 3 4" xfId="18403"/>
    <cellStyle name="Normal 4 2 11 4" xfId="7589"/>
    <cellStyle name="Normal 4 2 11 4 2" xfId="13783"/>
    <cellStyle name="Normal 4 2 11 4 3" xfId="19935"/>
    <cellStyle name="Normal 4 2 11 5" xfId="10717"/>
    <cellStyle name="Normal 4 2 11 6" xfId="16869"/>
    <cellStyle name="Normal 4 2 12" xfId="3942"/>
    <cellStyle name="Normal 4 2 12 2" xfId="5183"/>
    <cellStyle name="Normal 4 2 12 2 2" xfId="6808"/>
    <cellStyle name="Normal 4 2 12 2 2 2" xfId="9894"/>
    <cellStyle name="Normal 4 2 12 2 2 2 2" xfId="16087"/>
    <cellStyle name="Normal 4 2 12 2 2 2 3" xfId="22239"/>
    <cellStyle name="Normal 4 2 12 2 2 3" xfId="13021"/>
    <cellStyle name="Normal 4 2 12 2 2 4" xfId="19173"/>
    <cellStyle name="Normal 4 2 12 2 3" xfId="8359"/>
    <cellStyle name="Normal 4 2 12 2 3 2" xfId="14553"/>
    <cellStyle name="Normal 4 2 12 2 3 3" xfId="20705"/>
    <cellStyle name="Normal 4 2 12 2 4" xfId="11487"/>
    <cellStyle name="Normal 4 2 12 2 5" xfId="17639"/>
    <cellStyle name="Normal 4 2 12 3" xfId="6025"/>
    <cellStyle name="Normal 4 2 12 3 2" xfId="9125"/>
    <cellStyle name="Normal 4 2 12 3 2 2" xfId="15318"/>
    <cellStyle name="Normal 4 2 12 3 2 3" xfId="21470"/>
    <cellStyle name="Normal 4 2 12 3 3" xfId="12252"/>
    <cellStyle name="Normal 4 2 12 3 4" xfId="18404"/>
    <cellStyle name="Normal 4 2 12 4" xfId="7590"/>
    <cellStyle name="Normal 4 2 12 4 2" xfId="13784"/>
    <cellStyle name="Normal 4 2 12 4 3" xfId="19936"/>
    <cellStyle name="Normal 4 2 12 5" xfId="10718"/>
    <cellStyle name="Normal 4 2 12 6" xfId="16870"/>
    <cellStyle name="Normal 4 2 13" xfId="3943"/>
    <cellStyle name="Normal 4 2 13 2" xfId="5184"/>
    <cellStyle name="Normal 4 2 13 2 2" xfId="6809"/>
    <cellStyle name="Normal 4 2 13 2 2 2" xfId="9895"/>
    <cellStyle name="Normal 4 2 13 2 2 2 2" xfId="16088"/>
    <cellStyle name="Normal 4 2 13 2 2 2 3" xfId="22240"/>
    <cellStyle name="Normal 4 2 13 2 2 3" xfId="13022"/>
    <cellStyle name="Normal 4 2 13 2 2 4" xfId="19174"/>
    <cellStyle name="Normal 4 2 13 2 3" xfId="8360"/>
    <cellStyle name="Normal 4 2 13 2 3 2" xfId="14554"/>
    <cellStyle name="Normal 4 2 13 2 3 3" xfId="20706"/>
    <cellStyle name="Normal 4 2 13 2 4" xfId="11488"/>
    <cellStyle name="Normal 4 2 13 2 5" xfId="17640"/>
    <cellStyle name="Normal 4 2 13 3" xfId="6026"/>
    <cellStyle name="Normal 4 2 13 3 2" xfId="9126"/>
    <cellStyle name="Normal 4 2 13 3 2 2" xfId="15319"/>
    <cellStyle name="Normal 4 2 13 3 2 3" xfId="21471"/>
    <cellStyle name="Normal 4 2 13 3 3" xfId="12253"/>
    <cellStyle name="Normal 4 2 13 3 4" xfId="18405"/>
    <cellStyle name="Normal 4 2 13 4" xfId="7591"/>
    <cellStyle name="Normal 4 2 13 4 2" xfId="13785"/>
    <cellStyle name="Normal 4 2 13 4 3" xfId="19937"/>
    <cellStyle name="Normal 4 2 13 5" xfId="10719"/>
    <cellStyle name="Normal 4 2 13 6" xfId="16871"/>
    <cellStyle name="Normal 4 2 14" xfId="3944"/>
    <cellStyle name="Normal 4 2 14 2" xfId="5185"/>
    <cellStyle name="Normal 4 2 14 2 2" xfId="6810"/>
    <cellStyle name="Normal 4 2 14 2 2 2" xfId="9896"/>
    <cellStyle name="Normal 4 2 14 2 2 2 2" xfId="16089"/>
    <cellStyle name="Normal 4 2 14 2 2 2 3" xfId="22241"/>
    <cellStyle name="Normal 4 2 14 2 2 3" xfId="13023"/>
    <cellStyle name="Normal 4 2 14 2 2 4" xfId="19175"/>
    <cellStyle name="Normal 4 2 14 2 3" xfId="8361"/>
    <cellStyle name="Normal 4 2 14 2 3 2" xfId="14555"/>
    <cellStyle name="Normal 4 2 14 2 3 3" xfId="20707"/>
    <cellStyle name="Normal 4 2 14 2 4" xfId="11489"/>
    <cellStyle name="Normal 4 2 14 2 5" xfId="17641"/>
    <cellStyle name="Normal 4 2 14 3" xfId="6027"/>
    <cellStyle name="Normal 4 2 14 3 2" xfId="9127"/>
    <cellStyle name="Normal 4 2 14 3 2 2" xfId="15320"/>
    <cellStyle name="Normal 4 2 14 3 2 3" xfId="21472"/>
    <cellStyle name="Normal 4 2 14 3 3" xfId="12254"/>
    <cellStyle name="Normal 4 2 14 3 4" xfId="18406"/>
    <cellStyle name="Normal 4 2 14 4" xfId="7592"/>
    <cellStyle name="Normal 4 2 14 4 2" xfId="13786"/>
    <cellStyle name="Normal 4 2 14 4 3" xfId="19938"/>
    <cellStyle name="Normal 4 2 14 5" xfId="10720"/>
    <cellStyle name="Normal 4 2 14 6" xfId="16872"/>
    <cellStyle name="Normal 4 2 15" xfId="3945"/>
    <cellStyle name="Normal 4 2 15 2" xfId="5186"/>
    <cellStyle name="Normal 4 2 15 2 2" xfId="6811"/>
    <cellStyle name="Normal 4 2 15 2 2 2" xfId="9897"/>
    <cellStyle name="Normal 4 2 15 2 2 2 2" xfId="16090"/>
    <cellStyle name="Normal 4 2 15 2 2 2 3" xfId="22242"/>
    <cellStyle name="Normal 4 2 15 2 2 3" xfId="13024"/>
    <cellStyle name="Normal 4 2 15 2 2 4" xfId="19176"/>
    <cellStyle name="Normal 4 2 15 2 3" xfId="8362"/>
    <cellStyle name="Normal 4 2 15 2 3 2" xfId="14556"/>
    <cellStyle name="Normal 4 2 15 2 3 3" xfId="20708"/>
    <cellStyle name="Normal 4 2 15 2 4" xfId="11490"/>
    <cellStyle name="Normal 4 2 15 2 5" xfId="17642"/>
    <cellStyle name="Normal 4 2 15 3" xfId="6028"/>
    <cellStyle name="Normal 4 2 15 3 2" xfId="9128"/>
    <cellStyle name="Normal 4 2 15 3 2 2" xfId="15321"/>
    <cellStyle name="Normal 4 2 15 3 2 3" xfId="21473"/>
    <cellStyle name="Normal 4 2 15 3 3" xfId="12255"/>
    <cellStyle name="Normal 4 2 15 3 4" xfId="18407"/>
    <cellStyle name="Normal 4 2 15 4" xfId="7593"/>
    <cellStyle name="Normal 4 2 15 4 2" xfId="13787"/>
    <cellStyle name="Normal 4 2 15 4 3" xfId="19939"/>
    <cellStyle name="Normal 4 2 15 5" xfId="10721"/>
    <cellStyle name="Normal 4 2 15 6" xfId="16873"/>
    <cellStyle name="Normal 4 2 16" xfId="3946"/>
    <cellStyle name="Normal 4 2 16 2" xfId="5187"/>
    <cellStyle name="Normal 4 2 16 2 2" xfId="6812"/>
    <cellStyle name="Normal 4 2 16 2 2 2" xfId="9898"/>
    <cellStyle name="Normal 4 2 16 2 2 2 2" xfId="16091"/>
    <cellStyle name="Normal 4 2 16 2 2 2 3" xfId="22243"/>
    <cellStyle name="Normal 4 2 16 2 2 3" xfId="13025"/>
    <cellStyle name="Normal 4 2 16 2 2 4" xfId="19177"/>
    <cellStyle name="Normal 4 2 16 2 3" xfId="8363"/>
    <cellStyle name="Normal 4 2 16 2 3 2" xfId="14557"/>
    <cellStyle name="Normal 4 2 16 2 3 3" xfId="20709"/>
    <cellStyle name="Normal 4 2 16 2 4" xfId="11491"/>
    <cellStyle name="Normal 4 2 16 2 5" xfId="17643"/>
    <cellStyle name="Normal 4 2 16 3" xfId="6029"/>
    <cellStyle name="Normal 4 2 16 3 2" xfId="9129"/>
    <cellStyle name="Normal 4 2 16 3 2 2" xfId="15322"/>
    <cellStyle name="Normal 4 2 16 3 2 3" xfId="21474"/>
    <cellStyle name="Normal 4 2 16 3 3" xfId="12256"/>
    <cellStyle name="Normal 4 2 16 3 4" xfId="18408"/>
    <cellStyle name="Normal 4 2 16 4" xfId="7594"/>
    <cellStyle name="Normal 4 2 16 4 2" xfId="13788"/>
    <cellStyle name="Normal 4 2 16 4 3" xfId="19940"/>
    <cellStyle name="Normal 4 2 16 5" xfId="10722"/>
    <cellStyle name="Normal 4 2 16 6" xfId="16874"/>
    <cellStyle name="Normal 4 2 17" xfId="3947"/>
    <cellStyle name="Normal 4 2 17 2" xfId="5188"/>
    <cellStyle name="Normal 4 2 17 2 2" xfId="6813"/>
    <cellStyle name="Normal 4 2 17 2 2 2" xfId="9899"/>
    <cellStyle name="Normal 4 2 17 2 2 2 2" xfId="16092"/>
    <cellStyle name="Normal 4 2 17 2 2 2 3" xfId="22244"/>
    <cellStyle name="Normal 4 2 17 2 2 3" xfId="13026"/>
    <cellStyle name="Normal 4 2 17 2 2 4" xfId="19178"/>
    <cellStyle name="Normal 4 2 17 2 3" xfId="8364"/>
    <cellStyle name="Normal 4 2 17 2 3 2" xfId="14558"/>
    <cellStyle name="Normal 4 2 17 2 3 3" xfId="20710"/>
    <cellStyle name="Normal 4 2 17 2 4" xfId="11492"/>
    <cellStyle name="Normal 4 2 17 2 5" xfId="17644"/>
    <cellStyle name="Normal 4 2 17 3" xfId="6030"/>
    <cellStyle name="Normal 4 2 17 3 2" xfId="9130"/>
    <cellStyle name="Normal 4 2 17 3 2 2" xfId="15323"/>
    <cellStyle name="Normal 4 2 17 3 2 3" xfId="21475"/>
    <cellStyle name="Normal 4 2 17 3 3" xfId="12257"/>
    <cellStyle name="Normal 4 2 17 3 4" xfId="18409"/>
    <cellStyle name="Normal 4 2 17 4" xfId="7595"/>
    <cellStyle name="Normal 4 2 17 4 2" xfId="13789"/>
    <cellStyle name="Normal 4 2 17 4 3" xfId="19941"/>
    <cellStyle name="Normal 4 2 17 5" xfId="10723"/>
    <cellStyle name="Normal 4 2 17 6" xfId="16875"/>
    <cellStyle name="Normal 4 2 18" xfId="3948"/>
    <cellStyle name="Normal 4 2 18 2" xfId="5189"/>
    <cellStyle name="Normal 4 2 18 2 2" xfId="6814"/>
    <cellStyle name="Normal 4 2 18 2 2 2" xfId="9900"/>
    <cellStyle name="Normal 4 2 18 2 2 2 2" xfId="16093"/>
    <cellStyle name="Normal 4 2 18 2 2 2 3" xfId="22245"/>
    <cellStyle name="Normal 4 2 18 2 2 3" xfId="13027"/>
    <cellStyle name="Normal 4 2 18 2 2 4" xfId="19179"/>
    <cellStyle name="Normal 4 2 18 2 3" xfId="8365"/>
    <cellStyle name="Normal 4 2 18 2 3 2" xfId="14559"/>
    <cellStyle name="Normal 4 2 18 2 3 3" xfId="20711"/>
    <cellStyle name="Normal 4 2 18 2 4" xfId="11493"/>
    <cellStyle name="Normal 4 2 18 2 5" xfId="17645"/>
    <cellStyle name="Normal 4 2 18 3" xfId="6031"/>
    <cellStyle name="Normal 4 2 18 3 2" xfId="9131"/>
    <cellStyle name="Normal 4 2 18 3 2 2" xfId="15324"/>
    <cellStyle name="Normal 4 2 18 3 2 3" xfId="21476"/>
    <cellStyle name="Normal 4 2 18 3 3" xfId="12258"/>
    <cellStyle name="Normal 4 2 18 3 4" xfId="18410"/>
    <cellStyle name="Normal 4 2 18 4" xfId="7596"/>
    <cellStyle name="Normal 4 2 18 4 2" xfId="13790"/>
    <cellStyle name="Normal 4 2 18 4 3" xfId="19942"/>
    <cellStyle name="Normal 4 2 18 5" xfId="10724"/>
    <cellStyle name="Normal 4 2 18 6" xfId="16876"/>
    <cellStyle name="Normal 4 2 19" xfId="3949"/>
    <cellStyle name="Normal 4 2 19 2" xfId="5190"/>
    <cellStyle name="Normal 4 2 19 2 2" xfId="6815"/>
    <cellStyle name="Normal 4 2 19 2 2 2" xfId="9901"/>
    <cellStyle name="Normal 4 2 19 2 2 2 2" xfId="16094"/>
    <cellStyle name="Normal 4 2 19 2 2 2 3" xfId="22246"/>
    <cellStyle name="Normal 4 2 19 2 2 3" xfId="13028"/>
    <cellStyle name="Normal 4 2 19 2 2 4" xfId="19180"/>
    <cellStyle name="Normal 4 2 19 2 3" xfId="8366"/>
    <cellStyle name="Normal 4 2 19 2 3 2" xfId="14560"/>
    <cellStyle name="Normal 4 2 19 2 3 3" xfId="20712"/>
    <cellStyle name="Normal 4 2 19 2 4" xfId="11494"/>
    <cellStyle name="Normal 4 2 19 2 5" xfId="17646"/>
    <cellStyle name="Normal 4 2 19 3" xfId="6032"/>
    <cellStyle name="Normal 4 2 19 3 2" xfId="9132"/>
    <cellStyle name="Normal 4 2 19 3 2 2" xfId="15325"/>
    <cellStyle name="Normal 4 2 19 3 2 3" xfId="21477"/>
    <cellStyle name="Normal 4 2 19 3 3" xfId="12259"/>
    <cellStyle name="Normal 4 2 19 3 4" xfId="18411"/>
    <cellStyle name="Normal 4 2 19 4" xfId="7597"/>
    <cellStyle name="Normal 4 2 19 4 2" xfId="13791"/>
    <cellStyle name="Normal 4 2 19 4 3" xfId="19943"/>
    <cellStyle name="Normal 4 2 19 5" xfId="10725"/>
    <cellStyle name="Normal 4 2 19 6" xfId="16877"/>
    <cellStyle name="Normal 4 2 2" xfId="3950"/>
    <cellStyle name="Normal 4 2 2 10" xfId="16878"/>
    <cellStyle name="Normal 4 2 2 2" xfId="3951"/>
    <cellStyle name="Normal 4 2 2 2 2" xfId="5192"/>
    <cellStyle name="Normal 4 2 2 2 2 2" xfId="6817"/>
    <cellStyle name="Normal 4 2 2 2 2 2 2" xfId="9903"/>
    <cellStyle name="Normal 4 2 2 2 2 2 2 2" xfId="16096"/>
    <cellStyle name="Normal 4 2 2 2 2 2 2 3" xfId="22248"/>
    <cellStyle name="Normal 4 2 2 2 2 2 3" xfId="13030"/>
    <cellStyle name="Normal 4 2 2 2 2 2 4" xfId="19182"/>
    <cellStyle name="Normal 4 2 2 2 2 3" xfId="8368"/>
    <cellStyle name="Normal 4 2 2 2 2 3 2" xfId="14562"/>
    <cellStyle name="Normal 4 2 2 2 2 3 3" xfId="20714"/>
    <cellStyle name="Normal 4 2 2 2 2 4" xfId="11496"/>
    <cellStyle name="Normal 4 2 2 2 2 5" xfId="17648"/>
    <cellStyle name="Normal 4 2 2 2 3" xfId="6034"/>
    <cellStyle name="Normal 4 2 2 2 3 2" xfId="9134"/>
    <cellStyle name="Normal 4 2 2 2 3 2 2" xfId="15327"/>
    <cellStyle name="Normal 4 2 2 2 3 2 3" xfId="21479"/>
    <cellStyle name="Normal 4 2 2 2 3 3" xfId="12261"/>
    <cellStyle name="Normal 4 2 2 2 3 4" xfId="18413"/>
    <cellStyle name="Normal 4 2 2 2 4" xfId="7599"/>
    <cellStyle name="Normal 4 2 2 2 4 2" xfId="13793"/>
    <cellStyle name="Normal 4 2 2 2 4 3" xfId="19945"/>
    <cellStyle name="Normal 4 2 2 2 5" xfId="10727"/>
    <cellStyle name="Normal 4 2 2 2 6" xfId="16879"/>
    <cellStyle name="Normal 4 2 2 3" xfId="3952"/>
    <cellStyle name="Normal 4 2 2 3 2" xfId="5193"/>
    <cellStyle name="Normal 4 2 2 3 2 2" xfId="6818"/>
    <cellStyle name="Normal 4 2 2 3 2 2 2" xfId="9904"/>
    <cellStyle name="Normal 4 2 2 3 2 2 2 2" xfId="16097"/>
    <cellStyle name="Normal 4 2 2 3 2 2 2 3" xfId="22249"/>
    <cellStyle name="Normal 4 2 2 3 2 2 3" xfId="13031"/>
    <cellStyle name="Normal 4 2 2 3 2 2 4" xfId="19183"/>
    <cellStyle name="Normal 4 2 2 3 2 3" xfId="8369"/>
    <cellStyle name="Normal 4 2 2 3 2 3 2" xfId="14563"/>
    <cellStyle name="Normal 4 2 2 3 2 3 3" xfId="20715"/>
    <cellStyle name="Normal 4 2 2 3 2 4" xfId="11497"/>
    <cellStyle name="Normal 4 2 2 3 2 5" xfId="17649"/>
    <cellStyle name="Normal 4 2 2 3 3" xfId="6035"/>
    <cellStyle name="Normal 4 2 2 3 3 2" xfId="9135"/>
    <cellStyle name="Normal 4 2 2 3 3 2 2" xfId="15328"/>
    <cellStyle name="Normal 4 2 2 3 3 2 3" xfId="21480"/>
    <cellStyle name="Normal 4 2 2 3 3 3" xfId="12262"/>
    <cellStyle name="Normal 4 2 2 3 3 4" xfId="18414"/>
    <cellStyle name="Normal 4 2 2 3 4" xfId="7600"/>
    <cellStyle name="Normal 4 2 2 3 4 2" xfId="13794"/>
    <cellStyle name="Normal 4 2 2 3 4 3" xfId="19946"/>
    <cellStyle name="Normal 4 2 2 3 5" xfId="10728"/>
    <cellStyle name="Normal 4 2 2 3 6" xfId="16880"/>
    <cellStyle name="Normal 4 2 2 4" xfId="3953"/>
    <cellStyle name="Normal 4 2 2 4 2" xfId="5194"/>
    <cellStyle name="Normal 4 2 2 4 2 2" xfId="6819"/>
    <cellStyle name="Normal 4 2 2 4 2 2 2" xfId="9905"/>
    <cellStyle name="Normal 4 2 2 4 2 2 2 2" xfId="16098"/>
    <cellStyle name="Normal 4 2 2 4 2 2 2 3" xfId="22250"/>
    <cellStyle name="Normal 4 2 2 4 2 2 3" xfId="13032"/>
    <cellStyle name="Normal 4 2 2 4 2 2 4" xfId="19184"/>
    <cellStyle name="Normal 4 2 2 4 2 3" xfId="8370"/>
    <cellStyle name="Normal 4 2 2 4 2 3 2" xfId="14564"/>
    <cellStyle name="Normal 4 2 2 4 2 3 3" xfId="20716"/>
    <cellStyle name="Normal 4 2 2 4 2 4" xfId="11498"/>
    <cellStyle name="Normal 4 2 2 4 2 5" xfId="17650"/>
    <cellStyle name="Normal 4 2 2 4 3" xfId="6036"/>
    <cellStyle name="Normal 4 2 2 4 3 2" xfId="9136"/>
    <cellStyle name="Normal 4 2 2 4 3 2 2" xfId="15329"/>
    <cellStyle name="Normal 4 2 2 4 3 2 3" xfId="21481"/>
    <cellStyle name="Normal 4 2 2 4 3 3" xfId="12263"/>
    <cellStyle name="Normal 4 2 2 4 3 4" xfId="18415"/>
    <cellStyle name="Normal 4 2 2 4 4" xfId="7601"/>
    <cellStyle name="Normal 4 2 2 4 4 2" xfId="13795"/>
    <cellStyle name="Normal 4 2 2 4 4 3" xfId="19947"/>
    <cellStyle name="Normal 4 2 2 4 5" xfId="10729"/>
    <cellStyle name="Normal 4 2 2 4 6" xfId="16881"/>
    <cellStyle name="Normal 4 2 2 5" xfId="3954"/>
    <cellStyle name="Normal 4 2 2 5 2" xfId="5195"/>
    <cellStyle name="Normal 4 2 2 5 2 2" xfId="6820"/>
    <cellStyle name="Normal 4 2 2 5 2 2 2" xfId="9906"/>
    <cellStyle name="Normal 4 2 2 5 2 2 2 2" xfId="16099"/>
    <cellStyle name="Normal 4 2 2 5 2 2 2 3" xfId="22251"/>
    <cellStyle name="Normal 4 2 2 5 2 2 3" xfId="13033"/>
    <cellStyle name="Normal 4 2 2 5 2 2 4" xfId="19185"/>
    <cellStyle name="Normal 4 2 2 5 2 3" xfId="8371"/>
    <cellStyle name="Normal 4 2 2 5 2 3 2" xfId="14565"/>
    <cellStyle name="Normal 4 2 2 5 2 3 3" xfId="20717"/>
    <cellStyle name="Normal 4 2 2 5 2 4" xfId="11499"/>
    <cellStyle name="Normal 4 2 2 5 2 5" xfId="17651"/>
    <cellStyle name="Normal 4 2 2 5 3" xfId="6037"/>
    <cellStyle name="Normal 4 2 2 5 3 2" xfId="9137"/>
    <cellStyle name="Normal 4 2 2 5 3 2 2" xfId="15330"/>
    <cellStyle name="Normal 4 2 2 5 3 2 3" xfId="21482"/>
    <cellStyle name="Normal 4 2 2 5 3 3" xfId="12264"/>
    <cellStyle name="Normal 4 2 2 5 3 4" xfId="18416"/>
    <cellStyle name="Normal 4 2 2 5 4" xfId="7602"/>
    <cellStyle name="Normal 4 2 2 5 4 2" xfId="13796"/>
    <cellStyle name="Normal 4 2 2 5 4 3" xfId="19948"/>
    <cellStyle name="Normal 4 2 2 5 5" xfId="10730"/>
    <cellStyle name="Normal 4 2 2 5 6" xfId="16882"/>
    <cellStyle name="Normal 4 2 2 6" xfId="5191"/>
    <cellStyle name="Normal 4 2 2 6 2" xfId="6816"/>
    <cellStyle name="Normal 4 2 2 6 2 2" xfId="9902"/>
    <cellStyle name="Normal 4 2 2 6 2 2 2" xfId="16095"/>
    <cellStyle name="Normal 4 2 2 6 2 2 3" xfId="22247"/>
    <cellStyle name="Normal 4 2 2 6 2 3" xfId="13029"/>
    <cellStyle name="Normal 4 2 2 6 2 4" xfId="19181"/>
    <cellStyle name="Normal 4 2 2 6 3" xfId="8367"/>
    <cellStyle name="Normal 4 2 2 6 3 2" xfId="14561"/>
    <cellStyle name="Normal 4 2 2 6 3 3" xfId="20713"/>
    <cellStyle name="Normal 4 2 2 6 4" xfId="11495"/>
    <cellStyle name="Normal 4 2 2 6 5" xfId="17647"/>
    <cellStyle name="Normal 4 2 2 7" xfId="6033"/>
    <cellStyle name="Normal 4 2 2 7 2" xfId="9133"/>
    <cellStyle name="Normal 4 2 2 7 2 2" xfId="15326"/>
    <cellStyle name="Normal 4 2 2 7 2 3" xfId="21478"/>
    <cellStyle name="Normal 4 2 2 7 3" xfId="12260"/>
    <cellStyle name="Normal 4 2 2 7 4" xfId="18412"/>
    <cellStyle name="Normal 4 2 2 8" xfId="7598"/>
    <cellStyle name="Normal 4 2 2 8 2" xfId="13792"/>
    <cellStyle name="Normal 4 2 2 8 3" xfId="19944"/>
    <cellStyle name="Normal 4 2 2 9" xfId="10726"/>
    <cellStyle name="Normal 4 2 20" xfId="3955"/>
    <cellStyle name="Normal 4 2 20 2" xfId="5196"/>
    <cellStyle name="Normal 4 2 20 2 2" xfId="6821"/>
    <cellStyle name="Normal 4 2 20 2 2 2" xfId="9907"/>
    <cellStyle name="Normal 4 2 20 2 2 2 2" xfId="16100"/>
    <cellStyle name="Normal 4 2 20 2 2 2 3" xfId="22252"/>
    <cellStyle name="Normal 4 2 20 2 2 3" xfId="13034"/>
    <cellStyle name="Normal 4 2 20 2 2 4" xfId="19186"/>
    <cellStyle name="Normal 4 2 20 2 3" xfId="8372"/>
    <cellStyle name="Normal 4 2 20 2 3 2" xfId="14566"/>
    <cellStyle name="Normal 4 2 20 2 3 3" xfId="20718"/>
    <cellStyle name="Normal 4 2 20 2 4" xfId="11500"/>
    <cellStyle name="Normal 4 2 20 2 5" xfId="17652"/>
    <cellStyle name="Normal 4 2 20 3" xfId="6038"/>
    <cellStyle name="Normal 4 2 20 3 2" xfId="9138"/>
    <cellStyle name="Normal 4 2 20 3 2 2" xfId="15331"/>
    <cellStyle name="Normal 4 2 20 3 2 3" xfId="21483"/>
    <cellStyle name="Normal 4 2 20 3 3" xfId="12265"/>
    <cellStyle name="Normal 4 2 20 3 4" xfId="18417"/>
    <cellStyle name="Normal 4 2 20 4" xfId="7603"/>
    <cellStyle name="Normal 4 2 20 4 2" xfId="13797"/>
    <cellStyle name="Normal 4 2 20 4 3" xfId="19949"/>
    <cellStyle name="Normal 4 2 20 5" xfId="10731"/>
    <cellStyle name="Normal 4 2 20 6" xfId="16883"/>
    <cellStyle name="Normal 4 2 21" xfId="3956"/>
    <cellStyle name="Normal 4 2 21 2" xfId="5197"/>
    <cellStyle name="Normal 4 2 21 2 2" xfId="6822"/>
    <cellStyle name="Normal 4 2 21 2 2 2" xfId="9908"/>
    <cellStyle name="Normal 4 2 21 2 2 2 2" xfId="16101"/>
    <cellStyle name="Normal 4 2 21 2 2 2 3" xfId="22253"/>
    <cellStyle name="Normal 4 2 21 2 2 3" xfId="13035"/>
    <cellStyle name="Normal 4 2 21 2 2 4" xfId="19187"/>
    <cellStyle name="Normal 4 2 21 2 3" xfId="8373"/>
    <cellStyle name="Normal 4 2 21 2 3 2" xfId="14567"/>
    <cellStyle name="Normal 4 2 21 2 3 3" xfId="20719"/>
    <cellStyle name="Normal 4 2 21 2 4" xfId="11501"/>
    <cellStyle name="Normal 4 2 21 2 5" xfId="17653"/>
    <cellStyle name="Normal 4 2 21 3" xfId="6039"/>
    <cellStyle name="Normal 4 2 21 3 2" xfId="9139"/>
    <cellStyle name="Normal 4 2 21 3 2 2" xfId="15332"/>
    <cellStyle name="Normal 4 2 21 3 2 3" xfId="21484"/>
    <cellStyle name="Normal 4 2 21 3 3" xfId="12266"/>
    <cellStyle name="Normal 4 2 21 3 4" xfId="18418"/>
    <cellStyle name="Normal 4 2 21 4" xfId="7604"/>
    <cellStyle name="Normal 4 2 21 4 2" xfId="13798"/>
    <cellStyle name="Normal 4 2 21 4 3" xfId="19950"/>
    <cellStyle name="Normal 4 2 21 5" xfId="10732"/>
    <cellStyle name="Normal 4 2 21 6" xfId="16884"/>
    <cellStyle name="Normal 4 2 22" xfId="3957"/>
    <cellStyle name="Normal 4 2 22 2" xfId="5198"/>
    <cellStyle name="Normal 4 2 22 2 2" xfId="6823"/>
    <cellStyle name="Normal 4 2 22 2 2 2" xfId="9909"/>
    <cellStyle name="Normal 4 2 22 2 2 2 2" xfId="16102"/>
    <cellStyle name="Normal 4 2 22 2 2 2 3" xfId="22254"/>
    <cellStyle name="Normal 4 2 22 2 2 3" xfId="13036"/>
    <cellStyle name="Normal 4 2 22 2 2 4" xfId="19188"/>
    <cellStyle name="Normal 4 2 22 2 3" xfId="8374"/>
    <cellStyle name="Normal 4 2 22 2 3 2" xfId="14568"/>
    <cellStyle name="Normal 4 2 22 2 3 3" xfId="20720"/>
    <cellStyle name="Normal 4 2 22 2 4" xfId="11502"/>
    <cellStyle name="Normal 4 2 22 2 5" xfId="17654"/>
    <cellStyle name="Normal 4 2 22 3" xfId="6040"/>
    <cellStyle name="Normal 4 2 22 3 2" xfId="9140"/>
    <cellStyle name="Normal 4 2 22 3 2 2" xfId="15333"/>
    <cellStyle name="Normal 4 2 22 3 2 3" xfId="21485"/>
    <cellStyle name="Normal 4 2 22 3 3" xfId="12267"/>
    <cellStyle name="Normal 4 2 22 3 4" xfId="18419"/>
    <cellStyle name="Normal 4 2 22 4" xfId="7605"/>
    <cellStyle name="Normal 4 2 22 4 2" xfId="13799"/>
    <cellStyle name="Normal 4 2 22 4 3" xfId="19951"/>
    <cellStyle name="Normal 4 2 22 5" xfId="10733"/>
    <cellStyle name="Normal 4 2 22 6" xfId="16885"/>
    <cellStyle name="Normal 4 2 23" xfId="3958"/>
    <cellStyle name="Normal 4 2 23 2" xfId="5199"/>
    <cellStyle name="Normal 4 2 23 2 2" xfId="6824"/>
    <cellStyle name="Normal 4 2 23 2 2 2" xfId="9910"/>
    <cellStyle name="Normal 4 2 23 2 2 2 2" xfId="16103"/>
    <cellStyle name="Normal 4 2 23 2 2 2 3" xfId="22255"/>
    <cellStyle name="Normal 4 2 23 2 2 3" xfId="13037"/>
    <cellStyle name="Normal 4 2 23 2 2 4" xfId="19189"/>
    <cellStyle name="Normal 4 2 23 2 3" xfId="8375"/>
    <cellStyle name="Normal 4 2 23 2 3 2" xfId="14569"/>
    <cellStyle name="Normal 4 2 23 2 3 3" xfId="20721"/>
    <cellStyle name="Normal 4 2 23 2 4" xfId="11503"/>
    <cellStyle name="Normal 4 2 23 2 5" xfId="17655"/>
    <cellStyle name="Normal 4 2 23 3" xfId="6041"/>
    <cellStyle name="Normal 4 2 23 3 2" xfId="9141"/>
    <cellStyle name="Normal 4 2 23 3 2 2" xfId="15334"/>
    <cellStyle name="Normal 4 2 23 3 2 3" xfId="21486"/>
    <cellStyle name="Normal 4 2 23 3 3" xfId="12268"/>
    <cellStyle name="Normal 4 2 23 3 4" xfId="18420"/>
    <cellStyle name="Normal 4 2 23 4" xfId="7606"/>
    <cellStyle name="Normal 4 2 23 4 2" xfId="13800"/>
    <cellStyle name="Normal 4 2 23 4 3" xfId="19952"/>
    <cellStyle name="Normal 4 2 23 5" xfId="10734"/>
    <cellStyle name="Normal 4 2 23 6" xfId="16886"/>
    <cellStyle name="Normal 4 2 24" xfId="3959"/>
    <cellStyle name="Normal 4 2 24 2" xfId="5200"/>
    <cellStyle name="Normal 4 2 24 2 2" xfId="6825"/>
    <cellStyle name="Normal 4 2 24 2 2 2" xfId="9911"/>
    <cellStyle name="Normal 4 2 24 2 2 2 2" xfId="16104"/>
    <cellStyle name="Normal 4 2 24 2 2 2 3" xfId="22256"/>
    <cellStyle name="Normal 4 2 24 2 2 3" xfId="13038"/>
    <cellStyle name="Normal 4 2 24 2 2 4" xfId="19190"/>
    <cellStyle name="Normal 4 2 24 2 3" xfId="8376"/>
    <cellStyle name="Normal 4 2 24 2 3 2" xfId="14570"/>
    <cellStyle name="Normal 4 2 24 2 3 3" xfId="20722"/>
    <cellStyle name="Normal 4 2 24 2 4" xfId="11504"/>
    <cellStyle name="Normal 4 2 24 2 5" xfId="17656"/>
    <cellStyle name="Normal 4 2 24 3" xfId="6042"/>
    <cellStyle name="Normal 4 2 24 3 2" xfId="9142"/>
    <cellStyle name="Normal 4 2 24 3 2 2" xfId="15335"/>
    <cellStyle name="Normal 4 2 24 3 2 3" xfId="21487"/>
    <cellStyle name="Normal 4 2 24 3 3" xfId="12269"/>
    <cellStyle name="Normal 4 2 24 3 4" xfId="18421"/>
    <cellStyle name="Normal 4 2 24 4" xfId="7607"/>
    <cellStyle name="Normal 4 2 24 4 2" xfId="13801"/>
    <cellStyle name="Normal 4 2 24 4 3" xfId="19953"/>
    <cellStyle name="Normal 4 2 24 5" xfId="10735"/>
    <cellStyle name="Normal 4 2 24 6" xfId="16887"/>
    <cellStyle name="Normal 4 2 25" xfId="3960"/>
    <cellStyle name="Normal 4 2 26" xfId="3961"/>
    <cellStyle name="Normal 4 2 26 2" xfId="3962"/>
    <cellStyle name="Normal 4 2 27" xfId="3963"/>
    <cellStyle name="Normal 4 2 27 2" xfId="3964"/>
    <cellStyle name="Normal 4 2 28" xfId="10261"/>
    <cellStyle name="Normal 4 2 29" xfId="3939"/>
    <cellStyle name="Normal 4 2 3" xfId="3965"/>
    <cellStyle name="Normal 4 2 3 2" xfId="3966"/>
    <cellStyle name="Normal 4 2 3 2 2" xfId="5202"/>
    <cellStyle name="Normal 4 2 3 2 2 2" xfId="6827"/>
    <cellStyle name="Normal 4 2 3 2 2 2 2" xfId="9913"/>
    <cellStyle name="Normal 4 2 3 2 2 2 2 2" xfId="16106"/>
    <cellStyle name="Normal 4 2 3 2 2 2 2 3" xfId="22258"/>
    <cellStyle name="Normal 4 2 3 2 2 2 3" xfId="13040"/>
    <cellStyle name="Normal 4 2 3 2 2 2 4" xfId="19192"/>
    <cellStyle name="Normal 4 2 3 2 2 3" xfId="8378"/>
    <cellStyle name="Normal 4 2 3 2 2 3 2" xfId="14572"/>
    <cellStyle name="Normal 4 2 3 2 2 3 3" xfId="20724"/>
    <cellStyle name="Normal 4 2 3 2 2 4" xfId="11506"/>
    <cellStyle name="Normal 4 2 3 2 2 5" xfId="17658"/>
    <cellStyle name="Normal 4 2 3 2 3" xfId="6044"/>
    <cellStyle name="Normal 4 2 3 2 3 2" xfId="9144"/>
    <cellStyle name="Normal 4 2 3 2 3 2 2" xfId="15337"/>
    <cellStyle name="Normal 4 2 3 2 3 2 3" xfId="21489"/>
    <cellStyle name="Normal 4 2 3 2 3 3" xfId="12271"/>
    <cellStyle name="Normal 4 2 3 2 3 4" xfId="18423"/>
    <cellStyle name="Normal 4 2 3 2 4" xfId="7609"/>
    <cellStyle name="Normal 4 2 3 2 4 2" xfId="13803"/>
    <cellStyle name="Normal 4 2 3 2 4 3" xfId="19955"/>
    <cellStyle name="Normal 4 2 3 2 5" xfId="10737"/>
    <cellStyle name="Normal 4 2 3 2 6" xfId="16889"/>
    <cellStyle name="Normal 4 2 3 3" xfId="5201"/>
    <cellStyle name="Normal 4 2 3 3 2" xfId="6826"/>
    <cellStyle name="Normal 4 2 3 3 2 2" xfId="9912"/>
    <cellStyle name="Normal 4 2 3 3 2 2 2" xfId="16105"/>
    <cellStyle name="Normal 4 2 3 3 2 2 3" xfId="22257"/>
    <cellStyle name="Normal 4 2 3 3 2 3" xfId="13039"/>
    <cellStyle name="Normal 4 2 3 3 2 4" xfId="19191"/>
    <cellStyle name="Normal 4 2 3 3 3" xfId="8377"/>
    <cellStyle name="Normal 4 2 3 3 3 2" xfId="14571"/>
    <cellStyle name="Normal 4 2 3 3 3 3" xfId="20723"/>
    <cellStyle name="Normal 4 2 3 3 4" xfId="11505"/>
    <cellStyle name="Normal 4 2 3 3 5" xfId="17657"/>
    <cellStyle name="Normal 4 2 3 4" xfId="6043"/>
    <cellStyle name="Normal 4 2 3 4 2" xfId="9143"/>
    <cellStyle name="Normal 4 2 3 4 2 2" xfId="15336"/>
    <cellStyle name="Normal 4 2 3 4 2 3" xfId="21488"/>
    <cellStyle name="Normal 4 2 3 4 3" xfId="12270"/>
    <cellStyle name="Normal 4 2 3 4 4" xfId="18422"/>
    <cellStyle name="Normal 4 2 3 5" xfId="7608"/>
    <cellStyle name="Normal 4 2 3 5 2" xfId="13802"/>
    <cellStyle name="Normal 4 2 3 5 3" xfId="19954"/>
    <cellStyle name="Normal 4 2 3 6" xfId="10736"/>
    <cellStyle name="Normal 4 2 3 7" xfId="16888"/>
    <cellStyle name="Normal 4 2 30" xfId="23277"/>
    <cellStyle name="Normal 4 2 4" xfId="3967"/>
    <cellStyle name="Normal 4 2 4 2" xfId="3968"/>
    <cellStyle name="Normal 4 2 4 2 2" xfId="5204"/>
    <cellStyle name="Normal 4 2 4 2 2 2" xfId="6829"/>
    <cellStyle name="Normal 4 2 4 2 2 2 2" xfId="9915"/>
    <cellStyle name="Normal 4 2 4 2 2 2 2 2" xfId="16108"/>
    <cellStyle name="Normal 4 2 4 2 2 2 2 3" xfId="22260"/>
    <cellStyle name="Normal 4 2 4 2 2 2 3" xfId="13042"/>
    <cellStyle name="Normal 4 2 4 2 2 2 4" xfId="19194"/>
    <cellStyle name="Normal 4 2 4 2 2 3" xfId="8380"/>
    <cellStyle name="Normal 4 2 4 2 2 3 2" xfId="14574"/>
    <cellStyle name="Normal 4 2 4 2 2 3 3" xfId="20726"/>
    <cellStyle name="Normal 4 2 4 2 2 4" xfId="11508"/>
    <cellStyle name="Normal 4 2 4 2 2 5" xfId="17660"/>
    <cellStyle name="Normal 4 2 4 2 3" xfId="6046"/>
    <cellStyle name="Normal 4 2 4 2 3 2" xfId="9146"/>
    <cellStyle name="Normal 4 2 4 2 3 2 2" xfId="15339"/>
    <cellStyle name="Normal 4 2 4 2 3 2 3" xfId="21491"/>
    <cellStyle name="Normal 4 2 4 2 3 3" xfId="12273"/>
    <cellStyle name="Normal 4 2 4 2 3 4" xfId="18425"/>
    <cellStyle name="Normal 4 2 4 2 4" xfId="7611"/>
    <cellStyle name="Normal 4 2 4 2 4 2" xfId="13805"/>
    <cellStyle name="Normal 4 2 4 2 4 3" xfId="19957"/>
    <cellStyle name="Normal 4 2 4 2 5" xfId="10739"/>
    <cellStyle name="Normal 4 2 4 2 6" xfId="16891"/>
    <cellStyle name="Normal 4 2 4 3" xfId="5203"/>
    <cellStyle name="Normal 4 2 4 3 2" xfId="6828"/>
    <cellStyle name="Normal 4 2 4 3 2 2" xfId="9914"/>
    <cellStyle name="Normal 4 2 4 3 2 2 2" xfId="16107"/>
    <cellStyle name="Normal 4 2 4 3 2 2 3" xfId="22259"/>
    <cellStyle name="Normal 4 2 4 3 2 3" xfId="13041"/>
    <cellStyle name="Normal 4 2 4 3 2 4" xfId="19193"/>
    <cellStyle name="Normal 4 2 4 3 3" xfId="8379"/>
    <cellStyle name="Normal 4 2 4 3 3 2" xfId="14573"/>
    <cellStyle name="Normal 4 2 4 3 3 3" xfId="20725"/>
    <cellStyle name="Normal 4 2 4 3 4" xfId="11507"/>
    <cellStyle name="Normal 4 2 4 3 5" xfId="17659"/>
    <cellStyle name="Normal 4 2 4 4" xfId="6045"/>
    <cellStyle name="Normal 4 2 4 4 2" xfId="9145"/>
    <cellStyle name="Normal 4 2 4 4 2 2" xfId="15338"/>
    <cellStyle name="Normal 4 2 4 4 2 3" xfId="21490"/>
    <cellStyle name="Normal 4 2 4 4 3" xfId="12272"/>
    <cellStyle name="Normal 4 2 4 4 4" xfId="18424"/>
    <cellStyle name="Normal 4 2 4 5" xfId="7610"/>
    <cellStyle name="Normal 4 2 4 5 2" xfId="13804"/>
    <cellStyle name="Normal 4 2 4 5 3" xfId="19956"/>
    <cellStyle name="Normal 4 2 4 6" xfId="10738"/>
    <cellStyle name="Normal 4 2 4 7" xfId="16890"/>
    <cellStyle name="Normal 4 2 5" xfId="3969"/>
    <cellStyle name="Normal 4 2 5 2" xfId="3970"/>
    <cellStyle name="Normal 4 2 5 2 2" xfId="5206"/>
    <cellStyle name="Normal 4 2 5 2 2 2" xfId="6831"/>
    <cellStyle name="Normal 4 2 5 2 2 2 2" xfId="9917"/>
    <cellStyle name="Normal 4 2 5 2 2 2 2 2" xfId="16110"/>
    <cellStyle name="Normal 4 2 5 2 2 2 2 3" xfId="22262"/>
    <cellStyle name="Normal 4 2 5 2 2 2 3" xfId="13044"/>
    <cellStyle name="Normal 4 2 5 2 2 2 4" xfId="19196"/>
    <cellStyle name="Normal 4 2 5 2 2 3" xfId="8382"/>
    <cellStyle name="Normal 4 2 5 2 2 3 2" xfId="14576"/>
    <cellStyle name="Normal 4 2 5 2 2 3 3" xfId="20728"/>
    <cellStyle name="Normal 4 2 5 2 2 4" xfId="11510"/>
    <cellStyle name="Normal 4 2 5 2 2 5" xfId="17662"/>
    <cellStyle name="Normal 4 2 5 2 3" xfId="6048"/>
    <cellStyle name="Normal 4 2 5 2 3 2" xfId="9148"/>
    <cellStyle name="Normal 4 2 5 2 3 2 2" xfId="15341"/>
    <cellStyle name="Normal 4 2 5 2 3 2 3" xfId="21493"/>
    <cellStyle name="Normal 4 2 5 2 3 3" xfId="12275"/>
    <cellStyle name="Normal 4 2 5 2 3 4" xfId="18427"/>
    <cellStyle name="Normal 4 2 5 2 4" xfId="7613"/>
    <cellStyle name="Normal 4 2 5 2 4 2" xfId="13807"/>
    <cellStyle name="Normal 4 2 5 2 4 3" xfId="19959"/>
    <cellStyle name="Normal 4 2 5 2 5" xfId="10741"/>
    <cellStyle name="Normal 4 2 5 2 6" xfId="16893"/>
    <cellStyle name="Normal 4 2 5 3" xfId="5205"/>
    <cellStyle name="Normal 4 2 5 3 2" xfId="6830"/>
    <cellStyle name="Normal 4 2 5 3 2 2" xfId="9916"/>
    <cellStyle name="Normal 4 2 5 3 2 2 2" xfId="16109"/>
    <cellStyle name="Normal 4 2 5 3 2 2 3" xfId="22261"/>
    <cellStyle name="Normal 4 2 5 3 2 3" xfId="13043"/>
    <cellStyle name="Normal 4 2 5 3 2 4" xfId="19195"/>
    <cellStyle name="Normal 4 2 5 3 3" xfId="8381"/>
    <cellStyle name="Normal 4 2 5 3 3 2" xfId="14575"/>
    <cellStyle name="Normal 4 2 5 3 3 3" xfId="20727"/>
    <cellStyle name="Normal 4 2 5 3 4" xfId="11509"/>
    <cellStyle name="Normal 4 2 5 3 5" xfId="17661"/>
    <cellStyle name="Normal 4 2 5 4" xfId="6047"/>
    <cellStyle name="Normal 4 2 5 4 2" xfId="9147"/>
    <cellStyle name="Normal 4 2 5 4 2 2" xfId="15340"/>
    <cellStyle name="Normal 4 2 5 4 2 3" xfId="21492"/>
    <cellStyle name="Normal 4 2 5 4 3" xfId="12274"/>
    <cellStyle name="Normal 4 2 5 4 4" xfId="18426"/>
    <cellStyle name="Normal 4 2 5 5" xfId="7612"/>
    <cellStyle name="Normal 4 2 5 5 2" xfId="13806"/>
    <cellStyle name="Normal 4 2 5 5 3" xfId="19958"/>
    <cellStyle name="Normal 4 2 5 6" xfId="10740"/>
    <cellStyle name="Normal 4 2 5 7" xfId="16892"/>
    <cellStyle name="Normal 4 2 6" xfId="3971"/>
    <cellStyle name="Normal 4 2 6 2" xfId="5207"/>
    <cellStyle name="Normal 4 2 6 2 2" xfId="6832"/>
    <cellStyle name="Normal 4 2 6 2 2 2" xfId="9918"/>
    <cellStyle name="Normal 4 2 6 2 2 2 2" xfId="16111"/>
    <cellStyle name="Normal 4 2 6 2 2 2 3" xfId="22263"/>
    <cellStyle name="Normal 4 2 6 2 2 3" xfId="13045"/>
    <cellStyle name="Normal 4 2 6 2 2 4" xfId="19197"/>
    <cellStyle name="Normal 4 2 6 2 3" xfId="8383"/>
    <cellStyle name="Normal 4 2 6 2 3 2" xfId="14577"/>
    <cellStyle name="Normal 4 2 6 2 3 3" xfId="20729"/>
    <cellStyle name="Normal 4 2 6 2 4" xfId="11511"/>
    <cellStyle name="Normal 4 2 6 2 5" xfId="17663"/>
    <cellStyle name="Normal 4 2 6 3" xfId="6049"/>
    <cellStyle name="Normal 4 2 6 3 2" xfId="9149"/>
    <cellStyle name="Normal 4 2 6 3 2 2" xfId="15342"/>
    <cellStyle name="Normal 4 2 6 3 2 3" xfId="21494"/>
    <cellStyle name="Normal 4 2 6 3 3" xfId="12276"/>
    <cellStyle name="Normal 4 2 6 3 4" xfId="18428"/>
    <cellStyle name="Normal 4 2 6 4" xfId="7614"/>
    <cellStyle name="Normal 4 2 6 4 2" xfId="13808"/>
    <cellStyle name="Normal 4 2 6 4 3" xfId="19960"/>
    <cellStyle name="Normal 4 2 6 5" xfId="10742"/>
    <cellStyle name="Normal 4 2 6 6" xfId="16894"/>
    <cellStyle name="Normal 4 2 7" xfId="3972"/>
    <cellStyle name="Normal 4 2 7 2" xfId="5208"/>
    <cellStyle name="Normal 4 2 7 2 2" xfId="6833"/>
    <cellStyle name="Normal 4 2 7 2 2 2" xfId="9919"/>
    <cellStyle name="Normal 4 2 7 2 2 2 2" xfId="16112"/>
    <cellStyle name="Normal 4 2 7 2 2 2 3" xfId="22264"/>
    <cellStyle name="Normal 4 2 7 2 2 3" xfId="13046"/>
    <cellStyle name="Normal 4 2 7 2 2 4" xfId="19198"/>
    <cellStyle name="Normal 4 2 7 2 3" xfId="8384"/>
    <cellStyle name="Normal 4 2 7 2 3 2" xfId="14578"/>
    <cellStyle name="Normal 4 2 7 2 3 3" xfId="20730"/>
    <cellStyle name="Normal 4 2 7 2 4" xfId="11512"/>
    <cellStyle name="Normal 4 2 7 2 5" xfId="17664"/>
    <cellStyle name="Normal 4 2 7 3" xfId="6050"/>
    <cellStyle name="Normal 4 2 7 3 2" xfId="9150"/>
    <cellStyle name="Normal 4 2 7 3 2 2" xfId="15343"/>
    <cellStyle name="Normal 4 2 7 3 2 3" xfId="21495"/>
    <cellStyle name="Normal 4 2 7 3 3" xfId="12277"/>
    <cellStyle name="Normal 4 2 7 3 4" xfId="18429"/>
    <cellStyle name="Normal 4 2 7 4" xfId="7615"/>
    <cellStyle name="Normal 4 2 7 4 2" xfId="13809"/>
    <cellStyle name="Normal 4 2 7 4 3" xfId="19961"/>
    <cellStyle name="Normal 4 2 7 5" xfId="10743"/>
    <cellStyle name="Normal 4 2 7 6" xfId="16895"/>
    <cellStyle name="Normal 4 2 8" xfId="3973"/>
    <cellStyle name="Normal 4 2 8 2" xfId="5209"/>
    <cellStyle name="Normal 4 2 8 2 2" xfId="6834"/>
    <cellStyle name="Normal 4 2 8 2 2 2" xfId="9920"/>
    <cellStyle name="Normal 4 2 8 2 2 2 2" xfId="16113"/>
    <cellStyle name="Normal 4 2 8 2 2 2 3" xfId="22265"/>
    <cellStyle name="Normal 4 2 8 2 2 3" xfId="13047"/>
    <cellStyle name="Normal 4 2 8 2 2 4" xfId="19199"/>
    <cellStyle name="Normal 4 2 8 2 3" xfId="8385"/>
    <cellStyle name="Normal 4 2 8 2 3 2" xfId="14579"/>
    <cellStyle name="Normal 4 2 8 2 3 3" xfId="20731"/>
    <cellStyle name="Normal 4 2 8 2 4" xfId="11513"/>
    <cellStyle name="Normal 4 2 8 2 5" xfId="17665"/>
    <cellStyle name="Normal 4 2 8 3" xfId="6051"/>
    <cellStyle name="Normal 4 2 8 3 2" xfId="9151"/>
    <cellStyle name="Normal 4 2 8 3 2 2" xfId="15344"/>
    <cellStyle name="Normal 4 2 8 3 2 3" xfId="21496"/>
    <cellStyle name="Normal 4 2 8 3 3" xfId="12278"/>
    <cellStyle name="Normal 4 2 8 3 4" xfId="18430"/>
    <cellStyle name="Normal 4 2 8 4" xfId="7616"/>
    <cellStyle name="Normal 4 2 8 4 2" xfId="13810"/>
    <cellStyle name="Normal 4 2 8 4 3" xfId="19962"/>
    <cellStyle name="Normal 4 2 8 5" xfId="10744"/>
    <cellStyle name="Normal 4 2 8 6" xfId="16896"/>
    <cellStyle name="Normal 4 2 9" xfId="3974"/>
    <cellStyle name="Normal 4 2 9 2" xfId="5210"/>
    <cellStyle name="Normal 4 2 9 2 2" xfId="6835"/>
    <cellStyle name="Normal 4 2 9 2 2 2" xfId="9921"/>
    <cellStyle name="Normal 4 2 9 2 2 2 2" xfId="16114"/>
    <cellStyle name="Normal 4 2 9 2 2 2 3" xfId="22266"/>
    <cellStyle name="Normal 4 2 9 2 2 3" xfId="13048"/>
    <cellStyle name="Normal 4 2 9 2 2 4" xfId="19200"/>
    <cellStyle name="Normal 4 2 9 2 3" xfId="8386"/>
    <cellStyle name="Normal 4 2 9 2 3 2" xfId="14580"/>
    <cellStyle name="Normal 4 2 9 2 3 3" xfId="20732"/>
    <cellStyle name="Normal 4 2 9 2 4" xfId="11514"/>
    <cellStyle name="Normal 4 2 9 2 5" xfId="17666"/>
    <cellStyle name="Normal 4 2 9 3" xfId="6052"/>
    <cellStyle name="Normal 4 2 9 3 2" xfId="9152"/>
    <cellStyle name="Normal 4 2 9 3 2 2" xfId="15345"/>
    <cellStyle name="Normal 4 2 9 3 2 3" xfId="21497"/>
    <cellStyle name="Normal 4 2 9 3 3" xfId="12279"/>
    <cellStyle name="Normal 4 2 9 3 4" xfId="18431"/>
    <cellStyle name="Normal 4 2 9 4" xfId="7617"/>
    <cellStyle name="Normal 4 2 9 4 2" xfId="13811"/>
    <cellStyle name="Normal 4 2 9 4 3" xfId="19963"/>
    <cellStyle name="Normal 4 2 9 5" xfId="10745"/>
    <cellStyle name="Normal 4 2 9 6" xfId="16897"/>
    <cellStyle name="Normal 4 20" xfId="563"/>
    <cellStyle name="Normal 4 21" xfId="589"/>
    <cellStyle name="Normal 4 22" xfId="612"/>
    <cellStyle name="Normal 4 23" xfId="629"/>
    <cellStyle name="Normal 4 24" xfId="650"/>
    <cellStyle name="Normal 4 25" xfId="701"/>
    <cellStyle name="Normal 4 26" xfId="733"/>
    <cellStyle name="Normal 4 27" xfId="759"/>
    <cellStyle name="Normal 4 28" xfId="784"/>
    <cellStyle name="Normal 4 29" xfId="808"/>
    <cellStyle name="Normal 4 3" xfId="251"/>
    <cellStyle name="Normal 4 3 10" xfId="10746"/>
    <cellStyle name="Normal 4 3 11" xfId="16898"/>
    <cellStyle name="Normal 4 3 12" xfId="3975"/>
    <cellStyle name="Normal 4 3 13" xfId="23278"/>
    <cellStyle name="Normal 4 3 2" xfId="3976"/>
    <cellStyle name="Normal 4 3 2 10" xfId="16899"/>
    <cellStyle name="Normal 4 3 2 2" xfId="3977"/>
    <cellStyle name="Normal 4 3 2 2 2" xfId="3978"/>
    <cellStyle name="Normal 4 3 2 2 2 2" xfId="3979"/>
    <cellStyle name="Normal 4 3 2 2 2 2 2" xfId="5215"/>
    <cellStyle name="Normal 4 3 2 2 2 2 2 2" xfId="6840"/>
    <cellStyle name="Normal 4 3 2 2 2 2 2 2 2" xfId="9926"/>
    <cellStyle name="Normal 4 3 2 2 2 2 2 2 2 2" xfId="16119"/>
    <cellStyle name="Normal 4 3 2 2 2 2 2 2 2 3" xfId="22271"/>
    <cellStyle name="Normal 4 3 2 2 2 2 2 2 3" xfId="13053"/>
    <cellStyle name="Normal 4 3 2 2 2 2 2 2 4" xfId="19205"/>
    <cellStyle name="Normal 4 3 2 2 2 2 2 3" xfId="8391"/>
    <cellStyle name="Normal 4 3 2 2 2 2 2 3 2" xfId="14585"/>
    <cellStyle name="Normal 4 3 2 2 2 2 2 3 3" xfId="20737"/>
    <cellStyle name="Normal 4 3 2 2 2 2 2 4" xfId="11519"/>
    <cellStyle name="Normal 4 3 2 2 2 2 2 5" xfId="17671"/>
    <cellStyle name="Normal 4 3 2 2 2 2 3" xfId="6057"/>
    <cellStyle name="Normal 4 3 2 2 2 2 3 2" xfId="9157"/>
    <cellStyle name="Normal 4 3 2 2 2 2 3 2 2" xfId="15350"/>
    <cellStyle name="Normal 4 3 2 2 2 2 3 2 3" xfId="21502"/>
    <cellStyle name="Normal 4 3 2 2 2 2 3 3" xfId="12284"/>
    <cellStyle name="Normal 4 3 2 2 2 2 3 4" xfId="18436"/>
    <cellStyle name="Normal 4 3 2 2 2 2 4" xfId="7622"/>
    <cellStyle name="Normal 4 3 2 2 2 2 4 2" xfId="13816"/>
    <cellStyle name="Normal 4 3 2 2 2 2 4 3" xfId="19968"/>
    <cellStyle name="Normal 4 3 2 2 2 2 5" xfId="10750"/>
    <cellStyle name="Normal 4 3 2 2 2 2 6" xfId="16902"/>
    <cellStyle name="Normal 4 3 2 2 2 3" xfId="5214"/>
    <cellStyle name="Normal 4 3 2 2 2 3 2" xfId="6839"/>
    <cellStyle name="Normal 4 3 2 2 2 3 2 2" xfId="9925"/>
    <cellStyle name="Normal 4 3 2 2 2 3 2 2 2" xfId="16118"/>
    <cellStyle name="Normal 4 3 2 2 2 3 2 2 3" xfId="22270"/>
    <cellStyle name="Normal 4 3 2 2 2 3 2 3" xfId="13052"/>
    <cellStyle name="Normal 4 3 2 2 2 3 2 4" xfId="19204"/>
    <cellStyle name="Normal 4 3 2 2 2 3 3" xfId="8390"/>
    <cellStyle name="Normal 4 3 2 2 2 3 3 2" xfId="14584"/>
    <cellStyle name="Normal 4 3 2 2 2 3 3 3" xfId="20736"/>
    <cellStyle name="Normal 4 3 2 2 2 3 4" xfId="11518"/>
    <cellStyle name="Normal 4 3 2 2 2 3 5" xfId="17670"/>
    <cellStyle name="Normal 4 3 2 2 2 4" xfId="6056"/>
    <cellStyle name="Normal 4 3 2 2 2 4 2" xfId="9156"/>
    <cellStyle name="Normal 4 3 2 2 2 4 2 2" xfId="15349"/>
    <cellStyle name="Normal 4 3 2 2 2 4 2 3" xfId="21501"/>
    <cellStyle name="Normal 4 3 2 2 2 4 3" xfId="12283"/>
    <cellStyle name="Normal 4 3 2 2 2 4 4" xfId="18435"/>
    <cellStyle name="Normal 4 3 2 2 2 5" xfId="7621"/>
    <cellStyle name="Normal 4 3 2 2 2 5 2" xfId="13815"/>
    <cellStyle name="Normal 4 3 2 2 2 5 3" xfId="19967"/>
    <cellStyle name="Normal 4 3 2 2 2 6" xfId="10749"/>
    <cellStyle name="Normal 4 3 2 2 2 7" xfId="16901"/>
    <cellStyle name="Normal 4 3 2 2 3" xfId="3980"/>
    <cellStyle name="Normal 4 3 2 2 3 2" xfId="3981"/>
    <cellStyle name="Normal 4 3 2 2 3 2 2" xfId="5217"/>
    <cellStyle name="Normal 4 3 2 2 3 2 2 2" xfId="6842"/>
    <cellStyle name="Normal 4 3 2 2 3 2 2 2 2" xfId="9928"/>
    <cellStyle name="Normal 4 3 2 2 3 2 2 2 2 2" xfId="16121"/>
    <cellStyle name="Normal 4 3 2 2 3 2 2 2 2 3" xfId="22273"/>
    <cellStyle name="Normal 4 3 2 2 3 2 2 2 3" xfId="13055"/>
    <cellStyle name="Normal 4 3 2 2 3 2 2 2 4" xfId="19207"/>
    <cellStyle name="Normal 4 3 2 2 3 2 2 3" xfId="8393"/>
    <cellStyle name="Normal 4 3 2 2 3 2 2 3 2" xfId="14587"/>
    <cellStyle name="Normal 4 3 2 2 3 2 2 3 3" xfId="20739"/>
    <cellStyle name="Normal 4 3 2 2 3 2 2 4" xfId="11521"/>
    <cellStyle name="Normal 4 3 2 2 3 2 2 5" xfId="17673"/>
    <cellStyle name="Normal 4 3 2 2 3 2 3" xfId="6059"/>
    <cellStyle name="Normal 4 3 2 2 3 2 3 2" xfId="9159"/>
    <cellStyle name="Normal 4 3 2 2 3 2 3 2 2" xfId="15352"/>
    <cellStyle name="Normal 4 3 2 2 3 2 3 2 3" xfId="21504"/>
    <cellStyle name="Normal 4 3 2 2 3 2 3 3" xfId="12286"/>
    <cellStyle name="Normal 4 3 2 2 3 2 3 4" xfId="18438"/>
    <cellStyle name="Normal 4 3 2 2 3 2 4" xfId="7624"/>
    <cellStyle name="Normal 4 3 2 2 3 2 4 2" xfId="13818"/>
    <cellStyle name="Normal 4 3 2 2 3 2 4 3" xfId="19970"/>
    <cellStyle name="Normal 4 3 2 2 3 2 5" xfId="10752"/>
    <cellStyle name="Normal 4 3 2 2 3 2 6" xfId="16904"/>
    <cellStyle name="Normal 4 3 2 2 3 3" xfId="5216"/>
    <cellStyle name="Normal 4 3 2 2 3 3 2" xfId="6841"/>
    <cellStyle name="Normal 4 3 2 2 3 3 2 2" xfId="9927"/>
    <cellStyle name="Normal 4 3 2 2 3 3 2 2 2" xfId="16120"/>
    <cellStyle name="Normal 4 3 2 2 3 3 2 2 3" xfId="22272"/>
    <cellStyle name="Normal 4 3 2 2 3 3 2 3" xfId="13054"/>
    <cellStyle name="Normal 4 3 2 2 3 3 2 4" xfId="19206"/>
    <cellStyle name="Normal 4 3 2 2 3 3 3" xfId="8392"/>
    <cellStyle name="Normal 4 3 2 2 3 3 3 2" xfId="14586"/>
    <cellStyle name="Normal 4 3 2 2 3 3 3 3" xfId="20738"/>
    <cellStyle name="Normal 4 3 2 2 3 3 4" xfId="11520"/>
    <cellStyle name="Normal 4 3 2 2 3 3 5" xfId="17672"/>
    <cellStyle name="Normal 4 3 2 2 3 4" xfId="6058"/>
    <cellStyle name="Normal 4 3 2 2 3 4 2" xfId="9158"/>
    <cellStyle name="Normal 4 3 2 2 3 4 2 2" xfId="15351"/>
    <cellStyle name="Normal 4 3 2 2 3 4 2 3" xfId="21503"/>
    <cellStyle name="Normal 4 3 2 2 3 4 3" xfId="12285"/>
    <cellStyle name="Normal 4 3 2 2 3 4 4" xfId="18437"/>
    <cellStyle name="Normal 4 3 2 2 3 5" xfId="7623"/>
    <cellStyle name="Normal 4 3 2 2 3 5 2" xfId="13817"/>
    <cellStyle name="Normal 4 3 2 2 3 5 3" xfId="19969"/>
    <cellStyle name="Normal 4 3 2 2 3 6" xfId="10751"/>
    <cellStyle name="Normal 4 3 2 2 3 7" xfId="16903"/>
    <cellStyle name="Normal 4 3 2 2 4" xfId="3982"/>
    <cellStyle name="Normal 4 3 2 2 4 2" xfId="5218"/>
    <cellStyle name="Normal 4 3 2 2 4 2 2" xfId="6843"/>
    <cellStyle name="Normal 4 3 2 2 4 2 2 2" xfId="9929"/>
    <cellStyle name="Normal 4 3 2 2 4 2 2 2 2" xfId="16122"/>
    <cellStyle name="Normal 4 3 2 2 4 2 2 2 3" xfId="22274"/>
    <cellStyle name="Normal 4 3 2 2 4 2 2 3" xfId="13056"/>
    <cellStyle name="Normal 4 3 2 2 4 2 2 4" xfId="19208"/>
    <cellStyle name="Normal 4 3 2 2 4 2 3" xfId="8394"/>
    <cellStyle name="Normal 4 3 2 2 4 2 3 2" xfId="14588"/>
    <cellStyle name="Normal 4 3 2 2 4 2 3 3" xfId="20740"/>
    <cellStyle name="Normal 4 3 2 2 4 2 4" xfId="11522"/>
    <cellStyle name="Normal 4 3 2 2 4 2 5" xfId="17674"/>
    <cellStyle name="Normal 4 3 2 2 4 3" xfId="6060"/>
    <cellStyle name="Normal 4 3 2 2 4 3 2" xfId="9160"/>
    <cellStyle name="Normal 4 3 2 2 4 3 2 2" xfId="15353"/>
    <cellStyle name="Normal 4 3 2 2 4 3 2 3" xfId="21505"/>
    <cellStyle name="Normal 4 3 2 2 4 3 3" xfId="12287"/>
    <cellStyle name="Normal 4 3 2 2 4 3 4" xfId="18439"/>
    <cellStyle name="Normal 4 3 2 2 4 4" xfId="7625"/>
    <cellStyle name="Normal 4 3 2 2 4 4 2" xfId="13819"/>
    <cellStyle name="Normal 4 3 2 2 4 4 3" xfId="19971"/>
    <cellStyle name="Normal 4 3 2 2 4 5" xfId="10753"/>
    <cellStyle name="Normal 4 3 2 2 4 6" xfId="16905"/>
    <cellStyle name="Normal 4 3 2 2 5" xfId="5213"/>
    <cellStyle name="Normal 4 3 2 2 5 2" xfId="6838"/>
    <cellStyle name="Normal 4 3 2 2 5 2 2" xfId="9924"/>
    <cellStyle name="Normal 4 3 2 2 5 2 2 2" xfId="16117"/>
    <cellStyle name="Normal 4 3 2 2 5 2 2 3" xfId="22269"/>
    <cellStyle name="Normal 4 3 2 2 5 2 3" xfId="13051"/>
    <cellStyle name="Normal 4 3 2 2 5 2 4" xfId="19203"/>
    <cellStyle name="Normal 4 3 2 2 5 3" xfId="8389"/>
    <cellStyle name="Normal 4 3 2 2 5 3 2" xfId="14583"/>
    <cellStyle name="Normal 4 3 2 2 5 3 3" xfId="20735"/>
    <cellStyle name="Normal 4 3 2 2 5 4" xfId="11517"/>
    <cellStyle name="Normal 4 3 2 2 5 5" xfId="17669"/>
    <cellStyle name="Normal 4 3 2 2 6" xfId="6055"/>
    <cellStyle name="Normal 4 3 2 2 6 2" xfId="9155"/>
    <cellStyle name="Normal 4 3 2 2 6 2 2" xfId="15348"/>
    <cellStyle name="Normal 4 3 2 2 6 2 3" xfId="21500"/>
    <cellStyle name="Normal 4 3 2 2 6 3" xfId="12282"/>
    <cellStyle name="Normal 4 3 2 2 6 4" xfId="18434"/>
    <cellStyle name="Normal 4 3 2 2 7" xfId="7620"/>
    <cellStyle name="Normal 4 3 2 2 7 2" xfId="13814"/>
    <cellStyle name="Normal 4 3 2 2 7 3" xfId="19966"/>
    <cellStyle name="Normal 4 3 2 2 8" xfId="10748"/>
    <cellStyle name="Normal 4 3 2 2 9" xfId="16900"/>
    <cellStyle name="Normal 4 3 2 3" xfId="3983"/>
    <cellStyle name="Normal 4 3 2 3 2" xfId="3984"/>
    <cellStyle name="Normal 4 3 2 3 2 2" xfId="5220"/>
    <cellStyle name="Normal 4 3 2 3 2 2 2" xfId="6845"/>
    <cellStyle name="Normal 4 3 2 3 2 2 2 2" xfId="9931"/>
    <cellStyle name="Normal 4 3 2 3 2 2 2 2 2" xfId="16124"/>
    <cellStyle name="Normal 4 3 2 3 2 2 2 2 3" xfId="22276"/>
    <cellStyle name="Normal 4 3 2 3 2 2 2 3" xfId="13058"/>
    <cellStyle name="Normal 4 3 2 3 2 2 2 4" xfId="19210"/>
    <cellStyle name="Normal 4 3 2 3 2 2 3" xfId="8396"/>
    <cellStyle name="Normal 4 3 2 3 2 2 3 2" xfId="14590"/>
    <cellStyle name="Normal 4 3 2 3 2 2 3 3" xfId="20742"/>
    <cellStyle name="Normal 4 3 2 3 2 2 4" xfId="11524"/>
    <cellStyle name="Normal 4 3 2 3 2 2 5" xfId="17676"/>
    <cellStyle name="Normal 4 3 2 3 2 3" xfId="6062"/>
    <cellStyle name="Normal 4 3 2 3 2 3 2" xfId="9162"/>
    <cellStyle name="Normal 4 3 2 3 2 3 2 2" xfId="15355"/>
    <cellStyle name="Normal 4 3 2 3 2 3 2 3" xfId="21507"/>
    <cellStyle name="Normal 4 3 2 3 2 3 3" xfId="12289"/>
    <cellStyle name="Normal 4 3 2 3 2 3 4" xfId="18441"/>
    <cellStyle name="Normal 4 3 2 3 2 4" xfId="7627"/>
    <cellStyle name="Normal 4 3 2 3 2 4 2" xfId="13821"/>
    <cellStyle name="Normal 4 3 2 3 2 4 3" xfId="19973"/>
    <cellStyle name="Normal 4 3 2 3 2 5" xfId="10755"/>
    <cellStyle name="Normal 4 3 2 3 2 6" xfId="16907"/>
    <cellStyle name="Normal 4 3 2 3 3" xfId="5219"/>
    <cellStyle name="Normal 4 3 2 3 3 2" xfId="6844"/>
    <cellStyle name="Normal 4 3 2 3 3 2 2" xfId="9930"/>
    <cellStyle name="Normal 4 3 2 3 3 2 2 2" xfId="16123"/>
    <cellStyle name="Normal 4 3 2 3 3 2 2 3" xfId="22275"/>
    <cellStyle name="Normal 4 3 2 3 3 2 3" xfId="13057"/>
    <cellStyle name="Normal 4 3 2 3 3 2 4" xfId="19209"/>
    <cellStyle name="Normal 4 3 2 3 3 3" xfId="8395"/>
    <cellStyle name="Normal 4 3 2 3 3 3 2" xfId="14589"/>
    <cellStyle name="Normal 4 3 2 3 3 3 3" xfId="20741"/>
    <cellStyle name="Normal 4 3 2 3 3 4" xfId="11523"/>
    <cellStyle name="Normal 4 3 2 3 3 5" xfId="17675"/>
    <cellStyle name="Normal 4 3 2 3 4" xfId="6061"/>
    <cellStyle name="Normal 4 3 2 3 4 2" xfId="9161"/>
    <cellStyle name="Normal 4 3 2 3 4 2 2" xfId="15354"/>
    <cellStyle name="Normal 4 3 2 3 4 2 3" xfId="21506"/>
    <cellStyle name="Normal 4 3 2 3 4 3" xfId="12288"/>
    <cellStyle name="Normal 4 3 2 3 4 4" xfId="18440"/>
    <cellStyle name="Normal 4 3 2 3 5" xfId="7626"/>
    <cellStyle name="Normal 4 3 2 3 5 2" xfId="13820"/>
    <cellStyle name="Normal 4 3 2 3 5 3" xfId="19972"/>
    <cellStyle name="Normal 4 3 2 3 6" xfId="10754"/>
    <cellStyle name="Normal 4 3 2 3 7" xfId="16906"/>
    <cellStyle name="Normal 4 3 2 4" xfId="3985"/>
    <cellStyle name="Normal 4 3 2 4 2" xfId="3986"/>
    <cellStyle name="Normal 4 3 2 4 2 2" xfId="5222"/>
    <cellStyle name="Normal 4 3 2 4 2 2 2" xfId="6847"/>
    <cellStyle name="Normal 4 3 2 4 2 2 2 2" xfId="9933"/>
    <cellStyle name="Normal 4 3 2 4 2 2 2 2 2" xfId="16126"/>
    <cellStyle name="Normal 4 3 2 4 2 2 2 2 3" xfId="22278"/>
    <cellStyle name="Normal 4 3 2 4 2 2 2 3" xfId="13060"/>
    <cellStyle name="Normal 4 3 2 4 2 2 2 4" xfId="19212"/>
    <cellStyle name="Normal 4 3 2 4 2 2 3" xfId="8398"/>
    <cellStyle name="Normal 4 3 2 4 2 2 3 2" xfId="14592"/>
    <cellStyle name="Normal 4 3 2 4 2 2 3 3" xfId="20744"/>
    <cellStyle name="Normal 4 3 2 4 2 2 4" xfId="11526"/>
    <cellStyle name="Normal 4 3 2 4 2 2 5" xfId="17678"/>
    <cellStyle name="Normal 4 3 2 4 2 3" xfId="6064"/>
    <cellStyle name="Normal 4 3 2 4 2 3 2" xfId="9164"/>
    <cellStyle name="Normal 4 3 2 4 2 3 2 2" xfId="15357"/>
    <cellStyle name="Normal 4 3 2 4 2 3 2 3" xfId="21509"/>
    <cellStyle name="Normal 4 3 2 4 2 3 3" xfId="12291"/>
    <cellStyle name="Normal 4 3 2 4 2 3 4" xfId="18443"/>
    <cellStyle name="Normal 4 3 2 4 2 4" xfId="7629"/>
    <cellStyle name="Normal 4 3 2 4 2 4 2" xfId="13823"/>
    <cellStyle name="Normal 4 3 2 4 2 4 3" xfId="19975"/>
    <cellStyle name="Normal 4 3 2 4 2 5" xfId="10757"/>
    <cellStyle name="Normal 4 3 2 4 2 6" xfId="16909"/>
    <cellStyle name="Normal 4 3 2 4 3" xfId="5221"/>
    <cellStyle name="Normal 4 3 2 4 3 2" xfId="6846"/>
    <cellStyle name="Normal 4 3 2 4 3 2 2" xfId="9932"/>
    <cellStyle name="Normal 4 3 2 4 3 2 2 2" xfId="16125"/>
    <cellStyle name="Normal 4 3 2 4 3 2 2 3" xfId="22277"/>
    <cellStyle name="Normal 4 3 2 4 3 2 3" xfId="13059"/>
    <cellStyle name="Normal 4 3 2 4 3 2 4" xfId="19211"/>
    <cellStyle name="Normal 4 3 2 4 3 3" xfId="8397"/>
    <cellStyle name="Normal 4 3 2 4 3 3 2" xfId="14591"/>
    <cellStyle name="Normal 4 3 2 4 3 3 3" xfId="20743"/>
    <cellStyle name="Normal 4 3 2 4 3 4" xfId="11525"/>
    <cellStyle name="Normal 4 3 2 4 3 5" xfId="17677"/>
    <cellStyle name="Normal 4 3 2 4 4" xfId="6063"/>
    <cellStyle name="Normal 4 3 2 4 4 2" xfId="9163"/>
    <cellStyle name="Normal 4 3 2 4 4 2 2" xfId="15356"/>
    <cellStyle name="Normal 4 3 2 4 4 2 3" xfId="21508"/>
    <cellStyle name="Normal 4 3 2 4 4 3" xfId="12290"/>
    <cellStyle name="Normal 4 3 2 4 4 4" xfId="18442"/>
    <cellStyle name="Normal 4 3 2 4 5" xfId="7628"/>
    <cellStyle name="Normal 4 3 2 4 5 2" xfId="13822"/>
    <cellStyle name="Normal 4 3 2 4 5 3" xfId="19974"/>
    <cellStyle name="Normal 4 3 2 4 6" xfId="10756"/>
    <cellStyle name="Normal 4 3 2 4 7" xfId="16908"/>
    <cellStyle name="Normal 4 3 2 5" xfId="3987"/>
    <cellStyle name="Normal 4 3 2 5 2" xfId="5223"/>
    <cellStyle name="Normal 4 3 2 5 2 2" xfId="6848"/>
    <cellStyle name="Normal 4 3 2 5 2 2 2" xfId="9934"/>
    <cellStyle name="Normal 4 3 2 5 2 2 2 2" xfId="16127"/>
    <cellStyle name="Normal 4 3 2 5 2 2 2 3" xfId="22279"/>
    <cellStyle name="Normal 4 3 2 5 2 2 3" xfId="13061"/>
    <cellStyle name="Normal 4 3 2 5 2 2 4" xfId="19213"/>
    <cellStyle name="Normal 4 3 2 5 2 3" xfId="8399"/>
    <cellStyle name="Normal 4 3 2 5 2 3 2" xfId="14593"/>
    <cellStyle name="Normal 4 3 2 5 2 3 3" xfId="20745"/>
    <cellStyle name="Normal 4 3 2 5 2 4" xfId="11527"/>
    <cellStyle name="Normal 4 3 2 5 2 5" xfId="17679"/>
    <cellStyle name="Normal 4 3 2 5 3" xfId="6065"/>
    <cellStyle name="Normal 4 3 2 5 3 2" xfId="9165"/>
    <cellStyle name="Normal 4 3 2 5 3 2 2" xfId="15358"/>
    <cellStyle name="Normal 4 3 2 5 3 2 3" xfId="21510"/>
    <cellStyle name="Normal 4 3 2 5 3 3" xfId="12292"/>
    <cellStyle name="Normal 4 3 2 5 3 4" xfId="18444"/>
    <cellStyle name="Normal 4 3 2 5 4" xfId="7630"/>
    <cellStyle name="Normal 4 3 2 5 4 2" xfId="13824"/>
    <cellStyle name="Normal 4 3 2 5 4 3" xfId="19976"/>
    <cellStyle name="Normal 4 3 2 5 5" xfId="10758"/>
    <cellStyle name="Normal 4 3 2 5 6" xfId="16910"/>
    <cellStyle name="Normal 4 3 2 6" xfId="5212"/>
    <cellStyle name="Normal 4 3 2 6 2" xfId="6837"/>
    <cellStyle name="Normal 4 3 2 6 2 2" xfId="9923"/>
    <cellStyle name="Normal 4 3 2 6 2 2 2" xfId="16116"/>
    <cellStyle name="Normal 4 3 2 6 2 2 3" xfId="22268"/>
    <cellStyle name="Normal 4 3 2 6 2 3" xfId="13050"/>
    <cellStyle name="Normal 4 3 2 6 2 4" xfId="19202"/>
    <cellStyle name="Normal 4 3 2 6 3" xfId="8388"/>
    <cellStyle name="Normal 4 3 2 6 3 2" xfId="14582"/>
    <cellStyle name="Normal 4 3 2 6 3 3" xfId="20734"/>
    <cellStyle name="Normal 4 3 2 6 4" xfId="11516"/>
    <cellStyle name="Normal 4 3 2 6 5" xfId="17668"/>
    <cellStyle name="Normal 4 3 2 7" xfId="6054"/>
    <cellStyle name="Normal 4 3 2 7 2" xfId="9154"/>
    <cellStyle name="Normal 4 3 2 7 2 2" xfId="15347"/>
    <cellStyle name="Normal 4 3 2 7 2 3" xfId="21499"/>
    <cellStyle name="Normal 4 3 2 7 3" xfId="12281"/>
    <cellStyle name="Normal 4 3 2 7 4" xfId="18433"/>
    <cellStyle name="Normal 4 3 2 8" xfId="7619"/>
    <cellStyle name="Normal 4 3 2 8 2" xfId="13813"/>
    <cellStyle name="Normal 4 3 2 8 3" xfId="19965"/>
    <cellStyle name="Normal 4 3 2 9" xfId="10747"/>
    <cellStyle name="Normal 4 3 3" xfId="3988"/>
    <cellStyle name="Normal 4 3 3 2" xfId="3989"/>
    <cellStyle name="Normal 4 3 3 2 2" xfId="3990"/>
    <cellStyle name="Normal 4 3 3 2 2 2" xfId="5226"/>
    <cellStyle name="Normal 4 3 3 2 2 2 2" xfId="6851"/>
    <cellStyle name="Normal 4 3 3 2 2 2 2 2" xfId="9937"/>
    <cellStyle name="Normal 4 3 3 2 2 2 2 2 2" xfId="16130"/>
    <cellStyle name="Normal 4 3 3 2 2 2 2 2 3" xfId="22282"/>
    <cellStyle name="Normal 4 3 3 2 2 2 2 3" xfId="13064"/>
    <cellStyle name="Normal 4 3 3 2 2 2 2 4" xfId="19216"/>
    <cellStyle name="Normal 4 3 3 2 2 2 3" xfId="8402"/>
    <cellStyle name="Normal 4 3 3 2 2 2 3 2" xfId="14596"/>
    <cellStyle name="Normal 4 3 3 2 2 2 3 3" xfId="20748"/>
    <cellStyle name="Normal 4 3 3 2 2 2 4" xfId="11530"/>
    <cellStyle name="Normal 4 3 3 2 2 2 5" xfId="17682"/>
    <cellStyle name="Normal 4 3 3 2 2 3" xfId="6068"/>
    <cellStyle name="Normal 4 3 3 2 2 3 2" xfId="9168"/>
    <cellStyle name="Normal 4 3 3 2 2 3 2 2" xfId="15361"/>
    <cellStyle name="Normal 4 3 3 2 2 3 2 3" xfId="21513"/>
    <cellStyle name="Normal 4 3 3 2 2 3 3" xfId="12295"/>
    <cellStyle name="Normal 4 3 3 2 2 3 4" xfId="18447"/>
    <cellStyle name="Normal 4 3 3 2 2 4" xfId="7633"/>
    <cellStyle name="Normal 4 3 3 2 2 4 2" xfId="13827"/>
    <cellStyle name="Normal 4 3 3 2 2 4 3" xfId="19979"/>
    <cellStyle name="Normal 4 3 3 2 2 5" xfId="10761"/>
    <cellStyle name="Normal 4 3 3 2 2 6" xfId="16913"/>
    <cellStyle name="Normal 4 3 3 2 3" xfId="5225"/>
    <cellStyle name="Normal 4 3 3 2 3 2" xfId="6850"/>
    <cellStyle name="Normal 4 3 3 2 3 2 2" xfId="9936"/>
    <cellStyle name="Normal 4 3 3 2 3 2 2 2" xfId="16129"/>
    <cellStyle name="Normal 4 3 3 2 3 2 2 3" xfId="22281"/>
    <cellStyle name="Normal 4 3 3 2 3 2 3" xfId="13063"/>
    <cellStyle name="Normal 4 3 3 2 3 2 4" xfId="19215"/>
    <cellStyle name="Normal 4 3 3 2 3 3" xfId="8401"/>
    <cellStyle name="Normal 4 3 3 2 3 3 2" xfId="14595"/>
    <cellStyle name="Normal 4 3 3 2 3 3 3" xfId="20747"/>
    <cellStyle name="Normal 4 3 3 2 3 4" xfId="11529"/>
    <cellStyle name="Normal 4 3 3 2 3 5" xfId="17681"/>
    <cellStyle name="Normal 4 3 3 2 4" xfId="6067"/>
    <cellStyle name="Normal 4 3 3 2 4 2" xfId="9167"/>
    <cellStyle name="Normal 4 3 3 2 4 2 2" xfId="15360"/>
    <cellStyle name="Normal 4 3 3 2 4 2 3" xfId="21512"/>
    <cellStyle name="Normal 4 3 3 2 4 3" xfId="12294"/>
    <cellStyle name="Normal 4 3 3 2 4 4" xfId="18446"/>
    <cellStyle name="Normal 4 3 3 2 5" xfId="7632"/>
    <cellStyle name="Normal 4 3 3 2 5 2" xfId="13826"/>
    <cellStyle name="Normal 4 3 3 2 5 3" xfId="19978"/>
    <cellStyle name="Normal 4 3 3 2 6" xfId="10760"/>
    <cellStyle name="Normal 4 3 3 2 7" xfId="16912"/>
    <cellStyle name="Normal 4 3 3 3" xfId="3991"/>
    <cellStyle name="Normal 4 3 3 3 2" xfId="3992"/>
    <cellStyle name="Normal 4 3 3 3 2 2" xfId="5228"/>
    <cellStyle name="Normal 4 3 3 3 2 2 2" xfId="6853"/>
    <cellStyle name="Normal 4 3 3 3 2 2 2 2" xfId="9939"/>
    <cellStyle name="Normal 4 3 3 3 2 2 2 2 2" xfId="16132"/>
    <cellStyle name="Normal 4 3 3 3 2 2 2 2 3" xfId="22284"/>
    <cellStyle name="Normal 4 3 3 3 2 2 2 3" xfId="13066"/>
    <cellStyle name="Normal 4 3 3 3 2 2 2 4" xfId="19218"/>
    <cellStyle name="Normal 4 3 3 3 2 2 3" xfId="8404"/>
    <cellStyle name="Normal 4 3 3 3 2 2 3 2" xfId="14598"/>
    <cellStyle name="Normal 4 3 3 3 2 2 3 3" xfId="20750"/>
    <cellStyle name="Normal 4 3 3 3 2 2 4" xfId="11532"/>
    <cellStyle name="Normal 4 3 3 3 2 2 5" xfId="17684"/>
    <cellStyle name="Normal 4 3 3 3 2 3" xfId="6070"/>
    <cellStyle name="Normal 4 3 3 3 2 3 2" xfId="9170"/>
    <cellStyle name="Normal 4 3 3 3 2 3 2 2" xfId="15363"/>
    <cellStyle name="Normal 4 3 3 3 2 3 2 3" xfId="21515"/>
    <cellStyle name="Normal 4 3 3 3 2 3 3" xfId="12297"/>
    <cellStyle name="Normal 4 3 3 3 2 3 4" xfId="18449"/>
    <cellStyle name="Normal 4 3 3 3 2 4" xfId="7635"/>
    <cellStyle name="Normal 4 3 3 3 2 4 2" xfId="13829"/>
    <cellStyle name="Normal 4 3 3 3 2 4 3" xfId="19981"/>
    <cellStyle name="Normal 4 3 3 3 2 5" xfId="10763"/>
    <cellStyle name="Normal 4 3 3 3 2 6" xfId="16915"/>
    <cellStyle name="Normal 4 3 3 3 3" xfId="5227"/>
    <cellStyle name="Normal 4 3 3 3 3 2" xfId="6852"/>
    <cellStyle name="Normal 4 3 3 3 3 2 2" xfId="9938"/>
    <cellStyle name="Normal 4 3 3 3 3 2 2 2" xfId="16131"/>
    <cellStyle name="Normal 4 3 3 3 3 2 2 3" xfId="22283"/>
    <cellStyle name="Normal 4 3 3 3 3 2 3" xfId="13065"/>
    <cellStyle name="Normal 4 3 3 3 3 2 4" xfId="19217"/>
    <cellStyle name="Normal 4 3 3 3 3 3" xfId="8403"/>
    <cellStyle name="Normal 4 3 3 3 3 3 2" xfId="14597"/>
    <cellStyle name="Normal 4 3 3 3 3 3 3" xfId="20749"/>
    <cellStyle name="Normal 4 3 3 3 3 4" xfId="11531"/>
    <cellStyle name="Normal 4 3 3 3 3 5" xfId="17683"/>
    <cellStyle name="Normal 4 3 3 3 4" xfId="6069"/>
    <cellStyle name="Normal 4 3 3 3 4 2" xfId="9169"/>
    <cellStyle name="Normal 4 3 3 3 4 2 2" xfId="15362"/>
    <cellStyle name="Normal 4 3 3 3 4 2 3" xfId="21514"/>
    <cellStyle name="Normal 4 3 3 3 4 3" xfId="12296"/>
    <cellStyle name="Normal 4 3 3 3 4 4" xfId="18448"/>
    <cellStyle name="Normal 4 3 3 3 5" xfId="7634"/>
    <cellStyle name="Normal 4 3 3 3 5 2" xfId="13828"/>
    <cellStyle name="Normal 4 3 3 3 5 3" xfId="19980"/>
    <cellStyle name="Normal 4 3 3 3 6" xfId="10762"/>
    <cellStyle name="Normal 4 3 3 3 7" xfId="16914"/>
    <cellStyle name="Normal 4 3 3 4" xfId="3993"/>
    <cellStyle name="Normal 4 3 3 4 2" xfId="5229"/>
    <cellStyle name="Normal 4 3 3 4 2 2" xfId="6854"/>
    <cellStyle name="Normal 4 3 3 4 2 2 2" xfId="9940"/>
    <cellStyle name="Normal 4 3 3 4 2 2 2 2" xfId="16133"/>
    <cellStyle name="Normal 4 3 3 4 2 2 2 3" xfId="22285"/>
    <cellStyle name="Normal 4 3 3 4 2 2 3" xfId="13067"/>
    <cellStyle name="Normal 4 3 3 4 2 2 4" xfId="19219"/>
    <cellStyle name="Normal 4 3 3 4 2 3" xfId="8405"/>
    <cellStyle name="Normal 4 3 3 4 2 3 2" xfId="14599"/>
    <cellStyle name="Normal 4 3 3 4 2 3 3" xfId="20751"/>
    <cellStyle name="Normal 4 3 3 4 2 4" xfId="11533"/>
    <cellStyle name="Normal 4 3 3 4 2 5" xfId="17685"/>
    <cellStyle name="Normal 4 3 3 4 3" xfId="6071"/>
    <cellStyle name="Normal 4 3 3 4 3 2" xfId="9171"/>
    <cellStyle name="Normal 4 3 3 4 3 2 2" xfId="15364"/>
    <cellStyle name="Normal 4 3 3 4 3 2 3" xfId="21516"/>
    <cellStyle name="Normal 4 3 3 4 3 3" xfId="12298"/>
    <cellStyle name="Normal 4 3 3 4 3 4" xfId="18450"/>
    <cellStyle name="Normal 4 3 3 4 4" xfId="7636"/>
    <cellStyle name="Normal 4 3 3 4 4 2" xfId="13830"/>
    <cellStyle name="Normal 4 3 3 4 4 3" xfId="19982"/>
    <cellStyle name="Normal 4 3 3 4 5" xfId="10764"/>
    <cellStyle name="Normal 4 3 3 4 6" xfId="16916"/>
    <cellStyle name="Normal 4 3 3 5" xfId="5224"/>
    <cellStyle name="Normal 4 3 3 5 2" xfId="6849"/>
    <cellStyle name="Normal 4 3 3 5 2 2" xfId="9935"/>
    <cellStyle name="Normal 4 3 3 5 2 2 2" xfId="16128"/>
    <cellStyle name="Normal 4 3 3 5 2 2 3" xfId="22280"/>
    <cellStyle name="Normal 4 3 3 5 2 3" xfId="13062"/>
    <cellStyle name="Normal 4 3 3 5 2 4" xfId="19214"/>
    <cellStyle name="Normal 4 3 3 5 3" xfId="8400"/>
    <cellStyle name="Normal 4 3 3 5 3 2" xfId="14594"/>
    <cellStyle name="Normal 4 3 3 5 3 3" xfId="20746"/>
    <cellStyle name="Normal 4 3 3 5 4" xfId="11528"/>
    <cellStyle name="Normal 4 3 3 5 5" xfId="17680"/>
    <cellStyle name="Normal 4 3 3 6" xfId="6066"/>
    <cellStyle name="Normal 4 3 3 6 2" xfId="9166"/>
    <cellStyle name="Normal 4 3 3 6 2 2" xfId="15359"/>
    <cellStyle name="Normal 4 3 3 6 2 3" xfId="21511"/>
    <cellStyle name="Normal 4 3 3 6 3" xfId="12293"/>
    <cellStyle name="Normal 4 3 3 6 4" xfId="18445"/>
    <cellStyle name="Normal 4 3 3 7" xfId="7631"/>
    <cellStyle name="Normal 4 3 3 7 2" xfId="13825"/>
    <cellStyle name="Normal 4 3 3 7 3" xfId="19977"/>
    <cellStyle name="Normal 4 3 3 8" xfId="10759"/>
    <cellStyle name="Normal 4 3 3 9" xfId="16911"/>
    <cellStyle name="Normal 4 3 4" xfId="3994"/>
    <cellStyle name="Normal 4 3 4 2" xfId="3995"/>
    <cellStyle name="Normal 4 3 4 2 2" xfId="5231"/>
    <cellStyle name="Normal 4 3 4 2 2 2" xfId="6856"/>
    <cellStyle name="Normal 4 3 4 2 2 2 2" xfId="9942"/>
    <cellStyle name="Normal 4 3 4 2 2 2 2 2" xfId="16135"/>
    <cellStyle name="Normal 4 3 4 2 2 2 2 3" xfId="22287"/>
    <cellStyle name="Normal 4 3 4 2 2 2 3" xfId="13069"/>
    <cellStyle name="Normal 4 3 4 2 2 2 4" xfId="19221"/>
    <cellStyle name="Normal 4 3 4 2 2 3" xfId="8407"/>
    <cellStyle name="Normal 4 3 4 2 2 3 2" xfId="14601"/>
    <cellStyle name="Normal 4 3 4 2 2 3 3" xfId="20753"/>
    <cellStyle name="Normal 4 3 4 2 2 4" xfId="11535"/>
    <cellStyle name="Normal 4 3 4 2 2 5" xfId="17687"/>
    <cellStyle name="Normal 4 3 4 2 3" xfId="6073"/>
    <cellStyle name="Normal 4 3 4 2 3 2" xfId="9173"/>
    <cellStyle name="Normal 4 3 4 2 3 2 2" xfId="15366"/>
    <cellStyle name="Normal 4 3 4 2 3 2 3" xfId="21518"/>
    <cellStyle name="Normal 4 3 4 2 3 3" xfId="12300"/>
    <cellStyle name="Normal 4 3 4 2 3 4" xfId="18452"/>
    <cellStyle name="Normal 4 3 4 2 4" xfId="7638"/>
    <cellStyle name="Normal 4 3 4 2 4 2" xfId="13832"/>
    <cellStyle name="Normal 4 3 4 2 4 3" xfId="19984"/>
    <cellStyle name="Normal 4 3 4 2 5" xfId="10766"/>
    <cellStyle name="Normal 4 3 4 2 6" xfId="16918"/>
    <cellStyle name="Normal 4 3 4 3" xfId="5230"/>
    <cellStyle name="Normal 4 3 4 3 2" xfId="6855"/>
    <cellStyle name="Normal 4 3 4 3 2 2" xfId="9941"/>
    <cellStyle name="Normal 4 3 4 3 2 2 2" xfId="16134"/>
    <cellStyle name="Normal 4 3 4 3 2 2 3" xfId="22286"/>
    <cellStyle name="Normal 4 3 4 3 2 3" xfId="13068"/>
    <cellStyle name="Normal 4 3 4 3 2 4" xfId="19220"/>
    <cellStyle name="Normal 4 3 4 3 3" xfId="8406"/>
    <cellStyle name="Normal 4 3 4 3 3 2" xfId="14600"/>
    <cellStyle name="Normal 4 3 4 3 3 3" xfId="20752"/>
    <cellStyle name="Normal 4 3 4 3 4" xfId="11534"/>
    <cellStyle name="Normal 4 3 4 3 5" xfId="17686"/>
    <cellStyle name="Normal 4 3 4 4" xfId="6072"/>
    <cellStyle name="Normal 4 3 4 4 2" xfId="9172"/>
    <cellStyle name="Normal 4 3 4 4 2 2" xfId="15365"/>
    <cellStyle name="Normal 4 3 4 4 2 3" xfId="21517"/>
    <cellStyle name="Normal 4 3 4 4 3" xfId="12299"/>
    <cellStyle name="Normal 4 3 4 4 4" xfId="18451"/>
    <cellStyle name="Normal 4 3 4 5" xfId="7637"/>
    <cellStyle name="Normal 4 3 4 5 2" xfId="13831"/>
    <cellStyle name="Normal 4 3 4 5 3" xfId="19983"/>
    <cellStyle name="Normal 4 3 4 6" xfId="10765"/>
    <cellStyle name="Normal 4 3 4 7" xfId="16917"/>
    <cellStyle name="Normal 4 3 5" xfId="3996"/>
    <cellStyle name="Normal 4 3 5 2" xfId="3997"/>
    <cellStyle name="Normal 4 3 5 2 2" xfId="5233"/>
    <cellStyle name="Normal 4 3 5 2 2 2" xfId="6858"/>
    <cellStyle name="Normal 4 3 5 2 2 2 2" xfId="9944"/>
    <cellStyle name="Normal 4 3 5 2 2 2 2 2" xfId="16137"/>
    <cellStyle name="Normal 4 3 5 2 2 2 2 3" xfId="22289"/>
    <cellStyle name="Normal 4 3 5 2 2 2 3" xfId="13071"/>
    <cellStyle name="Normal 4 3 5 2 2 2 4" xfId="19223"/>
    <cellStyle name="Normal 4 3 5 2 2 3" xfId="8409"/>
    <cellStyle name="Normal 4 3 5 2 2 3 2" xfId="14603"/>
    <cellStyle name="Normal 4 3 5 2 2 3 3" xfId="20755"/>
    <cellStyle name="Normal 4 3 5 2 2 4" xfId="11537"/>
    <cellStyle name="Normal 4 3 5 2 2 5" xfId="17689"/>
    <cellStyle name="Normal 4 3 5 2 3" xfId="6075"/>
    <cellStyle name="Normal 4 3 5 2 3 2" xfId="9175"/>
    <cellStyle name="Normal 4 3 5 2 3 2 2" xfId="15368"/>
    <cellStyle name="Normal 4 3 5 2 3 2 3" xfId="21520"/>
    <cellStyle name="Normal 4 3 5 2 3 3" xfId="12302"/>
    <cellStyle name="Normal 4 3 5 2 3 4" xfId="18454"/>
    <cellStyle name="Normal 4 3 5 2 4" xfId="7640"/>
    <cellStyle name="Normal 4 3 5 2 4 2" xfId="13834"/>
    <cellStyle name="Normal 4 3 5 2 4 3" xfId="19986"/>
    <cellStyle name="Normal 4 3 5 2 5" xfId="10768"/>
    <cellStyle name="Normal 4 3 5 2 6" xfId="16920"/>
    <cellStyle name="Normal 4 3 5 3" xfId="5232"/>
    <cellStyle name="Normal 4 3 5 3 2" xfId="6857"/>
    <cellStyle name="Normal 4 3 5 3 2 2" xfId="9943"/>
    <cellStyle name="Normal 4 3 5 3 2 2 2" xfId="16136"/>
    <cellStyle name="Normal 4 3 5 3 2 2 3" xfId="22288"/>
    <cellStyle name="Normal 4 3 5 3 2 3" xfId="13070"/>
    <cellStyle name="Normal 4 3 5 3 2 4" xfId="19222"/>
    <cellStyle name="Normal 4 3 5 3 3" xfId="8408"/>
    <cellStyle name="Normal 4 3 5 3 3 2" xfId="14602"/>
    <cellStyle name="Normal 4 3 5 3 3 3" xfId="20754"/>
    <cellStyle name="Normal 4 3 5 3 4" xfId="11536"/>
    <cellStyle name="Normal 4 3 5 3 5" xfId="17688"/>
    <cellStyle name="Normal 4 3 5 4" xfId="6074"/>
    <cellStyle name="Normal 4 3 5 4 2" xfId="9174"/>
    <cellStyle name="Normal 4 3 5 4 2 2" xfId="15367"/>
    <cellStyle name="Normal 4 3 5 4 2 3" xfId="21519"/>
    <cellStyle name="Normal 4 3 5 4 3" xfId="12301"/>
    <cellStyle name="Normal 4 3 5 4 4" xfId="18453"/>
    <cellStyle name="Normal 4 3 5 5" xfId="7639"/>
    <cellStyle name="Normal 4 3 5 5 2" xfId="13833"/>
    <cellStyle name="Normal 4 3 5 5 3" xfId="19985"/>
    <cellStyle name="Normal 4 3 5 6" xfId="10767"/>
    <cellStyle name="Normal 4 3 5 7" xfId="16919"/>
    <cellStyle name="Normal 4 3 6" xfId="3998"/>
    <cellStyle name="Normal 4 3 6 2" xfId="5234"/>
    <cellStyle name="Normal 4 3 6 2 2" xfId="6859"/>
    <cellStyle name="Normal 4 3 6 2 2 2" xfId="9945"/>
    <cellStyle name="Normal 4 3 6 2 2 2 2" xfId="16138"/>
    <cellStyle name="Normal 4 3 6 2 2 2 3" xfId="22290"/>
    <cellStyle name="Normal 4 3 6 2 2 3" xfId="13072"/>
    <cellStyle name="Normal 4 3 6 2 2 4" xfId="19224"/>
    <cellStyle name="Normal 4 3 6 2 3" xfId="8410"/>
    <cellStyle name="Normal 4 3 6 2 3 2" xfId="14604"/>
    <cellStyle name="Normal 4 3 6 2 3 3" xfId="20756"/>
    <cellStyle name="Normal 4 3 6 2 4" xfId="11538"/>
    <cellStyle name="Normal 4 3 6 2 5" xfId="17690"/>
    <cellStyle name="Normal 4 3 6 3" xfId="6076"/>
    <cellStyle name="Normal 4 3 6 3 2" xfId="9176"/>
    <cellStyle name="Normal 4 3 6 3 2 2" xfId="15369"/>
    <cellStyle name="Normal 4 3 6 3 2 3" xfId="21521"/>
    <cellStyle name="Normal 4 3 6 3 3" xfId="12303"/>
    <cellStyle name="Normal 4 3 6 3 4" xfId="18455"/>
    <cellStyle name="Normal 4 3 6 4" xfId="7641"/>
    <cellStyle name="Normal 4 3 6 4 2" xfId="13835"/>
    <cellStyle name="Normal 4 3 6 4 3" xfId="19987"/>
    <cellStyle name="Normal 4 3 6 5" xfId="10769"/>
    <cellStyle name="Normal 4 3 6 6" xfId="16921"/>
    <cellStyle name="Normal 4 3 7" xfId="5211"/>
    <cellStyle name="Normal 4 3 7 2" xfId="6836"/>
    <cellStyle name="Normal 4 3 7 2 2" xfId="9922"/>
    <cellStyle name="Normal 4 3 7 2 2 2" xfId="16115"/>
    <cellStyle name="Normal 4 3 7 2 2 3" xfId="22267"/>
    <cellStyle name="Normal 4 3 7 2 3" xfId="13049"/>
    <cellStyle name="Normal 4 3 7 2 4" xfId="19201"/>
    <cellStyle name="Normal 4 3 7 3" xfId="8387"/>
    <cellStyle name="Normal 4 3 7 3 2" xfId="14581"/>
    <cellStyle name="Normal 4 3 7 3 3" xfId="20733"/>
    <cellStyle name="Normal 4 3 7 4" xfId="11515"/>
    <cellStyle name="Normal 4 3 7 5" xfId="17667"/>
    <cellStyle name="Normal 4 3 8" xfId="6053"/>
    <cellStyle name="Normal 4 3 8 2" xfId="9153"/>
    <cellStyle name="Normal 4 3 8 2 2" xfId="15346"/>
    <cellStyle name="Normal 4 3 8 2 3" xfId="21498"/>
    <cellStyle name="Normal 4 3 8 3" xfId="12280"/>
    <cellStyle name="Normal 4 3 8 4" xfId="18432"/>
    <cellStyle name="Normal 4 3 9" xfId="7618"/>
    <cellStyle name="Normal 4 3 9 2" xfId="13812"/>
    <cellStyle name="Normal 4 3 9 3" xfId="19964"/>
    <cellStyle name="Normal 4 30" xfId="1161"/>
    <cellStyle name="Normal 4 31" xfId="23276"/>
    <cellStyle name="Normal 4 4" xfId="260"/>
    <cellStyle name="Normal 4 4 10" xfId="23279"/>
    <cellStyle name="Normal 4 4 2" xfId="4000"/>
    <cellStyle name="Normal 4 4 2 2" xfId="5236"/>
    <cellStyle name="Normal 4 4 2 2 2" xfId="6861"/>
    <cellStyle name="Normal 4 4 2 2 2 2" xfId="9947"/>
    <cellStyle name="Normal 4 4 2 2 2 2 2" xfId="16140"/>
    <cellStyle name="Normal 4 4 2 2 2 2 3" xfId="22292"/>
    <cellStyle name="Normal 4 4 2 2 2 3" xfId="13074"/>
    <cellStyle name="Normal 4 4 2 2 2 4" xfId="19226"/>
    <cellStyle name="Normal 4 4 2 2 3" xfId="8412"/>
    <cellStyle name="Normal 4 4 2 2 3 2" xfId="14606"/>
    <cellStyle name="Normal 4 4 2 2 3 3" xfId="20758"/>
    <cellStyle name="Normal 4 4 2 2 4" xfId="11540"/>
    <cellStyle name="Normal 4 4 2 2 5" xfId="17692"/>
    <cellStyle name="Normal 4 4 2 3" xfId="6078"/>
    <cellStyle name="Normal 4 4 2 3 2" xfId="9178"/>
    <cellStyle name="Normal 4 4 2 3 2 2" xfId="15371"/>
    <cellStyle name="Normal 4 4 2 3 2 3" xfId="21523"/>
    <cellStyle name="Normal 4 4 2 3 3" xfId="12305"/>
    <cellStyle name="Normal 4 4 2 3 4" xfId="18457"/>
    <cellStyle name="Normal 4 4 2 4" xfId="7643"/>
    <cellStyle name="Normal 4 4 2 4 2" xfId="13837"/>
    <cellStyle name="Normal 4 4 2 4 3" xfId="19989"/>
    <cellStyle name="Normal 4 4 2 5" xfId="10771"/>
    <cellStyle name="Normal 4 4 2 6" xfId="16923"/>
    <cellStyle name="Normal 4 4 3" xfId="4001"/>
    <cellStyle name="Normal 4 4 4" xfId="5235"/>
    <cellStyle name="Normal 4 4 4 2" xfId="6860"/>
    <cellStyle name="Normal 4 4 4 2 2" xfId="9946"/>
    <cellStyle name="Normal 4 4 4 2 2 2" xfId="16139"/>
    <cellStyle name="Normal 4 4 4 2 2 3" xfId="22291"/>
    <cellStyle name="Normal 4 4 4 2 3" xfId="13073"/>
    <cellStyle name="Normal 4 4 4 2 4" xfId="19225"/>
    <cellStyle name="Normal 4 4 4 3" xfId="8411"/>
    <cellStyle name="Normal 4 4 4 3 2" xfId="14605"/>
    <cellStyle name="Normal 4 4 4 3 3" xfId="20757"/>
    <cellStyle name="Normal 4 4 4 4" xfId="11539"/>
    <cellStyle name="Normal 4 4 4 5" xfId="17691"/>
    <cellStyle name="Normal 4 4 5" xfId="6077"/>
    <cellStyle name="Normal 4 4 5 2" xfId="9177"/>
    <cellStyle name="Normal 4 4 5 2 2" xfId="15370"/>
    <cellStyle name="Normal 4 4 5 2 3" xfId="21522"/>
    <cellStyle name="Normal 4 4 5 3" xfId="12304"/>
    <cellStyle name="Normal 4 4 5 4" xfId="18456"/>
    <cellStyle name="Normal 4 4 6" xfId="7642"/>
    <cellStyle name="Normal 4 4 6 2" xfId="13836"/>
    <cellStyle name="Normal 4 4 6 3" xfId="19988"/>
    <cellStyle name="Normal 4 4 7" xfId="10770"/>
    <cellStyle name="Normal 4 4 8" xfId="16922"/>
    <cellStyle name="Normal 4 4 9" xfId="3999"/>
    <cellStyle name="Normal 4 5" xfId="285"/>
    <cellStyle name="Normal 4 5 2" xfId="5237"/>
    <cellStyle name="Normal 4 5 2 2" xfId="6862"/>
    <cellStyle name="Normal 4 5 2 2 2" xfId="9948"/>
    <cellStyle name="Normal 4 5 2 2 2 2" xfId="16141"/>
    <cellStyle name="Normal 4 5 2 2 2 3" xfId="22293"/>
    <cellStyle name="Normal 4 5 2 2 3" xfId="13075"/>
    <cellStyle name="Normal 4 5 2 2 4" xfId="19227"/>
    <cellStyle name="Normal 4 5 2 3" xfId="8413"/>
    <cellStyle name="Normal 4 5 2 3 2" xfId="14607"/>
    <cellStyle name="Normal 4 5 2 3 3" xfId="20759"/>
    <cellStyle name="Normal 4 5 2 4" xfId="11541"/>
    <cellStyle name="Normal 4 5 2 5" xfId="17693"/>
    <cellStyle name="Normal 4 5 3" xfId="6079"/>
    <cellStyle name="Normal 4 5 3 2" xfId="9179"/>
    <cellStyle name="Normal 4 5 3 2 2" xfId="15372"/>
    <cellStyle name="Normal 4 5 3 2 3" xfId="21524"/>
    <cellStyle name="Normal 4 5 3 3" xfId="12306"/>
    <cellStyle name="Normal 4 5 3 4" xfId="18458"/>
    <cellStyle name="Normal 4 5 4" xfId="7644"/>
    <cellStyle name="Normal 4 5 4 2" xfId="13838"/>
    <cellStyle name="Normal 4 5 4 3" xfId="19990"/>
    <cellStyle name="Normal 4 5 5" xfId="10772"/>
    <cellStyle name="Normal 4 5 6" xfId="16924"/>
    <cellStyle name="Normal 4 5 7" xfId="4002"/>
    <cellStyle name="Normal 4 5 8" xfId="23280"/>
    <cellStyle name="Normal 4 6" xfId="311"/>
    <cellStyle name="Normal 4 6 2" xfId="5238"/>
    <cellStyle name="Normal 4 6 2 2" xfId="6863"/>
    <cellStyle name="Normal 4 6 2 2 2" xfId="9949"/>
    <cellStyle name="Normal 4 6 2 2 2 2" xfId="16142"/>
    <cellStyle name="Normal 4 6 2 2 2 3" xfId="22294"/>
    <cellStyle name="Normal 4 6 2 2 3" xfId="13076"/>
    <cellStyle name="Normal 4 6 2 2 4" xfId="19228"/>
    <cellStyle name="Normal 4 6 2 3" xfId="8414"/>
    <cellStyle name="Normal 4 6 2 3 2" xfId="14608"/>
    <cellStyle name="Normal 4 6 2 3 3" xfId="20760"/>
    <cellStyle name="Normal 4 6 2 4" xfId="11542"/>
    <cellStyle name="Normal 4 6 2 5" xfId="17694"/>
    <cellStyle name="Normal 4 6 3" xfId="6080"/>
    <cellStyle name="Normal 4 6 3 2" xfId="9180"/>
    <cellStyle name="Normal 4 6 3 2 2" xfId="15373"/>
    <cellStyle name="Normal 4 6 3 2 3" xfId="21525"/>
    <cellStyle name="Normal 4 6 3 3" xfId="12307"/>
    <cellStyle name="Normal 4 6 3 4" xfId="18459"/>
    <cellStyle name="Normal 4 6 4" xfId="7645"/>
    <cellStyle name="Normal 4 6 4 2" xfId="13839"/>
    <cellStyle name="Normal 4 6 4 3" xfId="19991"/>
    <cellStyle name="Normal 4 6 5" xfId="10773"/>
    <cellStyle name="Normal 4 6 6" xfId="16925"/>
    <cellStyle name="Normal 4 6 7" xfId="4003"/>
    <cellStyle name="Normal 4 7" xfId="314"/>
    <cellStyle name="Normal 4 7 2" xfId="5239"/>
    <cellStyle name="Normal 4 7 2 2" xfId="6864"/>
    <cellStyle name="Normal 4 7 2 2 2" xfId="9950"/>
    <cellStyle name="Normal 4 7 2 2 2 2" xfId="16143"/>
    <cellStyle name="Normal 4 7 2 2 2 3" xfId="22295"/>
    <cellStyle name="Normal 4 7 2 2 3" xfId="13077"/>
    <cellStyle name="Normal 4 7 2 2 4" xfId="19229"/>
    <cellStyle name="Normal 4 7 2 3" xfId="8415"/>
    <cellStyle name="Normal 4 7 2 3 2" xfId="14609"/>
    <cellStyle name="Normal 4 7 2 3 3" xfId="20761"/>
    <cellStyle name="Normal 4 7 2 4" xfId="11543"/>
    <cellStyle name="Normal 4 7 2 5" xfId="17695"/>
    <cellStyle name="Normal 4 7 3" xfId="6081"/>
    <cellStyle name="Normal 4 7 3 2" xfId="9181"/>
    <cellStyle name="Normal 4 7 3 2 2" xfId="15374"/>
    <cellStyle name="Normal 4 7 3 2 3" xfId="21526"/>
    <cellStyle name="Normal 4 7 3 3" xfId="12308"/>
    <cellStyle name="Normal 4 7 3 4" xfId="18460"/>
    <cellStyle name="Normal 4 7 4" xfId="7646"/>
    <cellStyle name="Normal 4 7 4 2" xfId="13840"/>
    <cellStyle name="Normal 4 7 4 3" xfId="19992"/>
    <cellStyle name="Normal 4 7 5" xfId="10774"/>
    <cellStyle name="Normal 4 7 6" xfId="16926"/>
    <cellStyle name="Normal 4 7 7" xfId="4004"/>
    <cellStyle name="Normal 4 8" xfId="341"/>
    <cellStyle name="Normal 4 8 2" xfId="5240"/>
    <cellStyle name="Normal 4 8 2 2" xfId="6865"/>
    <cellStyle name="Normal 4 8 2 2 2" xfId="9951"/>
    <cellStyle name="Normal 4 8 2 2 2 2" xfId="16144"/>
    <cellStyle name="Normal 4 8 2 2 2 3" xfId="22296"/>
    <cellStyle name="Normal 4 8 2 2 3" xfId="13078"/>
    <cellStyle name="Normal 4 8 2 2 4" xfId="19230"/>
    <cellStyle name="Normal 4 8 2 3" xfId="8416"/>
    <cellStyle name="Normal 4 8 2 3 2" xfId="14610"/>
    <cellStyle name="Normal 4 8 2 3 3" xfId="20762"/>
    <cellStyle name="Normal 4 8 2 4" xfId="11544"/>
    <cellStyle name="Normal 4 8 2 5" xfId="17696"/>
    <cellStyle name="Normal 4 8 3" xfId="6082"/>
    <cellStyle name="Normal 4 8 3 2" xfId="9182"/>
    <cellStyle name="Normal 4 8 3 2 2" xfId="15375"/>
    <cellStyle name="Normal 4 8 3 2 3" xfId="21527"/>
    <cellStyle name="Normal 4 8 3 3" xfId="12309"/>
    <cellStyle name="Normal 4 8 3 4" xfId="18461"/>
    <cellStyle name="Normal 4 8 4" xfId="7647"/>
    <cellStyle name="Normal 4 8 4 2" xfId="13841"/>
    <cellStyle name="Normal 4 8 4 3" xfId="19993"/>
    <cellStyle name="Normal 4 8 5" xfId="10775"/>
    <cellStyle name="Normal 4 8 6" xfId="16927"/>
    <cellStyle name="Normal 4 8 7" xfId="4005"/>
    <cellStyle name="Normal 4 9" xfId="360"/>
    <cellStyle name="Normal 4 9 2" xfId="4006"/>
    <cellStyle name="Normal 40" xfId="4007"/>
    <cellStyle name="Normal 40 2" xfId="4008"/>
    <cellStyle name="Normal 41" xfId="4009"/>
    <cellStyle name="Normal 41 2" xfId="4010"/>
    <cellStyle name="Normal 41 2 2" xfId="5241"/>
    <cellStyle name="Normal 41 2 2 2" xfId="6866"/>
    <cellStyle name="Normal 41 2 2 2 2" xfId="9952"/>
    <cellStyle name="Normal 41 2 2 2 2 2" xfId="16145"/>
    <cellStyle name="Normal 41 2 2 2 2 3" xfId="22297"/>
    <cellStyle name="Normal 41 2 2 2 3" xfId="13079"/>
    <cellStyle name="Normal 41 2 2 2 4" xfId="19231"/>
    <cellStyle name="Normal 41 2 2 3" xfId="8417"/>
    <cellStyle name="Normal 41 2 2 3 2" xfId="14611"/>
    <cellStyle name="Normal 41 2 2 3 3" xfId="20763"/>
    <cellStyle name="Normal 41 2 2 4" xfId="11545"/>
    <cellStyle name="Normal 41 2 2 5" xfId="17697"/>
    <cellStyle name="Normal 41 2 3" xfId="6083"/>
    <cellStyle name="Normal 41 2 3 2" xfId="9183"/>
    <cellStyle name="Normal 41 2 3 2 2" xfId="15376"/>
    <cellStyle name="Normal 41 2 3 2 3" xfId="21528"/>
    <cellStyle name="Normal 41 2 3 3" xfId="12310"/>
    <cellStyle name="Normal 41 2 3 4" xfId="18462"/>
    <cellStyle name="Normal 41 2 4" xfId="7648"/>
    <cellStyle name="Normal 41 2 4 2" xfId="13842"/>
    <cellStyle name="Normal 41 2 4 3" xfId="19994"/>
    <cellStyle name="Normal 41 2 5" xfId="10776"/>
    <cellStyle name="Normal 41 2 6" xfId="16928"/>
    <cellStyle name="Normal 41 3" xfId="4011"/>
    <cellStyle name="Normal 41 3 2" xfId="4012"/>
    <cellStyle name="Normal 41 4" xfId="4013"/>
    <cellStyle name="Normal 42" xfId="4014"/>
    <cellStyle name="Normal 42 2" xfId="4015"/>
    <cellStyle name="Normal 43" xfId="4016"/>
    <cellStyle name="Normal 44" xfId="4017"/>
    <cellStyle name="Normal 44 2" xfId="4018"/>
    <cellStyle name="Normal 45" xfId="4019"/>
    <cellStyle name="Normal 46" xfId="4020"/>
    <cellStyle name="Normal 46 2" xfId="5242"/>
    <cellStyle name="Normal 46 2 2" xfId="6867"/>
    <cellStyle name="Normal 46 2 2 2" xfId="9953"/>
    <cellStyle name="Normal 46 2 2 2 2" xfId="16146"/>
    <cellStyle name="Normal 46 2 2 2 3" xfId="22298"/>
    <cellStyle name="Normal 46 2 2 3" xfId="13080"/>
    <cellStyle name="Normal 46 2 2 4" xfId="19232"/>
    <cellStyle name="Normal 46 2 3" xfId="8418"/>
    <cellStyle name="Normal 46 2 3 2" xfId="14612"/>
    <cellStyle name="Normal 46 2 3 3" xfId="20764"/>
    <cellStyle name="Normal 46 2 4" xfId="11546"/>
    <cellStyle name="Normal 46 2 5" xfId="17698"/>
    <cellStyle name="Normal 46 3" xfId="6084"/>
    <cellStyle name="Normal 46 3 2" xfId="9184"/>
    <cellStyle name="Normal 46 3 2 2" xfId="15377"/>
    <cellStyle name="Normal 46 3 2 3" xfId="21529"/>
    <cellStyle name="Normal 46 3 3" xfId="12311"/>
    <cellStyle name="Normal 46 3 4" xfId="18463"/>
    <cellStyle name="Normal 46 4" xfId="7649"/>
    <cellStyle name="Normal 46 4 2" xfId="13843"/>
    <cellStyle name="Normal 46 4 3" xfId="19995"/>
    <cellStyle name="Normal 46 5" xfId="10777"/>
    <cellStyle name="Normal 46 6" xfId="16929"/>
    <cellStyle name="Normal 47" xfId="4021"/>
    <cellStyle name="Normal 48" xfId="4022"/>
    <cellStyle name="Normal 49" xfId="1320"/>
    <cellStyle name="Normal 5" xfId="29"/>
    <cellStyle name="Normal 5 10" xfId="408"/>
    <cellStyle name="Normal 5 10 2" xfId="914"/>
    <cellStyle name="Normal 5 10 3" xfId="4024"/>
    <cellStyle name="Normal 5 10 4" xfId="22660"/>
    <cellStyle name="Normal 5 10 5" xfId="22877"/>
    <cellStyle name="Normal 5 11" xfId="420"/>
    <cellStyle name="Normal 5 11 2" xfId="917"/>
    <cellStyle name="Normal 5 11 3" xfId="4025"/>
    <cellStyle name="Normal 5 11 4" xfId="22625"/>
    <cellStyle name="Normal 5 11 5" xfId="22880"/>
    <cellStyle name="Normal 5 12" xfId="431"/>
    <cellStyle name="Normal 5 12 2" xfId="920"/>
    <cellStyle name="Normal 5 12 3" xfId="4026"/>
    <cellStyle name="Normal 5 12 4" xfId="22796"/>
    <cellStyle name="Normal 5 12 5" xfId="22883"/>
    <cellStyle name="Normal 5 13" xfId="439"/>
    <cellStyle name="Normal 5 13 2" xfId="923"/>
    <cellStyle name="Normal 5 13 3" xfId="4027"/>
    <cellStyle name="Normal 5 13 4" xfId="22597"/>
    <cellStyle name="Normal 5 13 5" xfId="22886"/>
    <cellStyle name="Normal 5 14" xfId="443"/>
    <cellStyle name="Normal 5 14 2" xfId="926"/>
    <cellStyle name="Normal 5 14 3" xfId="4028"/>
    <cellStyle name="Normal 5 14 4" xfId="22745"/>
    <cellStyle name="Normal 5 14 5" xfId="22889"/>
    <cellStyle name="Normal 5 15" xfId="446"/>
    <cellStyle name="Normal 5 15 2" xfId="929"/>
    <cellStyle name="Normal 5 15 3" xfId="4029"/>
    <cellStyle name="Normal 5 15 4" xfId="22645"/>
    <cellStyle name="Normal 5 15 5" xfId="22892"/>
    <cellStyle name="Normal 5 16" xfId="510"/>
    <cellStyle name="Normal 5 16 2" xfId="944"/>
    <cellStyle name="Normal 5 16 3" xfId="4030"/>
    <cellStyle name="Normal 5 16 4" xfId="22672"/>
    <cellStyle name="Normal 5 16 5" xfId="22907"/>
    <cellStyle name="Normal 5 17" xfId="540"/>
    <cellStyle name="Normal 5 17 2" xfId="960"/>
    <cellStyle name="Normal 5 17 3" xfId="4031"/>
    <cellStyle name="Normal 5 17 4" xfId="22783"/>
    <cellStyle name="Normal 5 17 5" xfId="22923"/>
    <cellStyle name="Normal 5 18" xfId="567"/>
    <cellStyle name="Normal 5 18 2" xfId="976"/>
    <cellStyle name="Normal 5 18 3" xfId="4032"/>
    <cellStyle name="Normal 5 18 4" xfId="22764"/>
    <cellStyle name="Normal 5 18 5" xfId="22939"/>
    <cellStyle name="Normal 5 19" xfId="593"/>
    <cellStyle name="Normal 5 19 2" xfId="992"/>
    <cellStyle name="Normal 5 19 3" xfId="4033"/>
    <cellStyle name="Normal 5 19 4" xfId="22759"/>
    <cellStyle name="Normal 5 19 5" xfId="22955"/>
    <cellStyle name="Normal 5 2" xfId="30"/>
    <cellStyle name="Normal 5 2 10" xfId="10779"/>
    <cellStyle name="Normal 5 2 11" xfId="16931"/>
    <cellStyle name="Normal 5 2 12" xfId="4034"/>
    <cellStyle name="Normal 5 2 13" xfId="202"/>
    <cellStyle name="Normal 5 2 2" xfId="31"/>
    <cellStyle name="Normal 5 2 2 2" xfId="4035"/>
    <cellStyle name="Normal 5 2 2 2 2" xfId="4036"/>
    <cellStyle name="Normal 5 2 2 2 2 2" xfId="5245"/>
    <cellStyle name="Normal 5 2 2 2 2 2 2" xfId="6870"/>
    <cellStyle name="Normal 5 2 2 2 2 2 2 2" xfId="9956"/>
    <cellStyle name="Normal 5 2 2 2 2 2 2 2 2" xfId="16149"/>
    <cellStyle name="Normal 5 2 2 2 2 2 2 2 3" xfId="22301"/>
    <cellStyle name="Normal 5 2 2 2 2 2 2 3" xfId="13083"/>
    <cellStyle name="Normal 5 2 2 2 2 2 2 4" xfId="19235"/>
    <cellStyle name="Normal 5 2 2 2 2 2 3" xfId="8421"/>
    <cellStyle name="Normal 5 2 2 2 2 2 3 2" xfId="14615"/>
    <cellStyle name="Normal 5 2 2 2 2 2 3 3" xfId="20767"/>
    <cellStyle name="Normal 5 2 2 2 2 2 4" xfId="11549"/>
    <cellStyle name="Normal 5 2 2 2 2 2 5" xfId="17701"/>
    <cellStyle name="Normal 5 2 2 2 2 3" xfId="6087"/>
    <cellStyle name="Normal 5 2 2 2 2 3 2" xfId="9187"/>
    <cellStyle name="Normal 5 2 2 2 2 3 2 2" xfId="15380"/>
    <cellStyle name="Normal 5 2 2 2 2 3 2 3" xfId="21532"/>
    <cellStyle name="Normal 5 2 2 2 2 3 3" xfId="12314"/>
    <cellStyle name="Normal 5 2 2 2 2 3 4" xfId="18466"/>
    <cellStyle name="Normal 5 2 2 2 2 4" xfId="7652"/>
    <cellStyle name="Normal 5 2 2 2 2 4 2" xfId="13846"/>
    <cellStyle name="Normal 5 2 2 2 2 4 3" xfId="19998"/>
    <cellStyle name="Normal 5 2 2 2 2 5" xfId="10780"/>
    <cellStyle name="Normal 5 2 2 2 2 6" xfId="16932"/>
    <cellStyle name="Normal 5 2 2 3" xfId="4037"/>
    <cellStyle name="Normal 5 2 2 3 2" xfId="5246"/>
    <cellStyle name="Normal 5 2 2 3 2 2" xfId="6871"/>
    <cellStyle name="Normal 5 2 2 3 2 2 2" xfId="9957"/>
    <cellStyle name="Normal 5 2 2 3 2 2 2 2" xfId="16150"/>
    <cellStyle name="Normal 5 2 2 3 2 2 2 3" xfId="22302"/>
    <cellStyle name="Normal 5 2 2 3 2 2 3" xfId="13084"/>
    <cellStyle name="Normal 5 2 2 3 2 2 4" xfId="19236"/>
    <cellStyle name="Normal 5 2 2 3 2 3" xfId="8422"/>
    <cellStyle name="Normal 5 2 2 3 2 3 2" xfId="14616"/>
    <cellStyle name="Normal 5 2 2 3 2 3 3" xfId="20768"/>
    <cellStyle name="Normal 5 2 2 3 2 4" xfId="11550"/>
    <cellStyle name="Normal 5 2 2 3 2 5" xfId="17702"/>
    <cellStyle name="Normal 5 2 2 3 3" xfId="6088"/>
    <cellStyle name="Normal 5 2 2 3 3 2" xfId="9188"/>
    <cellStyle name="Normal 5 2 2 3 3 2 2" xfId="15381"/>
    <cellStyle name="Normal 5 2 2 3 3 2 3" xfId="21533"/>
    <cellStyle name="Normal 5 2 2 3 3 3" xfId="12315"/>
    <cellStyle name="Normal 5 2 2 3 3 4" xfId="18467"/>
    <cellStyle name="Normal 5 2 2 3 4" xfId="7653"/>
    <cellStyle name="Normal 5 2 2 3 4 2" xfId="13847"/>
    <cellStyle name="Normal 5 2 2 3 4 3" xfId="19999"/>
    <cellStyle name="Normal 5 2 2 3 5" xfId="10781"/>
    <cellStyle name="Normal 5 2 2 3 6" xfId="16933"/>
    <cellStyle name="Normal 5 2 3" xfId="4038"/>
    <cellStyle name="Normal 5 2 3 2" xfId="4039"/>
    <cellStyle name="Normal 5 2 3 2 2" xfId="4040"/>
    <cellStyle name="Normal 5 2 3 2 2 2" xfId="5247"/>
    <cellStyle name="Normal 5 2 3 2 2 2 2" xfId="6872"/>
    <cellStyle name="Normal 5 2 3 2 2 2 2 2" xfId="9958"/>
    <cellStyle name="Normal 5 2 3 2 2 2 2 2 2" xfId="16151"/>
    <cellStyle name="Normal 5 2 3 2 2 2 2 2 3" xfId="22303"/>
    <cellStyle name="Normal 5 2 3 2 2 2 2 3" xfId="13085"/>
    <cellStyle name="Normal 5 2 3 2 2 2 2 4" xfId="19237"/>
    <cellStyle name="Normal 5 2 3 2 2 2 3" xfId="8423"/>
    <cellStyle name="Normal 5 2 3 2 2 2 3 2" xfId="14617"/>
    <cellStyle name="Normal 5 2 3 2 2 2 3 3" xfId="20769"/>
    <cellStyle name="Normal 5 2 3 2 2 2 4" xfId="11551"/>
    <cellStyle name="Normal 5 2 3 2 2 2 5" xfId="17703"/>
    <cellStyle name="Normal 5 2 3 2 2 3" xfId="6089"/>
    <cellStyle name="Normal 5 2 3 2 2 3 2" xfId="9189"/>
    <cellStyle name="Normal 5 2 3 2 2 3 2 2" xfId="15382"/>
    <cellStyle name="Normal 5 2 3 2 2 3 2 3" xfId="21534"/>
    <cellStyle name="Normal 5 2 3 2 2 3 3" xfId="12316"/>
    <cellStyle name="Normal 5 2 3 2 2 3 4" xfId="18468"/>
    <cellStyle name="Normal 5 2 3 2 2 4" xfId="7654"/>
    <cellStyle name="Normal 5 2 3 2 2 4 2" xfId="13848"/>
    <cellStyle name="Normal 5 2 3 2 2 4 3" xfId="20000"/>
    <cellStyle name="Normal 5 2 3 2 2 5" xfId="10782"/>
    <cellStyle name="Normal 5 2 3 2 2 6" xfId="16934"/>
    <cellStyle name="Normal 5 2 3 3" xfId="4041"/>
    <cellStyle name="Normal 5 2 3 3 2" xfId="5248"/>
    <cellStyle name="Normal 5 2 3 3 2 2" xfId="6873"/>
    <cellStyle name="Normal 5 2 3 3 2 2 2" xfId="9959"/>
    <cellStyle name="Normal 5 2 3 3 2 2 2 2" xfId="16152"/>
    <cellStyle name="Normal 5 2 3 3 2 2 2 3" xfId="22304"/>
    <cellStyle name="Normal 5 2 3 3 2 2 3" xfId="13086"/>
    <cellStyle name="Normal 5 2 3 3 2 2 4" xfId="19238"/>
    <cellStyle name="Normal 5 2 3 3 2 3" xfId="8424"/>
    <cellStyle name="Normal 5 2 3 3 2 3 2" xfId="14618"/>
    <cellStyle name="Normal 5 2 3 3 2 3 3" xfId="20770"/>
    <cellStyle name="Normal 5 2 3 3 2 4" xfId="11552"/>
    <cellStyle name="Normal 5 2 3 3 2 5" xfId="17704"/>
    <cellStyle name="Normal 5 2 3 3 3" xfId="6090"/>
    <cellStyle name="Normal 5 2 3 3 3 2" xfId="9190"/>
    <cellStyle name="Normal 5 2 3 3 3 2 2" xfId="15383"/>
    <cellStyle name="Normal 5 2 3 3 3 2 3" xfId="21535"/>
    <cellStyle name="Normal 5 2 3 3 3 3" xfId="12317"/>
    <cellStyle name="Normal 5 2 3 3 3 4" xfId="18469"/>
    <cellStyle name="Normal 5 2 3 3 4" xfId="7655"/>
    <cellStyle name="Normal 5 2 3 3 4 2" xfId="13849"/>
    <cellStyle name="Normal 5 2 3 3 4 3" xfId="20001"/>
    <cellStyle name="Normal 5 2 3 3 5" xfId="10783"/>
    <cellStyle name="Normal 5 2 3 3 6" xfId="16935"/>
    <cellStyle name="Normal 5 2 4" xfId="4042"/>
    <cellStyle name="Normal 5 2 4 2" xfId="4043"/>
    <cellStyle name="Normal 5 2 4 2 2" xfId="5249"/>
    <cellStyle name="Normal 5 2 4 2 2 2" xfId="6874"/>
    <cellStyle name="Normal 5 2 4 2 2 2 2" xfId="9960"/>
    <cellStyle name="Normal 5 2 4 2 2 2 2 2" xfId="16153"/>
    <cellStyle name="Normal 5 2 4 2 2 2 2 3" xfId="22305"/>
    <cellStyle name="Normal 5 2 4 2 2 2 3" xfId="13087"/>
    <cellStyle name="Normal 5 2 4 2 2 2 4" xfId="19239"/>
    <cellStyle name="Normal 5 2 4 2 2 3" xfId="8425"/>
    <cellStyle name="Normal 5 2 4 2 2 3 2" xfId="14619"/>
    <cellStyle name="Normal 5 2 4 2 2 3 3" xfId="20771"/>
    <cellStyle name="Normal 5 2 4 2 2 4" xfId="11553"/>
    <cellStyle name="Normal 5 2 4 2 2 5" xfId="17705"/>
    <cellStyle name="Normal 5 2 4 2 3" xfId="6091"/>
    <cellStyle name="Normal 5 2 4 2 3 2" xfId="9191"/>
    <cellStyle name="Normal 5 2 4 2 3 2 2" xfId="15384"/>
    <cellStyle name="Normal 5 2 4 2 3 2 3" xfId="21536"/>
    <cellStyle name="Normal 5 2 4 2 3 3" xfId="12318"/>
    <cellStyle name="Normal 5 2 4 2 3 4" xfId="18470"/>
    <cellStyle name="Normal 5 2 4 2 4" xfId="7656"/>
    <cellStyle name="Normal 5 2 4 2 4 2" xfId="13850"/>
    <cellStyle name="Normal 5 2 4 2 4 3" xfId="20002"/>
    <cellStyle name="Normal 5 2 4 2 5" xfId="10784"/>
    <cellStyle name="Normal 5 2 4 2 6" xfId="16936"/>
    <cellStyle name="Normal 5 2 5" xfId="4044"/>
    <cellStyle name="Normal 5 2 6" xfId="4045"/>
    <cellStyle name="Normal 5 2 6 2" xfId="5250"/>
    <cellStyle name="Normal 5 2 6 2 2" xfId="6875"/>
    <cellStyle name="Normal 5 2 6 2 2 2" xfId="9961"/>
    <cellStyle name="Normal 5 2 6 2 2 2 2" xfId="16154"/>
    <cellStyle name="Normal 5 2 6 2 2 2 3" xfId="22306"/>
    <cellStyle name="Normal 5 2 6 2 2 3" xfId="13088"/>
    <cellStyle name="Normal 5 2 6 2 2 4" xfId="19240"/>
    <cellStyle name="Normal 5 2 6 2 3" xfId="8426"/>
    <cellStyle name="Normal 5 2 6 2 3 2" xfId="14620"/>
    <cellStyle name="Normal 5 2 6 2 3 3" xfId="20772"/>
    <cellStyle name="Normal 5 2 6 2 4" xfId="11554"/>
    <cellStyle name="Normal 5 2 6 2 5" xfId="17706"/>
    <cellStyle name="Normal 5 2 6 3" xfId="6092"/>
    <cellStyle name="Normal 5 2 6 3 2" xfId="9192"/>
    <cellStyle name="Normal 5 2 6 3 2 2" xfId="15385"/>
    <cellStyle name="Normal 5 2 6 3 2 3" xfId="21537"/>
    <cellStyle name="Normal 5 2 6 3 3" xfId="12319"/>
    <cellStyle name="Normal 5 2 6 3 4" xfId="18471"/>
    <cellStyle name="Normal 5 2 6 4" xfId="7657"/>
    <cellStyle name="Normal 5 2 6 4 2" xfId="13851"/>
    <cellStyle name="Normal 5 2 6 4 3" xfId="20003"/>
    <cellStyle name="Normal 5 2 6 5" xfId="10785"/>
    <cellStyle name="Normal 5 2 6 6" xfId="16937"/>
    <cellStyle name="Normal 5 2 7" xfId="5244"/>
    <cellStyle name="Normal 5 2 7 2" xfId="6869"/>
    <cellStyle name="Normal 5 2 7 2 2" xfId="9955"/>
    <cellStyle name="Normal 5 2 7 2 2 2" xfId="16148"/>
    <cellStyle name="Normal 5 2 7 2 2 3" xfId="22300"/>
    <cellStyle name="Normal 5 2 7 2 3" xfId="13082"/>
    <cellStyle name="Normal 5 2 7 2 4" xfId="19234"/>
    <cellStyle name="Normal 5 2 7 3" xfId="8420"/>
    <cellStyle name="Normal 5 2 7 3 2" xfId="14614"/>
    <cellStyle name="Normal 5 2 7 3 3" xfId="20766"/>
    <cellStyle name="Normal 5 2 7 4" xfId="11548"/>
    <cellStyle name="Normal 5 2 7 5" xfId="17700"/>
    <cellStyle name="Normal 5 2 8" xfId="6086"/>
    <cellStyle name="Normal 5 2 8 2" xfId="9186"/>
    <cellStyle name="Normal 5 2 8 2 2" xfId="15379"/>
    <cellStyle name="Normal 5 2 8 2 3" xfId="21531"/>
    <cellStyle name="Normal 5 2 8 3" xfId="12313"/>
    <cellStyle name="Normal 5 2 8 4" xfId="18465"/>
    <cellStyle name="Normal 5 2 9" xfId="7651"/>
    <cellStyle name="Normal 5 2 9 2" xfId="13845"/>
    <cellStyle name="Normal 5 2 9 3" xfId="19997"/>
    <cellStyle name="Normal 5 20" xfId="619"/>
    <cellStyle name="Normal 5 20 2" xfId="1008"/>
    <cellStyle name="Normal 5 20 3" xfId="4046"/>
    <cellStyle name="Normal 5 20 4" xfId="22673"/>
    <cellStyle name="Normal 5 20 5" xfId="22971"/>
    <cellStyle name="Normal 5 21" xfId="643"/>
    <cellStyle name="Normal 5 21 2" xfId="1024"/>
    <cellStyle name="Normal 5 21 3" xfId="4047"/>
    <cellStyle name="Normal 5 21 4" xfId="22605"/>
    <cellStyle name="Normal 5 21 5" xfId="22987"/>
    <cellStyle name="Normal 5 22" xfId="669"/>
    <cellStyle name="Normal 5 22 2" xfId="1040"/>
    <cellStyle name="Normal 5 22 3" xfId="4048"/>
    <cellStyle name="Normal 5 22 4" xfId="22664"/>
    <cellStyle name="Normal 5 22 5" xfId="23003"/>
    <cellStyle name="Normal 5 23" xfId="709"/>
    <cellStyle name="Normal 5 23 2" xfId="1056"/>
    <cellStyle name="Normal 5 23 3" xfId="4049"/>
    <cellStyle name="Normal 5 23 4" xfId="22699"/>
    <cellStyle name="Normal 5 23 5" xfId="23019"/>
    <cellStyle name="Normal 5 24" xfId="737"/>
    <cellStyle name="Normal 5 24 2" xfId="1072"/>
    <cellStyle name="Normal 5 24 2 2" xfId="6876"/>
    <cellStyle name="Normal 5 24 2 2 2" xfId="9962"/>
    <cellStyle name="Normal 5 24 2 2 2 2" xfId="16155"/>
    <cellStyle name="Normal 5 24 2 2 2 3" xfId="22307"/>
    <cellStyle name="Normal 5 24 2 2 3" xfId="13089"/>
    <cellStyle name="Normal 5 24 2 2 4" xfId="19241"/>
    <cellStyle name="Normal 5 24 2 3" xfId="8427"/>
    <cellStyle name="Normal 5 24 2 3 2" xfId="14621"/>
    <cellStyle name="Normal 5 24 2 3 3" xfId="20773"/>
    <cellStyle name="Normal 5 24 2 4" xfId="11555"/>
    <cellStyle name="Normal 5 24 2 5" xfId="17707"/>
    <cellStyle name="Normal 5 24 2 6" xfId="5251"/>
    <cellStyle name="Normal 5 24 3" xfId="6093"/>
    <cellStyle name="Normal 5 24 3 2" xfId="9193"/>
    <cellStyle name="Normal 5 24 3 2 2" xfId="15386"/>
    <cellStyle name="Normal 5 24 3 2 3" xfId="21538"/>
    <cellStyle name="Normal 5 24 3 3" xfId="12320"/>
    <cellStyle name="Normal 5 24 3 4" xfId="18472"/>
    <cellStyle name="Normal 5 24 4" xfId="7658"/>
    <cellStyle name="Normal 5 24 4 2" xfId="13852"/>
    <cellStyle name="Normal 5 24 4 3" xfId="20004"/>
    <cellStyle name="Normal 5 24 5" xfId="10786"/>
    <cellStyle name="Normal 5 24 6" xfId="16938"/>
    <cellStyle name="Normal 5 24 7" xfId="4050"/>
    <cellStyle name="Normal 5 24 8" xfId="23035"/>
    <cellStyle name="Normal 5 25" xfId="763"/>
    <cellStyle name="Normal 5 25 2" xfId="1088"/>
    <cellStyle name="Normal 5 25 2 2" xfId="4052"/>
    <cellStyle name="Normal 5 25 3" xfId="4051"/>
    <cellStyle name="Normal 5 25 4" xfId="22623"/>
    <cellStyle name="Normal 5 25 5" xfId="23051"/>
    <cellStyle name="Normal 5 26" xfId="788"/>
    <cellStyle name="Normal 5 26 2" xfId="1104"/>
    <cellStyle name="Normal 5 26 2 2" xfId="4054"/>
    <cellStyle name="Normal 5 26 3" xfId="4053"/>
    <cellStyle name="Normal 5 26 4" xfId="22751"/>
    <cellStyle name="Normal 5 26 5" xfId="23067"/>
    <cellStyle name="Normal 5 27" xfId="812"/>
    <cellStyle name="Normal 5 27 2" xfId="1120"/>
    <cellStyle name="Normal 5 27 3" xfId="4620"/>
    <cellStyle name="Normal 5 27 4" xfId="22604"/>
    <cellStyle name="Normal 5 27 5" xfId="23083"/>
    <cellStyle name="Normal 5 28" xfId="828"/>
    <cellStyle name="Normal 5 28 2" xfId="1136"/>
    <cellStyle name="Normal 5 28 2 2" xfId="6868"/>
    <cellStyle name="Normal 5 28 2 2 2" xfId="9954"/>
    <cellStyle name="Normal 5 28 2 2 2 2" xfId="16147"/>
    <cellStyle name="Normal 5 28 2 2 2 3" xfId="22299"/>
    <cellStyle name="Normal 5 28 2 2 3" xfId="13081"/>
    <cellStyle name="Normal 5 28 2 2 4" xfId="19233"/>
    <cellStyle name="Normal 5 28 2 3" xfId="8419"/>
    <cellStyle name="Normal 5 28 2 3 2" xfId="14613"/>
    <cellStyle name="Normal 5 28 2 3 3" xfId="20765"/>
    <cellStyle name="Normal 5 28 2 4" xfId="11547"/>
    <cellStyle name="Normal 5 28 2 5" xfId="17699"/>
    <cellStyle name="Normal 5 28 2 6" xfId="5243"/>
    <cellStyle name="Normal 5 28 3" xfId="6085"/>
    <cellStyle name="Normal 5 28 3 2" xfId="9185"/>
    <cellStyle name="Normal 5 28 3 2 2" xfId="15378"/>
    <cellStyle name="Normal 5 28 3 2 3" xfId="21530"/>
    <cellStyle name="Normal 5 28 3 3" xfId="12312"/>
    <cellStyle name="Normal 5 28 3 4" xfId="18464"/>
    <cellStyle name="Normal 5 28 4" xfId="7650"/>
    <cellStyle name="Normal 5 28 4 2" xfId="13844"/>
    <cellStyle name="Normal 5 28 4 3" xfId="19996"/>
    <cellStyle name="Normal 5 28 5" xfId="10778"/>
    <cellStyle name="Normal 5 28 6" xfId="16930"/>
    <cellStyle name="Normal 5 28 7" xfId="4023"/>
    <cellStyle name="Normal 5 28 8" xfId="23099"/>
    <cellStyle name="Normal 5 29" xfId="844"/>
    <cellStyle name="Normal 5 29 2" xfId="1152"/>
    <cellStyle name="Normal 5 29 3" xfId="1179"/>
    <cellStyle name="Normal 5 29 4" xfId="22729"/>
    <cellStyle name="Normal 5 29 5" xfId="23115"/>
    <cellStyle name="Normal 5 3" xfId="296"/>
    <cellStyle name="Normal 5 3 10" xfId="23281"/>
    <cellStyle name="Normal 5 3 2" xfId="892"/>
    <cellStyle name="Normal 5 3 2 2" xfId="4056"/>
    <cellStyle name="Normal 5 3 3" xfId="5252"/>
    <cellStyle name="Normal 5 3 3 2" xfId="6877"/>
    <cellStyle name="Normal 5 3 3 2 2" xfId="9963"/>
    <cellStyle name="Normal 5 3 3 2 2 2" xfId="16156"/>
    <cellStyle name="Normal 5 3 3 2 2 3" xfId="22308"/>
    <cellStyle name="Normal 5 3 3 2 3" xfId="13090"/>
    <cellStyle name="Normal 5 3 3 2 4" xfId="19242"/>
    <cellStyle name="Normal 5 3 3 3" xfId="8428"/>
    <cellStyle name="Normal 5 3 3 3 2" xfId="14622"/>
    <cellStyle name="Normal 5 3 3 3 3" xfId="20774"/>
    <cellStyle name="Normal 5 3 3 4" xfId="11556"/>
    <cellStyle name="Normal 5 3 3 5" xfId="17708"/>
    <cellStyle name="Normal 5 3 4" xfId="6094"/>
    <cellStyle name="Normal 5 3 4 2" xfId="9194"/>
    <cellStyle name="Normal 5 3 4 2 2" xfId="15387"/>
    <cellStyle name="Normal 5 3 4 2 3" xfId="21539"/>
    <cellStyle name="Normal 5 3 4 3" xfId="12321"/>
    <cellStyle name="Normal 5 3 4 4" xfId="18473"/>
    <cellStyle name="Normal 5 3 5" xfId="7659"/>
    <cellStyle name="Normal 5 3 5 2" xfId="13853"/>
    <cellStyle name="Normal 5 3 5 3" xfId="20005"/>
    <cellStyle name="Normal 5 3 6" xfId="10787"/>
    <cellStyle name="Normal 5 3 7" xfId="16939"/>
    <cellStyle name="Normal 5 3 8" xfId="4055"/>
    <cellStyle name="Normal 5 3 9" xfId="22855"/>
    <cellStyle name="Normal 5 30" xfId="201"/>
    <cellStyle name="Normal 5 4" xfId="319"/>
    <cellStyle name="Normal 5 4 10" xfId="23282"/>
    <cellStyle name="Normal 5 4 2" xfId="896"/>
    <cellStyle name="Normal 5 4 2 2" xfId="4058"/>
    <cellStyle name="Normal 5 4 3" xfId="5253"/>
    <cellStyle name="Normal 5 4 3 2" xfId="6878"/>
    <cellStyle name="Normal 5 4 3 2 2" xfId="9964"/>
    <cellStyle name="Normal 5 4 3 2 2 2" xfId="16157"/>
    <cellStyle name="Normal 5 4 3 2 2 3" xfId="22309"/>
    <cellStyle name="Normal 5 4 3 2 3" xfId="13091"/>
    <cellStyle name="Normal 5 4 3 2 4" xfId="19243"/>
    <cellStyle name="Normal 5 4 3 3" xfId="8429"/>
    <cellStyle name="Normal 5 4 3 3 2" xfId="14623"/>
    <cellStyle name="Normal 5 4 3 3 3" xfId="20775"/>
    <cellStyle name="Normal 5 4 3 4" xfId="11557"/>
    <cellStyle name="Normal 5 4 3 5" xfId="17709"/>
    <cellStyle name="Normal 5 4 4" xfId="6095"/>
    <cellStyle name="Normal 5 4 4 2" xfId="9195"/>
    <cellStyle name="Normal 5 4 4 2 2" xfId="15388"/>
    <cellStyle name="Normal 5 4 4 2 3" xfId="21540"/>
    <cellStyle name="Normal 5 4 4 3" xfId="12322"/>
    <cellStyle name="Normal 5 4 4 4" xfId="18474"/>
    <cellStyle name="Normal 5 4 5" xfId="7660"/>
    <cellStyle name="Normal 5 4 5 2" xfId="13854"/>
    <cellStyle name="Normal 5 4 5 3" xfId="20006"/>
    <cellStyle name="Normal 5 4 6" xfId="10788"/>
    <cellStyle name="Normal 5 4 7" xfId="16940"/>
    <cellStyle name="Normal 5 4 8" xfId="4057"/>
    <cellStyle name="Normal 5 4 9" xfId="22859"/>
    <cellStyle name="Normal 5 5" xfId="334"/>
    <cellStyle name="Normal 5 5 10" xfId="23283"/>
    <cellStyle name="Normal 5 5 2" xfId="899"/>
    <cellStyle name="Normal 5 5 2 2" xfId="4060"/>
    <cellStyle name="Normal 5 5 3" xfId="5254"/>
    <cellStyle name="Normal 5 5 3 2" xfId="6879"/>
    <cellStyle name="Normal 5 5 3 2 2" xfId="9965"/>
    <cellStyle name="Normal 5 5 3 2 2 2" xfId="16158"/>
    <cellStyle name="Normal 5 5 3 2 2 3" xfId="22310"/>
    <cellStyle name="Normal 5 5 3 2 3" xfId="13092"/>
    <cellStyle name="Normal 5 5 3 2 4" xfId="19244"/>
    <cellStyle name="Normal 5 5 3 3" xfId="8430"/>
    <cellStyle name="Normal 5 5 3 3 2" xfId="14624"/>
    <cellStyle name="Normal 5 5 3 3 3" xfId="20776"/>
    <cellStyle name="Normal 5 5 3 4" xfId="11558"/>
    <cellStyle name="Normal 5 5 3 5" xfId="17710"/>
    <cellStyle name="Normal 5 5 4" xfId="6096"/>
    <cellStyle name="Normal 5 5 4 2" xfId="9196"/>
    <cellStyle name="Normal 5 5 4 2 2" xfId="15389"/>
    <cellStyle name="Normal 5 5 4 2 3" xfId="21541"/>
    <cellStyle name="Normal 5 5 4 3" xfId="12323"/>
    <cellStyle name="Normal 5 5 4 4" xfId="18475"/>
    <cellStyle name="Normal 5 5 5" xfId="7661"/>
    <cellStyle name="Normal 5 5 5 2" xfId="13855"/>
    <cellStyle name="Normal 5 5 5 3" xfId="20007"/>
    <cellStyle name="Normal 5 5 6" xfId="10789"/>
    <cellStyle name="Normal 5 5 7" xfId="16941"/>
    <cellStyle name="Normal 5 5 8" xfId="4059"/>
    <cellStyle name="Normal 5 5 9" xfId="22862"/>
    <cellStyle name="Normal 5 6" xfId="348"/>
    <cellStyle name="Normal 5 6 2" xfId="902"/>
    <cellStyle name="Normal 5 6 2 2" xfId="4062"/>
    <cellStyle name="Normal 5 6 3" xfId="5255"/>
    <cellStyle name="Normal 5 6 3 2" xfId="6880"/>
    <cellStyle name="Normal 5 6 3 2 2" xfId="9966"/>
    <cellStyle name="Normal 5 6 3 2 2 2" xfId="16159"/>
    <cellStyle name="Normal 5 6 3 2 2 3" xfId="22311"/>
    <cellStyle name="Normal 5 6 3 2 3" xfId="13093"/>
    <cellStyle name="Normal 5 6 3 2 4" xfId="19245"/>
    <cellStyle name="Normal 5 6 3 3" xfId="8431"/>
    <cellStyle name="Normal 5 6 3 3 2" xfId="14625"/>
    <cellStyle name="Normal 5 6 3 3 3" xfId="20777"/>
    <cellStyle name="Normal 5 6 3 4" xfId="11559"/>
    <cellStyle name="Normal 5 6 3 5" xfId="17711"/>
    <cellStyle name="Normal 5 6 4" xfId="6097"/>
    <cellStyle name="Normal 5 6 4 2" xfId="9197"/>
    <cellStyle name="Normal 5 6 4 2 2" xfId="15390"/>
    <cellStyle name="Normal 5 6 4 2 3" xfId="21542"/>
    <cellStyle name="Normal 5 6 4 3" xfId="12324"/>
    <cellStyle name="Normal 5 6 4 4" xfId="18476"/>
    <cellStyle name="Normal 5 6 5" xfId="7662"/>
    <cellStyle name="Normal 5 6 5 2" xfId="13856"/>
    <cellStyle name="Normal 5 6 5 3" xfId="20008"/>
    <cellStyle name="Normal 5 6 6" xfId="10790"/>
    <cellStyle name="Normal 5 6 7" xfId="16942"/>
    <cellStyle name="Normal 5 6 8" xfId="4061"/>
    <cellStyle name="Normal 5 6 9" xfId="22865"/>
    <cellStyle name="Normal 5 7" xfId="364"/>
    <cellStyle name="Normal 5 7 2" xfId="905"/>
    <cellStyle name="Normal 5 7 2 2" xfId="4064"/>
    <cellStyle name="Normal 5 7 3" xfId="5256"/>
    <cellStyle name="Normal 5 7 3 2" xfId="6881"/>
    <cellStyle name="Normal 5 7 3 2 2" xfId="9967"/>
    <cellStyle name="Normal 5 7 3 2 2 2" xfId="16160"/>
    <cellStyle name="Normal 5 7 3 2 2 3" xfId="22312"/>
    <cellStyle name="Normal 5 7 3 2 3" xfId="13094"/>
    <cellStyle name="Normal 5 7 3 2 4" xfId="19246"/>
    <cellStyle name="Normal 5 7 3 3" xfId="8432"/>
    <cellStyle name="Normal 5 7 3 3 2" xfId="14626"/>
    <cellStyle name="Normal 5 7 3 3 3" xfId="20778"/>
    <cellStyle name="Normal 5 7 3 4" xfId="11560"/>
    <cellStyle name="Normal 5 7 3 5" xfId="17712"/>
    <cellStyle name="Normal 5 7 4" xfId="6098"/>
    <cellStyle name="Normal 5 7 4 2" xfId="9198"/>
    <cellStyle name="Normal 5 7 4 2 2" xfId="15391"/>
    <cellStyle name="Normal 5 7 4 2 3" xfId="21543"/>
    <cellStyle name="Normal 5 7 4 3" xfId="12325"/>
    <cellStyle name="Normal 5 7 4 4" xfId="18477"/>
    <cellStyle name="Normal 5 7 5" xfId="7663"/>
    <cellStyle name="Normal 5 7 5 2" xfId="13857"/>
    <cellStyle name="Normal 5 7 5 3" xfId="20009"/>
    <cellStyle name="Normal 5 7 6" xfId="10791"/>
    <cellStyle name="Normal 5 7 7" xfId="16943"/>
    <cellStyle name="Normal 5 7 8" xfId="4063"/>
    <cellStyle name="Normal 5 7 9" xfId="22868"/>
    <cellStyle name="Normal 5 8" xfId="379"/>
    <cellStyle name="Normal 5 8 2" xfId="908"/>
    <cellStyle name="Normal 5 8 3" xfId="4065"/>
    <cellStyle name="Normal 5 8 4" xfId="22687"/>
    <cellStyle name="Normal 5 8 5" xfId="22871"/>
    <cellStyle name="Normal 5 9" xfId="395"/>
    <cellStyle name="Normal 5 9 2" xfId="911"/>
    <cellStyle name="Normal 5 9 3" xfId="4066"/>
    <cellStyle name="Normal 5 9 4" xfId="22634"/>
    <cellStyle name="Normal 5 9 5" xfId="22874"/>
    <cellStyle name="Normal 5_GRCW" xfId="60"/>
    <cellStyle name="Normal 50" xfId="1317"/>
    <cellStyle name="Normal 50 2" xfId="4764"/>
    <cellStyle name="Normal 50 2 2" xfId="6389"/>
    <cellStyle name="Normal 50 2 2 2" xfId="9475"/>
    <cellStyle name="Normal 50 2 2 2 2" xfId="15668"/>
    <cellStyle name="Normal 50 2 2 2 3" xfId="21820"/>
    <cellStyle name="Normal 50 2 2 3" xfId="12602"/>
    <cellStyle name="Normal 50 2 2 4" xfId="18754"/>
    <cellStyle name="Normal 50 2 3" xfId="7940"/>
    <cellStyle name="Normal 50 2 3 2" xfId="14134"/>
    <cellStyle name="Normal 50 2 3 3" xfId="20286"/>
    <cellStyle name="Normal 50 2 4" xfId="11068"/>
    <cellStyle name="Normal 50 2 5" xfId="17220"/>
    <cellStyle name="Normal 50 3" xfId="5603"/>
    <cellStyle name="Normal 50 3 2" xfId="8706"/>
    <cellStyle name="Normal 50 3 2 2" xfId="14899"/>
    <cellStyle name="Normal 50 3 2 3" xfId="21051"/>
    <cellStyle name="Normal 50 3 3" xfId="11833"/>
    <cellStyle name="Normal 50 3 4" xfId="17985"/>
    <cellStyle name="Normal 50 4" xfId="7171"/>
    <cellStyle name="Normal 50 4 2" xfId="13365"/>
    <cellStyle name="Normal 50 4 3" xfId="19517"/>
    <cellStyle name="Normal 50 5" xfId="10299"/>
    <cellStyle name="Normal 50 6" xfId="16451"/>
    <cellStyle name="Normal 51" xfId="4728"/>
    <cellStyle name="Normal 51 2" xfId="4739"/>
    <cellStyle name="Normal 51 3" xfId="6360"/>
    <cellStyle name="Normal 51 3 2" xfId="9446"/>
    <cellStyle name="Normal 51 3 2 2" xfId="15639"/>
    <cellStyle name="Normal 51 3 2 3" xfId="21791"/>
    <cellStyle name="Normal 51 3 3" xfId="12573"/>
    <cellStyle name="Normal 51 3 4" xfId="18725"/>
    <cellStyle name="Normal 51 4" xfId="7911"/>
    <cellStyle name="Normal 51 4 2" xfId="14105"/>
    <cellStyle name="Normal 51 4 3" xfId="20257"/>
    <cellStyle name="Normal 51 5" xfId="11039"/>
    <cellStyle name="Normal 51 6" xfId="17191"/>
    <cellStyle name="Normal 52" xfId="5576"/>
    <cellStyle name="Normal 52 2" xfId="8680"/>
    <cellStyle name="Normal 52 2 2" xfId="14874"/>
    <cellStyle name="Normal 52 2 3" xfId="21026"/>
    <cellStyle name="Normal 52 3" xfId="11808"/>
    <cellStyle name="Normal 52 4" xfId="17960"/>
    <cellStyle name="Normal 53" xfId="7142"/>
    <cellStyle name="Normal 54" xfId="7141"/>
    <cellStyle name="Normal 54 2" xfId="13342"/>
    <cellStyle name="Normal 54 3" xfId="19494"/>
    <cellStyle name="Normal 55" xfId="10218"/>
    <cellStyle name="Normal 56" xfId="10270"/>
    <cellStyle name="Normal 57" xfId="10269"/>
    <cellStyle name="Normal 58" xfId="1175"/>
    <cellStyle name="Normal 59" xfId="1157"/>
    <cellStyle name="Normal 6" xfId="32"/>
    <cellStyle name="Normal 6 2" xfId="74"/>
    <cellStyle name="Normal 6 2 2" xfId="4068"/>
    <cellStyle name="Normal 6 2 3" xfId="23284"/>
    <cellStyle name="Normal 6 3" xfId="4069"/>
    <cellStyle name="Normal 6 3 2" xfId="23285"/>
    <cellStyle name="Normal 6 4" xfId="4070"/>
    <cellStyle name="Normal 6 4 2" xfId="23286"/>
    <cellStyle name="Normal 6 5" xfId="4071"/>
    <cellStyle name="Normal 6 5 2" xfId="4072"/>
    <cellStyle name="Normal 6 5 3" xfId="23287"/>
    <cellStyle name="Normal 6 6" xfId="4073"/>
    <cellStyle name="Normal 6 6 2" xfId="4074"/>
    <cellStyle name="Normal 6 7" xfId="4621"/>
    <cellStyle name="Normal 6 8" xfId="4067"/>
    <cellStyle name="Normal 7" xfId="33"/>
    <cellStyle name="Normal 7 10" xfId="4076"/>
    <cellStyle name="Normal 7 10 2" xfId="5258"/>
    <cellStyle name="Normal 7 10 2 2" xfId="6883"/>
    <cellStyle name="Normal 7 10 2 2 2" xfId="9969"/>
    <cellStyle name="Normal 7 10 2 2 2 2" xfId="16162"/>
    <cellStyle name="Normal 7 10 2 2 2 3" xfId="22314"/>
    <cellStyle name="Normal 7 10 2 2 3" xfId="13096"/>
    <cellStyle name="Normal 7 10 2 2 4" xfId="19248"/>
    <cellStyle name="Normal 7 10 2 3" xfId="8434"/>
    <cellStyle name="Normal 7 10 2 3 2" xfId="14628"/>
    <cellStyle name="Normal 7 10 2 3 3" xfId="20780"/>
    <cellStyle name="Normal 7 10 2 4" xfId="11562"/>
    <cellStyle name="Normal 7 10 2 5" xfId="17714"/>
    <cellStyle name="Normal 7 10 3" xfId="6100"/>
    <cellStyle name="Normal 7 10 3 2" xfId="9200"/>
    <cellStyle name="Normal 7 10 3 2 2" xfId="15393"/>
    <cellStyle name="Normal 7 10 3 2 3" xfId="21545"/>
    <cellStyle name="Normal 7 10 3 3" xfId="12327"/>
    <cellStyle name="Normal 7 10 3 4" xfId="18479"/>
    <cellStyle name="Normal 7 10 4" xfId="7665"/>
    <cellStyle name="Normal 7 10 4 2" xfId="13859"/>
    <cellStyle name="Normal 7 10 4 3" xfId="20011"/>
    <cellStyle name="Normal 7 10 5" xfId="10793"/>
    <cellStyle name="Normal 7 10 6" xfId="16945"/>
    <cellStyle name="Normal 7 11" xfId="4077"/>
    <cellStyle name="Normal 7 11 2" xfId="5259"/>
    <cellStyle name="Normal 7 11 2 2" xfId="6884"/>
    <cellStyle name="Normal 7 11 2 2 2" xfId="9970"/>
    <cellStyle name="Normal 7 11 2 2 2 2" xfId="16163"/>
    <cellStyle name="Normal 7 11 2 2 2 3" xfId="22315"/>
    <cellStyle name="Normal 7 11 2 2 3" xfId="13097"/>
    <cellStyle name="Normal 7 11 2 2 4" xfId="19249"/>
    <cellStyle name="Normal 7 11 2 3" xfId="8435"/>
    <cellStyle name="Normal 7 11 2 3 2" xfId="14629"/>
    <cellStyle name="Normal 7 11 2 3 3" xfId="20781"/>
    <cellStyle name="Normal 7 11 2 4" xfId="11563"/>
    <cellStyle name="Normal 7 11 2 5" xfId="17715"/>
    <cellStyle name="Normal 7 11 3" xfId="6101"/>
    <cellStyle name="Normal 7 11 3 2" xfId="9201"/>
    <cellStyle name="Normal 7 11 3 2 2" xfId="15394"/>
    <cellStyle name="Normal 7 11 3 2 3" xfId="21546"/>
    <cellStyle name="Normal 7 11 3 3" xfId="12328"/>
    <cellStyle name="Normal 7 11 3 4" xfId="18480"/>
    <cellStyle name="Normal 7 11 4" xfId="7666"/>
    <cellStyle name="Normal 7 11 4 2" xfId="13860"/>
    <cellStyle name="Normal 7 11 4 3" xfId="20012"/>
    <cellStyle name="Normal 7 11 5" xfId="10794"/>
    <cellStyle name="Normal 7 11 6" xfId="16946"/>
    <cellStyle name="Normal 7 12" xfId="4078"/>
    <cellStyle name="Normal 7 12 2" xfId="5260"/>
    <cellStyle name="Normal 7 12 2 2" xfId="6885"/>
    <cellStyle name="Normal 7 12 2 2 2" xfId="9971"/>
    <cellStyle name="Normal 7 12 2 2 2 2" xfId="16164"/>
    <cellStyle name="Normal 7 12 2 2 2 3" xfId="22316"/>
    <cellStyle name="Normal 7 12 2 2 3" xfId="13098"/>
    <cellStyle name="Normal 7 12 2 2 4" xfId="19250"/>
    <cellStyle name="Normal 7 12 2 3" xfId="8436"/>
    <cellStyle name="Normal 7 12 2 3 2" xfId="14630"/>
    <cellStyle name="Normal 7 12 2 3 3" xfId="20782"/>
    <cellStyle name="Normal 7 12 2 4" xfId="11564"/>
    <cellStyle name="Normal 7 12 2 5" xfId="17716"/>
    <cellStyle name="Normal 7 12 3" xfId="6102"/>
    <cellStyle name="Normal 7 12 3 2" xfId="9202"/>
    <cellStyle name="Normal 7 12 3 2 2" xfId="15395"/>
    <cellStyle name="Normal 7 12 3 2 3" xfId="21547"/>
    <cellStyle name="Normal 7 12 3 3" xfId="12329"/>
    <cellStyle name="Normal 7 12 3 4" xfId="18481"/>
    <cellStyle name="Normal 7 12 4" xfId="7667"/>
    <cellStyle name="Normal 7 12 4 2" xfId="13861"/>
    <cellStyle name="Normal 7 12 4 3" xfId="20013"/>
    <cellStyle name="Normal 7 12 5" xfId="10795"/>
    <cellStyle name="Normal 7 12 6" xfId="16947"/>
    <cellStyle name="Normal 7 13" xfId="4079"/>
    <cellStyle name="Normal 7 13 2" xfId="5261"/>
    <cellStyle name="Normal 7 13 2 2" xfId="6886"/>
    <cellStyle name="Normal 7 13 2 2 2" xfId="9972"/>
    <cellStyle name="Normal 7 13 2 2 2 2" xfId="16165"/>
    <cellStyle name="Normal 7 13 2 2 2 3" xfId="22317"/>
    <cellStyle name="Normal 7 13 2 2 3" xfId="13099"/>
    <cellStyle name="Normal 7 13 2 2 4" xfId="19251"/>
    <cellStyle name="Normal 7 13 2 3" xfId="8437"/>
    <cellStyle name="Normal 7 13 2 3 2" xfId="14631"/>
    <cellStyle name="Normal 7 13 2 3 3" xfId="20783"/>
    <cellStyle name="Normal 7 13 2 4" xfId="11565"/>
    <cellStyle name="Normal 7 13 2 5" xfId="17717"/>
    <cellStyle name="Normal 7 13 3" xfId="6103"/>
    <cellStyle name="Normal 7 13 3 2" xfId="9203"/>
    <cellStyle name="Normal 7 13 3 2 2" xfId="15396"/>
    <cellStyle name="Normal 7 13 3 2 3" xfId="21548"/>
    <cellStyle name="Normal 7 13 3 3" xfId="12330"/>
    <cellStyle name="Normal 7 13 3 4" xfId="18482"/>
    <cellStyle name="Normal 7 13 4" xfId="7668"/>
    <cellStyle name="Normal 7 13 4 2" xfId="13862"/>
    <cellStyle name="Normal 7 13 4 3" xfId="20014"/>
    <cellStyle name="Normal 7 13 5" xfId="10796"/>
    <cellStyle name="Normal 7 13 6" xfId="16948"/>
    <cellStyle name="Normal 7 14" xfId="4080"/>
    <cellStyle name="Normal 7 14 2" xfId="5262"/>
    <cellStyle name="Normal 7 14 2 2" xfId="6887"/>
    <cellStyle name="Normal 7 14 2 2 2" xfId="9973"/>
    <cellStyle name="Normal 7 14 2 2 2 2" xfId="16166"/>
    <cellStyle name="Normal 7 14 2 2 2 3" xfId="22318"/>
    <cellStyle name="Normal 7 14 2 2 3" xfId="13100"/>
    <cellStyle name="Normal 7 14 2 2 4" xfId="19252"/>
    <cellStyle name="Normal 7 14 2 3" xfId="8438"/>
    <cellStyle name="Normal 7 14 2 3 2" xfId="14632"/>
    <cellStyle name="Normal 7 14 2 3 3" xfId="20784"/>
    <cellStyle name="Normal 7 14 2 4" xfId="11566"/>
    <cellStyle name="Normal 7 14 2 5" xfId="17718"/>
    <cellStyle name="Normal 7 14 3" xfId="6104"/>
    <cellStyle name="Normal 7 14 3 2" xfId="9204"/>
    <cellStyle name="Normal 7 14 3 2 2" xfId="15397"/>
    <cellStyle name="Normal 7 14 3 2 3" xfId="21549"/>
    <cellStyle name="Normal 7 14 3 3" xfId="12331"/>
    <cellStyle name="Normal 7 14 3 4" xfId="18483"/>
    <cellStyle name="Normal 7 14 4" xfId="7669"/>
    <cellStyle name="Normal 7 14 4 2" xfId="13863"/>
    <cellStyle name="Normal 7 14 4 3" xfId="20015"/>
    <cellStyle name="Normal 7 14 5" xfId="10797"/>
    <cellStyle name="Normal 7 14 6" xfId="16949"/>
    <cellStyle name="Normal 7 15" xfId="4081"/>
    <cellStyle name="Normal 7 15 2" xfId="5263"/>
    <cellStyle name="Normal 7 15 2 2" xfId="6888"/>
    <cellStyle name="Normal 7 15 2 2 2" xfId="9974"/>
    <cellStyle name="Normal 7 15 2 2 2 2" xfId="16167"/>
    <cellStyle name="Normal 7 15 2 2 2 3" xfId="22319"/>
    <cellStyle name="Normal 7 15 2 2 3" xfId="13101"/>
    <cellStyle name="Normal 7 15 2 2 4" xfId="19253"/>
    <cellStyle name="Normal 7 15 2 3" xfId="8439"/>
    <cellStyle name="Normal 7 15 2 3 2" xfId="14633"/>
    <cellStyle name="Normal 7 15 2 3 3" xfId="20785"/>
    <cellStyle name="Normal 7 15 2 4" xfId="11567"/>
    <cellStyle name="Normal 7 15 2 5" xfId="17719"/>
    <cellStyle name="Normal 7 15 3" xfId="6105"/>
    <cellStyle name="Normal 7 15 3 2" xfId="9205"/>
    <cellStyle name="Normal 7 15 3 2 2" xfId="15398"/>
    <cellStyle name="Normal 7 15 3 2 3" xfId="21550"/>
    <cellStyle name="Normal 7 15 3 3" xfId="12332"/>
    <cellStyle name="Normal 7 15 3 4" xfId="18484"/>
    <cellStyle name="Normal 7 15 4" xfId="7670"/>
    <cellStyle name="Normal 7 15 4 2" xfId="13864"/>
    <cellStyle name="Normal 7 15 4 3" xfId="20016"/>
    <cellStyle name="Normal 7 15 5" xfId="10798"/>
    <cellStyle name="Normal 7 15 6" xfId="16950"/>
    <cellStyle name="Normal 7 16" xfId="4082"/>
    <cellStyle name="Normal 7 16 2" xfId="5264"/>
    <cellStyle name="Normal 7 16 2 2" xfId="6889"/>
    <cellStyle name="Normal 7 16 2 2 2" xfId="9975"/>
    <cellStyle name="Normal 7 16 2 2 2 2" xfId="16168"/>
    <cellStyle name="Normal 7 16 2 2 2 3" xfId="22320"/>
    <cellStyle name="Normal 7 16 2 2 3" xfId="13102"/>
    <cellStyle name="Normal 7 16 2 2 4" xfId="19254"/>
    <cellStyle name="Normal 7 16 2 3" xfId="8440"/>
    <cellStyle name="Normal 7 16 2 3 2" xfId="14634"/>
    <cellStyle name="Normal 7 16 2 3 3" xfId="20786"/>
    <cellStyle name="Normal 7 16 2 4" xfId="11568"/>
    <cellStyle name="Normal 7 16 2 5" xfId="17720"/>
    <cellStyle name="Normal 7 16 3" xfId="6106"/>
    <cellStyle name="Normal 7 16 3 2" xfId="9206"/>
    <cellStyle name="Normal 7 16 3 2 2" xfId="15399"/>
    <cellStyle name="Normal 7 16 3 2 3" xfId="21551"/>
    <cellStyle name="Normal 7 16 3 3" xfId="12333"/>
    <cellStyle name="Normal 7 16 3 4" xfId="18485"/>
    <cellStyle name="Normal 7 16 4" xfId="7671"/>
    <cellStyle name="Normal 7 16 4 2" xfId="13865"/>
    <cellStyle name="Normal 7 16 4 3" xfId="20017"/>
    <cellStyle name="Normal 7 16 5" xfId="10799"/>
    <cellStyle name="Normal 7 16 6" xfId="16951"/>
    <cellStyle name="Normal 7 17" xfId="4083"/>
    <cellStyle name="Normal 7 17 2" xfId="5265"/>
    <cellStyle name="Normal 7 17 2 2" xfId="6890"/>
    <cellStyle name="Normal 7 17 2 2 2" xfId="9976"/>
    <cellStyle name="Normal 7 17 2 2 2 2" xfId="16169"/>
    <cellStyle name="Normal 7 17 2 2 2 3" xfId="22321"/>
    <cellStyle name="Normal 7 17 2 2 3" xfId="13103"/>
    <cellStyle name="Normal 7 17 2 2 4" xfId="19255"/>
    <cellStyle name="Normal 7 17 2 3" xfId="8441"/>
    <cellStyle name="Normal 7 17 2 3 2" xfId="14635"/>
    <cellStyle name="Normal 7 17 2 3 3" xfId="20787"/>
    <cellStyle name="Normal 7 17 2 4" xfId="11569"/>
    <cellStyle name="Normal 7 17 2 5" xfId="17721"/>
    <cellStyle name="Normal 7 17 3" xfId="6107"/>
    <cellStyle name="Normal 7 17 3 2" xfId="9207"/>
    <cellStyle name="Normal 7 17 3 2 2" xfId="15400"/>
    <cellStyle name="Normal 7 17 3 2 3" xfId="21552"/>
    <cellStyle name="Normal 7 17 3 3" xfId="12334"/>
    <cellStyle name="Normal 7 17 3 4" xfId="18486"/>
    <cellStyle name="Normal 7 17 4" xfId="7672"/>
    <cellStyle name="Normal 7 17 4 2" xfId="13866"/>
    <cellStyle name="Normal 7 17 4 3" xfId="20018"/>
    <cellStyle name="Normal 7 17 5" xfId="10800"/>
    <cellStyle name="Normal 7 17 6" xfId="16952"/>
    <cellStyle name="Normal 7 18" xfId="4084"/>
    <cellStyle name="Normal 7 18 2" xfId="5266"/>
    <cellStyle name="Normal 7 18 2 2" xfId="6891"/>
    <cellStyle name="Normal 7 18 2 2 2" xfId="9977"/>
    <cellStyle name="Normal 7 18 2 2 2 2" xfId="16170"/>
    <cellStyle name="Normal 7 18 2 2 2 3" xfId="22322"/>
    <cellStyle name="Normal 7 18 2 2 3" xfId="13104"/>
    <cellStyle name="Normal 7 18 2 2 4" xfId="19256"/>
    <cellStyle name="Normal 7 18 2 3" xfId="8442"/>
    <cellStyle name="Normal 7 18 2 3 2" xfId="14636"/>
    <cellStyle name="Normal 7 18 2 3 3" xfId="20788"/>
    <cellStyle name="Normal 7 18 2 4" xfId="11570"/>
    <cellStyle name="Normal 7 18 2 5" xfId="17722"/>
    <cellStyle name="Normal 7 18 3" xfId="6108"/>
    <cellStyle name="Normal 7 18 3 2" xfId="9208"/>
    <cellStyle name="Normal 7 18 3 2 2" xfId="15401"/>
    <cellStyle name="Normal 7 18 3 2 3" xfId="21553"/>
    <cellStyle name="Normal 7 18 3 3" xfId="12335"/>
    <cellStyle name="Normal 7 18 3 4" xfId="18487"/>
    <cellStyle name="Normal 7 18 4" xfId="7673"/>
    <cellStyle name="Normal 7 18 4 2" xfId="13867"/>
    <cellStyle name="Normal 7 18 4 3" xfId="20019"/>
    <cellStyle name="Normal 7 18 5" xfId="10801"/>
    <cellStyle name="Normal 7 18 6" xfId="16953"/>
    <cellStyle name="Normal 7 19" xfId="4085"/>
    <cellStyle name="Normal 7 19 2" xfId="5267"/>
    <cellStyle name="Normal 7 19 2 2" xfId="6892"/>
    <cellStyle name="Normal 7 19 2 2 2" xfId="9978"/>
    <cellStyle name="Normal 7 19 2 2 2 2" xfId="16171"/>
    <cellStyle name="Normal 7 19 2 2 2 3" xfId="22323"/>
    <cellStyle name="Normal 7 19 2 2 3" xfId="13105"/>
    <cellStyle name="Normal 7 19 2 2 4" xfId="19257"/>
    <cellStyle name="Normal 7 19 2 3" xfId="8443"/>
    <cellStyle name="Normal 7 19 2 3 2" xfId="14637"/>
    <cellStyle name="Normal 7 19 2 3 3" xfId="20789"/>
    <cellStyle name="Normal 7 19 2 4" xfId="11571"/>
    <cellStyle name="Normal 7 19 2 5" xfId="17723"/>
    <cellStyle name="Normal 7 19 3" xfId="6109"/>
    <cellStyle name="Normal 7 19 3 2" xfId="9209"/>
    <cellStyle name="Normal 7 19 3 2 2" xfId="15402"/>
    <cellStyle name="Normal 7 19 3 2 3" xfId="21554"/>
    <cellStyle name="Normal 7 19 3 3" xfId="12336"/>
    <cellStyle name="Normal 7 19 3 4" xfId="18488"/>
    <cellStyle name="Normal 7 19 4" xfId="7674"/>
    <cellStyle name="Normal 7 19 4 2" xfId="13868"/>
    <cellStyle name="Normal 7 19 4 3" xfId="20020"/>
    <cellStyle name="Normal 7 19 5" xfId="10802"/>
    <cellStyle name="Normal 7 19 6" xfId="16954"/>
    <cellStyle name="Normal 7 2" xfId="34"/>
    <cellStyle name="Normal 7 2 10" xfId="10803"/>
    <cellStyle name="Normal 7 2 11" xfId="16955"/>
    <cellStyle name="Normal 7 2 12" xfId="4086"/>
    <cellStyle name="Normal 7 2 13" xfId="23288"/>
    <cellStyle name="Normal 7 2 2" xfId="35"/>
    <cellStyle name="Normal 7 2 2 2" xfId="97"/>
    <cellStyle name="Normal 7 2 2 2 2" xfId="143"/>
    <cellStyle name="Normal 7 2 2 2 2 2" xfId="9980"/>
    <cellStyle name="Normal 7 2 2 2 2 2 2" xfId="16173"/>
    <cellStyle name="Normal 7 2 2 2 2 2 3" xfId="22325"/>
    <cellStyle name="Normal 7 2 2 2 2 3" xfId="13107"/>
    <cellStyle name="Normal 7 2 2 2 2 4" xfId="19259"/>
    <cellStyle name="Normal 7 2 2 2 2 5" xfId="6894"/>
    <cellStyle name="Normal 7 2 2 2 3" xfId="8445"/>
    <cellStyle name="Normal 7 2 2 2 3 2" xfId="14639"/>
    <cellStyle name="Normal 7 2 2 2 3 3" xfId="20791"/>
    <cellStyle name="Normal 7 2 2 2 4" xfId="11573"/>
    <cellStyle name="Normal 7 2 2 2 5" xfId="17725"/>
    <cellStyle name="Normal 7 2 2 2 6" xfId="5269"/>
    <cellStyle name="Normal 7 2 2 3" xfId="127"/>
    <cellStyle name="Normal 7 2 2 3 2" xfId="9211"/>
    <cellStyle name="Normal 7 2 2 3 2 2" xfId="15404"/>
    <cellStyle name="Normal 7 2 2 3 2 3" xfId="21556"/>
    <cellStyle name="Normal 7 2 2 3 3" xfId="12338"/>
    <cellStyle name="Normal 7 2 2 3 4" xfId="18490"/>
    <cellStyle name="Normal 7 2 2 3 5" xfId="6111"/>
    <cellStyle name="Normal 7 2 2 4" xfId="113"/>
    <cellStyle name="Normal 7 2 2 4 2" xfId="13870"/>
    <cellStyle name="Normal 7 2 2 4 3" xfId="20022"/>
    <cellStyle name="Normal 7 2 2 4 4" xfId="7676"/>
    <cellStyle name="Normal 7 2 2 5" xfId="10804"/>
    <cellStyle name="Normal 7 2 2 6" xfId="16956"/>
    <cellStyle name="Normal 7 2 2 7" xfId="4087"/>
    <cellStyle name="Normal 7 2 3" xfId="96"/>
    <cellStyle name="Normal 7 2 3 2" xfId="142"/>
    <cellStyle name="Normal 7 2 3 2 2" xfId="6895"/>
    <cellStyle name="Normal 7 2 3 2 2 2" xfId="9981"/>
    <cellStyle name="Normal 7 2 3 2 2 2 2" xfId="16174"/>
    <cellStyle name="Normal 7 2 3 2 2 2 3" xfId="22326"/>
    <cellStyle name="Normal 7 2 3 2 2 3" xfId="13108"/>
    <cellStyle name="Normal 7 2 3 2 2 4" xfId="19260"/>
    <cellStyle name="Normal 7 2 3 2 3" xfId="8446"/>
    <cellStyle name="Normal 7 2 3 2 3 2" xfId="14640"/>
    <cellStyle name="Normal 7 2 3 2 3 3" xfId="20792"/>
    <cellStyle name="Normal 7 2 3 2 4" xfId="11574"/>
    <cellStyle name="Normal 7 2 3 2 5" xfId="17726"/>
    <cellStyle name="Normal 7 2 3 2 6" xfId="5270"/>
    <cellStyle name="Normal 7 2 3 3" xfId="6112"/>
    <cellStyle name="Normal 7 2 3 3 2" xfId="9212"/>
    <cellStyle name="Normal 7 2 3 3 2 2" xfId="15405"/>
    <cellStyle name="Normal 7 2 3 3 2 3" xfId="21557"/>
    <cellStyle name="Normal 7 2 3 3 3" xfId="12339"/>
    <cellStyle name="Normal 7 2 3 3 4" xfId="18491"/>
    <cellStyle name="Normal 7 2 3 4" xfId="7677"/>
    <cellStyle name="Normal 7 2 3 4 2" xfId="13871"/>
    <cellStyle name="Normal 7 2 3 4 3" xfId="20023"/>
    <cellStyle name="Normal 7 2 3 5" xfId="10805"/>
    <cellStyle name="Normal 7 2 3 6" xfId="16957"/>
    <cellStyle name="Normal 7 2 3 7" xfId="4088"/>
    <cellStyle name="Normal 7 2 4" xfId="126"/>
    <cellStyle name="Normal 7 2 4 2" xfId="5271"/>
    <cellStyle name="Normal 7 2 4 2 2" xfId="6896"/>
    <cellStyle name="Normal 7 2 4 2 2 2" xfId="9982"/>
    <cellStyle name="Normal 7 2 4 2 2 2 2" xfId="16175"/>
    <cellStyle name="Normal 7 2 4 2 2 2 3" xfId="22327"/>
    <cellStyle name="Normal 7 2 4 2 2 3" xfId="13109"/>
    <cellStyle name="Normal 7 2 4 2 2 4" xfId="19261"/>
    <cellStyle name="Normal 7 2 4 2 3" xfId="8447"/>
    <cellStyle name="Normal 7 2 4 2 3 2" xfId="14641"/>
    <cellStyle name="Normal 7 2 4 2 3 3" xfId="20793"/>
    <cellStyle name="Normal 7 2 4 2 4" xfId="11575"/>
    <cellStyle name="Normal 7 2 4 2 5" xfId="17727"/>
    <cellStyle name="Normal 7 2 4 3" xfId="6113"/>
    <cellStyle name="Normal 7 2 4 3 2" xfId="9213"/>
    <cellStyle name="Normal 7 2 4 3 2 2" xfId="15406"/>
    <cellStyle name="Normal 7 2 4 3 2 3" xfId="21558"/>
    <cellStyle name="Normal 7 2 4 3 3" xfId="12340"/>
    <cellStyle name="Normal 7 2 4 3 4" xfId="18492"/>
    <cellStyle name="Normal 7 2 4 4" xfId="7678"/>
    <cellStyle name="Normal 7 2 4 4 2" xfId="13872"/>
    <cellStyle name="Normal 7 2 4 4 3" xfId="20024"/>
    <cellStyle name="Normal 7 2 4 5" xfId="10806"/>
    <cellStyle name="Normal 7 2 4 6" xfId="16958"/>
    <cellStyle name="Normal 7 2 4 7" xfId="4089"/>
    <cellStyle name="Normal 7 2 5" xfId="112"/>
    <cellStyle name="Normal 7 2 5 2" xfId="5272"/>
    <cellStyle name="Normal 7 2 5 2 2" xfId="6897"/>
    <cellStyle name="Normal 7 2 5 2 2 2" xfId="9983"/>
    <cellStyle name="Normal 7 2 5 2 2 2 2" xfId="16176"/>
    <cellStyle name="Normal 7 2 5 2 2 2 3" xfId="22328"/>
    <cellStyle name="Normal 7 2 5 2 2 3" xfId="13110"/>
    <cellStyle name="Normal 7 2 5 2 2 4" xfId="19262"/>
    <cellStyle name="Normal 7 2 5 2 3" xfId="8448"/>
    <cellStyle name="Normal 7 2 5 2 3 2" xfId="14642"/>
    <cellStyle name="Normal 7 2 5 2 3 3" xfId="20794"/>
    <cellStyle name="Normal 7 2 5 2 4" xfId="11576"/>
    <cellStyle name="Normal 7 2 5 2 5" xfId="17728"/>
    <cellStyle name="Normal 7 2 5 3" xfId="6114"/>
    <cellStyle name="Normal 7 2 5 3 2" xfId="9214"/>
    <cellStyle name="Normal 7 2 5 3 2 2" xfId="15407"/>
    <cellStyle name="Normal 7 2 5 3 2 3" xfId="21559"/>
    <cellStyle name="Normal 7 2 5 3 3" xfId="12341"/>
    <cellStyle name="Normal 7 2 5 3 4" xfId="18493"/>
    <cellStyle name="Normal 7 2 5 4" xfId="7679"/>
    <cellStyle name="Normal 7 2 5 4 2" xfId="13873"/>
    <cellStyle name="Normal 7 2 5 4 3" xfId="20025"/>
    <cellStyle name="Normal 7 2 5 5" xfId="10807"/>
    <cellStyle name="Normal 7 2 5 6" xfId="16959"/>
    <cellStyle name="Normal 7 2 5 7" xfId="4090"/>
    <cellStyle name="Normal 7 2 6" xfId="5268"/>
    <cellStyle name="Normal 7 2 6 2" xfId="6893"/>
    <cellStyle name="Normal 7 2 6 2 2" xfId="9979"/>
    <cellStyle name="Normal 7 2 6 2 2 2" xfId="16172"/>
    <cellStyle name="Normal 7 2 6 2 2 3" xfId="22324"/>
    <cellStyle name="Normal 7 2 6 2 3" xfId="13106"/>
    <cellStyle name="Normal 7 2 6 2 4" xfId="19258"/>
    <cellStyle name="Normal 7 2 6 3" xfId="8444"/>
    <cellStyle name="Normal 7 2 6 3 2" xfId="14638"/>
    <cellStyle name="Normal 7 2 6 3 3" xfId="20790"/>
    <cellStyle name="Normal 7 2 6 4" xfId="11572"/>
    <cellStyle name="Normal 7 2 6 5" xfId="17724"/>
    <cellStyle name="Normal 7 2 7" xfId="6110"/>
    <cellStyle name="Normal 7 2 7 2" xfId="9210"/>
    <cellStyle name="Normal 7 2 7 2 2" xfId="15403"/>
    <cellStyle name="Normal 7 2 7 2 3" xfId="21555"/>
    <cellStyle name="Normal 7 2 7 3" xfId="12337"/>
    <cellStyle name="Normal 7 2 7 4" xfId="18489"/>
    <cellStyle name="Normal 7 2 8" xfId="7675"/>
    <cellStyle name="Normal 7 2 8 2" xfId="13869"/>
    <cellStyle name="Normal 7 2 8 3" xfId="20021"/>
    <cellStyle name="Normal 7 2 9" xfId="10249"/>
    <cellStyle name="Normal 7 2 9 2" xfId="16421"/>
    <cellStyle name="Normal 7 2 9 3" xfId="22573"/>
    <cellStyle name="Normal 7 20" xfId="4091"/>
    <cellStyle name="Normal 7 20 2" xfId="5273"/>
    <cellStyle name="Normal 7 20 2 2" xfId="6898"/>
    <cellStyle name="Normal 7 20 2 2 2" xfId="9984"/>
    <cellStyle name="Normal 7 20 2 2 2 2" xfId="16177"/>
    <cellStyle name="Normal 7 20 2 2 2 3" xfId="22329"/>
    <cellStyle name="Normal 7 20 2 2 3" xfId="13111"/>
    <cellStyle name="Normal 7 20 2 2 4" xfId="19263"/>
    <cellStyle name="Normal 7 20 2 3" xfId="8449"/>
    <cellStyle name="Normal 7 20 2 3 2" xfId="14643"/>
    <cellStyle name="Normal 7 20 2 3 3" xfId="20795"/>
    <cellStyle name="Normal 7 20 2 4" xfId="11577"/>
    <cellStyle name="Normal 7 20 2 5" xfId="17729"/>
    <cellStyle name="Normal 7 20 3" xfId="6115"/>
    <cellStyle name="Normal 7 20 3 2" xfId="9215"/>
    <cellStyle name="Normal 7 20 3 2 2" xfId="15408"/>
    <cellStyle name="Normal 7 20 3 2 3" xfId="21560"/>
    <cellStyle name="Normal 7 20 3 3" xfId="12342"/>
    <cellStyle name="Normal 7 20 3 4" xfId="18494"/>
    <cellStyle name="Normal 7 20 4" xfId="7680"/>
    <cellStyle name="Normal 7 20 4 2" xfId="13874"/>
    <cellStyle name="Normal 7 20 4 3" xfId="20026"/>
    <cellStyle name="Normal 7 20 5" xfId="10808"/>
    <cellStyle name="Normal 7 20 6" xfId="16960"/>
    <cellStyle name="Normal 7 21" xfId="4092"/>
    <cellStyle name="Normal 7 22" xfId="4093"/>
    <cellStyle name="Normal 7 22 2" xfId="5274"/>
    <cellStyle name="Normal 7 22 2 2" xfId="6899"/>
    <cellStyle name="Normal 7 22 2 2 2" xfId="9985"/>
    <cellStyle name="Normal 7 22 2 2 2 2" xfId="16178"/>
    <cellStyle name="Normal 7 22 2 2 2 3" xfId="22330"/>
    <cellStyle name="Normal 7 22 2 2 3" xfId="13112"/>
    <cellStyle name="Normal 7 22 2 2 4" xfId="19264"/>
    <cellStyle name="Normal 7 22 2 3" xfId="8450"/>
    <cellStyle name="Normal 7 22 2 3 2" xfId="14644"/>
    <cellStyle name="Normal 7 22 2 3 3" xfId="20796"/>
    <cellStyle name="Normal 7 22 2 4" xfId="11578"/>
    <cellStyle name="Normal 7 22 2 5" xfId="17730"/>
    <cellStyle name="Normal 7 22 3" xfId="6116"/>
    <cellStyle name="Normal 7 22 3 2" xfId="9216"/>
    <cellStyle name="Normal 7 22 3 2 2" xfId="15409"/>
    <cellStyle name="Normal 7 22 3 2 3" xfId="21561"/>
    <cellStyle name="Normal 7 22 3 3" xfId="12343"/>
    <cellStyle name="Normal 7 22 3 4" xfId="18495"/>
    <cellStyle name="Normal 7 22 4" xfId="7681"/>
    <cellStyle name="Normal 7 22 4 2" xfId="13875"/>
    <cellStyle name="Normal 7 22 4 3" xfId="20027"/>
    <cellStyle name="Normal 7 22 5" xfId="10809"/>
    <cellStyle name="Normal 7 22 6" xfId="16961"/>
    <cellStyle name="Normal 7 23" xfId="4094"/>
    <cellStyle name="Normal 7 24" xfId="4622"/>
    <cellStyle name="Normal 7 25" xfId="4075"/>
    <cellStyle name="Normal 7 25 2" xfId="5257"/>
    <cellStyle name="Normal 7 25 2 2" xfId="6882"/>
    <cellStyle name="Normal 7 25 2 2 2" xfId="9968"/>
    <cellStyle name="Normal 7 25 2 2 2 2" xfId="16161"/>
    <cellStyle name="Normal 7 25 2 2 2 3" xfId="22313"/>
    <cellStyle name="Normal 7 25 2 2 3" xfId="13095"/>
    <cellStyle name="Normal 7 25 2 2 4" xfId="19247"/>
    <cellStyle name="Normal 7 25 2 3" xfId="8433"/>
    <cellStyle name="Normal 7 25 2 3 2" xfId="14627"/>
    <cellStyle name="Normal 7 25 2 3 3" xfId="20779"/>
    <cellStyle name="Normal 7 25 2 4" xfId="11561"/>
    <cellStyle name="Normal 7 25 2 5" xfId="17713"/>
    <cellStyle name="Normal 7 25 3" xfId="6099"/>
    <cellStyle name="Normal 7 25 3 2" xfId="9199"/>
    <cellStyle name="Normal 7 25 3 2 2" xfId="15392"/>
    <cellStyle name="Normal 7 25 3 2 3" xfId="21544"/>
    <cellStyle name="Normal 7 25 3 3" xfId="12326"/>
    <cellStyle name="Normal 7 25 3 4" xfId="18478"/>
    <cellStyle name="Normal 7 25 4" xfId="7664"/>
    <cellStyle name="Normal 7 25 4 2" xfId="13858"/>
    <cellStyle name="Normal 7 25 4 3" xfId="20010"/>
    <cellStyle name="Normal 7 25 5" xfId="10792"/>
    <cellStyle name="Normal 7 25 6" xfId="16944"/>
    <cellStyle name="Normal 7 26" xfId="10236"/>
    <cellStyle name="Normal 7 26 2" xfId="16412"/>
    <cellStyle name="Normal 7 26 3" xfId="22564"/>
    <cellStyle name="Normal 7 27" xfId="1180"/>
    <cellStyle name="Normal 7 28" xfId="203"/>
    <cellStyle name="Normal 7 3" xfId="95"/>
    <cellStyle name="Normal 7 3 10" xfId="16962"/>
    <cellStyle name="Normal 7 3 11" xfId="4095"/>
    <cellStyle name="Normal 7 3 12" xfId="23289"/>
    <cellStyle name="Normal 7 3 2" xfId="141"/>
    <cellStyle name="Normal 7 3 2 2" xfId="5276"/>
    <cellStyle name="Normal 7 3 2 2 2" xfId="6901"/>
    <cellStyle name="Normal 7 3 2 2 2 2" xfId="9987"/>
    <cellStyle name="Normal 7 3 2 2 2 2 2" xfId="16180"/>
    <cellStyle name="Normal 7 3 2 2 2 2 3" xfId="22332"/>
    <cellStyle name="Normal 7 3 2 2 2 3" xfId="13114"/>
    <cellStyle name="Normal 7 3 2 2 2 4" xfId="19266"/>
    <cellStyle name="Normal 7 3 2 2 3" xfId="8452"/>
    <cellStyle name="Normal 7 3 2 2 3 2" xfId="14646"/>
    <cellStyle name="Normal 7 3 2 2 3 3" xfId="20798"/>
    <cellStyle name="Normal 7 3 2 2 4" xfId="11580"/>
    <cellStyle name="Normal 7 3 2 2 5" xfId="17732"/>
    <cellStyle name="Normal 7 3 2 3" xfId="6118"/>
    <cellStyle name="Normal 7 3 2 3 2" xfId="9218"/>
    <cellStyle name="Normal 7 3 2 3 2 2" xfId="15411"/>
    <cellStyle name="Normal 7 3 2 3 2 3" xfId="21563"/>
    <cellStyle name="Normal 7 3 2 3 3" xfId="12345"/>
    <cellStyle name="Normal 7 3 2 3 4" xfId="18497"/>
    <cellStyle name="Normal 7 3 2 4" xfId="7683"/>
    <cellStyle name="Normal 7 3 2 4 2" xfId="13877"/>
    <cellStyle name="Normal 7 3 2 4 3" xfId="20029"/>
    <cellStyle name="Normal 7 3 2 5" xfId="10811"/>
    <cellStyle name="Normal 7 3 2 6" xfId="16963"/>
    <cellStyle name="Normal 7 3 2 7" xfId="4096"/>
    <cellStyle name="Normal 7 3 3" xfId="4097"/>
    <cellStyle name="Normal 7 3 3 2" xfId="5277"/>
    <cellStyle name="Normal 7 3 3 2 2" xfId="6902"/>
    <cellStyle name="Normal 7 3 3 2 2 2" xfId="9988"/>
    <cellStyle name="Normal 7 3 3 2 2 2 2" xfId="16181"/>
    <cellStyle name="Normal 7 3 3 2 2 2 3" xfId="22333"/>
    <cellStyle name="Normal 7 3 3 2 2 3" xfId="13115"/>
    <cellStyle name="Normal 7 3 3 2 2 4" xfId="19267"/>
    <cellStyle name="Normal 7 3 3 2 3" xfId="8453"/>
    <cellStyle name="Normal 7 3 3 2 3 2" xfId="14647"/>
    <cellStyle name="Normal 7 3 3 2 3 3" xfId="20799"/>
    <cellStyle name="Normal 7 3 3 2 4" xfId="11581"/>
    <cellStyle name="Normal 7 3 3 2 5" xfId="17733"/>
    <cellStyle name="Normal 7 3 3 3" xfId="6119"/>
    <cellStyle name="Normal 7 3 3 3 2" xfId="9219"/>
    <cellStyle name="Normal 7 3 3 3 2 2" xfId="15412"/>
    <cellStyle name="Normal 7 3 3 3 2 3" xfId="21564"/>
    <cellStyle name="Normal 7 3 3 3 3" xfId="12346"/>
    <cellStyle name="Normal 7 3 3 3 4" xfId="18498"/>
    <cellStyle name="Normal 7 3 3 4" xfId="7684"/>
    <cellStyle name="Normal 7 3 3 4 2" xfId="13878"/>
    <cellStyle name="Normal 7 3 3 4 3" xfId="20030"/>
    <cellStyle name="Normal 7 3 3 5" xfId="10812"/>
    <cellStyle name="Normal 7 3 3 6" xfId="16964"/>
    <cellStyle name="Normal 7 3 4" xfId="4098"/>
    <cellStyle name="Normal 7 3 4 2" xfId="5278"/>
    <cellStyle name="Normal 7 3 4 2 2" xfId="6903"/>
    <cellStyle name="Normal 7 3 4 2 2 2" xfId="9989"/>
    <cellStyle name="Normal 7 3 4 2 2 2 2" xfId="16182"/>
    <cellStyle name="Normal 7 3 4 2 2 2 3" xfId="22334"/>
    <cellStyle name="Normal 7 3 4 2 2 3" xfId="13116"/>
    <cellStyle name="Normal 7 3 4 2 2 4" xfId="19268"/>
    <cellStyle name="Normal 7 3 4 2 3" xfId="8454"/>
    <cellStyle name="Normal 7 3 4 2 3 2" xfId="14648"/>
    <cellStyle name="Normal 7 3 4 2 3 3" xfId="20800"/>
    <cellStyle name="Normal 7 3 4 2 4" xfId="11582"/>
    <cellStyle name="Normal 7 3 4 2 5" xfId="17734"/>
    <cellStyle name="Normal 7 3 4 3" xfId="6120"/>
    <cellStyle name="Normal 7 3 4 3 2" xfId="9220"/>
    <cellStyle name="Normal 7 3 4 3 2 2" xfId="15413"/>
    <cellStyle name="Normal 7 3 4 3 2 3" xfId="21565"/>
    <cellStyle name="Normal 7 3 4 3 3" xfId="12347"/>
    <cellStyle name="Normal 7 3 4 3 4" xfId="18499"/>
    <cellStyle name="Normal 7 3 4 4" xfId="7685"/>
    <cellStyle name="Normal 7 3 4 4 2" xfId="13879"/>
    <cellStyle name="Normal 7 3 4 4 3" xfId="20031"/>
    <cellStyle name="Normal 7 3 4 5" xfId="10813"/>
    <cellStyle name="Normal 7 3 4 6" xfId="16965"/>
    <cellStyle name="Normal 7 3 5" xfId="4099"/>
    <cellStyle name="Normal 7 3 5 2" xfId="5279"/>
    <cellStyle name="Normal 7 3 5 2 2" xfId="6904"/>
    <cellStyle name="Normal 7 3 5 2 2 2" xfId="9990"/>
    <cellStyle name="Normal 7 3 5 2 2 2 2" xfId="16183"/>
    <cellStyle name="Normal 7 3 5 2 2 2 3" xfId="22335"/>
    <cellStyle name="Normal 7 3 5 2 2 3" xfId="13117"/>
    <cellStyle name="Normal 7 3 5 2 2 4" xfId="19269"/>
    <cellStyle name="Normal 7 3 5 2 3" xfId="8455"/>
    <cellStyle name="Normal 7 3 5 2 3 2" xfId="14649"/>
    <cellStyle name="Normal 7 3 5 2 3 3" xfId="20801"/>
    <cellStyle name="Normal 7 3 5 2 4" xfId="11583"/>
    <cellStyle name="Normal 7 3 5 2 5" xfId="17735"/>
    <cellStyle name="Normal 7 3 5 3" xfId="6121"/>
    <cellStyle name="Normal 7 3 5 3 2" xfId="9221"/>
    <cellStyle name="Normal 7 3 5 3 2 2" xfId="15414"/>
    <cellStyle name="Normal 7 3 5 3 2 3" xfId="21566"/>
    <cellStyle name="Normal 7 3 5 3 3" xfId="12348"/>
    <cellStyle name="Normal 7 3 5 3 4" xfId="18500"/>
    <cellStyle name="Normal 7 3 5 4" xfId="7686"/>
    <cellStyle name="Normal 7 3 5 4 2" xfId="13880"/>
    <cellStyle name="Normal 7 3 5 4 3" xfId="20032"/>
    <cellStyle name="Normal 7 3 5 5" xfId="10814"/>
    <cellStyle name="Normal 7 3 5 6" xfId="16966"/>
    <cellStyle name="Normal 7 3 6" xfId="5275"/>
    <cellStyle name="Normal 7 3 6 2" xfId="6900"/>
    <cellStyle name="Normal 7 3 6 2 2" xfId="9986"/>
    <cellStyle name="Normal 7 3 6 2 2 2" xfId="16179"/>
    <cellStyle name="Normal 7 3 6 2 2 3" xfId="22331"/>
    <cellStyle name="Normal 7 3 6 2 3" xfId="13113"/>
    <cellStyle name="Normal 7 3 6 2 4" xfId="19265"/>
    <cellStyle name="Normal 7 3 6 3" xfId="8451"/>
    <cellStyle name="Normal 7 3 6 3 2" xfId="14645"/>
    <cellStyle name="Normal 7 3 6 3 3" xfId="20797"/>
    <cellStyle name="Normal 7 3 6 4" xfId="11579"/>
    <cellStyle name="Normal 7 3 6 5" xfId="17731"/>
    <cellStyle name="Normal 7 3 7" xfId="6117"/>
    <cellStyle name="Normal 7 3 7 2" xfId="9217"/>
    <cellStyle name="Normal 7 3 7 2 2" xfId="15410"/>
    <cellStyle name="Normal 7 3 7 2 3" xfId="21562"/>
    <cellStyle name="Normal 7 3 7 3" xfId="12344"/>
    <cellStyle name="Normal 7 3 7 4" xfId="18496"/>
    <cellStyle name="Normal 7 3 8" xfId="7682"/>
    <cellStyle name="Normal 7 3 8 2" xfId="13876"/>
    <cellStyle name="Normal 7 3 8 3" xfId="20028"/>
    <cellStyle name="Normal 7 3 9" xfId="10810"/>
    <cellStyle name="Normal 7 4" xfId="125"/>
    <cellStyle name="Normal 7 4 2" xfId="5280"/>
    <cellStyle name="Normal 7 4 2 2" xfId="6905"/>
    <cellStyle name="Normal 7 4 2 2 2" xfId="9991"/>
    <cellStyle name="Normal 7 4 2 2 2 2" xfId="16184"/>
    <cellStyle name="Normal 7 4 2 2 2 3" xfId="22336"/>
    <cellStyle name="Normal 7 4 2 2 3" xfId="13118"/>
    <cellStyle name="Normal 7 4 2 2 4" xfId="19270"/>
    <cellStyle name="Normal 7 4 2 3" xfId="8456"/>
    <cellStyle name="Normal 7 4 2 3 2" xfId="14650"/>
    <cellStyle name="Normal 7 4 2 3 3" xfId="20802"/>
    <cellStyle name="Normal 7 4 2 4" xfId="11584"/>
    <cellStyle name="Normal 7 4 2 5" xfId="17736"/>
    <cellStyle name="Normal 7 4 3" xfId="6122"/>
    <cellStyle name="Normal 7 4 3 2" xfId="9222"/>
    <cellStyle name="Normal 7 4 3 2 2" xfId="15415"/>
    <cellStyle name="Normal 7 4 3 2 3" xfId="21567"/>
    <cellStyle name="Normal 7 4 3 3" xfId="12349"/>
    <cellStyle name="Normal 7 4 3 4" xfId="18501"/>
    <cellStyle name="Normal 7 4 4" xfId="7687"/>
    <cellStyle name="Normal 7 4 4 2" xfId="13881"/>
    <cellStyle name="Normal 7 4 4 3" xfId="20033"/>
    <cellStyle name="Normal 7 4 5" xfId="10815"/>
    <cellStyle name="Normal 7 4 6" xfId="16967"/>
    <cellStyle name="Normal 7 4 7" xfId="4100"/>
    <cellStyle name="Normal 7 4 8" xfId="23290"/>
    <cellStyle name="Normal 7 5" xfId="111"/>
    <cellStyle name="Normal 7 5 2" xfId="5281"/>
    <cellStyle name="Normal 7 5 2 2" xfId="6906"/>
    <cellStyle name="Normal 7 5 2 2 2" xfId="9992"/>
    <cellStyle name="Normal 7 5 2 2 2 2" xfId="16185"/>
    <cellStyle name="Normal 7 5 2 2 2 3" xfId="22337"/>
    <cellStyle name="Normal 7 5 2 2 3" xfId="13119"/>
    <cellStyle name="Normal 7 5 2 2 4" xfId="19271"/>
    <cellStyle name="Normal 7 5 2 3" xfId="8457"/>
    <cellStyle name="Normal 7 5 2 3 2" xfId="14651"/>
    <cellStyle name="Normal 7 5 2 3 3" xfId="20803"/>
    <cellStyle name="Normal 7 5 2 4" xfId="11585"/>
    <cellStyle name="Normal 7 5 2 5" xfId="17737"/>
    <cellStyle name="Normal 7 5 3" xfId="6123"/>
    <cellStyle name="Normal 7 5 3 2" xfId="9223"/>
    <cellStyle name="Normal 7 5 3 2 2" xfId="15416"/>
    <cellStyle name="Normal 7 5 3 2 3" xfId="21568"/>
    <cellStyle name="Normal 7 5 3 3" xfId="12350"/>
    <cellStyle name="Normal 7 5 3 4" xfId="18502"/>
    <cellStyle name="Normal 7 5 4" xfId="7688"/>
    <cellStyle name="Normal 7 5 4 2" xfId="13882"/>
    <cellStyle name="Normal 7 5 4 3" xfId="20034"/>
    <cellStyle name="Normal 7 5 5" xfId="10816"/>
    <cellStyle name="Normal 7 5 6" xfId="16968"/>
    <cellStyle name="Normal 7 5 7" xfId="4101"/>
    <cellStyle name="Normal 7 5 8" xfId="23291"/>
    <cellStyle name="Normal 7 6" xfId="4102"/>
    <cellStyle name="Normal 7 6 2" xfId="5282"/>
    <cellStyle name="Normal 7 6 2 2" xfId="6907"/>
    <cellStyle name="Normal 7 6 2 2 2" xfId="9993"/>
    <cellStyle name="Normal 7 6 2 2 2 2" xfId="16186"/>
    <cellStyle name="Normal 7 6 2 2 2 3" xfId="22338"/>
    <cellStyle name="Normal 7 6 2 2 3" xfId="13120"/>
    <cellStyle name="Normal 7 6 2 2 4" xfId="19272"/>
    <cellStyle name="Normal 7 6 2 3" xfId="8458"/>
    <cellStyle name="Normal 7 6 2 3 2" xfId="14652"/>
    <cellStyle name="Normal 7 6 2 3 3" xfId="20804"/>
    <cellStyle name="Normal 7 6 2 4" xfId="11586"/>
    <cellStyle name="Normal 7 6 2 5" xfId="17738"/>
    <cellStyle name="Normal 7 6 3" xfId="6124"/>
    <cellStyle name="Normal 7 6 3 2" xfId="9224"/>
    <cellStyle name="Normal 7 6 3 2 2" xfId="15417"/>
    <cellStyle name="Normal 7 6 3 2 3" xfId="21569"/>
    <cellStyle name="Normal 7 6 3 3" xfId="12351"/>
    <cellStyle name="Normal 7 6 3 4" xfId="18503"/>
    <cellStyle name="Normal 7 6 4" xfId="7689"/>
    <cellStyle name="Normal 7 6 4 2" xfId="13883"/>
    <cellStyle name="Normal 7 6 4 3" xfId="20035"/>
    <cellStyle name="Normal 7 6 5" xfId="10817"/>
    <cellStyle name="Normal 7 6 6" xfId="16969"/>
    <cellStyle name="Normal 7 7" xfId="4103"/>
    <cellStyle name="Normal 7 7 2" xfId="5283"/>
    <cellStyle name="Normal 7 7 2 2" xfId="6908"/>
    <cellStyle name="Normal 7 7 2 2 2" xfId="9994"/>
    <cellStyle name="Normal 7 7 2 2 2 2" xfId="16187"/>
    <cellStyle name="Normal 7 7 2 2 2 3" xfId="22339"/>
    <cellStyle name="Normal 7 7 2 2 3" xfId="13121"/>
    <cellStyle name="Normal 7 7 2 2 4" xfId="19273"/>
    <cellStyle name="Normal 7 7 2 3" xfId="8459"/>
    <cellStyle name="Normal 7 7 2 3 2" xfId="14653"/>
    <cellStyle name="Normal 7 7 2 3 3" xfId="20805"/>
    <cellStyle name="Normal 7 7 2 4" xfId="11587"/>
    <cellStyle name="Normal 7 7 2 5" xfId="17739"/>
    <cellStyle name="Normal 7 7 3" xfId="6125"/>
    <cellStyle name="Normal 7 7 3 2" xfId="9225"/>
    <cellStyle name="Normal 7 7 3 2 2" xfId="15418"/>
    <cellStyle name="Normal 7 7 3 2 3" xfId="21570"/>
    <cellStyle name="Normal 7 7 3 3" xfId="12352"/>
    <cellStyle name="Normal 7 7 3 4" xfId="18504"/>
    <cellStyle name="Normal 7 7 4" xfId="7690"/>
    <cellStyle name="Normal 7 7 4 2" xfId="13884"/>
    <cellStyle name="Normal 7 7 4 3" xfId="20036"/>
    <cellStyle name="Normal 7 7 5" xfId="10818"/>
    <cellStyle name="Normal 7 7 6" xfId="16970"/>
    <cellStyle name="Normal 7 8" xfId="4104"/>
    <cellStyle name="Normal 7 8 2" xfId="5284"/>
    <cellStyle name="Normal 7 8 2 2" xfId="6909"/>
    <cellStyle name="Normal 7 8 2 2 2" xfId="9995"/>
    <cellStyle name="Normal 7 8 2 2 2 2" xfId="16188"/>
    <cellStyle name="Normal 7 8 2 2 2 3" xfId="22340"/>
    <cellStyle name="Normal 7 8 2 2 3" xfId="13122"/>
    <cellStyle name="Normal 7 8 2 2 4" xfId="19274"/>
    <cellStyle name="Normal 7 8 2 3" xfId="8460"/>
    <cellStyle name="Normal 7 8 2 3 2" xfId="14654"/>
    <cellStyle name="Normal 7 8 2 3 3" xfId="20806"/>
    <cellStyle name="Normal 7 8 2 4" xfId="11588"/>
    <cellStyle name="Normal 7 8 2 5" xfId="17740"/>
    <cellStyle name="Normal 7 8 3" xfId="6126"/>
    <cellStyle name="Normal 7 8 3 2" xfId="9226"/>
    <cellStyle name="Normal 7 8 3 2 2" xfId="15419"/>
    <cellStyle name="Normal 7 8 3 2 3" xfId="21571"/>
    <cellStyle name="Normal 7 8 3 3" xfId="12353"/>
    <cellStyle name="Normal 7 8 3 4" xfId="18505"/>
    <cellStyle name="Normal 7 8 4" xfId="7691"/>
    <cellStyle name="Normal 7 8 4 2" xfId="13885"/>
    <cellStyle name="Normal 7 8 4 3" xfId="20037"/>
    <cellStyle name="Normal 7 8 5" xfId="10819"/>
    <cellStyle name="Normal 7 8 6" xfId="16971"/>
    <cellStyle name="Normal 7 9" xfId="4105"/>
    <cellStyle name="Normal 7 9 2" xfId="5285"/>
    <cellStyle name="Normal 7 9 2 2" xfId="6910"/>
    <cellStyle name="Normal 7 9 2 2 2" xfId="9996"/>
    <cellStyle name="Normal 7 9 2 2 2 2" xfId="16189"/>
    <cellStyle name="Normal 7 9 2 2 2 3" xfId="22341"/>
    <cellStyle name="Normal 7 9 2 2 3" xfId="13123"/>
    <cellStyle name="Normal 7 9 2 2 4" xfId="19275"/>
    <cellStyle name="Normal 7 9 2 3" xfId="8461"/>
    <cellStyle name="Normal 7 9 2 3 2" xfId="14655"/>
    <cellStyle name="Normal 7 9 2 3 3" xfId="20807"/>
    <cellStyle name="Normal 7 9 2 4" xfId="11589"/>
    <cellStyle name="Normal 7 9 2 5" xfId="17741"/>
    <cellStyle name="Normal 7 9 3" xfId="6127"/>
    <cellStyle name="Normal 7 9 3 2" xfId="9227"/>
    <cellStyle name="Normal 7 9 3 2 2" xfId="15420"/>
    <cellStyle name="Normal 7 9 3 2 3" xfId="21572"/>
    <cellStyle name="Normal 7 9 3 3" xfId="12354"/>
    <cellStyle name="Normal 7 9 3 4" xfId="18506"/>
    <cellStyle name="Normal 7 9 4" xfId="7692"/>
    <cellStyle name="Normal 7 9 4 2" xfId="13886"/>
    <cellStyle name="Normal 7 9 4 3" xfId="20038"/>
    <cellStyle name="Normal 7 9 5" xfId="10820"/>
    <cellStyle name="Normal 7 9 6" xfId="16972"/>
    <cellStyle name="Normal 71" xfId="23292"/>
    <cellStyle name="Normal 8" xfId="36"/>
    <cellStyle name="Normal 8 10" xfId="4107"/>
    <cellStyle name="Normal 8 10 2" xfId="5287"/>
    <cellStyle name="Normal 8 10 2 2" xfId="6912"/>
    <cellStyle name="Normal 8 10 2 2 2" xfId="9998"/>
    <cellStyle name="Normal 8 10 2 2 2 2" xfId="16191"/>
    <cellStyle name="Normal 8 10 2 2 2 3" xfId="22343"/>
    <cellStyle name="Normal 8 10 2 2 3" xfId="13125"/>
    <cellStyle name="Normal 8 10 2 2 4" xfId="19277"/>
    <cellStyle name="Normal 8 10 2 3" xfId="8463"/>
    <cellStyle name="Normal 8 10 2 3 2" xfId="14657"/>
    <cellStyle name="Normal 8 10 2 3 3" xfId="20809"/>
    <cellStyle name="Normal 8 10 2 4" xfId="11591"/>
    <cellStyle name="Normal 8 10 2 5" xfId="17743"/>
    <cellStyle name="Normal 8 10 3" xfId="6129"/>
    <cellStyle name="Normal 8 10 3 2" xfId="9229"/>
    <cellStyle name="Normal 8 10 3 2 2" xfId="15422"/>
    <cellStyle name="Normal 8 10 3 2 3" xfId="21574"/>
    <cellStyle name="Normal 8 10 3 3" xfId="12356"/>
    <cellStyle name="Normal 8 10 3 4" xfId="18508"/>
    <cellStyle name="Normal 8 10 4" xfId="7694"/>
    <cellStyle name="Normal 8 10 4 2" xfId="13888"/>
    <cellStyle name="Normal 8 10 4 3" xfId="20040"/>
    <cellStyle name="Normal 8 10 5" xfId="10822"/>
    <cellStyle name="Normal 8 10 6" xfId="16974"/>
    <cellStyle name="Normal 8 11" xfId="4108"/>
    <cellStyle name="Normal 8 11 2" xfId="5288"/>
    <cellStyle name="Normal 8 11 2 2" xfId="6913"/>
    <cellStyle name="Normal 8 11 2 2 2" xfId="9999"/>
    <cellStyle name="Normal 8 11 2 2 2 2" xfId="16192"/>
    <cellStyle name="Normal 8 11 2 2 2 3" xfId="22344"/>
    <cellStyle name="Normal 8 11 2 2 3" xfId="13126"/>
    <cellStyle name="Normal 8 11 2 2 4" xfId="19278"/>
    <cellStyle name="Normal 8 11 2 3" xfId="8464"/>
    <cellStyle name="Normal 8 11 2 3 2" xfId="14658"/>
    <cellStyle name="Normal 8 11 2 3 3" xfId="20810"/>
    <cellStyle name="Normal 8 11 2 4" xfId="11592"/>
    <cellStyle name="Normal 8 11 2 5" xfId="17744"/>
    <cellStyle name="Normal 8 11 3" xfId="6130"/>
    <cellStyle name="Normal 8 11 3 2" xfId="9230"/>
    <cellStyle name="Normal 8 11 3 2 2" xfId="15423"/>
    <cellStyle name="Normal 8 11 3 2 3" xfId="21575"/>
    <cellStyle name="Normal 8 11 3 3" xfId="12357"/>
    <cellStyle name="Normal 8 11 3 4" xfId="18509"/>
    <cellStyle name="Normal 8 11 4" xfId="7695"/>
    <cellStyle name="Normal 8 11 4 2" xfId="13889"/>
    <cellStyle name="Normal 8 11 4 3" xfId="20041"/>
    <cellStyle name="Normal 8 11 5" xfId="10823"/>
    <cellStyle name="Normal 8 11 6" xfId="16975"/>
    <cellStyle name="Normal 8 12" xfId="4109"/>
    <cellStyle name="Normal 8 12 2" xfId="5289"/>
    <cellStyle name="Normal 8 12 2 2" xfId="6914"/>
    <cellStyle name="Normal 8 12 2 2 2" xfId="10000"/>
    <cellStyle name="Normal 8 12 2 2 2 2" xfId="16193"/>
    <cellStyle name="Normal 8 12 2 2 2 3" xfId="22345"/>
    <cellStyle name="Normal 8 12 2 2 3" xfId="13127"/>
    <cellStyle name="Normal 8 12 2 2 4" xfId="19279"/>
    <cellStyle name="Normal 8 12 2 3" xfId="8465"/>
    <cellStyle name="Normal 8 12 2 3 2" xfId="14659"/>
    <cellStyle name="Normal 8 12 2 3 3" xfId="20811"/>
    <cellStyle name="Normal 8 12 2 4" xfId="11593"/>
    <cellStyle name="Normal 8 12 2 5" xfId="17745"/>
    <cellStyle name="Normal 8 12 3" xfId="6131"/>
    <cellStyle name="Normal 8 12 3 2" xfId="9231"/>
    <cellStyle name="Normal 8 12 3 2 2" xfId="15424"/>
    <cellStyle name="Normal 8 12 3 2 3" xfId="21576"/>
    <cellStyle name="Normal 8 12 3 3" xfId="12358"/>
    <cellStyle name="Normal 8 12 3 4" xfId="18510"/>
    <cellStyle name="Normal 8 12 4" xfId="7696"/>
    <cellStyle name="Normal 8 12 4 2" xfId="13890"/>
    <cellStyle name="Normal 8 12 4 3" xfId="20042"/>
    <cellStyle name="Normal 8 12 5" xfId="10824"/>
    <cellStyle name="Normal 8 12 6" xfId="16976"/>
    <cellStyle name="Normal 8 13" xfId="4110"/>
    <cellStyle name="Normal 8 13 2" xfId="5290"/>
    <cellStyle name="Normal 8 13 2 2" xfId="6915"/>
    <cellStyle name="Normal 8 13 2 2 2" xfId="10001"/>
    <cellStyle name="Normal 8 13 2 2 2 2" xfId="16194"/>
    <cellStyle name="Normal 8 13 2 2 2 3" xfId="22346"/>
    <cellStyle name="Normal 8 13 2 2 3" xfId="13128"/>
    <cellStyle name="Normal 8 13 2 2 4" xfId="19280"/>
    <cellStyle name="Normal 8 13 2 3" xfId="8466"/>
    <cellStyle name="Normal 8 13 2 3 2" xfId="14660"/>
    <cellStyle name="Normal 8 13 2 3 3" xfId="20812"/>
    <cellStyle name="Normal 8 13 2 4" xfId="11594"/>
    <cellStyle name="Normal 8 13 2 5" xfId="17746"/>
    <cellStyle name="Normal 8 13 3" xfId="6132"/>
    <cellStyle name="Normal 8 13 3 2" xfId="9232"/>
    <cellStyle name="Normal 8 13 3 2 2" xfId="15425"/>
    <cellStyle name="Normal 8 13 3 2 3" xfId="21577"/>
    <cellStyle name="Normal 8 13 3 3" xfId="12359"/>
    <cellStyle name="Normal 8 13 3 4" xfId="18511"/>
    <cellStyle name="Normal 8 13 4" xfId="7697"/>
    <cellStyle name="Normal 8 13 4 2" xfId="13891"/>
    <cellStyle name="Normal 8 13 4 3" xfId="20043"/>
    <cellStyle name="Normal 8 13 5" xfId="10825"/>
    <cellStyle name="Normal 8 13 6" xfId="16977"/>
    <cellStyle name="Normal 8 14" xfId="4111"/>
    <cellStyle name="Normal 8 14 2" xfId="5291"/>
    <cellStyle name="Normal 8 14 2 2" xfId="6916"/>
    <cellStyle name="Normal 8 14 2 2 2" xfId="10002"/>
    <cellStyle name="Normal 8 14 2 2 2 2" xfId="16195"/>
    <cellStyle name="Normal 8 14 2 2 2 3" xfId="22347"/>
    <cellStyle name="Normal 8 14 2 2 3" xfId="13129"/>
    <cellStyle name="Normal 8 14 2 2 4" xfId="19281"/>
    <cellStyle name="Normal 8 14 2 3" xfId="8467"/>
    <cellStyle name="Normal 8 14 2 3 2" xfId="14661"/>
    <cellStyle name="Normal 8 14 2 3 3" xfId="20813"/>
    <cellStyle name="Normal 8 14 2 4" xfId="11595"/>
    <cellStyle name="Normal 8 14 2 5" xfId="17747"/>
    <cellStyle name="Normal 8 14 3" xfId="6133"/>
    <cellStyle name="Normal 8 14 3 2" xfId="9233"/>
    <cellStyle name="Normal 8 14 3 2 2" xfId="15426"/>
    <cellStyle name="Normal 8 14 3 2 3" xfId="21578"/>
    <cellStyle name="Normal 8 14 3 3" xfId="12360"/>
    <cellStyle name="Normal 8 14 3 4" xfId="18512"/>
    <cellStyle name="Normal 8 14 4" xfId="7698"/>
    <cellStyle name="Normal 8 14 4 2" xfId="13892"/>
    <cellStyle name="Normal 8 14 4 3" xfId="20044"/>
    <cellStyle name="Normal 8 14 5" xfId="10826"/>
    <cellStyle name="Normal 8 14 6" xfId="16978"/>
    <cellStyle name="Normal 8 15" xfId="4112"/>
    <cellStyle name="Normal 8 15 2" xfId="5292"/>
    <cellStyle name="Normal 8 15 2 2" xfId="6917"/>
    <cellStyle name="Normal 8 15 2 2 2" xfId="10003"/>
    <cellStyle name="Normal 8 15 2 2 2 2" xfId="16196"/>
    <cellStyle name="Normal 8 15 2 2 2 3" xfId="22348"/>
    <cellStyle name="Normal 8 15 2 2 3" xfId="13130"/>
    <cellStyle name="Normal 8 15 2 2 4" xfId="19282"/>
    <cellStyle name="Normal 8 15 2 3" xfId="8468"/>
    <cellStyle name="Normal 8 15 2 3 2" xfId="14662"/>
    <cellStyle name="Normal 8 15 2 3 3" xfId="20814"/>
    <cellStyle name="Normal 8 15 2 4" xfId="11596"/>
    <cellStyle name="Normal 8 15 2 5" xfId="17748"/>
    <cellStyle name="Normal 8 15 3" xfId="6134"/>
    <cellStyle name="Normal 8 15 3 2" xfId="9234"/>
    <cellStyle name="Normal 8 15 3 2 2" xfId="15427"/>
    <cellStyle name="Normal 8 15 3 2 3" xfId="21579"/>
    <cellStyle name="Normal 8 15 3 3" xfId="12361"/>
    <cellStyle name="Normal 8 15 3 4" xfId="18513"/>
    <cellStyle name="Normal 8 15 4" xfId="7699"/>
    <cellStyle name="Normal 8 15 4 2" xfId="13893"/>
    <cellStyle name="Normal 8 15 4 3" xfId="20045"/>
    <cellStyle name="Normal 8 15 5" xfId="10827"/>
    <cellStyle name="Normal 8 15 6" xfId="16979"/>
    <cellStyle name="Normal 8 16" xfId="4113"/>
    <cellStyle name="Normal 8 16 2" xfId="5293"/>
    <cellStyle name="Normal 8 16 2 2" xfId="6918"/>
    <cellStyle name="Normal 8 16 2 2 2" xfId="10004"/>
    <cellStyle name="Normal 8 16 2 2 2 2" xfId="16197"/>
    <cellStyle name="Normal 8 16 2 2 2 3" xfId="22349"/>
    <cellStyle name="Normal 8 16 2 2 3" xfId="13131"/>
    <cellStyle name="Normal 8 16 2 2 4" xfId="19283"/>
    <cellStyle name="Normal 8 16 2 3" xfId="8469"/>
    <cellStyle name="Normal 8 16 2 3 2" xfId="14663"/>
    <cellStyle name="Normal 8 16 2 3 3" xfId="20815"/>
    <cellStyle name="Normal 8 16 2 4" xfId="11597"/>
    <cellStyle name="Normal 8 16 2 5" xfId="17749"/>
    <cellStyle name="Normal 8 16 3" xfId="6135"/>
    <cellStyle name="Normal 8 16 3 2" xfId="9235"/>
    <cellStyle name="Normal 8 16 3 2 2" xfId="15428"/>
    <cellStyle name="Normal 8 16 3 2 3" xfId="21580"/>
    <cellStyle name="Normal 8 16 3 3" xfId="12362"/>
    <cellStyle name="Normal 8 16 3 4" xfId="18514"/>
    <cellStyle name="Normal 8 16 4" xfId="7700"/>
    <cellStyle name="Normal 8 16 4 2" xfId="13894"/>
    <cellStyle name="Normal 8 16 4 3" xfId="20046"/>
    <cellStyle name="Normal 8 16 5" xfId="10828"/>
    <cellStyle name="Normal 8 16 6" xfId="16980"/>
    <cellStyle name="Normal 8 17" xfId="4114"/>
    <cellStyle name="Normal 8 17 2" xfId="5294"/>
    <cellStyle name="Normal 8 17 2 2" xfId="6919"/>
    <cellStyle name="Normal 8 17 2 2 2" xfId="10005"/>
    <cellStyle name="Normal 8 17 2 2 2 2" xfId="16198"/>
    <cellStyle name="Normal 8 17 2 2 2 3" xfId="22350"/>
    <cellStyle name="Normal 8 17 2 2 3" xfId="13132"/>
    <cellStyle name="Normal 8 17 2 2 4" xfId="19284"/>
    <cellStyle name="Normal 8 17 2 3" xfId="8470"/>
    <cellStyle name="Normal 8 17 2 3 2" xfId="14664"/>
    <cellStyle name="Normal 8 17 2 3 3" xfId="20816"/>
    <cellStyle name="Normal 8 17 2 4" xfId="11598"/>
    <cellStyle name="Normal 8 17 2 5" xfId="17750"/>
    <cellStyle name="Normal 8 17 3" xfId="6136"/>
    <cellStyle name="Normal 8 17 3 2" xfId="9236"/>
    <cellStyle name="Normal 8 17 3 2 2" xfId="15429"/>
    <cellStyle name="Normal 8 17 3 2 3" xfId="21581"/>
    <cellStyle name="Normal 8 17 3 3" xfId="12363"/>
    <cellStyle name="Normal 8 17 3 4" xfId="18515"/>
    <cellStyle name="Normal 8 17 4" xfId="7701"/>
    <cellStyle name="Normal 8 17 4 2" xfId="13895"/>
    <cellStyle name="Normal 8 17 4 3" xfId="20047"/>
    <cellStyle name="Normal 8 17 5" xfId="10829"/>
    <cellStyle name="Normal 8 17 6" xfId="16981"/>
    <cellStyle name="Normal 8 18" xfId="4115"/>
    <cellStyle name="Normal 8 18 2" xfId="5295"/>
    <cellStyle name="Normal 8 18 2 2" xfId="6920"/>
    <cellStyle name="Normal 8 18 2 2 2" xfId="10006"/>
    <cellStyle name="Normal 8 18 2 2 2 2" xfId="16199"/>
    <cellStyle name="Normal 8 18 2 2 2 3" xfId="22351"/>
    <cellStyle name="Normal 8 18 2 2 3" xfId="13133"/>
    <cellStyle name="Normal 8 18 2 2 4" xfId="19285"/>
    <cellStyle name="Normal 8 18 2 3" xfId="8471"/>
    <cellStyle name="Normal 8 18 2 3 2" xfId="14665"/>
    <cellStyle name="Normal 8 18 2 3 3" xfId="20817"/>
    <cellStyle name="Normal 8 18 2 4" xfId="11599"/>
    <cellStyle name="Normal 8 18 2 5" xfId="17751"/>
    <cellStyle name="Normal 8 18 3" xfId="6137"/>
    <cellStyle name="Normal 8 18 3 2" xfId="9237"/>
    <cellStyle name="Normal 8 18 3 2 2" xfId="15430"/>
    <cellStyle name="Normal 8 18 3 2 3" xfId="21582"/>
    <cellStyle name="Normal 8 18 3 3" xfId="12364"/>
    <cellStyle name="Normal 8 18 3 4" xfId="18516"/>
    <cellStyle name="Normal 8 18 4" xfId="7702"/>
    <cellStyle name="Normal 8 18 4 2" xfId="13896"/>
    <cellStyle name="Normal 8 18 4 3" xfId="20048"/>
    <cellStyle name="Normal 8 18 5" xfId="10830"/>
    <cellStyle name="Normal 8 18 6" xfId="16982"/>
    <cellStyle name="Normal 8 19" xfId="4116"/>
    <cellStyle name="Normal 8 19 2" xfId="5296"/>
    <cellStyle name="Normal 8 19 2 2" xfId="6921"/>
    <cellStyle name="Normal 8 19 2 2 2" xfId="10007"/>
    <cellStyle name="Normal 8 19 2 2 2 2" xfId="16200"/>
    <cellStyle name="Normal 8 19 2 2 2 3" xfId="22352"/>
    <cellStyle name="Normal 8 19 2 2 3" xfId="13134"/>
    <cellStyle name="Normal 8 19 2 2 4" xfId="19286"/>
    <cellStyle name="Normal 8 19 2 3" xfId="8472"/>
    <cellStyle name="Normal 8 19 2 3 2" xfId="14666"/>
    <cellStyle name="Normal 8 19 2 3 3" xfId="20818"/>
    <cellStyle name="Normal 8 19 2 4" xfId="11600"/>
    <cellStyle name="Normal 8 19 2 5" xfId="17752"/>
    <cellStyle name="Normal 8 19 3" xfId="6138"/>
    <cellStyle name="Normal 8 19 3 2" xfId="9238"/>
    <cellStyle name="Normal 8 19 3 2 2" xfId="15431"/>
    <cellStyle name="Normal 8 19 3 2 3" xfId="21583"/>
    <cellStyle name="Normal 8 19 3 3" xfId="12365"/>
    <cellStyle name="Normal 8 19 3 4" xfId="18517"/>
    <cellStyle name="Normal 8 19 4" xfId="7703"/>
    <cellStyle name="Normal 8 19 4 2" xfId="13897"/>
    <cellStyle name="Normal 8 19 4 3" xfId="20049"/>
    <cellStyle name="Normal 8 19 5" xfId="10831"/>
    <cellStyle name="Normal 8 19 6" xfId="16983"/>
    <cellStyle name="Normal 8 2" xfId="1294"/>
    <cellStyle name="Normal 8 2 10" xfId="10284"/>
    <cellStyle name="Normal 8 2 11" xfId="16436"/>
    <cellStyle name="Normal 8 2 12" xfId="23294"/>
    <cellStyle name="Normal 8 2 2" xfId="1313"/>
    <cellStyle name="Normal 8 2 2 2" xfId="4118"/>
    <cellStyle name="Normal 8 2 2 2 2" xfId="5298"/>
    <cellStyle name="Normal 8 2 2 2 2 2" xfId="6923"/>
    <cellStyle name="Normal 8 2 2 2 2 2 2" xfId="10009"/>
    <cellStyle name="Normal 8 2 2 2 2 2 2 2" xfId="16202"/>
    <cellStyle name="Normal 8 2 2 2 2 2 2 3" xfId="22354"/>
    <cellStyle name="Normal 8 2 2 2 2 2 3" xfId="13136"/>
    <cellStyle name="Normal 8 2 2 2 2 2 4" xfId="19288"/>
    <cellStyle name="Normal 8 2 2 2 2 3" xfId="8474"/>
    <cellStyle name="Normal 8 2 2 2 2 3 2" xfId="14668"/>
    <cellStyle name="Normal 8 2 2 2 2 3 3" xfId="20820"/>
    <cellStyle name="Normal 8 2 2 2 2 4" xfId="11602"/>
    <cellStyle name="Normal 8 2 2 2 2 5" xfId="17754"/>
    <cellStyle name="Normal 8 2 2 2 3" xfId="6140"/>
    <cellStyle name="Normal 8 2 2 2 3 2" xfId="9240"/>
    <cellStyle name="Normal 8 2 2 2 3 2 2" xfId="15433"/>
    <cellStyle name="Normal 8 2 2 2 3 2 3" xfId="21585"/>
    <cellStyle name="Normal 8 2 2 2 3 3" xfId="12367"/>
    <cellStyle name="Normal 8 2 2 2 3 4" xfId="18519"/>
    <cellStyle name="Normal 8 2 2 2 4" xfId="7705"/>
    <cellStyle name="Normal 8 2 2 2 4 2" xfId="13899"/>
    <cellStyle name="Normal 8 2 2 2 4 3" xfId="20051"/>
    <cellStyle name="Normal 8 2 2 2 5" xfId="10833"/>
    <cellStyle name="Normal 8 2 2 2 6" xfId="16985"/>
    <cellStyle name="Normal 8 2 2 3" xfId="4760"/>
    <cellStyle name="Normal 8 2 2 3 2" xfId="6385"/>
    <cellStyle name="Normal 8 2 2 3 2 2" xfId="9471"/>
    <cellStyle name="Normal 8 2 2 3 2 2 2" xfId="15664"/>
    <cellStyle name="Normal 8 2 2 3 2 2 3" xfId="21816"/>
    <cellStyle name="Normal 8 2 2 3 2 3" xfId="12598"/>
    <cellStyle name="Normal 8 2 2 3 2 4" xfId="18750"/>
    <cellStyle name="Normal 8 2 2 3 3" xfId="7936"/>
    <cellStyle name="Normal 8 2 2 3 3 2" xfId="14130"/>
    <cellStyle name="Normal 8 2 2 3 3 3" xfId="20282"/>
    <cellStyle name="Normal 8 2 2 3 4" xfId="11064"/>
    <cellStyle name="Normal 8 2 2 3 5" xfId="17216"/>
    <cellStyle name="Normal 8 2 2 4" xfId="5599"/>
    <cellStyle name="Normal 8 2 2 4 2" xfId="8702"/>
    <cellStyle name="Normal 8 2 2 4 2 2" xfId="14895"/>
    <cellStyle name="Normal 8 2 2 4 2 3" xfId="21047"/>
    <cellStyle name="Normal 8 2 2 4 3" xfId="11829"/>
    <cellStyle name="Normal 8 2 2 4 4" xfId="17981"/>
    <cellStyle name="Normal 8 2 2 5" xfId="7167"/>
    <cellStyle name="Normal 8 2 2 5 2" xfId="13361"/>
    <cellStyle name="Normal 8 2 2 5 3" xfId="19513"/>
    <cellStyle name="Normal 8 2 2 6" xfId="10295"/>
    <cellStyle name="Normal 8 2 2 7" xfId="16447"/>
    <cellStyle name="Normal 8 2 3" xfId="4119"/>
    <cellStyle name="Normal 8 2 3 2" xfId="5299"/>
    <cellStyle name="Normal 8 2 3 2 2" xfId="6924"/>
    <cellStyle name="Normal 8 2 3 2 2 2" xfId="10010"/>
    <cellStyle name="Normal 8 2 3 2 2 2 2" xfId="16203"/>
    <cellStyle name="Normal 8 2 3 2 2 2 3" xfId="22355"/>
    <cellStyle name="Normal 8 2 3 2 2 3" xfId="13137"/>
    <cellStyle name="Normal 8 2 3 2 2 4" xfId="19289"/>
    <cellStyle name="Normal 8 2 3 2 3" xfId="8475"/>
    <cellStyle name="Normal 8 2 3 2 3 2" xfId="14669"/>
    <cellStyle name="Normal 8 2 3 2 3 3" xfId="20821"/>
    <cellStyle name="Normal 8 2 3 2 4" xfId="11603"/>
    <cellStyle name="Normal 8 2 3 2 5" xfId="17755"/>
    <cellStyle name="Normal 8 2 3 3" xfId="6141"/>
    <cellStyle name="Normal 8 2 3 3 2" xfId="9241"/>
    <cellStyle name="Normal 8 2 3 3 2 2" xfId="15434"/>
    <cellStyle name="Normal 8 2 3 3 2 3" xfId="21586"/>
    <cellStyle name="Normal 8 2 3 3 3" xfId="12368"/>
    <cellStyle name="Normal 8 2 3 3 4" xfId="18520"/>
    <cellStyle name="Normal 8 2 3 4" xfId="7706"/>
    <cellStyle name="Normal 8 2 3 4 2" xfId="13900"/>
    <cellStyle name="Normal 8 2 3 4 3" xfId="20052"/>
    <cellStyle name="Normal 8 2 3 5" xfId="10834"/>
    <cellStyle name="Normal 8 2 3 6" xfId="16986"/>
    <cellStyle name="Normal 8 2 4" xfId="4120"/>
    <cellStyle name="Normal 8 2 4 2" xfId="5300"/>
    <cellStyle name="Normal 8 2 4 2 2" xfId="6925"/>
    <cellStyle name="Normal 8 2 4 2 2 2" xfId="10011"/>
    <cellStyle name="Normal 8 2 4 2 2 2 2" xfId="16204"/>
    <cellStyle name="Normal 8 2 4 2 2 2 3" xfId="22356"/>
    <cellStyle name="Normal 8 2 4 2 2 3" xfId="13138"/>
    <cellStyle name="Normal 8 2 4 2 2 4" xfId="19290"/>
    <cellStyle name="Normal 8 2 4 2 3" xfId="8476"/>
    <cellStyle name="Normal 8 2 4 2 3 2" xfId="14670"/>
    <cellStyle name="Normal 8 2 4 2 3 3" xfId="20822"/>
    <cellStyle name="Normal 8 2 4 2 4" xfId="11604"/>
    <cellStyle name="Normal 8 2 4 2 5" xfId="17756"/>
    <cellStyle name="Normal 8 2 4 3" xfId="6142"/>
    <cellStyle name="Normal 8 2 4 3 2" xfId="9242"/>
    <cellStyle name="Normal 8 2 4 3 2 2" xfId="15435"/>
    <cellStyle name="Normal 8 2 4 3 2 3" xfId="21587"/>
    <cellStyle name="Normal 8 2 4 3 3" xfId="12369"/>
    <cellStyle name="Normal 8 2 4 3 4" xfId="18521"/>
    <cellStyle name="Normal 8 2 4 4" xfId="7707"/>
    <cellStyle name="Normal 8 2 4 4 2" xfId="13901"/>
    <cellStyle name="Normal 8 2 4 4 3" xfId="20053"/>
    <cellStyle name="Normal 8 2 4 5" xfId="10835"/>
    <cellStyle name="Normal 8 2 4 6" xfId="16987"/>
    <cellStyle name="Normal 8 2 5" xfId="4121"/>
    <cellStyle name="Normal 8 2 5 2" xfId="5301"/>
    <cellStyle name="Normal 8 2 5 2 2" xfId="6926"/>
    <cellStyle name="Normal 8 2 5 2 2 2" xfId="10012"/>
    <cellStyle name="Normal 8 2 5 2 2 2 2" xfId="16205"/>
    <cellStyle name="Normal 8 2 5 2 2 2 3" xfId="22357"/>
    <cellStyle name="Normal 8 2 5 2 2 3" xfId="13139"/>
    <cellStyle name="Normal 8 2 5 2 2 4" xfId="19291"/>
    <cellStyle name="Normal 8 2 5 2 3" xfId="8477"/>
    <cellStyle name="Normal 8 2 5 2 3 2" xfId="14671"/>
    <cellStyle name="Normal 8 2 5 2 3 3" xfId="20823"/>
    <cellStyle name="Normal 8 2 5 2 4" xfId="11605"/>
    <cellStyle name="Normal 8 2 5 2 5" xfId="17757"/>
    <cellStyle name="Normal 8 2 5 3" xfId="6143"/>
    <cellStyle name="Normal 8 2 5 3 2" xfId="9243"/>
    <cellStyle name="Normal 8 2 5 3 2 2" xfId="15436"/>
    <cellStyle name="Normal 8 2 5 3 2 3" xfId="21588"/>
    <cellStyle name="Normal 8 2 5 3 3" xfId="12370"/>
    <cellStyle name="Normal 8 2 5 3 4" xfId="18522"/>
    <cellStyle name="Normal 8 2 5 4" xfId="7708"/>
    <cellStyle name="Normal 8 2 5 4 2" xfId="13902"/>
    <cellStyle name="Normal 8 2 5 4 3" xfId="20054"/>
    <cellStyle name="Normal 8 2 5 5" xfId="10836"/>
    <cellStyle name="Normal 8 2 5 6" xfId="16988"/>
    <cellStyle name="Normal 8 2 6" xfId="4117"/>
    <cellStyle name="Normal 8 2 6 2" xfId="5297"/>
    <cellStyle name="Normal 8 2 6 2 2" xfId="6922"/>
    <cellStyle name="Normal 8 2 6 2 2 2" xfId="10008"/>
    <cellStyle name="Normal 8 2 6 2 2 2 2" xfId="16201"/>
    <cellStyle name="Normal 8 2 6 2 2 2 3" xfId="22353"/>
    <cellStyle name="Normal 8 2 6 2 2 3" xfId="13135"/>
    <cellStyle name="Normal 8 2 6 2 2 4" xfId="19287"/>
    <cellStyle name="Normal 8 2 6 2 3" xfId="8473"/>
    <cellStyle name="Normal 8 2 6 2 3 2" xfId="14667"/>
    <cellStyle name="Normal 8 2 6 2 3 3" xfId="20819"/>
    <cellStyle name="Normal 8 2 6 2 4" xfId="11601"/>
    <cellStyle name="Normal 8 2 6 2 5" xfId="17753"/>
    <cellStyle name="Normal 8 2 6 3" xfId="6139"/>
    <cellStyle name="Normal 8 2 6 3 2" xfId="9239"/>
    <cellStyle name="Normal 8 2 6 3 2 2" xfId="15432"/>
    <cellStyle name="Normal 8 2 6 3 2 3" xfId="21584"/>
    <cellStyle name="Normal 8 2 6 3 3" xfId="12366"/>
    <cellStyle name="Normal 8 2 6 3 4" xfId="18518"/>
    <cellStyle name="Normal 8 2 6 4" xfId="7704"/>
    <cellStyle name="Normal 8 2 6 4 2" xfId="13898"/>
    <cellStyle name="Normal 8 2 6 4 3" xfId="20050"/>
    <cellStyle name="Normal 8 2 6 5" xfId="10832"/>
    <cellStyle name="Normal 8 2 6 6" xfId="16984"/>
    <cellStyle name="Normal 8 2 7" xfId="4749"/>
    <cellStyle name="Normal 8 2 7 2" xfId="6374"/>
    <cellStyle name="Normal 8 2 7 2 2" xfId="9460"/>
    <cellStyle name="Normal 8 2 7 2 2 2" xfId="15653"/>
    <cellStyle name="Normal 8 2 7 2 2 3" xfId="21805"/>
    <cellStyle name="Normal 8 2 7 2 3" xfId="12587"/>
    <cellStyle name="Normal 8 2 7 2 4" xfId="18739"/>
    <cellStyle name="Normal 8 2 7 3" xfId="7925"/>
    <cellStyle name="Normal 8 2 7 3 2" xfId="14119"/>
    <cellStyle name="Normal 8 2 7 3 3" xfId="20271"/>
    <cellStyle name="Normal 8 2 7 4" xfId="11053"/>
    <cellStyle name="Normal 8 2 7 5" xfId="17205"/>
    <cellStyle name="Normal 8 2 8" xfId="5587"/>
    <cellStyle name="Normal 8 2 8 2" xfId="8691"/>
    <cellStyle name="Normal 8 2 8 2 2" xfId="14884"/>
    <cellStyle name="Normal 8 2 8 2 3" xfId="21036"/>
    <cellStyle name="Normal 8 2 8 3" xfId="11818"/>
    <cellStyle name="Normal 8 2 8 4" xfId="17970"/>
    <cellStyle name="Normal 8 2 9" xfId="7156"/>
    <cellStyle name="Normal 8 2 9 2" xfId="13350"/>
    <cellStyle name="Normal 8 2 9 3" xfId="19502"/>
    <cellStyle name="Normal 8 20" xfId="4122"/>
    <cellStyle name="Normal 8 20 2" xfId="5302"/>
    <cellStyle name="Normal 8 20 2 2" xfId="6927"/>
    <cellStyle name="Normal 8 20 2 2 2" xfId="10013"/>
    <cellStyle name="Normal 8 20 2 2 2 2" xfId="16206"/>
    <cellStyle name="Normal 8 20 2 2 2 3" xfId="22358"/>
    <cellStyle name="Normal 8 20 2 2 3" xfId="13140"/>
    <cellStyle name="Normal 8 20 2 2 4" xfId="19292"/>
    <cellStyle name="Normal 8 20 2 3" xfId="8478"/>
    <cellStyle name="Normal 8 20 2 3 2" xfId="14672"/>
    <cellStyle name="Normal 8 20 2 3 3" xfId="20824"/>
    <cellStyle name="Normal 8 20 2 4" xfId="11606"/>
    <cellStyle name="Normal 8 20 2 5" xfId="17758"/>
    <cellStyle name="Normal 8 20 3" xfId="6144"/>
    <cellStyle name="Normal 8 20 3 2" xfId="9244"/>
    <cellStyle name="Normal 8 20 3 2 2" xfId="15437"/>
    <cellStyle name="Normal 8 20 3 2 3" xfId="21589"/>
    <cellStyle name="Normal 8 20 3 3" xfId="12371"/>
    <cellStyle name="Normal 8 20 3 4" xfId="18523"/>
    <cellStyle name="Normal 8 20 4" xfId="7709"/>
    <cellStyle name="Normal 8 20 4 2" xfId="13903"/>
    <cellStyle name="Normal 8 20 4 3" xfId="20055"/>
    <cellStyle name="Normal 8 20 5" xfId="10837"/>
    <cellStyle name="Normal 8 20 6" xfId="16989"/>
    <cellStyle name="Normal 8 21" xfId="4123"/>
    <cellStyle name="Normal 8 22" xfId="4124"/>
    <cellStyle name="Normal 8 22 2" xfId="5303"/>
    <cellStyle name="Normal 8 22 2 2" xfId="6928"/>
    <cellStyle name="Normal 8 22 2 2 2" xfId="10014"/>
    <cellStyle name="Normal 8 22 2 2 2 2" xfId="16207"/>
    <cellStyle name="Normal 8 22 2 2 2 3" xfId="22359"/>
    <cellStyle name="Normal 8 22 2 2 3" xfId="13141"/>
    <cellStyle name="Normal 8 22 2 2 4" xfId="19293"/>
    <cellStyle name="Normal 8 22 2 3" xfId="8479"/>
    <cellStyle name="Normal 8 22 2 3 2" xfId="14673"/>
    <cellStyle name="Normal 8 22 2 3 3" xfId="20825"/>
    <cellStyle name="Normal 8 22 2 4" xfId="11607"/>
    <cellStyle name="Normal 8 22 2 5" xfId="17759"/>
    <cellStyle name="Normal 8 22 3" xfId="6145"/>
    <cellStyle name="Normal 8 22 3 2" xfId="9245"/>
    <cellStyle name="Normal 8 22 3 2 2" xfId="15438"/>
    <cellStyle name="Normal 8 22 3 2 3" xfId="21590"/>
    <cellStyle name="Normal 8 22 3 3" xfId="12372"/>
    <cellStyle name="Normal 8 22 3 4" xfId="18524"/>
    <cellStyle name="Normal 8 22 4" xfId="7710"/>
    <cellStyle name="Normal 8 22 4 2" xfId="13904"/>
    <cellStyle name="Normal 8 22 4 3" xfId="20056"/>
    <cellStyle name="Normal 8 22 5" xfId="10838"/>
    <cellStyle name="Normal 8 22 6" xfId="16990"/>
    <cellStyle name="Normal 8 23" xfId="4125"/>
    <cellStyle name="Normal 8 23 2" xfId="4126"/>
    <cellStyle name="Normal 8 24" xfId="4127"/>
    <cellStyle name="Normal 8 24 2" xfId="4128"/>
    <cellStyle name="Normal 8 25" xfId="4106"/>
    <cellStyle name="Normal 8 25 2" xfId="5286"/>
    <cellStyle name="Normal 8 25 2 2" xfId="6911"/>
    <cellStyle name="Normal 8 25 2 2 2" xfId="9997"/>
    <cellStyle name="Normal 8 25 2 2 2 2" xfId="16190"/>
    <cellStyle name="Normal 8 25 2 2 2 3" xfId="22342"/>
    <cellStyle name="Normal 8 25 2 2 3" xfId="13124"/>
    <cellStyle name="Normal 8 25 2 2 4" xfId="19276"/>
    <cellStyle name="Normal 8 25 2 3" xfId="8462"/>
    <cellStyle name="Normal 8 25 2 3 2" xfId="14656"/>
    <cellStyle name="Normal 8 25 2 3 3" xfId="20808"/>
    <cellStyle name="Normal 8 25 2 4" xfId="11590"/>
    <cellStyle name="Normal 8 25 2 5" xfId="17742"/>
    <cellStyle name="Normal 8 25 3" xfId="6128"/>
    <cellStyle name="Normal 8 25 3 2" xfId="9228"/>
    <cellStyle name="Normal 8 25 3 2 2" xfId="15421"/>
    <cellStyle name="Normal 8 25 3 2 3" xfId="21573"/>
    <cellStyle name="Normal 8 25 3 3" xfId="12355"/>
    <cellStyle name="Normal 8 25 3 4" xfId="18507"/>
    <cellStyle name="Normal 8 25 4" xfId="7693"/>
    <cellStyle name="Normal 8 25 4 2" xfId="13887"/>
    <cellStyle name="Normal 8 25 4 3" xfId="20039"/>
    <cellStyle name="Normal 8 25 5" xfId="10821"/>
    <cellStyle name="Normal 8 25 6" xfId="16973"/>
    <cellStyle name="Normal 8 26" xfId="4743"/>
    <cellStyle name="Normal 8 26 2" xfId="6368"/>
    <cellStyle name="Normal 8 26 2 2" xfId="9454"/>
    <cellStyle name="Normal 8 26 2 2 2" xfId="15647"/>
    <cellStyle name="Normal 8 26 2 2 3" xfId="21799"/>
    <cellStyle name="Normal 8 26 2 3" xfId="12581"/>
    <cellStyle name="Normal 8 26 2 4" xfId="18733"/>
    <cellStyle name="Normal 8 26 3" xfId="7919"/>
    <cellStyle name="Normal 8 26 3 2" xfId="14113"/>
    <cellStyle name="Normal 8 26 3 3" xfId="20265"/>
    <cellStyle name="Normal 8 26 4" xfId="11047"/>
    <cellStyle name="Normal 8 26 5" xfId="17199"/>
    <cellStyle name="Normal 8 27" xfId="5581"/>
    <cellStyle name="Normal 8 27 2" xfId="8685"/>
    <cellStyle name="Normal 8 27 2 2" xfId="14878"/>
    <cellStyle name="Normal 8 27 2 3" xfId="21030"/>
    <cellStyle name="Normal 8 27 3" xfId="11812"/>
    <cellStyle name="Normal 8 27 4" xfId="17964"/>
    <cellStyle name="Normal 8 28" xfId="7150"/>
    <cellStyle name="Normal 8 28 2" xfId="13344"/>
    <cellStyle name="Normal 8 28 3" xfId="19496"/>
    <cellStyle name="Normal 8 29" xfId="10278"/>
    <cellStyle name="Normal 8 3" xfId="1307"/>
    <cellStyle name="Normal 8 3 10" xfId="10289"/>
    <cellStyle name="Normal 8 3 11" xfId="16441"/>
    <cellStyle name="Normal 8 3 12" xfId="23295"/>
    <cellStyle name="Normal 8 3 2" xfId="4130"/>
    <cellStyle name="Normal 8 3 2 2" xfId="5305"/>
    <cellStyle name="Normal 8 3 2 2 2" xfId="6930"/>
    <cellStyle name="Normal 8 3 2 2 2 2" xfId="10016"/>
    <cellStyle name="Normal 8 3 2 2 2 2 2" xfId="16209"/>
    <cellStyle name="Normal 8 3 2 2 2 2 3" xfId="22361"/>
    <cellStyle name="Normal 8 3 2 2 2 3" xfId="13143"/>
    <cellStyle name="Normal 8 3 2 2 2 4" xfId="19295"/>
    <cellStyle name="Normal 8 3 2 2 3" xfId="8481"/>
    <cellStyle name="Normal 8 3 2 2 3 2" xfId="14675"/>
    <cellStyle name="Normal 8 3 2 2 3 3" xfId="20827"/>
    <cellStyle name="Normal 8 3 2 2 4" xfId="11609"/>
    <cellStyle name="Normal 8 3 2 2 5" xfId="17761"/>
    <cellStyle name="Normal 8 3 2 3" xfId="6147"/>
    <cellStyle name="Normal 8 3 2 3 2" xfId="9247"/>
    <cellStyle name="Normal 8 3 2 3 2 2" xfId="15440"/>
    <cellStyle name="Normal 8 3 2 3 2 3" xfId="21592"/>
    <cellStyle name="Normal 8 3 2 3 3" xfId="12374"/>
    <cellStyle name="Normal 8 3 2 3 4" xfId="18526"/>
    <cellStyle name="Normal 8 3 2 4" xfId="7712"/>
    <cellStyle name="Normal 8 3 2 4 2" xfId="13906"/>
    <cellStyle name="Normal 8 3 2 4 3" xfId="20058"/>
    <cellStyle name="Normal 8 3 2 5" xfId="10840"/>
    <cellStyle name="Normal 8 3 2 6" xfId="16992"/>
    <cellStyle name="Normal 8 3 3" xfId="4131"/>
    <cellStyle name="Normal 8 3 3 2" xfId="5306"/>
    <cellStyle name="Normal 8 3 3 2 2" xfId="6931"/>
    <cellStyle name="Normal 8 3 3 2 2 2" xfId="10017"/>
    <cellStyle name="Normal 8 3 3 2 2 2 2" xfId="16210"/>
    <cellStyle name="Normal 8 3 3 2 2 2 3" xfId="22362"/>
    <cellStyle name="Normal 8 3 3 2 2 3" xfId="13144"/>
    <cellStyle name="Normal 8 3 3 2 2 4" xfId="19296"/>
    <cellStyle name="Normal 8 3 3 2 3" xfId="8482"/>
    <cellStyle name="Normal 8 3 3 2 3 2" xfId="14676"/>
    <cellStyle name="Normal 8 3 3 2 3 3" xfId="20828"/>
    <cellStyle name="Normal 8 3 3 2 4" xfId="11610"/>
    <cellStyle name="Normal 8 3 3 2 5" xfId="17762"/>
    <cellStyle name="Normal 8 3 3 3" xfId="6148"/>
    <cellStyle name="Normal 8 3 3 3 2" xfId="9248"/>
    <cellStyle name="Normal 8 3 3 3 2 2" xfId="15441"/>
    <cellStyle name="Normal 8 3 3 3 2 3" xfId="21593"/>
    <cellStyle name="Normal 8 3 3 3 3" xfId="12375"/>
    <cellStyle name="Normal 8 3 3 3 4" xfId="18527"/>
    <cellStyle name="Normal 8 3 3 4" xfId="7713"/>
    <cellStyle name="Normal 8 3 3 4 2" xfId="13907"/>
    <cellStyle name="Normal 8 3 3 4 3" xfId="20059"/>
    <cellStyle name="Normal 8 3 3 5" xfId="10841"/>
    <cellStyle name="Normal 8 3 3 6" xfId="16993"/>
    <cellStyle name="Normal 8 3 4" xfId="4132"/>
    <cellStyle name="Normal 8 3 4 2" xfId="5307"/>
    <cellStyle name="Normal 8 3 4 2 2" xfId="6932"/>
    <cellStyle name="Normal 8 3 4 2 2 2" xfId="10018"/>
    <cellStyle name="Normal 8 3 4 2 2 2 2" xfId="16211"/>
    <cellStyle name="Normal 8 3 4 2 2 2 3" xfId="22363"/>
    <cellStyle name="Normal 8 3 4 2 2 3" xfId="13145"/>
    <cellStyle name="Normal 8 3 4 2 2 4" xfId="19297"/>
    <cellStyle name="Normal 8 3 4 2 3" xfId="8483"/>
    <cellStyle name="Normal 8 3 4 2 3 2" xfId="14677"/>
    <cellStyle name="Normal 8 3 4 2 3 3" xfId="20829"/>
    <cellStyle name="Normal 8 3 4 2 4" xfId="11611"/>
    <cellStyle name="Normal 8 3 4 2 5" xfId="17763"/>
    <cellStyle name="Normal 8 3 4 3" xfId="6149"/>
    <cellStyle name="Normal 8 3 4 3 2" xfId="9249"/>
    <cellStyle name="Normal 8 3 4 3 2 2" xfId="15442"/>
    <cellStyle name="Normal 8 3 4 3 2 3" xfId="21594"/>
    <cellStyle name="Normal 8 3 4 3 3" xfId="12376"/>
    <cellStyle name="Normal 8 3 4 3 4" xfId="18528"/>
    <cellStyle name="Normal 8 3 4 4" xfId="7714"/>
    <cellStyle name="Normal 8 3 4 4 2" xfId="13908"/>
    <cellStyle name="Normal 8 3 4 4 3" xfId="20060"/>
    <cellStyle name="Normal 8 3 4 5" xfId="10842"/>
    <cellStyle name="Normal 8 3 4 6" xfId="16994"/>
    <cellStyle name="Normal 8 3 5" xfId="4133"/>
    <cellStyle name="Normal 8 3 5 2" xfId="5308"/>
    <cellStyle name="Normal 8 3 5 2 2" xfId="6933"/>
    <cellStyle name="Normal 8 3 5 2 2 2" xfId="10019"/>
    <cellStyle name="Normal 8 3 5 2 2 2 2" xfId="16212"/>
    <cellStyle name="Normal 8 3 5 2 2 2 3" xfId="22364"/>
    <cellStyle name="Normal 8 3 5 2 2 3" xfId="13146"/>
    <cellStyle name="Normal 8 3 5 2 2 4" xfId="19298"/>
    <cellStyle name="Normal 8 3 5 2 3" xfId="8484"/>
    <cellStyle name="Normal 8 3 5 2 3 2" xfId="14678"/>
    <cellStyle name="Normal 8 3 5 2 3 3" xfId="20830"/>
    <cellStyle name="Normal 8 3 5 2 4" xfId="11612"/>
    <cellStyle name="Normal 8 3 5 2 5" xfId="17764"/>
    <cellStyle name="Normal 8 3 5 3" xfId="6150"/>
    <cellStyle name="Normal 8 3 5 3 2" xfId="9250"/>
    <cellStyle name="Normal 8 3 5 3 2 2" xfId="15443"/>
    <cellStyle name="Normal 8 3 5 3 2 3" xfId="21595"/>
    <cellStyle name="Normal 8 3 5 3 3" xfId="12377"/>
    <cellStyle name="Normal 8 3 5 3 4" xfId="18529"/>
    <cellStyle name="Normal 8 3 5 4" xfId="7715"/>
    <cellStyle name="Normal 8 3 5 4 2" xfId="13909"/>
    <cellStyle name="Normal 8 3 5 4 3" xfId="20061"/>
    <cellStyle name="Normal 8 3 5 5" xfId="10843"/>
    <cellStyle name="Normal 8 3 5 6" xfId="16995"/>
    <cellStyle name="Normal 8 3 6" xfId="4129"/>
    <cellStyle name="Normal 8 3 6 2" xfId="5304"/>
    <cellStyle name="Normal 8 3 6 2 2" xfId="6929"/>
    <cellStyle name="Normal 8 3 6 2 2 2" xfId="10015"/>
    <cellStyle name="Normal 8 3 6 2 2 2 2" xfId="16208"/>
    <cellStyle name="Normal 8 3 6 2 2 2 3" xfId="22360"/>
    <cellStyle name="Normal 8 3 6 2 2 3" xfId="13142"/>
    <cellStyle name="Normal 8 3 6 2 2 4" xfId="19294"/>
    <cellStyle name="Normal 8 3 6 2 3" xfId="8480"/>
    <cellStyle name="Normal 8 3 6 2 3 2" xfId="14674"/>
    <cellStyle name="Normal 8 3 6 2 3 3" xfId="20826"/>
    <cellStyle name="Normal 8 3 6 2 4" xfId="11608"/>
    <cellStyle name="Normal 8 3 6 2 5" xfId="17760"/>
    <cellStyle name="Normal 8 3 6 3" xfId="6146"/>
    <cellStyle name="Normal 8 3 6 3 2" xfId="9246"/>
    <cellStyle name="Normal 8 3 6 3 2 2" xfId="15439"/>
    <cellStyle name="Normal 8 3 6 3 2 3" xfId="21591"/>
    <cellStyle name="Normal 8 3 6 3 3" xfId="12373"/>
    <cellStyle name="Normal 8 3 6 3 4" xfId="18525"/>
    <cellStyle name="Normal 8 3 6 4" xfId="7711"/>
    <cellStyle name="Normal 8 3 6 4 2" xfId="13905"/>
    <cellStyle name="Normal 8 3 6 4 3" xfId="20057"/>
    <cellStyle name="Normal 8 3 6 5" xfId="10839"/>
    <cellStyle name="Normal 8 3 6 6" xfId="16991"/>
    <cellStyle name="Normal 8 3 7" xfId="4754"/>
    <cellStyle name="Normal 8 3 7 2" xfId="6379"/>
    <cellStyle name="Normal 8 3 7 2 2" xfId="9465"/>
    <cellStyle name="Normal 8 3 7 2 2 2" xfId="15658"/>
    <cellStyle name="Normal 8 3 7 2 2 3" xfId="21810"/>
    <cellStyle name="Normal 8 3 7 2 3" xfId="12592"/>
    <cellStyle name="Normal 8 3 7 2 4" xfId="18744"/>
    <cellStyle name="Normal 8 3 7 3" xfId="7930"/>
    <cellStyle name="Normal 8 3 7 3 2" xfId="14124"/>
    <cellStyle name="Normal 8 3 7 3 3" xfId="20276"/>
    <cellStyle name="Normal 8 3 7 4" xfId="11058"/>
    <cellStyle name="Normal 8 3 7 5" xfId="17210"/>
    <cellStyle name="Normal 8 3 8" xfId="5593"/>
    <cellStyle name="Normal 8 3 8 2" xfId="8696"/>
    <cellStyle name="Normal 8 3 8 2 2" xfId="14889"/>
    <cellStyle name="Normal 8 3 8 2 3" xfId="21041"/>
    <cellStyle name="Normal 8 3 8 3" xfId="11823"/>
    <cellStyle name="Normal 8 3 8 4" xfId="17975"/>
    <cellStyle name="Normal 8 3 9" xfId="7161"/>
    <cellStyle name="Normal 8 3 9 2" xfId="13355"/>
    <cellStyle name="Normal 8 3 9 3" xfId="19507"/>
    <cellStyle name="Normal 8 30" xfId="16430"/>
    <cellStyle name="Normal 8 31" xfId="1279"/>
    <cellStyle name="Normal 8 32" xfId="204"/>
    <cellStyle name="Normal 8 33" xfId="23293"/>
    <cellStyle name="Normal 8 4" xfId="4134"/>
    <cellStyle name="Normal 8 4 2" xfId="5309"/>
    <cellStyle name="Normal 8 4 2 2" xfId="6934"/>
    <cellStyle name="Normal 8 4 2 2 2" xfId="10020"/>
    <cellStyle name="Normal 8 4 2 2 2 2" xfId="16213"/>
    <cellStyle name="Normal 8 4 2 2 2 3" xfId="22365"/>
    <cellStyle name="Normal 8 4 2 2 3" xfId="13147"/>
    <cellStyle name="Normal 8 4 2 2 4" xfId="19299"/>
    <cellStyle name="Normal 8 4 2 3" xfId="8485"/>
    <cellStyle name="Normal 8 4 2 3 2" xfId="14679"/>
    <cellStyle name="Normal 8 4 2 3 3" xfId="20831"/>
    <cellStyle name="Normal 8 4 2 4" xfId="11613"/>
    <cellStyle name="Normal 8 4 2 5" xfId="17765"/>
    <cellStyle name="Normal 8 4 3" xfId="6151"/>
    <cellStyle name="Normal 8 4 3 2" xfId="9251"/>
    <cellStyle name="Normal 8 4 3 2 2" xfId="15444"/>
    <cellStyle name="Normal 8 4 3 2 3" xfId="21596"/>
    <cellStyle name="Normal 8 4 3 3" xfId="12378"/>
    <cellStyle name="Normal 8 4 3 4" xfId="18530"/>
    <cellStyle name="Normal 8 4 4" xfId="7716"/>
    <cellStyle name="Normal 8 4 4 2" xfId="13910"/>
    <cellStyle name="Normal 8 4 4 3" xfId="20062"/>
    <cellStyle name="Normal 8 4 5" xfId="10844"/>
    <cellStyle name="Normal 8 4 6" xfId="16996"/>
    <cellStyle name="Normal 8 4 7" xfId="23296"/>
    <cellStyle name="Normal 8 5" xfId="4135"/>
    <cellStyle name="Normal 8 5 2" xfId="5310"/>
    <cellStyle name="Normal 8 5 2 2" xfId="6935"/>
    <cellStyle name="Normal 8 5 2 2 2" xfId="10021"/>
    <cellStyle name="Normal 8 5 2 2 2 2" xfId="16214"/>
    <cellStyle name="Normal 8 5 2 2 2 3" xfId="22366"/>
    <cellStyle name="Normal 8 5 2 2 3" xfId="13148"/>
    <cellStyle name="Normal 8 5 2 2 4" xfId="19300"/>
    <cellStyle name="Normal 8 5 2 3" xfId="8486"/>
    <cellStyle name="Normal 8 5 2 3 2" xfId="14680"/>
    <cellStyle name="Normal 8 5 2 3 3" xfId="20832"/>
    <cellStyle name="Normal 8 5 2 4" xfId="11614"/>
    <cellStyle name="Normal 8 5 2 5" xfId="17766"/>
    <cellStyle name="Normal 8 5 3" xfId="6152"/>
    <cellStyle name="Normal 8 5 3 2" xfId="9252"/>
    <cellStyle name="Normal 8 5 3 2 2" xfId="15445"/>
    <cellStyle name="Normal 8 5 3 2 3" xfId="21597"/>
    <cellStyle name="Normal 8 5 3 3" xfId="12379"/>
    <cellStyle name="Normal 8 5 3 4" xfId="18531"/>
    <cellStyle name="Normal 8 5 4" xfId="7717"/>
    <cellStyle name="Normal 8 5 4 2" xfId="13911"/>
    <cellStyle name="Normal 8 5 4 3" xfId="20063"/>
    <cellStyle name="Normal 8 5 5" xfId="10845"/>
    <cellStyle name="Normal 8 5 6" xfId="16997"/>
    <cellStyle name="Normal 8 5 7" xfId="23297"/>
    <cellStyle name="Normal 8 6" xfId="4136"/>
    <cellStyle name="Normal 8 6 2" xfId="5311"/>
    <cellStyle name="Normal 8 6 2 2" xfId="6936"/>
    <cellStyle name="Normal 8 6 2 2 2" xfId="10022"/>
    <cellStyle name="Normal 8 6 2 2 2 2" xfId="16215"/>
    <cellStyle name="Normal 8 6 2 2 2 3" xfId="22367"/>
    <cellStyle name="Normal 8 6 2 2 3" xfId="13149"/>
    <cellStyle name="Normal 8 6 2 2 4" xfId="19301"/>
    <cellStyle name="Normal 8 6 2 3" xfId="8487"/>
    <cellStyle name="Normal 8 6 2 3 2" xfId="14681"/>
    <cellStyle name="Normal 8 6 2 3 3" xfId="20833"/>
    <cellStyle name="Normal 8 6 2 4" xfId="11615"/>
    <cellStyle name="Normal 8 6 2 5" xfId="17767"/>
    <cellStyle name="Normal 8 6 3" xfId="6153"/>
    <cellStyle name="Normal 8 6 3 2" xfId="9253"/>
    <cellStyle name="Normal 8 6 3 2 2" xfId="15446"/>
    <cellStyle name="Normal 8 6 3 2 3" xfId="21598"/>
    <cellStyle name="Normal 8 6 3 3" xfId="12380"/>
    <cellStyle name="Normal 8 6 3 4" xfId="18532"/>
    <cellStyle name="Normal 8 6 4" xfId="7718"/>
    <cellStyle name="Normal 8 6 4 2" xfId="13912"/>
    <cellStyle name="Normal 8 6 4 3" xfId="20064"/>
    <cellStyle name="Normal 8 6 5" xfId="10846"/>
    <cellStyle name="Normal 8 6 6" xfId="16998"/>
    <cellStyle name="Normal 8 7" xfId="4137"/>
    <cellStyle name="Normal 8 7 2" xfId="5312"/>
    <cellStyle name="Normal 8 7 2 2" xfId="6937"/>
    <cellStyle name="Normal 8 7 2 2 2" xfId="10023"/>
    <cellStyle name="Normal 8 7 2 2 2 2" xfId="16216"/>
    <cellStyle name="Normal 8 7 2 2 2 3" xfId="22368"/>
    <cellStyle name="Normal 8 7 2 2 3" xfId="13150"/>
    <cellStyle name="Normal 8 7 2 2 4" xfId="19302"/>
    <cellStyle name="Normal 8 7 2 3" xfId="8488"/>
    <cellStyle name="Normal 8 7 2 3 2" xfId="14682"/>
    <cellStyle name="Normal 8 7 2 3 3" xfId="20834"/>
    <cellStyle name="Normal 8 7 2 4" xfId="11616"/>
    <cellStyle name="Normal 8 7 2 5" xfId="17768"/>
    <cellStyle name="Normal 8 7 3" xfId="6154"/>
    <cellStyle name="Normal 8 7 3 2" xfId="9254"/>
    <cellStyle name="Normal 8 7 3 2 2" xfId="15447"/>
    <cellStyle name="Normal 8 7 3 2 3" xfId="21599"/>
    <cellStyle name="Normal 8 7 3 3" xfId="12381"/>
    <cellStyle name="Normal 8 7 3 4" xfId="18533"/>
    <cellStyle name="Normal 8 7 4" xfId="7719"/>
    <cellStyle name="Normal 8 7 4 2" xfId="13913"/>
    <cellStyle name="Normal 8 7 4 3" xfId="20065"/>
    <cellStyle name="Normal 8 7 5" xfId="10847"/>
    <cellStyle name="Normal 8 7 6" xfId="16999"/>
    <cellStyle name="Normal 8 8" xfId="4138"/>
    <cellStyle name="Normal 8 8 2" xfId="5313"/>
    <cellStyle name="Normal 8 8 2 2" xfId="6938"/>
    <cellStyle name="Normal 8 8 2 2 2" xfId="10024"/>
    <cellStyle name="Normal 8 8 2 2 2 2" xfId="16217"/>
    <cellStyle name="Normal 8 8 2 2 2 3" xfId="22369"/>
    <cellStyle name="Normal 8 8 2 2 3" xfId="13151"/>
    <cellStyle name="Normal 8 8 2 2 4" xfId="19303"/>
    <cellStyle name="Normal 8 8 2 3" xfId="8489"/>
    <cellStyle name="Normal 8 8 2 3 2" xfId="14683"/>
    <cellStyle name="Normal 8 8 2 3 3" xfId="20835"/>
    <cellStyle name="Normal 8 8 2 4" xfId="11617"/>
    <cellStyle name="Normal 8 8 2 5" xfId="17769"/>
    <cellStyle name="Normal 8 8 3" xfId="6155"/>
    <cellStyle name="Normal 8 8 3 2" xfId="9255"/>
    <cellStyle name="Normal 8 8 3 2 2" xfId="15448"/>
    <cellStyle name="Normal 8 8 3 2 3" xfId="21600"/>
    <cellStyle name="Normal 8 8 3 3" xfId="12382"/>
    <cellStyle name="Normal 8 8 3 4" xfId="18534"/>
    <cellStyle name="Normal 8 8 4" xfId="7720"/>
    <cellStyle name="Normal 8 8 4 2" xfId="13914"/>
    <cellStyle name="Normal 8 8 4 3" xfId="20066"/>
    <cellStyle name="Normal 8 8 5" xfId="10848"/>
    <cellStyle name="Normal 8 8 6" xfId="17000"/>
    <cellStyle name="Normal 8 9" xfId="4139"/>
    <cellStyle name="Normal 8 9 2" xfId="5314"/>
    <cellStyle name="Normal 8 9 2 2" xfId="6939"/>
    <cellStyle name="Normal 8 9 2 2 2" xfId="10025"/>
    <cellStyle name="Normal 8 9 2 2 2 2" xfId="16218"/>
    <cellStyle name="Normal 8 9 2 2 2 3" xfId="22370"/>
    <cellStyle name="Normal 8 9 2 2 3" xfId="13152"/>
    <cellStyle name="Normal 8 9 2 2 4" xfId="19304"/>
    <cellStyle name="Normal 8 9 2 3" xfId="8490"/>
    <cellStyle name="Normal 8 9 2 3 2" xfId="14684"/>
    <cellStyle name="Normal 8 9 2 3 3" xfId="20836"/>
    <cellStyle name="Normal 8 9 2 4" xfId="11618"/>
    <cellStyle name="Normal 8 9 2 5" xfId="17770"/>
    <cellStyle name="Normal 8 9 3" xfId="6156"/>
    <cellStyle name="Normal 8 9 3 2" xfId="9256"/>
    <cellStyle name="Normal 8 9 3 2 2" xfId="15449"/>
    <cellStyle name="Normal 8 9 3 2 3" xfId="21601"/>
    <cellStyle name="Normal 8 9 3 3" xfId="12383"/>
    <cellStyle name="Normal 8 9 3 4" xfId="18535"/>
    <cellStyle name="Normal 8 9 4" xfId="7721"/>
    <cellStyle name="Normal 8 9 4 2" xfId="13915"/>
    <cellStyle name="Normal 8 9 4 3" xfId="20067"/>
    <cellStyle name="Normal 8 9 5" xfId="10849"/>
    <cellStyle name="Normal 8 9 6" xfId="17001"/>
    <cellStyle name="Normal 9" xfId="37"/>
    <cellStyle name="Normal 9 10" xfId="4141"/>
    <cellStyle name="Normal 9 10 2" xfId="5316"/>
    <cellStyle name="Normal 9 10 2 2" xfId="6941"/>
    <cellStyle name="Normal 9 10 2 2 2" xfId="10027"/>
    <cellStyle name="Normal 9 10 2 2 2 2" xfId="16220"/>
    <cellStyle name="Normal 9 10 2 2 2 3" xfId="22372"/>
    <cellStyle name="Normal 9 10 2 2 3" xfId="13154"/>
    <cellStyle name="Normal 9 10 2 2 4" xfId="19306"/>
    <cellStyle name="Normal 9 10 2 3" xfId="8492"/>
    <cellStyle name="Normal 9 10 2 3 2" xfId="14686"/>
    <cellStyle name="Normal 9 10 2 3 3" xfId="20838"/>
    <cellStyle name="Normal 9 10 2 4" xfId="11620"/>
    <cellStyle name="Normal 9 10 2 5" xfId="17772"/>
    <cellStyle name="Normal 9 10 3" xfId="6158"/>
    <cellStyle name="Normal 9 10 3 2" xfId="9258"/>
    <cellStyle name="Normal 9 10 3 2 2" xfId="15451"/>
    <cellStyle name="Normal 9 10 3 2 3" xfId="21603"/>
    <cellStyle name="Normal 9 10 3 3" xfId="12385"/>
    <cellStyle name="Normal 9 10 3 4" xfId="18537"/>
    <cellStyle name="Normal 9 10 4" xfId="7723"/>
    <cellStyle name="Normal 9 10 4 2" xfId="13917"/>
    <cellStyle name="Normal 9 10 4 3" xfId="20069"/>
    <cellStyle name="Normal 9 10 5" xfId="10851"/>
    <cellStyle name="Normal 9 10 6" xfId="17003"/>
    <cellStyle name="Normal 9 11" xfId="4142"/>
    <cellStyle name="Normal 9 11 2" xfId="5317"/>
    <cellStyle name="Normal 9 11 2 2" xfId="6942"/>
    <cellStyle name="Normal 9 11 2 2 2" xfId="10028"/>
    <cellStyle name="Normal 9 11 2 2 2 2" xfId="16221"/>
    <cellStyle name="Normal 9 11 2 2 2 3" xfId="22373"/>
    <cellStyle name="Normal 9 11 2 2 3" xfId="13155"/>
    <cellStyle name="Normal 9 11 2 2 4" xfId="19307"/>
    <cellStyle name="Normal 9 11 2 3" xfId="8493"/>
    <cellStyle name="Normal 9 11 2 3 2" xfId="14687"/>
    <cellStyle name="Normal 9 11 2 3 3" xfId="20839"/>
    <cellStyle name="Normal 9 11 2 4" xfId="11621"/>
    <cellStyle name="Normal 9 11 2 5" xfId="17773"/>
    <cellStyle name="Normal 9 11 3" xfId="6159"/>
    <cellStyle name="Normal 9 11 3 2" xfId="9259"/>
    <cellStyle name="Normal 9 11 3 2 2" xfId="15452"/>
    <cellStyle name="Normal 9 11 3 2 3" xfId="21604"/>
    <cellStyle name="Normal 9 11 3 3" xfId="12386"/>
    <cellStyle name="Normal 9 11 3 4" xfId="18538"/>
    <cellStyle name="Normal 9 11 4" xfId="7724"/>
    <cellStyle name="Normal 9 11 4 2" xfId="13918"/>
    <cellStyle name="Normal 9 11 4 3" xfId="20070"/>
    <cellStyle name="Normal 9 11 5" xfId="10852"/>
    <cellStyle name="Normal 9 11 6" xfId="17004"/>
    <cellStyle name="Normal 9 12" xfId="4143"/>
    <cellStyle name="Normal 9 12 2" xfId="5318"/>
    <cellStyle name="Normal 9 12 2 2" xfId="6943"/>
    <cellStyle name="Normal 9 12 2 2 2" xfId="10029"/>
    <cellStyle name="Normal 9 12 2 2 2 2" xfId="16222"/>
    <cellStyle name="Normal 9 12 2 2 2 3" xfId="22374"/>
    <cellStyle name="Normal 9 12 2 2 3" xfId="13156"/>
    <cellStyle name="Normal 9 12 2 2 4" xfId="19308"/>
    <cellStyle name="Normal 9 12 2 3" xfId="8494"/>
    <cellStyle name="Normal 9 12 2 3 2" xfId="14688"/>
    <cellStyle name="Normal 9 12 2 3 3" xfId="20840"/>
    <cellStyle name="Normal 9 12 2 4" xfId="11622"/>
    <cellStyle name="Normal 9 12 2 5" xfId="17774"/>
    <cellStyle name="Normal 9 12 3" xfId="6160"/>
    <cellStyle name="Normal 9 12 3 2" xfId="9260"/>
    <cellStyle name="Normal 9 12 3 2 2" xfId="15453"/>
    <cellStyle name="Normal 9 12 3 2 3" xfId="21605"/>
    <cellStyle name="Normal 9 12 3 3" xfId="12387"/>
    <cellStyle name="Normal 9 12 3 4" xfId="18539"/>
    <cellStyle name="Normal 9 12 4" xfId="7725"/>
    <cellStyle name="Normal 9 12 4 2" xfId="13919"/>
    <cellStyle name="Normal 9 12 4 3" xfId="20071"/>
    <cellStyle name="Normal 9 12 5" xfId="10853"/>
    <cellStyle name="Normal 9 12 6" xfId="17005"/>
    <cellStyle name="Normal 9 13" xfId="4144"/>
    <cellStyle name="Normal 9 13 2" xfId="5319"/>
    <cellStyle name="Normal 9 13 2 2" xfId="6944"/>
    <cellStyle name="Normal 9 13 2 2 2" xfId="10030"/>
    <cellStyle name="Normal 9 13 2 2 2 2" xfId="16223"/>
    <cellStyle name="Normal 9 13 2 2 2 3" xfId="22375"/>
    <cellStyle name="Normal 9 13 2 2 3" xfId="13157"/>
    <cellStyle name="Normal 9 13 2 2 4" xfId="19309"/>
    <cellStyle name="Normal 9 13 2 3" xfId="8495"/>
    <cellStyle name="Normal 9 13 2 3 2" xfId="14689"/>
    <cellStyle name="Normal 9 13 2 3 3" xfId="20841"/>
    <cellStyle name="Normal 9 13 2 4" xfId="11623"/>
    <cellStyle name="Normal 9 13 2 5" xfId="17775"/>
    <cellStyle name="Normal 9 13 3" xfId="6161"/>
    <cellStyle name="Normal 9 13 3 2" xfId="9261"/>
    <cellStyle name="Normal 9 13 3 2 2" xfId="15454"/>
    <cellStyle name="Normal 9 13 3 2 3" xfId="21606"/>
    <cellStyle name="Normal 9 13 3 3" xfId="12388"/>
    <cellStyle name="Normal 9 13 3 4" xfId="18540"/>
    <cellStyle name="Normal 9 13 4" xfId="7726"/>
    <cellStyle name="Normal 9 13 4 2" xfId="13920"/>
    <cellStyle name="Normal 9 13 4 3" xfId="20072"/>
    <cellStyle name="Normal 9 13 5" xfId="10854"/>
    <cellStyle name="Normal 9 13 6" xfId="17006"/>
    <cellStyle name="Normal 9 14" xfId="4145"/>
    <cellStyle name="Normal 9 14 2" xfId="5320"/>
    <cellStyle name="Normal 9 14 2 2" xfId="6945"/>
    <cellStyle name="Normal 9 14 2 2 2" xfId="10031"/>
    <cellStyle name="Normal 9 14 2 2 2 2" xfId="16224"/>
    <cellStyle name="Normal 9 14 2 2 2 3" xfId="22376"/>
    <cellStyle name="Normal 9 14 2 2 3" xfId="13158"/>
    <cellStyle name="Normal 9 14 2 2 4" xfId="19310"/>
    <cellStyle name="Normal 9 14 2 3" xfId="8496"/>
    <cellStyle name="Normal 9 14 2 3 2" xfId="14690"/>
    <cellStyle name="Normal 9 14 2 3 3" xfId="20842"/>
    <cellStyle name="Normal 9 14 2 4" xfId="11624"/>
    <cellStyle name="Normal 9 14 2 5" xfId="17776"/>
    <cellStyle name="Normal 9 14 3" xfId="6162"/>
    <cellStyle name="Normal 9 14 3 2" xfId="9262"/>
    <cellStyle name="Normal 9 14 3 2 2" xfId="15455"/>
    <cellStyle name="Normal 9 14 3 2 3" xfId="21607"/>
    <cellStyle name="Normal 9 14 3 3" xfId="12389"/>
    <cellStyle name="Normal 9 14 3 4" xfId="18541"/>
    <cellStyle name="Normal 9 14 4" xfId="7727"/>
    <cellStyle name="Normal 9 14 4 2" xfId="13921"/>
    <cellStyle name="Normal 9 14 4 3" xfId="20073"/>
    <cellStyle name="Normal 9 14 5" xfId="10855"/>
    <cellStyle name="Normal 9 14 6" xfId="17007"/>
    <cellStyle name="Normal 9 15" xfId="4146"/>
    <cellStyle name="Normal 9 15 2" xfId="5321"/>
    <cellStyle name="Normal 9 15 2 2" xfId="6946"/>
    <cellStyle name="Normal 9 15 2 2 2" xfId="10032"/>
    <cellStyle name="Normal 9 15 2 2 2 2" xfId="16225"/>
    <cellStyle name="Normal 9 15 2 2 2 3" xfId="22377"/>
    <cellStyle name="Normal 9 15 2 2 3" xfId="13159"/>
    <cellStyle name="Normal 9 15 2 2 4" xfId="19311"/>
    <cellStyle name="Normal 9 15 2 3" xfId="8497"/>
    <cellStyle name="Normal 9 15 2 3 2" xfId="14691"/>
    <cellStyle name="Normal 9 15 2 3 3" xfId="20843"/>
    <cellStyle name="Normal 9 15 2 4" xfId="11625"/>
    <cellStyle name="Normal 9 15 2 5" xfId="17777"/>
    <cellStyle name="Normal 9 15 3" xfId="6163"/>
    <cellStyle name="Normal 9 15 3 2" xfId="9263"/>
    <cellStyle name="Normal 9 15 3 2 2" xfId="15456"/>
    <cellStyle name="Normal 9 15 3 2 3" xfId="21608"/>
    <cellStyle name="Normal 9 15 3 3" xfId="12390"/>
    <cellStyle name="Normal 9 15 3 4" xfId="18542"/>
    <cellStyle name="Normal 9 15 4" xfId="7728"/>
    <cellStyle name="Normal 9 15 4 2" xfId="13922"/>
    <cellStyle name="Normal 9 15 4 3" xfId="20074"/>
    <cellStyle name="Normal 9 15 5" xfId="10856"/>
    <cellStyle name="Normal 9 15 6" xfId="17008"/>
    <cellStyle name="Normal 9 16" xfId="4147"/>
    <cellStyle name="Normal 9 16 2" xfId="5322"/>
    <cellStyle name="Normal 9 16 2 2" xfId="6947"/>
    <cellStyle name="Normal 9 16 2 2 2" xfId="10033"/>
    <cellStyle name="Normal 9 16 2 2 2 2" xfId="16226"/>
    <cellStyle name="Normal 9 16 2 2 2 3" xfId="22378"/>
    <cellStyle name="Normal 9 16 2 2 3" xfId="13160"/>
    <cellStyle name="Normal 9 16 2 2 4" xfId="19312"/>
    <cellStyle name="Normal 9 16 2 3" xfId="8498"/>
    <cellStyle name="Normal 9 16 2 3 2" xfId="14692"/>
    <cellStyle name="Normal 9 16 2 3 3" xfId="20844"/>
    <cellStyle name="Normal 9 16 2 4" xfId="11626"/>
    <cellStyle name="Normal 9 16 2 5" xfId="17778"/>
    <cellStyle name="Normal 9 16 3" xfId="6164"/>
    <cellStyle name="Normal 9 16 3 2" xfId="9264"/>
    <cellStyle name="Normal 9 16 3 2 2" xfId="15457"/>
    <cellStyle name="Normal 9 16 3 2 3" xfId="21609"/>
    <cellStyle name="Normal 9 16 3 3" xfId="12391"/>
    <cellStyle name="Normal 9 16 3 4" xfId="18543"/>
    <cellStyle name="Normal 9 16 4" xfId="7729"/>
    <cellStyle name="Normal 9 16 4 2" xfId="13923"/>
    <cellStyle name="Normal 9 16 4 3" xfId="20075"/>
    <cellStyle name="Normal 9 16 5" xfId="10857"/>
    <cellStyle name="Normal 9 16 6" xfId="17009"/>
    <cellStyle name="Normal 9 17" xfId="4148"/>
    <cellStyle name="Normal 9 17 2" xfId="5323"/>
    <cellStyle name="Normal 9 17 2 2" xfId="6948"/>
    <cellStyle name="Normal 9 17 2 2 2" xfId="10034"/>
    <cellStyle name="Normal 9 17 2 2 2 2" xfId="16227"/>
    <cellStyle name="Normal 9 17 2 2 2 3" xfId="22379"/>
    <cellStyle name="Normal 9 17 2 2 3" xfId="13161"/>
    <cellStyle name="Normal 9 17 2 2 4" xfId="19313"/>
    <cellStyle name="Normal 9 17 2 3" xfId="8499"/>
    <cellStyle name="Normal 9 17 2 3 2" xfId="14693"/>
    <cellStyle name="Normal 9 17 2 3 3" xfId="20845"/>
    <cellStyle name="Normal 9 17 2 4" xfId="11627"/>
    <cellStyle name="Normal 9 17 2 5" xfId="17779"/>
    <cellStyle name="Normal 9 17 3" xfId="6165"/>
    <cellStyle name="Normal 9 17 3 2" xfId="9265"/>
    <cellStyle name="Normal 9 17 3 2 2" xfId="15458"/>
    <cellStyle name="Normal 9 17 3 2 3" xfId="21610"/>
    <cellStyle name="Normal 9 17 3 3" xfId="12392"/>
    <cellStyle name="Normal 9 17 3 4" xfId="18544"/>
    <cellStyle name="Normal 9 17 4" xfId="7730"/>
    <cellStyle name="Normal 9 17 4 2" xfId="13924"/>
    <cellStyle name="Normal 9 17 4 3" xfId="20076"/>
    <cellStyle name="Normal 9 17 5" xfId="10858"/>
    <cellStyle name="Normal 9 17 6" xfId="17010"/>
    <cellStyle name="Normal 9 18" xfId="4149"/>
    <cellStyle name="Normal 9 18 2" xfId="5324"/>
    <cellStyle name="Normal 9 18 2 2" xfId="6949"/>
    <cellStyle name="Normal 9 18 2 2 2" xfId="10035"/>
    <cellStyle name="Normal 9 18 2 2 2 2" xfId="16228"/>
    <cellStyle name="Normal 9 18 2 2 2 3" xfId="22380"/>
    <cellStyle name="Normal 9 18 2 2 3" xfId="13162"/>
    <cellStyle name="Normal 9 18 2 2 4" xfId="19314"/>
    <cellStyle name="Normal 9 18 2 3" xfId="8500"/>
    <cellStyle name="Normal 9 18 2 3 2" xfId="14694"/>
    <cellStyle name="Normal 9 18 2 3 3" xfId="20846"/>
    <cellStyle name="Normal 9 18 2 4" xfId="11628"/>
    <cellStyle name="Normal 9 18 2 5" xfId="17780"/>
    <cellStyle name="Normal 9 18 3" xfId="6166"/>
    <cellStyle name="Normal 9 18 3 2" xfId="9266"/>
    <cellStyle name="Normal 9 18 3 2 2" xfId="15459"/>
    <cellStyle name="Normal 9 18 3 2 3" xfId="21611"/>
    <cellStyle name="Normal 9 18 3 3" xfId="12393"/>
    <cellStyle name="Normal 9 18 3 4" xfId="18545"/>
    <cellStyle name="Normal 9 18 4" xfId="7731"/>
    <cellStyle name="Normal 9 18 4 2" xfId="13925"/>
    <cellStyle name="Normal 9 18 4 3" xfId="20077"/>
    <cellStyle name="Normal 9 18 5" xfId="10859"/>
    <cellStyle name="Normal 9 18 6" xfId="17011"/>
    <cellStyle name="Normal 9 19" xfId="4150"/>
    <cellStyle name="Normal 9 19 2" xfId="5325"/>
    <cellStyle name="Normal 9 19 2 2" xfId="6950"/>
    <cellStyle name="Normal 9 19 2 2 2" xfId="10036"/>
    <cellStyle name="Normal 9 19 2 2 2 2" xfId="16229"/>
    <cellStyle name="Normal 9 19 2 2 2 3" xfId="22381"/>
    <cellStyle name="Normal 9 19 2 2 3" xfId="13163"/>
    <cellStyle name="Normal 9 19 2 2 4" xfId="19315"/>
    <cellStyle name="Normal 9 19 2 3" xfId="8501"/>
    <cellStyle name="Normal 9 19 2 3 2" xfId="14695"/>
    <cellStyle name="Normal 9 19 2 3 3" xfId="20847"/>
    <cellStyle name="Normal 9 19 2 4" xfId="11629"/>
    <cellStyle name="Normal 9 19 2 5" xfId="17781"/>
    <cellStyle name="Normal 9 19 3" xfId="6167"/>
    <cellStyle name="Normal 9 19 3 2" xfId="9267"/>
    <cellStyle name="Normal 9 19 3 2 2" xfId="15460"/>
    <cellStyle name="Normal 9 19 3 2 3" xfId="21612"/>
    <cellStyle name="Normal 9 19 3 3" xfId="12394"/>
    <cellStyle name="Normal 9 19 3 4" xfId="18546"/>
    <cellStyle name="Normal 9 19 4" xfId="7732"/>
    <cellStyle name="Normal 9 19 4 2" xfId="13926"/>
    <cellStyle name="Normal 9 19 4 3" xfId="20078"/>
    <cellStyle name="Normal 9 19 5" xfId="10860"/>
    <cellStyle name="Normal 9 19 6" xfId="17012"/>
    <cellStyle name="Normal 9 2" xfId="98"/>
    <cellStyle name="Normal 9 2 10" xfId="10861"/>
    <cellStyle name="Normal 9 2 11" xfId="17013"/>
    <cellStyle name="Normal 9 2 12" xfId="4151"/>
    <cellStyle name="Normal 9 2 13" xfId="23299"/>
    <cellStyle name="Normal 9 2 2" xfId="144"/>
    <cellStyle name="Normal 9 2 2 2" xfId="5327"/>
    <cellStyle name="Normal 9 2 2 2 2" xfId="6952"/>
    <cellStyle name="Normal 9 2 2 2 2 2" xfId="10038"/>
    <cellStyle name="Normal 9 2 2 2 2 2 2" xfId="16231"/>
    <cellStyle name="Normal 9 2 2 2 2 2 3" xfId="22383"/>
    <cellStyle name="Normal 9 2 2 2 2 3" xfId="13165"/>
    <cellStyle name="Normal 9 2 2 2 2 4" xfId="19317"/>
    <cellStyle name="Normal 9 2 2 2 3" xfId="8503"/>
    <cellStyle name="Normal 9 2 2 2 3 2" xfId="14697"/>
    <cellStyle name="Normal 9 2 2 2 3 3" xfId="20849"/>
    <cellStyle name="Normal 9 2 2 2 4" xfId="11631"/>
    <cellStyle name="Normal 9 2 2 2 5" xfId="17783"/>
    <cellStyle name="Normal 9 2 2 3" xfId="6169"/>
    <cellStyle name="Normal 9 2 2 3 2" xfId="9269"/>
    <cellStyle name="Normal 9 2 2 3 2 2" xfId="15462"/>
    <cellStyle name="Normal 9 2 2 3 2 3" xfId="21614"/>
    <cellStyle name="Normal 9 2 2 3 3" xfId="12396"/>
    <cellStyle name="Normal 9 2 2 3 4" xfId="18548"/>
    <cellStyle name="Normal 9 2 2 4" xfId="7734"/>
    <cellStyle name="Normal 9 2 2 4 2" xfId="13928"/>
    <cellStyle name="Normal 9 2 2 4 3" xfId="20080"/>
    <cellStyle name="Normal 9 2 2 5" xfId="10862"/>
    <cellStyle name="Normal 9 2 2 6" xfId="17014"/>
    <cellStyle name="Normal 9 2 2 7" xfId="4152"/>
    <cellStyle name="Normal 9 2 3" xfId="4153"/>
    <cellStyle name="Normal 9 2 3 2" xfId="5328"/>
    <cellStyle name="Normal 9 2 3 2 2" xfId="6953"/>
    <cellStyle name="Normal 9 2 3 2 2 2" xfId="10039"/>
    <cellStyle name="Normal 9 2 3 2 2 2 2" xfId="16232"/>
    <cellStyle name="Normal 9 2 3 2 2 2 3" xfId="22384"/>
    <cellStyle name="Normal 9 2 3 2 2 3" xfId="13166"/>
    <cellStyle name="Normal 9 2 3 2 2 4" xfId="19318"/>
    <cellStyle name="Normal 9 2 3 2 3" xfId="8504"/>
    <cellStyle name="Normal 9 2 3 2 3 2" xfId="14698"/>
    <cellStyle name="Normal 9 2 3 2 3 3" xfId="20850"/>
    <cellStyle name="Normal 9 2 3 2 4" xfId="11632"/>
    <cellStyle name="Normal 9 2 3 2 5" xfId="17784"/>
    <cellStyle name="Normal 9 2 3 3" xfId="6170"/>
    <cellStyle name="Normal 9 2 3 3 2" xfId="9270"/>
    <cellStyle name="Normal 9 2 3 3 2 2" xfId="15463"/>
    <cellStyle name="Normal 9 2 3 3 2 3" xfId="21615"/>
    <cellStyle name="Normal 9 2 3 3 3" xfId="12397"/>
    <cellStyle name="Normal 9 2 3 3 4" xfId="18549"/>
    <cellStyle name="Normal 9 2 3 4" xfId="7735"/>
    <cellStyle name="Normal 9 2 3 4 2" xfId="13929"/>
    <cellStyle name="Normal 9 2 3 4 3" xfId="20081"/>
    <cellStyle name="Normal 9 2 3 5" xfId="10863"/>
    <cellStyle name="Normal 9 2 3 6" xfId="17015"/>
    <cellStyle name="Normal 9 2 4" xfId="4154"/>
    <cellStyle name="Normal 9 2 4 2" xfId="5329"/>
    <cellStyle name="Normal 9 2 4 2 2" xfId="6954"/>
    <cellStyle name="Normal 9 2 4 2 2 2" xfId="10040"/>
    <cellStyle name="Normal 9 2 4 2 2 2 2" xfId="16233"/>
    <cellStyle name="Normal 9 2 4 2 2 2 3" xfId="22385"/>
    <cellStyle name="Normal 9 2 4 2 2 3" xfId="13167"/>
    <cellStyle name="Normal 9 2 4 2 2 4" xfId="19319"/>
    <cellStyle name="Normal 9 2 4 2 3" xfId="8505"/>
    <cellStyle name="Normal 9 2 4 2 3 2" xfId="14699"/>
    <cellStyle name="Normal 9 2 4 2 3 3" xfId="20851"/>
    <cellStyle name="Normal 9 2 4 2 4" xfId="11633"/>
    <cellStyle name="Normal 9 2 4 2 5" xfId="17785"/>
    <cellStyle name="Normal 9 2 4 3" xfId="6171"/>
    <cellStyle name="Normal 9 2 4 3 2" xfId="9271"/>
    <cellStyle name="Normal 9 2 4 3 2 2" xfId="15464"/>
    <cellStyle name="Normal 9 2 4 3 2 3" xfId="21616"/>
    <cellStyle name="Normal 9 2 4 3 3" xfId="12398"/>
    <cellStyle name="Normal 9 2 4 3 4" xfId="18550"/>
    <cellStyle name="Normal 9 2 4 4" xfId="7736"/>
    <cellStyle name="Normal 9 2 4 4 2" xfId="13930"/>
    <cellStyle name="Normal 9 2 4 4 3" xfId="20082"/>
    <cellStyle name="Normal 9 2 4 5" xfId="10864"/>
    <cellStyle name="Normal 9 2 4 6" xfId="17016"/>
    <cellStyle name="Normal 9 2 5" xfId="4155"/>
    <cellStyle name="Normal 9 2 5 2" xfId="5330"/>
    <cellStyle name="Normal 9 2 5 2 2" xfId="6955"/>
    <cellStyle name="Normal 9 2 5 2 2 2" xfId="10041"/>
    <cellStyle name="Normal 9 2 5 2 2 2 2" xfId="16234"/>
    <cellStyle name="Normal 9 2 5 2 2 2 3" xfId="22386"/>
    <cellStyle name="Normal 9 2 5 2 2 3" xfId="13168"/>
    <cellStyle name="Normal 9 2 5 2 2 4" xfId="19320"/>
    <cellStyle name="Normal 9 2 5 2 3" xfId="8506"/>
    <cellStyle name="Normal 9 2 5 2 3 2" xfId="14700"/>
    <cellStyle name="Normal 9 2 5 2 3 3" xfId="20852"/>
    <cellStyle name="Normal 9 2 5 2 4" xfId="11634"/>
    <cellStyle name="Normal 9 2 5 2 5" xfId="17786"/>
    <cellStyle name="Normal 9 2 5 3" xfId="6172"/>
    <cellStyle name="Normal 9 2 5 3 2" xfId="9272"/>
    <cellStyle name="Normal 9 2 5 3 2 2" xfId="15465"/>
    <cellStyle name="Normal 9 2 5 3 2 3" xfId="21617"/>
    <cellStyle name="Normal 9 2 5 3 3" xfId="12399"/>
    <cellStyle name="Normal 9 2 5 3 4" xfId="18551"/>
    <cellStyle name="Normal 9 2 5 4" xfId="7737"/>
    <cellStyle name="Normal 9 2 5 4 2" xfId="13931"/>
    <cellStyle name="Normal 9 2 5 4 3" xfId="20083"/>
    <cellStyle name="Normal 9 2 5 5" xfId="10865"/>
    <cellStyle name="Normal 9 2 5 6" xfId="17017"/>
    <cellStyle name="Normal 9 2 6" xfId="5326"/>
    <cellStyle name="Normal 9 2 6 2" xfId="6951"/>
    <cellStyle name="Normal 9 2 6 2 2" xfId="10037"/>
    <cellStyle name="Normal 9 2 6 2 2 2" xfId="16230"/>
    <cellStyle name="Normal 9 2 6 2 2 3" xfId="22382"/>
    <cellStyle name="Normal 9 2 6 2 3" xfId="13164"/>
    <cellStyle name="Normal 9 2 6 2 4" xfId="19316"/>
    <cellStyle name="Normal 9 2 6 3" xfId="8502"/>
    <cellStyle name="Normal 9 2 6 3 2" xfId="14696"/>
    <cellStyle name="Normal 9 2 6 3 3" xfId="20848"/>
    <cellStyle name="Normal 9 2 6 4" xfId="11630"/>
    <cellStyle name="Normal 9 2 6 5" xfId="17782"/>
    <cellStyle name="Normal 9 2 7" xfId="6168"/>
    <cellStyle name="Normal 9 2 7 2" xfId="9268"/>
    <cellStyle name="Normal 9 2 7 2 2" xfId="15461"/>
    <cellStyle name="Normal 9 2 7 2 3" xfId="21613"/>
    <cellStyle name="Normal 9 2 7 3" xfId="12395"/>
    <cellStyle name="Normal 9 2 7 4" xfId="18547"/>
    <cellStyle name="Normal 9 2 8" xfId="7733"/>
    <cellStyle name="Normal 9 2 8 2" xfId="13927"/>
    <cellStyle name="Normal 9 2 8 3" xfId="20079"/>
    <cellStyle name="Normal 9 2 9" xfId="10254"/>
    <cellStyle name="Normal 9 20" xfId="4156"/>
    <cellStyle name="Normal 9 20 2" xfId="5331"/>
    <cellStyle name="Normal 9 20 2 2" xfId="6956"/>
    <cellStyle name="Normal 9 20 2 2 2" xfId="10042"/>
    <cellStyle name="Normal 9 20 2 2 2 2" xfId="16235"/>
    <cellStyle name="Normal 9 20 2 2 2 3" xfId="22387"/>
    <cellStyle name="Normal 9 20 2 2 3" xfId="13169"/>
    <cellStyle name="Normal 9 20 2 2 4" xfId="19321"/>
    <cellStyle name="Normal 9 20 2 3" xfId="8507"/>
    <cellStyle name="Normal 9 20 2 3 2" xfId="14701"/>
    <cellStyle name="Normal 9 20 2 3 3" xfId="20853"/>
    <cellStyle name="Normal 9 20 2 4" xfId="11635"/>
    <cellStyle name="Normal 9 20 2 5" xfId="17787"/>
    <cellStyle name="Normal 9 20 3" xfId="6173"/>
    <cellStyle name="Normal 9 20 3 2" xfId="9273"/>
    <cellStyle name="Normal 9 20 3 2 2" xfId="15466"/>
    <cellStyle name="Normal 9 20 3 2 3" xfId="21618"/>
    <cellStyle name="Normal 9 20 3 3" xfId="12400"/>
    <cellStyle name="Normal 9 20 3 4" xfId="18552"/>
    <cellStyle name="Normal 9 20 4" xfId="7738"/>
    <cellStyle name="Normal 9 20 4 2" xfId="13932"/>
    <cellStyle name="Normal 9 20 4 3" xfId="20084"/>
    <cellStyle name="Normal 9 20 5" xfId="10866"/>
    <cellStyle name="Normal 9 20 6" xfId="17018"/>
    <cellStyle name="Normal 9 21" xfId="4157"/>
    <cellStyle name="Normal 9 22" xfId="4158"/>
    <cellStyle name="Normal 9 22 2" xfId="5332"/>
    <cellStyle name="Normal 9 22 2 2" xfId="6957"/>
    <cellStyle name="Normal 9 22 2 2 2" xfId="10043"/>
    <cellStyle name="Normal 9 22 2 2 2 2" xfId="16236"/>
    <cellStyle name="Normal 9 22 2 2 2 3" xfId="22388"/>
    <cellStyle name="Normal 9 22 2 2 3" xfId="13170"/>
    <cellStyle name="Normal 9 22 2 2 4" xfId="19322"/>
    <cellStyle name="Normal 9 22 2 3" xfId="8508"/>
    <cellStyle name="Normal 9 22 2 3 2" xfId="14702"/>
    <cellStyle name="Normal 9 22 2 3 3" xfId="20854"/>
    <cellStyle name="Normal 9 22 2 4" xfId="11636"/>
    <cellStyle name="Normal 9 22 2 5" xfId="17788"/>
    <cellStyle name="Normal 9 22 3" xfId="6174"/>
    <cellStyle name="Normal 9 22 3 2" xfId="9274"/>
    <cellStyle name="Normal 9 22 3 2 2" xfId="15467"/>
    <cellStyle name="Normal 9 22 3 2 3" xfId="21619"/>
    <cellStyle name="Normal 9 22 3 3" xfId="12401"/>
    <cellStyle name="Normal 9 22 3 4" xfId="18553"/>
    <cellStyle name="Normal 9 22 4" xfId="7739"/>
    <cellStyle name="Normal 9 22 4 2" xfId="13933"/>
    <cellStyle name="Normal 9 22 4 3" xfId="20085"/>
    <cellStyle name="Normal 9 22 5" xfId="10867"/>
    <cellStyle name="Normal 9 22 6" xfId="17019"/>
    <cellStyle name="Normal 9 23" xfId="4159"/>
    <cellStyle name="Normal 9 23 2" xfId="4160"/>
    <cellStyle name="Normal 9 24" xfId="4161"/>
    <cellStyle name="Normal 9 24 2" xfId="4162"/>
    <cellStyle name="Normal 9 25" xfId="4140"/>
    <cellStyle name="Normal 9 25 2" xfId="5315"/>
    <cellStyle name="Normal 9 25 2 2" xfId="6940"/>
    <cellStyle name="Normal 9 25 2 2 2" xfId="10026"/>
    <cellStyle name="Normal 9 25 2 2 2 2" xfId="16219"/>
    <cellStyle name="Normal 9 25 2 2 2 3" xfId="22371"/>
    <cellStyle name="Normal 9 25 2 2 3" xfId="13153"/>
    <cellStyle name="Normal 9 25 2 2 4" xfId="19305"/>
    <cellStyle name="Normal 9 25 2 3" xfId="8491"/>
    <cellStyle name="Normal 9 25 2 3 2" xfId="14685"/>
    <cellStyle name="Normal 9 25 2 3 3" xfId="20837"/>
    <cellStyle name="Normal 9 25 2 4" xfId="11619"/>
    <cellStyle name="Normal 9 25 2 5" xfId="17771"/>
    <cellStyle name="Normal 9 25 3" xfId="6157"/>
    <cellStyle name="Normal 9 25 3 2" xfId="9257"/>
    <cellStyle name="Normal 9 25 3 2 2" xfId="15450"/>
    <cellStyle name="Normal 9 25 3 2 3" xfId="21602"/>
    <cellStyle name="Normal 9 25 3 3" xfId="12384"/>
    <cellStyle name="Normal 9 25 3 4" xfId="18536"/>
    <cellStyle name="Normal 9 25 4" xfId="7722"/>
    <cellStyle name="Normal 9 25 4 2" xfId="13916"/>
    <cellStyle name="Normal 9 25 4 3" xfId="20068"/>
    <cellStyle name="Normal 9 25 5" xfId="10850"/>
    <cellStyle name="Normal 9 25 6" xfId="17002"/>
    <cellStyle name="Normal 9 26" xfId="1286"/>
    <cellStyle name="Normal 9 27" xfId="205"/>
    <cellStyle name="Normal 9 28" xfId="23298"/>
    <cellStyle name="Normal 9 3" xfId="128"/>
    <cellStyle name="Normal 9 3 10" xfId="17020"/>
    <cellStyle name="Normal 9 3 11" xfId="4163"/>
    <cellStyle name="Normal 9 3 12" xfId="23300"/>
    <cellStyle name="Normal 9 3 2" xfId="4164"/>
    <cellStyle name="Normal 9 3 2 2" xfId="5334"/>
    <cellStyle name="Normal 9 3 2 2 2" xfId="6959"/>
    <cellStyle name="Normal 9 3 2 2 2 2" xfId="10045"/>
    <cellStyle name="Normal 9 3 2 2 2 2 2" xfId="16238"/>
    <cellStyle name="Normal 9 3 2 2 2 2 3" xfId="22390"/>
    <cellStyle name="Normal 9 3 2 2 2 3" xfId="13172"/>
    <cellStyle name="Normal 9 3 2 2 2 4" xfId="19324"/>
    <cellStyle name="Normal 9 3 2 2 3" xfId="8510"/>
    <cellStyle name="Normal 9 3 2 2 3 2" xfId="14704"/>
    <cellStyle name="Normal 9 3 2 2 3 3" xfId="20856"/>
    <cellStyle name="Normal 9 3 2 2 4" xfId="11638"/>
    <cellStyle name="Normal 9 3 2 2 5" xfId="17790"/>
    <cellStyle name="Normal 9 3 2 3" xfId="6176"/>
    <cellStyle name="Normal 9 3 2 3 2" xfId="9276"/>
    <cellStyle name="Normal 9 3 2 3 2 2" xfId="15469"/>
    <cellStyle name="Normal 9 3 2 3 2 3" xfId="21621"/>
    <cellStyle name="Normal 9 3 2 3 3" xfId="12403"/>
    <cellStyle name="Normal 9 3 2 3 4" xfId="18555"/>
    <cellStyle name="Normal 9 3 2 4" xfId="7741"/>
    <cellStyle name="Normal 9 3 2 4 2" xfId="13935"/>
    <cellStyle name="Normal 9 3 2 4 3" xfId="20087"/>
    <cellStyle name="Normal 9 3 2 5" xfId="10869"/>
    <cellStyle name="Normal 9 3 2 6" xfId="17021"/>
    <cellStyle name="Normal 9 3 3" xfId="4165"/>
    <cellStyle name="Normal 9 3 3 2" xfId="5335"/>
    <cellStyle name="Normal 9 3 3 2 2" xfId="6960"/>
    <cellStyle name="Normal 9 3 3 2 2 2" xfId="10046"/>
    <cellStyle name="Normal 9 3 3 2 2 2 2" xfId="16239"/>
    <cellStyle name="Normal 9 3 3 2 2 2 3" xfId="22391"/>
    <cellStyle name="Normal 9 3 3 2 2 3" xfId="13173"/>
    <cellStyle name="Normal 9 3 3 2 2 4" xfId="19325"/>
    <cellStyle name="Normal 9 3 3 2 3" xfId="8511"/>
    <cellStyle name="Normal 9 3 3 2 3 2" xfId="14705"/>
    <cellStyle name="Normal 9 3 3 2 3 3" xfId="20857"/>
    <cellStyle name="Normal 9 3 3 2 4" xfId="11639"/>
    <cellStyle name="Normal 9 3 3 2 5" xfId="17791"/>
    <cellStyle name="Normal 9 3 3 3" xfId="6177"/>
    <cellStyle name="Normal 9 3 3 3 2" xfId="9277"/>
    <cellStyle name="Normal 9 3 3 3 2 2" xfId="15470"/>
    <cellStyle name="Normal 9 3 3 3 2 3" xfId="21622"/>
    <cellStyle name="Normal 9 3 3 3 3" xfId="12404"/>
    <cellStyle name="Normal 9 3 3 3 4" xfId="18556"/>
    <cellStyle name="Normal 9 3 3 4" xfId="7742"/>
    <cellStyle name="Normal 9 3 3 4 2" xfId="13936"/>
    <cellStyle name="Normal 9 3 3 4 3" xfId="20088"/>
    <cellStyle name="Normal 9 3 3 5" xfId="10870"/>
    <cellStyle name="Normal 9 3 3 6" xfId="17022"/>
    <cellStyle name="Normal 9 3 4" xfId="4166"/>
    <cellStyle name="Normal 9 3 4 2" xfId="5336"/>
    <cellStyle name="Normal 9 3 4 2 2" xfId="6961"/>
    <cellStyle name="Normal 9 3 4 2 2 2" xfId="10047"/>
    <cellStyle name="Normal 9 3 4 2 2 2 2" xfId="16240"/>
    <cellStyle name="Normal 9 3 4 2 2 2 3" xfId="22392"/>
    <cellStyle name="Normal 9 3 4 2 2 3" xfId="13174"/>
    <cellStyle name="Normal 9 3 4 2 2 4" xfId="19326"/>
    <cellStyle name="Normal 9 3 4 2 3" xfId="8512"/>
    <cellStyle name="Normal 9 3 4 2 3 2" xfId="14706"/>
    <cellStyle name="Normal 9 3 4 2 3 3" xfId="20858"/>
    <cellStyle name="Normal 9 3 4 2 4" xfId="11640"/>
    <cellStyle name="Normal 9 3 4 2 5" xfId="17792"/>
    <cellStyle name="Normal 9 3 4 3" xfId="6178"/>
    <cellStyle name="Normal 9 3 4 3 2" xfId="9278"/>
    <cellStyle name="Normal 9 3 4 3 2 2" xfId="15471"/>
    <cellStyle name="Normal 9 3 4 3 2 3" xfId="21623"/>
    <cellStyle name="Normal 9 3 4 3 3" xfId="12405"/>
    <cellStyle name="Normal 9 3 4 3 4" xfId="18557"/>
    <cellStyle name="Normal 9 3 4 4" xfId="7743"/>
    <cellStyle name="Normal 9 3 4 4 2" xfId="13937"/>
    <cellStyle name="Normal 9 3 4 4 3" xfId="20089"/>
    <cellStyle name="Normal 9 3 4 5" xfId="10871"/>
    <cellStyle name="Normal 9 3 4 6" xfId="17023"/>
    <cellStyle name="Normal 9 3 5" xfId="4167"/>
    <cellStyle name="Normal 9 3 5 2" xfId="5337"/>
    <cellStyle name="Normal 9 3 5 2 2" xfId="6962"/>
    <cellStyle name="Normal 9 3 5 2 2 2" xfId="10048"/>
    <cellStyle name="Normal 9 3 5 2 2 2 2" xfId="16241"/>
    <cellStyle name="Normal 9 3 5 2 2 2 3" xfId="22393"/>
    <cellStyle name="Normal 9 3 5 2 2 3" xfId="13175"/>
    <cellStyle name="Normal 9 3 5 2 2 4" xfId="19327"/>
    <cellStyle name="Normal 9 3 5 2 3" xfId="8513"/>
    <cellStyle name="Normal 9 3 5 2 3 2" xfId="14707"/>
    <cellStyle name="Normal 9 3 5 2 3 3" xfId="20859"/>
    <cellStyle name="Normal 9 3 5 2 4" xfId="11641"/>
    <cellStyle name="Normal 9 3 5 2 5" xfId="17793"/>
    <cellStyle name="Normal 9 3 5 3" xfId="6179"/>
    <cellStyle name="Normal 9 3 5 3 2" xfId="9279"/>
    <cellStyle name="Normal 9 3 5 3 2 2" xfId="15472"/>
    <cellStyle name="Normal 9 3 5 3 2 3" xfId="21624"/>
    <cellStyle name="Normal 9 3 5 3 3" xfId="12406"/>
    <cellStyle name="Normal 9 3 5 3 4" xfId="18558"/>
    <cellStyle name="Normal 9 3 5 4" xfId="7744"/>
    <cellStyle name="Normal 9 3 5 4 2" xfId="13938"/>
    <cellStyle name="Normal 9 3 5 4 3" xfId="20090"/>
    <cellStyle name="Normal 9 3 5 5" xfId="10872"/>
    <cellStyle name="Normal 9 3 5 6" xfId="17024"/>
    <cellStyle name="Normal 9 3 6" xfId="5333"/>
    <cellStyle name="Normal 9 3 6 2" xfId="6958"/>
    <cellStyle name="Normal 9 3 6 2 2" xfId="10044"/>
    <cellStyle name="Normal 9 3 6 2 2 2" xfId="16237"/>
    <cellStyle name="Normal 9 3 6 2 2 3" xfId="22389"/>
    <cellStyle name="Normal 9 3 6 2 3" xfId="13171"/>
    <cellStyle name="Normal 9 3 6 2 4" xfId="19323"/>
    <cellStyle name="Normal 9 3 6 3" xfId="8509"/>
    <cellStyle name="Normal 9 3 6 3 2" xfId="14703"/>
    <cellStyle name="Normal 9 3 6 3 3" xfId="20855"/>
    <cellStyle name="Normal 9 3 6 4" xfId="11637"/>
    <cellStyle name="Normal 9 3 6 5" xfId="17789"/>
    <cellStyle name="Normal 9 3 7" xfId="6175"/>
    <cellStyle name="Normal 9 3 7 2" xfId="9275"/>
    <cellStyle name="Normal 9 3 7 2 2" xfId="15468"/>
    <cellStyle name="Normal 9 3 7 2 3" xfId="21620"/>
    <cellStyle name="Normal 9 3 7 3" xfId="12402"/>
    <cellStyle name="Normal 9 3 7 4" xfId="18554"/>
    <cellStyle name="Normal 9 3 8" xfId="7740"/>
    <cellStyle name="Normal 9 3 8 2" xfId="13934"/>
    <cellStyle name="Normal 9 3 8 3" xfId="20086"/>
    <cellStyle name="Normal 9 3 9" xfId="10868"/>
    <cellStyle name="Normal 9 4" xfId="114"/>
    <cellStyle name="Normal 9 4 2" xfId="5338"/>
    <cellStyle name="Normal 9 4 2 2" xfId="6963"/>
    <cellStyle name="Normal 9 4 2 2 2" xfId="10049"/>
    <cellStyle name="Normal 9 4 2 2 2 2" xfId="16242"/>
    <cellStyle name="Normal 9 4 2 2 2 3" xfId="22394"/>
    <cellStyle name="Normal 9 4 2 2 3" xfId="13176"/>
    <cellStyle name="Normal 9 4 2 2 4" xfId="19328"/>
    <cellStyle name="Normal 9 4 2 3" xfId="8514"/>
    <cellStyle name="Normal 9 4 2 3 2" xfId="14708"/>
    <cellStyle name="Normal 9 4 2 3 3" xfId="20860"/>
    <cellStyle name="Normal 9 4 2 4" xfId="11642"/>
    <cellStyle name="Normal 9 4 2 5" xfId="17794"/>
    <cellStyle name="Normal 9 4 3" xfId="6180"/>
    <cellStyle name="Normal 9 4 3 2" xfId="9280"/>
    <cellStyle name="Normal 9 4 3 2 2" xfId="15473"/>
    <cellStyle name="Normal 9 4 3 2 3" xfId="21625"/>
    <cellStyle name="Normal 9 4 3 3" xfId="12407"/>
    <cellStyle name="Normal 9 4 3 4" xfId="18559"/>
    <cellStyle name="Normal 9 4 4" xfId="7745"/>
    <cellStyle name="Normal 9 4 4 2" xfId="13939"/>
    <cellStyle name="Normal 9 4 4 3" xfId="20091"/>
    <cellStyle name="Normal 9 4 5" xfId="10873"/>
    <cellStyle name="Normal 9 4 6" xfId="17025"/>
    <cellStyle name="Normal 9 4 7" xfId="4168"/>
    <cellStyle name="Normal 9 4 8" xfId="23301"/>
    <cellStyle name="Normal 9 5" xfId="4169"/>
    <cellStyle name="Normal 9 5 2" xfId="5339"/>
    <cellStyle name="Normal 9 5 2 2" xfId="6964"/>
    <cellStyle name="Normal 9 5 2 2 2" xfId="10050"/>
    <cellStyle name="Normal 9 5 2 2 2 2" xfId="16243"/>
    <cellStyle name="Normal 9 5 2 2 2 3" xfId="22395"/>
    <cellStyle name="Normal 9 5 2 2 3" xfId="13177"/>
    <cellStyle name="Normal 9 5 2 2 4" xfId="19329"/>
    <cellStyle name="Normal 9 5 2 3" xfId="8515"/>
    <cellStyle name="Normal 9 5 2 3 2" xfId="14709"/>
    <cellStyle name="Normal 9 5 2 3 3" xfId="20861"/>
    <cellStyle name="Normal 9 5 2 4" xfId="11643"/>
    <cellStyle name="Normal 9 5 2 5" xfId="17795"/>
    <cellStyle name="Normal 9 5 3" xfId="6181"/>
    <cellStyle name="Normal 9 5 3 2" xfId="9281"/>
    <cellStyle name="Normal 9 5 3 2 2" xfId="15474"/>
    <cellStyle name="Normal 9 5 3 2 3" xfId="21626"/>
    <cellStyle name="Normal 9 5 3 3" xfId="12408"/>
    <cellStyle name="Normal 9 5 3 4" xfId="18560"/>
    <cellStyle name="Normal 9 5 4" xfId="7746"/>
    <cellStyle name="Normal 9 5 4 2" xfId="13940"/>
    <cellStyle name="Normal 9 5 4 3" xfId="20092"/>
    <cellStyle name="Normal 9 5 5" xfId="10874"/>
    <cellStyle name="Normal 9 5 6" xfId="17026"/>
    <cellStyle name="Normal 9 5 7" xfId="23302"/>
    <cellStyle name="Normal 9 6" xfId="4170"/>
    <cellStyle name="Normal 9 6 2" xfId="5340"/>
    <cellStyle name="Normal 9 6 2 2" xfId="6965"/>
    <cellStyle name="Normal 9 6 2 2 2" xfId="10051"/>
    <cellStyle name="Normal 9 6 2 2 2 2" xfId="16244"/>
    <cellStyle name="Normal 9 6 2 2 2 3" xfId="22396"/>
    <cellStyle name="Normal 9 6 2 2 3" xfId="13178"/>
    <cellStyle name="Normal 9 6 2 2 4" xfId="19330"/>
    <cellStyle name="Normal 9 6 2 3" xfId="8516"/>
    <cellStyle name="Normal 9 6 2 3 2" xfId="14710"/>
    <cellStyle name="Normal 9 6 2 3 3" xfId="20862"/>
    <cellStyle name="Normal 9 6 2 4" xfId="11644"/>
    <cellStyle name="Normal 9 6 2 5" xfId="17796"/>
    <cellStyle name="Normal 9 6 3" xfId="6182"/>
    <cellStyle name="Normal 9 6 3 2" xfId="9282"/>
    <cellStyle name="Normal 9 6 3 2 2" xfId="15475"/>
    <cellStyle name="Normal 9 6 3 2 3" xfId="21627"/>
    <cellStyle name="Normal 9 6 3 3" xfId="12409"/>
    <cellStyle name="Normal 9 6 3 4" xfId="18561"/>
    <cellStyle name="Normal 9 6 4" xfId="7747"/>
    <cellStyle name="Normal 9 6 4 2" xfId="13941"/>
    <cellStyle name="Normal 9 6 4 3" xfId="20093"/>
    <cellStyle name="Normal 9 6 5" xfId="10875"/>
    <cellStyle name="Normal 9 6 6" xfId="17027"/>
    <cellStyle name="Normal 9 7" xfId="4171"/>
    <cellStyle name="Normal 9 7 2" xfId="5341"/>
    <cellStyle name="Normal 9 7 2 2" xfId="6966"/>
    <cellStyle name="Normal 9 7 2 2 2" xfId="10052"/>
    <cellStyle name="Normal 9 7 2 2 2 2" xfId="16245"/>
    <cellStyle name="Normal 9 7 2 2 2 3" xfId="22397"/>
    <cellStyle name="Normal 9 7 2 2 3" xfId="13179"/>
    <cellStyle name="Normal 9 7 2 2 4" xfId="19331"/>
    <cellStyle name="Normal 9 7 2 3" xfId="8517"/>
    <cellStyle name="Normal 9 7 2 3 2" xfId="14711"/>
    <cellStyle name="Normal 9 7 2 3 3" xfId="20863"/>
    <cellStyle name="Normal 9 7 2 4" xfId="11645"/>
    <cellStyle name="Normal 9 7 2 5" xfId="17797"/>
    <cellStyle name="Normal 9 7 3" xfId="6183"/>
    <cellStyle name="Normal 9 7 3 2" xfId="9283"/>
    <cellStyle name="Normal 9 7 3 2 2" xfId="15476"/>
    <cellStyle name="Normal 9 7 3 2 3" xfId="21628"/>
    <cellStyle name="Normal 9 7 3 3" xfId="12410"/>
    <cellStyle name="Normal 9 7 3 4" xfId="18562"/>
    <cellStyle name="Normal 9 7 4" xfId="7748"/>
    <cellStyle name="Normal 9 7 4 2" xfId="13942"/>
    <cellStyle name="Normal 9 7 4 3" xfId="20094"/>
    <cellStyle name="Normal 9 7 5" xfId="10876"/>
    <cellStyle name="Normal 9 7 6" xfId="17028"/>
    <cellStyle name="Normal 9 8" xfId="4172"/>
    <cellStyle name="Normal 9 8 2" xfId="5342"/>
    <cellStyle name="Normal 9 8 2 2" xfId="6967"/>
    <cellStyle name="Normal 9 8 2 2 2" xfId="10053"/>
    <cellStyle name="Normal 9 8 2 2 2 2" xfId="16246"/>
    <cellStyle name="Normal 9 8 2 2 2 3" xfId="22398"/>
    <cellStyle name="Normal 9 8 2 2 3" xfId="13180"/>
    <cellStyle name="Normal 9 8 2 2 4" xfId="19332"/>
    <cellStyle name="Normal 9 8 2 3" xfId="8518"/>
    <cellStyle name="Normal 9 8 2 3 2" xfId="14712"/>
    <cellStyle name="Normal 9 8 2 3 3" xfId="20864"/>
    <cellStyle name="Normal 9 8 2 4" xfId="11646"/>
    <cellStyle name="Normal 9 8 2 5" xfId="17798"/>
    <cellStyle name="Normal 9 8 3" xfId="6184"/>
    <cellStyle name="Normal 9 8 3 2" xfId="9284"/>
    <cellStyle name="Normal 9 8 3 2 2" xfId="15477"/>
    <cellStyle name="Normal 9 8 3 2 3" xfId="21629"/>
    <cellStyle name="Normal 9 8 3 3" xfId="12411"/>
    <cellStyle name="Normal 9 8 3 4" xfId="18563"/>
    <cellStyle name="Normal 9 8 4" xfId="7749"/>
    <cellStyle name="Normal 9 8 4 2" xfId="13943"/>
    <cellStyle name="Normal 9 8 4 3" xfId="20095"/>
    <cellStyle name="Normal 9 8 5" xfId="10877"/>
    <cellStyle name="Normal 9 8 6" xfId="17029"/>
    <cellStyle name="Normal 9 9" xfId="4173"/>
    <cellStyle name="Normal 9 9 2" xfId="5343"/>
    <cellStyle name="Normal 9 9 2 2" xfId="6968"/>
    <cellStyle name="Normal 9 9 2 2 2" xfId="10054"/>
    <cellStyle name="Normal 9 9 2 2 2 2" xfId="16247"/>
    <cellStyle name="Normal 9 9 2 2 2 3" xfId="22399"/>
    <cellStyle name="Normal 9 9 2 2 3" xfId="13181"/>
    <cellStyle name="Normal 9 9 2 2 4" xfId="19333"/>
    <cellStyle name="Normal 9 9 2 3" xfId="8519"/>
    <cellStyle name="Normal 9 9 2 3 2" xfId="14713"/>
    <cellStyle name="Normal 9 9 2 3 3" xfId="20865"/>
    <cellStyle name="Normal 9 9 2 4" xfId="11647"/>
    <cellStyle name="Normal 9 9 2 5" xfId="17799"/>
    <cellStyle name="Normal 9 9 3" xfId="6185"/>
    <cellStyle name="Normal 9 9 3 2" xfId="9285"/>
    <cellStyle name="Normal 9 9 3 2 2" xfId="15478"/>
    <cellStyle name="Normal 9 9 3 2 3" xfId="21630"/>
    <cellStyle name="Normal 9 9 3 3" xfId="12412"/>
    <cellStyle name="Normal 9 9 3 4" xfId="18564"/>
    <cellStyle name="Normal 9 9 4" xfId="7750"/>
    <cellStyle name="Normal 9 9 4 2" xfId="13944"/>
    <cellStyle name="Normal 9 9 4 3" xfId="20096"/>
    <cellStyle name="Normal 9 9 5" xfId="10878"/>
    <cellStyle name="Normal 9 9 6" xfId="17030"/>
    <cellStyle name="Normal_DFIT-WaEle_SUM" xfId="38"/>
    <cellStyle name="Normal_IDGas6_97" xfId="39"/>
    <cellStyle name="Normal_WAElec6_97" xfId="40"/>
    <cellStyle name="Normal_WAGas6_97 2" xfId="41"/>
    <cellStyle name="Note 2" xfId="297"/>
    <cellStyle name="Note 2 10" xfId="738"/>
    <cellStyle name="Note 2 10 2" xfId="1073"/>
    <cellStyle name="Note 2 10 3" xfId="22711"/>
    <cellStyle name="Note 2 10 4" xfId="23036"/>
    <cellStyle name="Note 2 11" xfId="764"/>
    <cellStyle name="Note 2 11 2" xfId="1089"/>
    <cellStyle name="Note 2 11 3" xfId="22728"/>
    <cellStyle name="Note 2 11 4" xfId="23052"/>
    <cellStyle name="Note 2 12" xfId="789"/>
    <cellStyle name="Note 2 12 2" xfId="1105"/>
    <cellStyle name="Note 2 12 3" xfId="22636"/>
    <cellStyle name="Note 2 12 4" xfId="23068"/>
    <cellStyle name="Note 2 13" xfId="813"/>
    <cellStyle name="Note 2 13 2" xfId="1121"/>
    <cellStyle name="Note 2 13 3" xfId="22694"/>
    <cellStyle name="Note 2 13 4" xfId="23084"/>
    <cellStyle name="Note 2 14" xfId="829"/>
    <cellStyle name="Note 2 14 2" xfId="1137"/>
    <cellStyle name="Note 2 14 3" xfId="22595"/>
    <cellStyle name="Note 2 14 4" xfId="23100"/>
    <cellStyle name="Note 2 15" xfId="845"/>
    <cellStyle name="Note 2 15 2" xfId="1153"/>
    <cellStyle name="Note 2 15 3" xfId="22800"/>
    <cellStyle name="Note 2 15 4" xfId="23116"/>
    <cellStyle name="Note 2 16" xfId="893"/>
    <cellStyle name="Note 2 17" xfId="4174"/>
    <cellStyle name="Note 2 18" xfId="22856"/>
    <cellStyle name="Note 2 2" xfId="511"/>
    <cellStyle name="Note 2 2 2" xfId="945"/>
    <cellStyle name="Note 2 2 2 2" xfId="10055"/>
    <cellStyle name="Note 2 2 2 2 2" xfId="16248"/>
    <cellStyle name="Note 2 2 2 2 3" xfId="22400"/>
    <cellStyle name="Note 2 2 2 3" xfId="13182"/>
    <cellStyle name="Note 2 2 2 4" xfId="19334"/>
    <cellStyle name="Note 2 2 2 5" xfId="6969"/>
    <cellStyle name="Note 2 2 3" xfId="8520"/>
    <cellStyle name="Note 2 2 3 2" xfId="14714"/>
    <cellStyle name="Note 2 2 3 3" xfId="20866"/>
    <cellStyle name="Note 2 2 4" xfId="11648"/>
    <cellStyle name="Note 2 2 5" xfId="17800"/>
    <cellStyle name="Note 2 2 6" xfId="5344"/>
    <cellStyle name="Note 2 2 7" xfId="22908"/>
    <cellStyle name="Note 2 3" xfId="541"/>
    <cellStyle name="Note 2 3 2" xfId="961"/>
    <cellStyle name="Note 2 3 2 2" xfId="15479"/>
    <cellStyle name="Note 2 3 2 3" xfId="21631"/>
    <cellStyle name="Note 2 3 2 4" xfId="9286"/>
    <cellStyle name="Note 2 3 3" xfId="12413"/>
    <cellStyle name="Note 2 3 4" xfId="18565"/>
    <cellStyle name="Note 2 3 5" xfId="6186"/>
    <cellStyle name="Note 2 3 6" xfId="22924"/>
    <cellStyle name="Note 2 4" xfId="568"/>
    <cellStyle name="Note 2 4 2" xfId="977"/>
    <cellStyle name="Note 2 4 2 2" xfId="13945"/>
    <cellStyle name="Note 2 4 3" xfId="20097"/>
    <cellStyle name="Note 2 4 4" xfId="7751"/>
    <cellStyle name="Note 2 4 5" xfId="22940"/>
    <cellStyle name="Note 2 5" xfId="594"/>
    <cellStyle name="Note 2 5 2" xfId="993"/>
    <cellStyle name="Note 2 5 3" xfId="10879"/>
    <cellStyle name="Note 2 5 4" xfId="22956"/>
    <cellStyle name="Note 2 6" xfId="620"/>
    <cellStyle name="Note 2 6 2" xfId="1009"/>
    <cellStyle name="Note 2 6 3" xfId="17031"/>
    <cellStyle name="Note 2 6 4" xfId="22972"/>
    <cellStyle name="Note 2 7" xfId="644"/>
    <cellStyle name="Note 2 7 2" xfId="1025"/>
    <cellStyle name="Note 2 7 3" xfId="22613"/>
    <cellStyle name="Note 2 7 4" xfId="22988"/>
    <cellStyle name="Note 2 8" xfId="670"/>
    <cellStyle name="Note 2 8 2" xfId="1041"/>
    <cellStyle name="Note 2 8 3" xfId="22735"/>
    <cellStyle name="Note 2 8 4" xfId="23004"/>
    <cellStyle name="Note 2 9" xfId="710"/>
    <cellStyle name="Note 2 9 2" xfId="1057"/>
    <cellStyle name="Note 2 9 3" xfId="22638"/>
    <cellStyle name="Note 2 9 4" xfId="23020"/>
    <cellStyle name="Note 3" xfId="4175"/>
    <cellStyle name="Note 3 2" xfId="5345"/>
    <cellStyle name="Note 3 2 2" xfId="6970"/>
    <cellStyle name="Note 3 2 2 2" xfId="10056"/>
    <cellStyle name="Note 3 2 2 2 2" xfId="16249"/>
    <cellStyle name="Note 3 2 2 2 3" xfId="22401"/>
    <cellStyle name="Note 3 2 2 3" xfId="13183"/>
    <cellStyle name="Note 3 2 2 4" xfId="19335"/>
    <cellStyle name="Note 3 2 3" xfId="8521"/>
    <cellStyle name="Note 3 2 3 2" xfId="14715"/>
    <cellStyle name="Note 3 2 3 3" xfId="20867"/>
    <cellStyle name="Note 3 2 4" xfId="11649"/>
    <cellStyle name="Note 3 2 5" xfId="17801"/>
    <cellStyle name="Note 3 3" xfId="6187"/>
    <cellStyle name="Note 3 3 2" xfId="9287"/>
    <cellStyle name="Note 3 3 2 2" xfId="15480"/>
    <cellStyle name="Note 3 3 2 3" xfId="21632"/>
    <cellStyle name="Note 3 3 3" xfId="12414"/>
    <cellStyle name="Note 3 3 4" xfId="18566"/>
    <cellStyle name="Note 3 4" xfId="7752"/>
    <cellStyle name="Note 3 4 2" xfId="13946"/>
    <cellStyle name="Note 3 4 3" xfId="20098"/>
    <cellStyle name="Note 3 5" xfId="10880"/>
    <cellStyle name="Note 3 6" xfId="17032"/>
    <cellStyle name="Note 4" xfId="4176"/>
    <cellStyle name="Note 4 2" xfId="5346"/>
    <cellStyle name="Note 4 2 2" xfId="6971"/>
    <cellStyle name="Note 4 2 2 2" xfId="10057"/>
    <cellStyle name="Note 4 2 2 2 2" xfId="16250"/>
    <cellStyle name="Note 4 2 2 2 3" xfId="22402"/>
    <cellStyle name="Note 4 2 2 3" xfId="13184"/>
    <cellStyle name="Note 4 2 2 4" xfId="19336"/>
    <cellStyle name="Note 4 2 3" xfId="8522"/>
    <cellStyle name="Note 4 2 3 2" xfId="14716"/>
    <cellStyle name="Note 4 2 3 3" xfId="20868"/>
    <cellStyle name="Note 4 2 4" xfId="11650"/>
    <cellStyle name="Note 4 2 5" xfId="17802"/>
    <cellStyle name="Note 4 3" xfId="6188"/>
    <cellStyle name="Note 4 3 2" xfId="9288"/>
    <cellStyle name="Note 4 3 2 2" xfId="15481"/>
    <cellStyle name="Note 4 3 2 3" xfId="21633"/>
    <cellStyle name="Note 4 3 3" xfId="12415"/>
    <cellStyle name="Note 4 3 4" xfId="18567"/>
    <cellStyle name="Note 4 4" xfId="7753"/>
    <cellStyle name="Note 4 4 2" xfId="13947"/>
    <cellStyle name="Note 4 4 3" xfId="20099"/>
    <cellStyle name="Note 4 5" xfId="10881"/>
    <cellStyle name="Note 4 6" xfId="17033"/>
    <cellStyle name="Note 5" xfId="4177"/>
    <cellStyle name="Note 6" xfId="4178"/>
    <cellStyle name="Note 6 2" xfId="5555"/>
    <cellStyle name="Note 6 2 2" xfId="6268"/>
    <cellStyle name="Note 6 3" xfId="5544"/>
    <cellStyle name="Note 6 3 2" xfId="6234"/>
    <cellStyle name="Note 6 4" xfId="5539"/>
    <cellStyle name="Note 6 4 2" xfId="6224"/>
    <cellStyle name="Note 6 5" xfId="5517"/>
    <cellStyle name="Note 6 5 2" xfId="6343"/>
    <cellStyle name="Note 6 6" xfId="5723"/>
    <cellStyle name="Note 7" xfId="4179"/>
    <cellStyle name="Note 7 2" xfId="5347"/>
    <cellStyle name="Note 7 2 2" xfId="6972"/>
    <cellStyle name="Note 7 2 2 2" xfId="10058"/>
    <cellStyle name="Note 7 2 2 2 2" xfId="16251"/>
    <cellStyle name="Note 7 2 2 2 3" xfId="22403"/>
    <cellStyle name="Note 7 2 2 3" xfId="13185"/>
    <cellStyle name="Note 7 2 2 4" xfId="19337"/>
    <cellStyle name="Note 7 2 3" xfId="8523"/>
    <cellStyle name="Note 7 2 3 2" xfId="14717"/>
    <cellStyle name="Note 7 2 3 3" xfId="20869"/>
    <cellStyle name="Note 7 2 4" xfId="11651"/>
    <cellStyle name="Note 7 2 5" xfId="17803"/>
    <cellStyle name="Note 7 3" xfId="6189"/>
    <cellStyle name="Note 7 3 2" xfId="9289"/>
    <cellStyle name="Note 7 3 2 2" xfId="15482"/>
    <cellStyle name="Note 7 3 2 3" xfId="21634"/>
    <cellStyle name="Note 7 3 3" xfId="12416"/>
    <cellStyle name="Note 7 3 4" xfId="18568"/>
    <cellStyle name="Note 7 4" xfId="7754"/>
    <cellStyle name="Note 7 4 2" xfId="13948"/>
    <cellStyle name="Note 7 4 3" xfId="20100"/>
    <cellStyle name="Note 7 5" xfId="10882"/>
    <cellStyle name="Note 7 6" xfId="17034"/>
    <cellStyle name="Output" xfId="161" builtinId="21" customBuiltin="1"/>
    <cellStyle name="Output 2" xfId="4180"/>
    <cellStyle name="Output 3" xfId="4181"/>
    <cellStyle name="Output 4" xfId="4182"/>
    <cellStyle name="Output 5" xfId="4183"/>
    <cellStyle name="Output 6" xfId="4184"/>
    <cellStyle name="Output 6 2" xfId="5556"/>
    <cellStyle name="Output 6 2 2" xfId="7131"/>
    <cellStyle name="Output 6 3" xfId="5545"/>
    <cellStyle name="Output 6 3 2" xfId="7134"/>
    <cellStyle name="Output 6 4" xfId="5508"/>
    <cellStyle name="Output 6 4 2" xfId="7138"/>
    <cellStyle name="Output 6 5" xfId="5559"/>
    <cellStyle name="Output 6 5 2" xfId="7130"/>
    <cellStyle name="Output 6 6" xfId="5724"/>
    <cellStyle name="Output Amounts" xfId="1244"/>
    <cellStyle name="OUTPUT AMOUNTS 2" xfId="23303"/>
    <cellStyle name="Output Column Headings" xfId="1188"/>
    <cellStyle name="Output highlight" xfId="4185"/>
    <cellStyle name="Output highlight 2" xfId="4186"/>
    <cellStyle name="Output Line Items" xfId="1189"/>
    <cellStyle name="OUTPUT LINE ITEMS 2" xfId="23304"/>
    <cellStyle name="Output Report Heading" xfId="1187"/>
    <cellStyle name="Output Report Title" xfId="1186"/>
    <cellStyle name="Percent" xfId="42" builtinId="5"/>
    <cellStyle name="Percent %" xfId="4187"/>
    <cellStyle name="Percent % Long Underline" xfId="4188"/>
    <cellStyle name="Percent 0.0%" xfId="4189"/>
    <cellStyle name="Percent 0.0% Long Underline" xfId="4190"/>
    <cellStyle name="Percent 0.00%" xfId="4191"/>
    <cellStyle name="Percent 0.00% Long Underline" xfId="4192"/>
    <cellStyle name="Percent 0.000%" xfId="4193"/>
    <cellStyle name="Percent 0.000% Long Underline" xfId="4194"/>
    <cellStyle name="Percent 0.0000%" xfId="4195"/>
    <cellStyle name="Percent 0.0000% Long Underline" xfId="4196"/>
    <cellStyle name="Percent 10" xfId="4197"/>
    <cellStyle name="Percent 10 2" xfId="4198"/>
    <cellStyle name="Percent 10 2 2" xfId="4199"/>
    <cellStyle name="Percent 10 2 3" xfId="4200"/>
    <cellStyle name="Percent 10 3" xfId="10267"/>
    <cellStyle name="Percent 100" xfId="4201"/>
    <cellStyle name="Percent 101" xfId="4202"/>
    <cellStyle name="Percent 102" xfId="4203"/>
    <cellStyle name="Percent 103" xfId="4204"/>
    <cellStyle name="Percent 104" xfId="4205"/>
    <cellStyle name="Percent 105" xfId="4206"/>
    <cellStyle name="Percent 106" xfId="4207"/>
    <cellStyle name="Percent 107" xfId="4208"/>
    <cellStyle name="Percent 108" xfId="4209"/>
    <cellStyle name="Percent 109" xfId="4210"/>
    <cellStyle name="Percent 11" xfId="4211"/>
    <cellStyle name="Percent 11 2" xfId="4212"/>
    <cellStyle name="Percent 11 2 2" xfId="4213"/>
    <cellStyle name="Percent 11 2 3" xfId="4214"/>
    <cellStyle name="Percent 110" xfId="4215"/>
    <cellStyle name="Percent 111" xfId="4216"/>
    <cellStyle name="Percent 112" xfId="4217"/>
    <cellStyle name="Percent 113" xfId="4218"/>
    <cellStyle name="Percent 114" xfId="4219"/>
    <cellStyle name="Percent 115" xfId="4220"/>
    <cellStyle name="Percent 116" xfId="4221"/>
    <cellStyle name="Percent 117" xfId="4222"/>
    <cellStyle name="Percent 118" xfId="4223"/>
    <cellStyle name="Percent 119" xfId="4224"/>
    <cellStyle name="Percent 12" xfId="4225"/>
    <cellStyle name="Percent 12 2" xfId="4226"/>
    <cellStyle name="Percent 12 2 2" xfId="4227"/>
    <cellStyle name="Percent 12 2 3" xfId="4228"/>
    <cellStyle name="Percent 120" xfId="4229"/>
    <cellStyle name="Percent 120 2" xfId="5348"/>
    <cellStyle name="Percent 120 2 2" xfId="6973"/>
    <cellStyle name="Percent 120 2 2 2" xfId="10059"/>
    <cellStyle name="Percent 120 2 2 2 2" xfId="16252"/>
    <cellStyle name="Percent 120 2 2 2 3" xfId="22404"/>
    <cellStyle name="Percent 120 2 2 3" xfId="13186"/>
    <cellStyle name="Percent 120 2 2 4" xfId="19338"/>
    <cellStyle name="Percent 120 2 3" xfId="8524"/>
    <cellStyle name="Percent 120 2 3 2" xfId="14718"/>
    <cellStyle name="Percent 120 2 3 3" xfId="20870"/>
    <cellStyle name="Percent 120 2 4" xfId="11652"/>
    <cellStyle name="Percent 120 2 5" xfId="17804"/>
    <cellStyle name="Percent 120 3" xfId="6190"/>
    <cellStyle name="Percent 120 3 2" xfId="9290"/>
    <cellStyle name="Percent 120 3 2 2" xfId="15483"/>
    <cellStyle name="Percent 120 3 2 3" xfId="21635"/>
    <cellStyle name="Percent 120 3 3" xfId="12417"/>
    <cellStyle name="Percent 120 3 4" xfId="18569"/>
    <cellStyle name="Percent 120 4" xfId="7755"/>
    <cellStyle name="Percent 120 4 2" xfId="13949"/>
    <cellStyle name="Percent 120 4 3" xfId="20101"/>
    <cellStyle name="Percent 120 5" xfId="10883"/>
    <cellStyle name="Percent 120 6" xfId="17035"/>
    <cellStyle name="Percent 121" xfId="4230"/>
    <cellStyle name="Percent 121 2" xfId="5349"/>
    <cellStyle name="Percent 121 2 2" xfId="6974"/>
    <cellStyle name="Percent 121 2 2 2" xfId="10060"/>
    <cellStyle name="Percent 121 2 2 2 2" xfId="16253"/>
    <cellStyle name="Percent 121 2 2 2 3" xfId="22405"/>
    <cellStyle name="Percent 121 2 2 3" xfId="13187"/>
    <cellStyle name="Percent 121 2 2 4" xfId="19339"/>
    <cellStyle name="Percent 121 2 3" xfId="8525"/>
    <cellStyle name="Percent 121 2 3 2" xfId="14719"/>
    <cellStyle name="Percent 121 2 3 3" xfId="20871"/>
    <cellStyle name="Percent 121 2 4" xfId="11653"/>
    <cellStyle name="Percent 121 2 5" xfId="17805"/>
    <cellStyle name="Percent 121 3" xfId="6191"/>
    <cellStyle name="Percent 121 3 2" xfId="9291"/>
    <cellStyle name="Percent 121 3 2 2" xfId="15484"/>
    <cellStyle name="Percent 121 3 2 3" xfId="21636"/>
    <cellStyle name="Percent 121 3 3" xfId="12418"/>
    <cellStyle name="Percent 121 3 4" xfId="18570"/>
    <cellStyle name="Percent 121 4" xfId="7756"/>
    <cellStyle name="Percent 121 4 2" xfId="13950"/>
    <cellStyle name="Percent 121 4 3" xfId="20102"/>
    <cellStyle name="Percent 121 5" xfId="10884"/>
    <cellStyle name="Percent 121 6" xfId="17036"/>
    <cellStyle name="Percent 122" xfId="4231"/>
    <cellStyle name="Percent 122 2" xfId="5350"/>
    <cellStyle name="Percent 122 2 2" xfId="6975"/>
    <cellStyle name="Percent 122 2 2 2" xfId="10061"/>
    <cellStyle name="Percent 122 2 2 2 2" xfId="16254"/>
    <cellStyle name="Percent 122 2 2 2 3" xfId="22406"/>
    <cellStyle name="Percent 122 2 2 3" xfId="13188"/>
    <cellStyle name="Percent 122 2 2 4" xfId="19340"/>
    <cellStyle name="Percent 122 2 3" xfId="8526"/>
    <cellStyle name="Percent 122 2 3 2" xfId="14720"/>
    <cellStyle name="Percent 122 2 3 3" xfId="20872"/>
    <cellStyle name="Percent 122 2 4" xfId="11654"/>
    <cellStyle name="Percent 122 2 5" xfId="17806"/>
    <cellStyle name="Percent 122 3" xfId="6192"/>
    <cellStyle name="Percent 122 3 2" xfId="9292"/>
    <cellStyle name="Percent 122 3 2 2" xfId="15485"/>
    <cellStyle name="Percent 122 3 2 3" xfId="21637"/>
    <cellStyle name="Percent 122 3 3" xfId="12419"/>
    <cellStyle name="Percent 122 3 4" xfId="18571"/>
    <cellStyle name="Percent 122 4" xfId="7757"/>
    <cellStyle name="Percent 122 4 2" xfId="13951"/>
    <cellStyle name="Percent 122 4 3" xfId="20103"/>
    <cellStyle name="Percent 122 5" xfId="10885"/>
    <cellStyle name="Percent 122 6" xfId="17037"/>
    <cellStyle name="Percent 123" xfId="4232"/>
    <cellStyle name="Percent 123 2" xfId="5351"/>
    <cellStyle name="Percent 123 2 2" xfId="6976"/>
    <cellStyle name="Percent 123 2 2 2" xfId="10062"/>
    <cellStyle name="Percent 123 2 2 2 2" xfId="16255"/>
    <cellStyle name="Percent 123 2 2 2 3" xfId="22407"/>
    <cellStyle name="Percent 123 2 2 3" xfId="13189"/>
    <cellStyle name="Percent 123 2 2 4" xfId="19341"/>
    <cellStyle name="Percent 123 2 3" xfId="8527"/>
    <cellStyle name="Percent 123 2 3 2" xfId="14721"/>
    <cellStyle name="Percent 123 2 3 3" xfId="20873"/>
    <cellStyle name="Percent 123 2 4" xfId="11655"/>
    <cellStyle name="Percent 123 2 5" xfId="17807"/>
    <cellStyle name="Percent 123 3" xfId="6193"/>
    <cellStyle name="Percent 123 3 2" xfId="9293"/>
    <cellStyle name="Percent 123 3 2 2" xfId="15486"/>
    <cellStyle name="Percent 123 3 2 3" xfId="21638"/>
    <cellStyle name="Percent 123 3 3" xfId="12420"/>
    <cellStyle name="Percent 123 3 4" xfId="18572"/>
    <cellStyle name="Percent 123 4" xfId="7758"/>
    <cellStyle name="Percent 123 4 2" xfId="13952"/>
    <cellStyle name="Percent 123 4 3" xfId="20104"/>
    <cellStyle name="Percent 123 5" xfId="10886"/>
    <cellStyle name="Percent 123 6" xfId="17038"/>
    <cellStyle name="Percent 124" xfId="4233"/>
    <cellStyle name="Percent 124 2" xfId="5352"/>
    <cellStyle name="Percent 124 2 2" xfId="6977"/>
    <cellStyle name="Percent 124 2 2 2" xfId="10063"/>
    <cellStyle name="Percent 124 2 2 2 2" xfId="16256"/>
    <cellStyle name="Percent 124 2 2 2 3" xfId="22408"/>
    <cellStyle name="Percent 124 2 2 3" xfId="13190"/>
    <cellStyle name="Percent 124 2 2 4" xfId="19342"/>
    <cellStyle name="Percent 124 2 3" xfId="8528"/>
    <cellStyle name="Percent 124 2 3 2" xfId="14722"/>
    <cellStyle name="Percent 124 2 3 3" xfId="20874"/>
    <cellStyle name="Percent 124 2 4" xfId="11656"/>
    <cellStyle name="Percent 124 2 5" xfId="17808"/>
    <cellStyle name="Percent 124 3" xfId="6194"/>
    <cellStyle name="Percent 124 3 2" xfId="9294"/>
    <cellStyle name="Percent 124 3 2 2" xfId="15487"/>
    <cellStyle name="Percent 124 3 2 3" xfId="21639"/>
    <cellStyle name="Percent 124 3 3" xfId="12421"/>
    <cellStyle name="Percent 124 3 4" xfId="18573"/>
    <cellStyle name="Percent 124 4" xfId="7759"/>
    <cellStyle name="Percent 124 4 2" xfId="13953"/>
    <cellStyle name="Percent 124 4 3" xfId="20105"/>
    <cellStyle name="Percent 124 5" xfId="10887"/>
    <cellStyle name="Percent 124 6" xfId="17039"/>
    <cellStyle name="Percent 125" xfId="4234"/>
    <cellStyle name="Percent 125 2" xfId="5353"/>
    <cellStyle name="Percent 125 2 2" xfId="6978"/>
    <cellStyle name="Percent 125 2 2 2" xfId="10064"/>
    <cellStyle name="Percent 125 2 2 2 2" xfId="16257"/>
    <cellStyle name="Percent 125 2 2 2 3" xfId="22409"/>
    <cellStyle name="Percent 125 2 2 3" xfId="13191"/>
    <cellStyle name="Percent 125 2 2 4" xfId="19343"/>
    <cellStyle name="Percent 125 2 3" xfId="8529"/>
    <cellStyle name="Percent 125 2 3 2" xfId="14723"/>
    <cellStyle name="Percent 125 2 3 3" xfId="20875"/>
    <cellStyle name="Percent 125 2 4" xfId="11657"/>
    <cellStyle name="Percent 125 2 5" xfId="17809"/>
    <cellStyle name="Percent 125 3" xfId="6195"/>
    <cellStyle name="Percent 125 3 2" xfId="9295"/>
    <cellStyle name="Percent 125 3 2 2" xfId="15488"/>
    <cellStyle name="Percent 125 3 2 3" xfId="21640"/>
    <cellStyle name="Percent 125 3 3" xfId="12422"/>
    <cellStyle name="Percent 125 3 4" xfId="18574"/>
    <cellStyle name="Percent 125 4" xfId="7760"/>
    <cellStyle name="Percent 125 4 2" xfId="13954"/>
    <cellStyle name="Percent 125 4 3" xfId="20106"/>
    <cellStyle name="Percent 125 5" xfId="10888"/>
    <cellStyle name="Percent 125 6" xfId="17040"/>
    <cellStyle name="Percent 126" xfId="4235"/>
    <cellStyle name="Percent 126 2" xfId="5354"/>
    <cellStyle name="Percent 126 2 2" xfId="6979"/>
    <cellStyle name="Percent 126 2 2 2" xfId="10065"/>
    <cellStyle name="Percent 126 2 2 2 2" xfId="16258"/>
    <cellStyle name="Percent 126 2 2 2 3" xfId="22410"/>
    <cellStyle name="Percent 126 2 2 3" xfId="13192"/>
    <cellStyle name="Percent 126 2 2 4" xfId="19344"/>
    <cellStyle name="Percent 126 2 3" xfId="8530"/>
    <cellStyle name="Percent 126 2 3 2" xfId="14724"/>
    <cellStyle name="Percent 126 2 3 3" xfId="20876"/>
    <cellStyle name="Percent 126 2 4" xfId="11658"/>
    <cellStyle name="Percent 126 2 5" xfId="17810"/>
    <cellStyle name="Percent 126 3" xfId="6196"/>
    <cellStyle name="Percent 126 3 2" xfId="9296"/>
    <cellStyle name="Percent 126 3 2 2" xfId="15489"/>
    <cellStyle name="Percent 126 3 2 3" xfId="21641"/>
    <cellStyle name="Percent 126 3 3" xfId="12423"/>
    <cellStyle name="Percent 126 3 4" xfId="18575"/>
    <cellStyle name="Percent 126 4" xfId="7761"/>
    <cellStyle name="Percent 126 4 2" xfId="13955"/>
    <cellStyle name="Percent 126 4 3" xfId="20107"/>
    <cellStyle name="Percent 126 5" xfId="10889"/>
    <cellStyle name="Percent 126 6" xfId="17041"/>
    <cellStyle name="Percent 127" xfId="4236"/>
    <cellStyle name="Percent 127 2" xfId="5355"/>
    <cellStyle name="Percent 127 2 2" xfId="6980"/>
    <cellStyle name="Percent 127 2 2 2" xfId="10066"/>
    <cellStyle name="Percent 127 2 2 2 2" xfId="16259"/>
    <cellStyle name="Percent 127 2 2 2 3" xfId="22411"/>
    <cellStyle name="Percent 127 2 2 3" xfId="13193"/>
    <cellStyle name="Percent 127 2 2 4" xfId="19345"/>
    <cellStyle name="Percent 127 2 3" xfId="8531"/>
    <cellStyle name="Percent 127 2 3 2" xfId="14725"/>
    <cellStyle name="Percent 127 2 3 3" xfId="20877"/>
    <cellStyle name="Percent 127 2 4" xfId="11659"/>
    <cellStyle name="Percent 127 2 5" xfId="17811"/>
    <cellStyle name="Percent 127 3" xfId="6197"/>
    <cellStyle name="Percent 127 3 2" xfId="9297"/>
    <cellStyle name="Percent 127 3 2 2" xfId="15490"/>
    <cellStyle name="Percent 127 3 2 3" xfId="21642"/>
    <cellStyle name="Percent 127 3 3" xfId="12424"/>
    <cellStyle name="Percent 127 3 4" xfId="18576"/>
    <cellStyle name="Percent 127 4" xfId="7762"/>
    <cellStyle name="Percent 127 4 2" xfId="13956"/>
    <cellStyle name="Percent 127 4 3" xfId="20108"/>
    <cellStyle name="Percent 127 5" xfId="10890"/>
    <cellStyle name="Percent 127 6" xfId="17042"/>
    <cellStyle name="Percent 128" xfId="4237"/>
    <cellStyle name="Percent 128 2" xfId="5356"/>
    <cellStyle name="Percent 128 2 2" xfId="6981"/>
    <cellStyle name="Percent 128 2 2 2" xfId="10067"/>
    <cellStyle name="Percent 128 2 2 2 2" xfId="16260"/>
    <cellStyle name="Percent 128 2 2 2 3" xfId="22412"/>
    <cellStyle name="Percent 128 2 2 3" xfId="13194"/>
    <cellStyle name="Percent 128 2 2 4" xfId="19346"/>
    <cellStyle name="Percent 128 2 3" xfId="8532"/>
    <cellStyle name="Percent 128 2 3 2" xfId="14726"/>
    <cellStyle name="Percent 128 2 3 3" xfId="20878"/>
    <cellStyle name="Percent 128 2 4" xfId="11660"/>
    <cellStyle name="Percent 128 2 5" xfId="17812"/>
    <cellStyle name="Percent 128 3" xfId="6198"/>
    <cellStyle name="Percent 128 3 2" xfId="9298"/>
    <cellStyle name="Percent 128 3 2 2" xfId="15491"/>
    <cellStyle name="Percent 128 3 2 3" xfId="21643"/>
    <cellStyle name="Percent 128 3 3" xfId="12425"/>
    <cellStyle name="Percent 128 3 4" xfId="18577"/>
    <cellStyle name="Percent 128 4" xfId="7763"/>
    <cellStyle name="Percent 128 4 2" xfId="13957"/>
    <cellStyle name="Percent 128 4 3" xfId="20109"/>
    <cellStyle name="Percent 128 5" xfId="10891"/>
    <cellStyle name="Percent 128 6" xfId="17043"/>
    <cellStyle name="Percent 129" xfId="4238"/>
    <cellStyle name="Percent 129 2" xfId="5357"/>
    <cellStyle name="Percent 129 2 2" xfId="6982"/>
    <cellStyle name="Percent 129 2 2 2" xfId="10068"/>
    <cellStyle name="Percent 129 2 2 2 2" xfId="16261"/>
    <cellStyle name="Percent 129 2 2 2 3" xfId="22413"/>
    <cellStyle name="Percent 129 2 2 3" xfId="13195"/>
    <cellStyle name="Percent 129 2 2 4" xfId="19347"/>
    <cellStyle name="Percent 129 2 3" xfId="8533"/>
    <cellStyle name="Percent 129 2 3 2" xfId="14727"/>
    <cellStyle name="Percent 129 2 3 3" xfId="20879"/>
    <cellStyle name="Percent 129 2 4" xfId="11661"/>
    <cellStyle name="Percent 129 2 5" xfId="17813"/>
    <cellStyle name="Percent 129 3" xfId="6199"/>
    <cellStyle name="Percent 129 3 2" xfId="9299"/>
    <cellStyle name="Percent 129 3 2 2" xfId="15492"/>
    <cellStyle name="Percent 129 3 2 3" xfId="21644"/>
    <cellStyle name="Percent 129 3 3" xfId="12426"/>
    <cellStyle name="Percent 129 3 4" xfId="18578"/>
    <cellStyle name="Percent 129 4" xfId="7764"/>
    <cellStyle name="Percent 129 4 2" xfId="13958"/>
    <cellStyle name="Percent 129 4 3" xfId="20110"/>
    <cellStyle name="Percent 129 5" xfId="10892"/>
    <cellStyle name="Percent 129 6" xfId="17044"/>
    <cellStyle name="Percent 13" xfId="4239"/>
    <cellStyle name="Percent 130" xfId="4240"/>
    <cellStyle name="Percent 130 2" xfId="5358"/>
    <cellStyle name="Percent 130 2 2" xfId="6983"/>
    <cellStyle name="Percent 130 2 2 2" xfId="10069"/>
    <cellStyle name="Percent 130 2 2 2 2" xfId="16262"/>
    <cellStyle name="Percent 130 2 2 2 3" xfId="22414"/>
    <cellStyle name="Percent 130 2 2 3" xfId="13196"/>
    <cellStyle name="Percent 130 2 2 4" xfId="19348"/>
    <cellStyle name="Percent 130 2 3" xfId="8534"/>
    <cellStyle name="Percent 130 2 3 2" xfId="14728"/>
    <cellStyle name="Percent 130 2 3 3" xfId="20880"/>
    <cellStyle name="Percent 130 2 4" xfId="11662"/>
    <cellStyle name="Percent 130 2 5" xfId="17814"/>
    <cellStyle name="Percent 130 3" xfId="6200"/>
    <cellStyle name="Percent 130 3 2" xfId="9300"/>
    <cellStyle name="Percent 130 3 2 2" xfId="15493"/>
    <cellStyle name="Percent 130 3 2 3" xfId="21645"/>
    <cellStyle name="Percent 130 3 3" xfId="12427"/>
    <cellStyle name="Percent 130 3 4" xfId="18579"/>
    <cellStyle name="Percent 130 4" xfId="7765"/>
    <cellStyle name="Percent 130 4 2" xfId="13959"/>
    <cellStyle name="Percent 130 4 3" xfId="20111"/>
    <cellStyle name="Percent 130 5" xfId="10893"/>
    <cellStyle name="Percent 130 6" xfId="17045"/>
    <cellStyle name="Percent 131" xfId="4241"/>
    <cellStyle name="Percent 132" xfId="4242"/>
    <cellStyle name="Percent 133" xfId="4243"/>
    <cellStyle name="Percent 134" xfId="4244"/>
    <cellStyle name="Percent 135" xfId="4245"/>
    <cellStyle name="Percent 136" xfId="4246"/>
    <cellStyle name="Percent 137" xfId="4247"/>
    <cellStyle name="Percent 138" xfId="4248"/>
    <cellStyle name="Percent 139" xfId="4249"/>
    <cellStyle name="Percent 14" xfId="4250"/>
    <cellStyle name="Percent 140" xfId="4251"/>
    <cellStyle name="Percent 141" xfId="4252"/>
    <cellStyle name="Percent 142" xfId="4253"/>
    <cellStyle name="Percent 143" xfId="4254"/>
    <cellStyle name="Percent 144" xfId="4255"/>
    <cellStyle name="Percent 145" xfId="4256"/>
    <cellStyle name="Percent 146" xfId="4257"/>
    <cellStyle name="Percent 147" xfId="4258"/>
    <cellStyle name="Percent 148" xfId="4259"/>
    <cellStyle name="Percent 149" xfId="4260"/>
    <cellStyle name="Percent 15" xfId="4261"/>
    <cellStyle name="Percent 150" xfId="4262"/>
    <cellStyle name="Percent 151" xfId="4263"/>
    <cellStyle name="Percent 152" xfId="4264"/>
    <cellStyle name="Percent 153" xfId="4265"/>
    <cellStyle name="Percent 154" xfId="4266"/>
    <cellStyle name="Percent 155" xfId="4267"/>
    <cellStyle name="Percent 156" xfId="4268"/>
    <cellStyle name="Percent 157" xfId="4269"/>
    <cellStyle name="Percent 158" xfId="4270"/>
    <cellStyle name="Percent 159" xfId="4271"/>
    <cellStyle name="Percent 159 2" xfId="5359"/>
    <cellStyle name="Percent 159 2 2" xfId="6984"/>
    <cellStyle name="Percent 159 2 2 2" xfId="10070"/>
    <cellStyle name="Percent 159 2 2 2 2" xfId="16263"/>
    <cellStyle name="Percent 159 2 2 2 3" xfId="22415"/>
    <cellStyle name="Percent 159 2 2 3" xfId="13197"/>
    <cellStyle name="Percent 159 2 2 4" xfId="19349"/>
    <cellStyle name="Percent 159 2 3" xfId="8535"/>
    <cellStyle name="Percent 159 2 3 2" xfId="14729"/>
    <cellStyle name="Percent 159 2 3 3" xfId="20881"/>
    <cellStyle name="Percent 159 2 4" xfId="11663"/>
    <cellStyle name="Percent 159 2 5" xfId="17815"/>
    <cellStyle name="Percent 159 3" xfId="6201"/>
    <cellStyle name="Percent 159 3 2" xfId="9301"/>
    <cellStyle name="Percent 159 3 2 2" xfId="15494"/>
    <cellStyle name="Percent 159 3 2 3" xfId="21646"/>
    <cellStyle name="Percent 159 3 3" xfId="12428"/>
    <cellStyle name="Percent 159 3 4" xfId="18580"/>
    <cellStyle name="Percent 159 4" xfId="7766"/>
    <cellStyle name="Percent 159 4 2" xfId="13960"/>
    <cellStyle name="Percent 159 4 3" xfId="20112"/>
    <cellStyle name="Percent 159 5" xfId="10894"/>
    <cellStyle name="Percent 159 6" xfId="17046"/>
    <cellStyle name="Percent 16" xfId="4272"/>
    <cellStyle name="Percent 160" xfId="1325"/>
    <cellStyle name="Percent 161" xfId="4623"/>
    <cellStyle name="Percent 162" xfId="1319"/>
    <cellStyle name="Percent 162 2" xfId="4766"/>
    <cellStyle name="Percent 162 2 2" xfId="6391"/>
    <cellStyle name="Percent 162 2 2 2" xfId="9477"/>
    <cellStyle name="Percent 162 2 2 2 2" xfId="15670"/>
    <cellStyle name="Percent 162 2 2 2 3" xfId="21822"/>
    <cellStyle name="Percent 162 2 2 3" xfId="12604"/>
    <cellStyle name="Percent 162 2 2 4" xfId="18756"/>
    <cellStyle name="Percent 162 2 3" xfId="7942"/>
    <cellStyle name="Percent 162 2 3 2" xfId="14136"/>
    <cellStyle name="Percent 162 2 3 3" xfId="20288"/>
    <cellStyle name="Percent 162 2 4" xfId="11070"/>
    <cellStyle name="Percent 162 2 5" xfId="17222"/>
    <cellStyle name="Percent 162 3" xfId="5605"/>
    <cellStyle name="Percent 162 3 2" xfId="8708"/>
    <cellStyle name="Percent 162 3 2 2" xfId="14901"/>
    <cellStyle name="Percent 162 3 2 3" xfId="21053"/>
    <cellStyle name="Percent 162 3 3" xfId="11835"/>
    <cellStyle name="Percent 162 3 4" xfId="17987"/>
    <cellStyle name="Percent 162 4" xfId="7173"/>
    <cellStyle name="Percent 162 4 2" xfId="13367"/>
    <cellStyle name="Percent 162 4 3" xfId="19519"/>
    <cellStyle name="Percent 162 5" xfId="10301"/>
    <cellStyle name="Percent 162 6" xfId="16453"/>
    <cellStyle name="Percent 163" xfId="4730"/>
    <cellStyle name="Percent 163 2" xfId="4737"/>
    <cellStyle name="Percent 163 3" xfId="6362"/>
    <cellStyle name="Percent 163 3 2" xfId="9448"/>
    <cellStyle name="Percent 163 3 2 2" xfId="15641"/>
    <cellStyle name="Percent 163 3 2 3" xfId="21793"/>
    <cellStyle name="Percent 163 3 3" xfId="12575"/>
    <cellStyle name="Percent 163 3 4" xfId="18727"/>
    <cellStyle name="Percent 163 4" xfId="7913"/>
    <cellStyle name="Percent 163 4 2" xfId="14107"/>
    <cellStyle name="Percent 163 4 3" xfId="20259"/>
    <cellStyle name="Percent 163 5" xfId="11041"/>
    <cellStyle name="Percent 163 6" xfId="17193"/>
    <cellStyle name="Percent 164" xfId="5504"/>
    <cellStyle name="Percent 165" xfId="5574"/>
    <cellStyle name="Percent 166" xfId="5512"/>
    <cellStyle name="Percent 167" xfId="5565"/>
    <cellStyle name="Percent 168" xfId="5523"/>
    <cellStyle name="Percent 169" xfId="5554"/>
    <cellStyle name="Percent 17" xfId="4273"/>
    <cellStyle name="Percent 170" xfId="5526"/>
    <cellStyle name="Percent 171" xfId="5551"/>
    <cellStyle name="Percent 172" xfId="5518"/>
    <cellStyle name="Percent 173" xfId="5568"/>
    <cellStyle name="Percent 174" xfId="5511"/>
    <cellStyle name="Percent 175" xfId="5543"/>
    <cellStyle name="Percent 176" xfId="5521"/>
    <cellStyle name="Percent 177" xfId="5567"/>
    <cellStyle name="Percent 178" xfId="5535"/>
    <cellStyle name="Percent 179" xfId="5558"/>
    <cellStyle name="Percent 18" xfId="4274"/>
    <cellStyle name="Percent 180" xfId="4741"/>
    <cellStyle name="Percent 180 2" xfId="6366"/>
    <cellStyle name="Percent 180 2 2" xfId="9452"/>
    <cellStyle name="Percent 180 2 2 2" xfId="15645"/>
    <cellStyle name="Percent 180 2 2 3" xfId="21797"/>
    <cellStyle name="Percent 180 2 3" xfId="12579"/>
    <cellStyle name="Percent 180 2 4" xfId="18731"/>
    <cellStyle name="Percent 180 3" xfId="7917"/>
    <cellStyle name="Percent 180 3 2" xfId="14111"/>
    <cellStyle name="Percent 180 3 3" xfId="20263"/>
    <cellStyle name="Percent 180 4" xfId="11045"/>
    <cellStyle name="Percent 180 5" xfId="17197"/>
    <cellStyle name="Percent 181" xfId="7144"/>
    <cellStyle name="Percent 182" xfId="10215"/>
    <cellStyle name="Percent 183" xfId="10221"/>
    <cellStyle name="Percent 184" xfId="10272"/>
    <cellStyle name="Percent 185" xfId="1181"/>
    <cellStyle name="Percent 186" xfId="1218"/>
    <cellStyle name="Percent 187" xfId="22587"/>
    <cellStyle name="Percent 188" xfId="22582"/>
    <cellStyle name="Percent 189" xfId="22584"/>
    <cellStyle name="Percent 19" xfId="4275"/>
    <cellStyle name="Percent 190" xfId="1159"/>
    <cellStyle name="Percent 191" xfId="1164"/>
    <cellStyle name="Percent 192" xfId="22628"/>
    <cellStyle name="Percent 193" xfId="22657"/>
    <cellStyle name="Percent 194" xfId="22775"/>
    <cellStyle name="Percent 195" xfId="22592"/>
    <cellStyle name="Percent 196" xfId="22803"/>
    <cellStyle name="Percent 197" xfId="22632"/>
    <cellStyle name="Percent 2" xfId="43"/>
    <cellStyle name="Percent 2 10" xfId="317"/>
    <cellStyle name="Percent 2 10 2" xfId="4681"/>
    <cellStyle name="Percent 2 10 3" xfId="4277"/>
    <cellStyle name="Percent 2 10 4" xfId="1245"/>
    <cellStyle name="Percent 2 11" xfId="347"/>
    <cellStyle name="Percent 2 11 2" xfId="4682"/>
    <cellStyle name="Percent 2 11 3" xfId="4278"/>
    <cellStyle name="Percent 2 11 4" xfId="1246"/>
    <cellStyle name="Percent 2 12" xfId="339"/>
    <cellStyle name="Percent 2 12 2" xfId="4683"/>
    <cellStyle name="Percent 2 12 3" xfId="4279"/>
    <cellStyle name="Percent 2 12 4" xfId="1247"/>
    <cellStyle name="Percent 2 13" xfId="358"/>
    <cellStyle name="Percent 2 13 2" xfId="4684"/>
    <cellStyle name="Percent 2 13 3" xfId="4280"/>
    <cellStyle name="Percent 2 13 4" xfId="1248"/>
    <cellStyle name="Percent 2 14" xfId="373"/>
    <cellStyle name="Percent 2 14 2" xfId="4685"/>
    <cellStyle name="Percent 2 14 3" xfId="4281"/>
    <cellStyle name="Percent 2 14 4" xfId="1249"/>
    <cellStyle name="Percent 2 15" xfId="389"/>
    <cellStyle name="Percent 2 15 2" xfId="4686"/>
    <cellStyle name="Percent 2 15 3" xfId="4282"/>
    <cellStyle name="Percent 2 15 4" xfId="1250"/>
    <cellStyle name="Percent 2 16" xfId="403"/>
    <cellStyle name="Percent 2 16 2" xfId="4687"/>
    <cellStyle name="Percent 2 16 3" xfId="4283"/>
    <cellStyle name="Percent 2 16 4" xfId="1251"/>
    <cellStyle name="Percent 2 17" xfId="425"/>
    <cellStyle name="Percent 2 17 2" xfId="4688"/>
    <cellStyle name="Percent 2 17 3" xfId="4284"/>
    <cellStyle name="Percent 2 17 4" xfId="1252"/>
    <cellStyle name="Percent 2 18" xfId="453"/>
    <cellStyle name="Percent 2 18 2" xfId="4689"/>
    <cellStyle name="Percent 2 18 3" xfId="4285"/>
    <cellStyle name="Percent 2 18 4" xfId="1253"/>
    <cellStyle name="Percent 2 19" xfId="478"/>
    <cellStyle name="Percent 2 19 2" xfId="4690"/>
    <cellStyle name="Percent 2 19 3" xfId="4286"/>
    <cellStyle name="Percent 2 19 4" xfId="1254"/>
    <cellStyle name="Percent 2 2" xfId="44"/>
    <cellStyle name="Percent 2 2 10" xfId="268"/>
    <cellStyle name="Percent 2 2 11" xfId="301"/>
    <cellStyle name="Percent 2 2 12" xfId="346"/>
    <cellStyle name="Percent 2 2 13" xfId="325"/>
    <cellStyle name="Percent 2 2 14" xfId="427"/>
    <cellStyle name="Percent 2 2 15" xfId="457"/>
    <cellStyle name="Percent 2 2 16" xfId="474"/>
    <cellStyle name="Percent 2 2 17" xfId="497"/>
    <cellStyle name="Percent 2 2 18" xfId="539"/>
    <cellStyle name="Percent 2 2 19" xfId="566"/>
    <cellStyle name="Percent 2 2 2" xfId="248"/>
    <cellStyle name="Percent 2 2 2 2" xfId="4288"/>
    <cellStyle name="Percent 2 2 2 2 2" xfId="4289"/>
    <cellStyle name="Percent 2 2 2 3" xfId="4290"/>
    <cellStyle name="Percent 2 2 2 4" xfId="23307"/>
    <cellStyle name="Percent 2 2 20" xfId="592"/>
    <cellStyle name="Percent 2 2 21" xfId="571"/>
    <cellStyle name="Percent 2 2 22" xfId="523"/>
    <cellStyle name="Percent 2 2 23" xfId="640"/>
    <cellStyle name="Percent 2 2 24" xfId="704"/>
    <cellStyle name="Percent 2 2 25" xfId="736"/>
    <cellStyle name="Percent 2 2 26" xfId="762"/>
    <cellStyle name="Percent 2 2 27" xfId="787"/>
    <cellStyle name="Percent 2 2 28" xfId="811"/>
    <cellStyle name="Percent 2 2 29" xfId="199"/>
    <cellStyle name="Percent 2 2 3" xfId="264"/>
    <cellStyle name="Percent 2 2 3 2" xfId="4291"/>
    <cellStyle name="Percent 2 2 3 3" xfId="23308"/>
    <cellStyle name="Percent 2 2 30" xfId="23306"/>
    <cellStyle name="Percent 2 2 4" xfId="283"/>
    <cellStyle name="Percent 2 2 4 2" xfId="4292"/>
    <cellStyle name="Percent 2 2 5" xfId="310"/>
    <cellStyle name="Percent 2 2 5 2" xfId="4691"/>
    <cellStyle name="Percent 2 2 6" xfId="300"/>
    <cellStyle name="Percent 2 2 6 2" xfId="4287"/>
    <cellStyle name="Percent 2 2 7" xfId="307"/>
    <cellStyle name="Percent 2 2 7 2" xfId="1255"/>
    <cellStyle name="Percent 2 2 8" xfId="286"/>
    <cellStyle name="Percent 2 2 9" xfId="308"/>
    <cellStyle name="Percent 2 20" xfId="475"/>
    <cellStyle name="Percent 2 20 2" xfId="4293"/>
    <cellStyle name="Percent 2 21" xfId="481"/>
    <cellStyle name="Percent 2 21 2" xfId="4294"/>
    <cellStyle name="Percent 2 22" xfId="469"/>
    <cellStyle name="Percent 2 22 2" xfId="5360"/>
    <cellStyle name="Percent 2 22 2 2" xfId="6985"/>
    <cellStyle name="Percent 2 22 2 2 2" xfId="10071"/>
    <cellStyle name="Percent 2 22 2 2 2 2" xfId="16264"/>
    <cellStyle name="Percent 2 22 2 2 2 3" xfId="22416"/>
    <cellStyle name="Percent 2 22 2 2 3" xfId="13198"/>
    <cellStyle name="Percent 2 22 2 2 4" xfId="19350"/>
    <cellStyle name="Percent 2 22 2 3" xfId="8536"/>
    <cellStyle name="Percent 2 22 2 3 2" xfId="14730"/>
    <cellStyle name="Percent 2 22 2 3 3" xfId="20882"/>
    <cellStyle name="Percent 2 22 2 4" xfId="11664"/>
    <cellStyle name="Percent 2 22 2 5" xfId="17816"/>
    <cellStyle name="Percent 2 22 3" xfId="6202"/>
    <cellStyle name="Percent 2 22 3 2" xfId="9302"/>
    <cellStyle name="Percent 2 22 3 2 2" xfId="15495"/>
    <cellStyle name="Percent 2 22 3 2 3" xfId="21647"/>
    <cellStyle name="Percent 2 22 3 3" xfId="12429"/>
    <cellStyle name="Percent 2 22 3 4" xfId="18581"/>
    <cellStyle name="Percent 2 22 4" xfId="7767"/>
    <cellStyle name="Percent 2 22 4 2" xfId="13961"/>
    <cellStyle name="Percent 2 22 4 3" xfId="20113"/>
    <cellStyle name="Percent 2 22 5" xfId="10895"/>
    <cellStyle name="Percent 2 22 6" xfId="17047"/>
    <cellStyle name="Percent 2 22 7" xfId="4276"/>
    <cellStyle name="Percent 2 23" xfId="516"/>
    <cellStyle name="Percent 2 24" xfId="531"/>
    <cellStyle name="Percent 2 25" xfId="464"/>
    <cellStyle name="Percent 2 26" xfId="602"/>
    <cellStyle name="Percent 2 27" xfId="679"/>
    <cellStyle name="Percent 2 28" xfId="657"/>
    <cellStyle name="Percent 2 29" xfId="647"/>
    <cellStyle name="Percent 2 3" xfId="211"/>
    <cellStyle name="Percent 2 3 2" xfId="870"/>
    <cellStyle name="Percent 2 3 2 2" xfId="4296"/>
    <cellStyle name="Percent 2 3 3" xfId="4297"/>
    <cellStyle name="Percent 2 3 4" xfId="4295"/>
    <cellStyle name="Percent 2 3 5" xfId="10259"/>
    <cellStyle name="Percent 2 3 6" xfId="1256"/>
    <cellStyle name="Percent 2 3 7" xfId="22624"/>
    <cellStyle name="Percent 2 3 8" xfId="22833"/>
    <cellStyle name="Percent 2 3 9" xfId="23309"/>
    <cellStyle name="Percent 2 30" xfId="713"/>
    <cellStyle name="Percent 2 31" xfId="741"/>
    <cellStyle name="Percent 2 32" xfId="194"/>
    <cellStyle name="Percent 2 33" xfId="23305"/>
    <cellStyle name="Percent 2 4" xfId="220"/>
    <cellStyle name="Percent 2 4 2" xfId="4299"/>
    <cellStyle name="Percent 2 4 3" xfId="4692"/>
    <cellStyle name="Percent 2 4 4" xfId="4298"/>
    <cellStyle name="Percent 2 4 5" xfId="23310"/>
    <cellStyle name="Percent 2 5" xfId="244"/>
    <cellStyle name="Percent 2 5 2" xfId="4693"/>
    <cellStyle name="Percent 2 5 3" xfId="4300"/>
    <cellStyle name="Percent 2 5 4" xfId="1257"/>
    <cellStyle name="Percent 2 5 5" xfId="23311"/>
    <cellStyle name="Percent 2 6" xfId="269"/>
    <cellStyle name="Percent 2 6 2" xfId="4694"/>
    <cellStyle name="Percent 2 6 3" xfId="4301"/>
    <cellStyle name="Percent 2 6 4" xfId="1258"/>
    <cellStyle name="Percent 2 6 5" xfId="23312"/>
    <cellStyle name="Percent 2 7" xfId="263"/>
    <cellStyle name="Percent 2 7 2" xfId="4695"/>
    <cellStyle name="Percent 2 7 3" xfId="4302"/>
    <cellStyle name="Percent 2 7 4" xfId="1259"/>
    <cellStyle name="Percent 2 8" xfId="335"/>
    <cellStyle name="Percent 2 8 2" xfId="4696"/>
    <cellStyle name="Percent 2 8 3" xfId="4303"/>
    <cellStyle name="Percent 2 8 4" xfId="1260"/>
    <cellStyle name="Percent 2 9" xfId="302"/>
    <cellStyle name="Percent 2 9 2" xfId="4697"/>
    <cellStyle name="Percent 2 9 3" xfId="4304"/>
    <cellStyle name="Percent 2 9 4" xfId="1261"/>
    <cellStyle name="Percent 20" xfId="4305"/>
    <cellStyle name="Percent 21" xfId="4306"/>
    <cellStyle name="Percent 22" xfId="4307"/>
    <cellStyle name="Percent 23" xfId="4308"/>
    <cellStyle name="Percent 24" xfId="4309"/>
    <cellStyle name="Percent 25" xfId="4310"/>
    <cellStyle name="Percent 25 2" xfId="4311"/>
    <cellStyle name="Percent 25 2 2" xfId="4312"/>
    <cellStyle name="Percent 25 2 2 2" xfId="5362"/>
    <cellStyle name="Percent 25 2 2 2 2" xfId="6987"/>
    <cellStyle name="Percent 25 2 2 2 2 2" xfId="10073"/>
    <cellStyle name="Percent 25 2 2 2 2 2 2" xfId="16266"/>
    <cellStyle name="Percent 25 2 2 2 2 2 3" xfId="22418"/>
    <cellStyle name="Percent 25 2 2 2 2 3" xfId="13200"/>
    <cellStyle name="Percent 25 2 2 2 2 4" xfId="19352"/>
    <cellStyle name="Percent 25 2 2 2 3" xfId="8538"/>
    <cellStyle name="Percent 25 2 2 2 3 2" xfId="14732"/>
    <cellStyle name="Percent 25 2 2 2 3 3" xfId="20884"/>
    <cellStyle name="Percent 25 2 2 2 4" xfId="11666"/>
    <cellStyle name="Percent 25 2 2 2 5" xfId="17818"/>
    <cellStyle name="Percent 25 2 2 3" xfId="6208"/>
    <cellStyle name="Percent 25 2 2 3 2" xfId="9304"/>
    <cellStyle name="Percent 25 2 2 3 2 2" xfId="15497"/>
    <cellStyle name="Percent 25 2 2 3 2 3" xfId="21649"/>
    <cellStyle name="Percent 25 2 2 3 3" xfId="12431"/>
    <cellStyle name="Percent 25 2 2 3 4" xfId="18583"/>
    <cellStyle name="Percent 25 2 2 4" xfId="7769"/>
    <cellStyle name="Percent 25 2 2 4 2" xfId="13963"/>
    <cellStyle name="Percent 25 2 2 4 3" xfId="20115"/>
    <cellStyle name="Percent 25 2 2 5" xfId="10897"/>
    <cellStyle name="Percent 25 2 2 6" xfId="17049"/>
    <cellStyle name="Percent 25 2 3" xfId="5361"/>
    <cellStyle name="Percent 25 2 3 2" xfId="6986"/>
    <cellStyle name="Percent 25 2 3 2 2" xfId="10072"/>
    <cellStyle name="Percent 25 2 3 2 2 2" xfId="16265"/>
    <cellStyle name="Percent 25 2 3 2 2 3" xfId="22417"/>
    <cellStyle name="Percent 25 2 3 2 3" xfId="13199"/>
    <cellStyle name="Percent 25 2 3 2 4" xfId="19351"/>
    <cellStyle name="Percent 25 2 3 3" xfId="8537"/>
    <cellStyle name="Percent 25 2 3 3 2" xfId="14731"/>
    <cellStyle name="Percent 25 2 3 3 3" xfId="20883"/>
    <cellStyle name="Percent 25 2 3 4" xfId="11665"/>
    <cellStyle name="Percent 25 2 3 5" xfId="17817"/>
    <cellStyle name="Percent 25 2 4" xfId="6207"/>
    <cellStyle name="Percent 25 2 4 2" xfId="9303"/>
    <cellStyle name="Percent 25 2 4 2 2" xfId="15496"/>
    <cellStyle name="Percent 25 2 4 2 3" xfId="21648"/>
    <cellStyle name="Percent 25 2 4 3" xfId="12430"/>
    <cellStyle name="Percent 25 2 4 4" xfId="18582"/>
    <cellStyle name="Percent 25 2 5" xfId="7768"/>
    <cellStyle name="Percent 25 2 5 2" xfId="13962"/>
    <cellStyle name="Percent 25 2 5 3" xfId="20114"/>
    <cellStyle name="Percent 25 2 6" xfId="10896"/>
    <cellStyle name="Percent 25 2 7" xfId="17048"/>
    <cellStyle name="Percent 25 3" xfId="4313"/>
    <cellStyle name="Percent 25 3 2" xfId="4314"/>
    <cellStyle name="Percent 25 3 2 2" xfId="5364"/>
    <cellStyle name="Percent 25 3 2 2 2" xfId="6989"/>
    <cellStyle name="Percent 25 3 2 2 2 2" xfId="10075"/>
    <cellStyle name="Percent 25 3 2 2 2 2 2" xfId="16268"/>
    <cellStyle name="Percent 25 3 2 2 2 2 3" xfId="22420"/>
    <cellStyle name="Percent 25 3 2 2 2 3" xfId="13202"/>
    <cellStyle name="Percent 25 3 2 2 2 4" xfId="19354"/>
    <cellStyle name="Percent 25 3 2 2 3" xfId="8540"/>
    <cellStyle name="Percent 25 3 2 2 3 2" xfId="14734"/>
    <cellStyle name="Percent 25 3 2 2 3 3" xfId="20886"/>
    <cellStyle name="Percent 25 3 2 2 4" xfId="11668"/>
    <cellStyle name="Percent 25 3 2 2 5" xfId="17820"/>
    <cellStyle name="Percent 25 3 2 3" xfId="6210"/>
    <cellStyle name="Percent 25 3 2 3 2" xfId="9306"/>
    <cellStyle name="Percent 25 3 2 3 2 2" xfId="15499"/>
    <cellStyle name="Percent 25 3 2 3 2 3" xfId="21651"/>
    <cellStyle name="Percent 25 3 2 3 3" xfId="12433"/>
    <cellStyle name="Percent 25 3 2 3 4" xfId="18585"/>
    <cellStyle name="Percent 25 3 2 4" xfId="7771"/>
    <cellStyle name="Percent 25 3 2 4 2" xfId="13965"/>
    <cellStyle name="Percent 25 3 2 4 3" xfId="20117"/>
    <cellStyle name="Percent 25 3 2 5" xfId="10899"/>
    <cellStyle name="Percent 25 3 2 6" xfId="17051"/>
    <cellStyle name="Percent 25 3 3" xfId="5363"/>
    <cellStyle name="Percent 25 3 3 2" xfId="6988"/>
    <cellStyle name="Percent 25 3 3 2 2" xfId="10074"/>
    <cellStyle name="Percent 25 3 3 2 2 2" xfId="16267"/>
    <cellStyle name="Percent 25 3 3 2 2 3" xfId="22419"/>
    <cellStyle name="Percent 25 3 3 2 3" xfId="13201"/>
    <cellStyle name="Percent 25 3 3 2 4" xfId="19353"/>
    <cellStyle name="Percent 25 3 3 3" xfId="8539"/>
    <cellStyle name="Percent 25 3 3 3 2" xfId="14733"/>
    <cellStyle name="Percent 25 3 3 3 3" xfId="20885"/>
    <cellStyle name="Percent 25 3 3 4" xfId="11667"/>
    <cellStyle name="Percent 25 3 3 5" xfId="17819"/>
    <cellStyle name="Percent 25 3 4" xfId="6209"/>
    <cellStyle name="Percent 25 3 4 2" xfId="9305"/>
    <cellStyle name="Percent 25 3 4 2 2" xfId="15498"/>
    <cellStyle name="Percent 25 3 4 2 3" xfId="21650"/>
    <cellStyle name="Percent 25 3 4 3" xfId="12432"/>
    <cellStyle name="Percent 25 3 4 4" xfId="18584"/>
    <cellStyle name="Percent 25 3 5" xfId="7770"/>
    <cellStyle name="Percent 25 3 5 2" xfId="13964"/>
    <cellStyle name="Percent 25 3 5 3" xfId="20116"/>
    <cellStyle name="Percent 25 3 6" xfId="10898"/>
    <cellStyle name="Percent 25 3 7" xfId="17050"/>
    <cellStyle name="Percent 25 4" xfId="4315"/>
    <cellStyle name="Percent 25 4 2" xfId="4316"/>
    <cellStyle name="Percent 25 4 2 2" xfId="5365"/>
    <cellStyle name="Percent 25 4 2 2 2" xfId="6990"/>
    <cellStyle name="Percent 25 4 2 2 2 2" xfId="10076"/>
    <cellStyle name="Percent 25 4 2 2 2 2 2" xfId="16269"/>
    <cellStyle name="Percent 25 4 2 2 2 2 3" xfId="22421"/>
    <cellStyle name="Percent 25 4 2 2 2 3" xfId="13203"/>
    <cellStyle name="Percent 25 4 2 2 2 4" xfId="19355"/>
    <cellStyle name="Percent 25 4 2 2 3" xfId="8541"/>
    <cellStyle name="Percent 25 4 2 2 3 2" xfId="14735"/>
    <cellStyle name="Percent 25 4 2 2 3 3" xfId="20887"/>
    <cellStyle name="Percent 25 4 2 2 4" xfId="11669"/>
    <cellStyle name="Percent 25 4 2 2 5" xfId="17821"/>
    <cellStyle name="Percent 25 4 2 3" xfId="6211"/>
    <cellStyle name="Percent 25 4 2 3 2" xfId="9307"/>
    <cellStyle name="Percent 25 4 2 3 2 2" xfId="15500"/>
    <cellStyle name="Percent 25 4 2 3 2 3" xfId="21652"/>
    <cellStyle name="Percent 25 4 2 3 3" xfId="12434"/>
    <cellStyle name="Percent 25 4 2 3 4" xfId="18586"/>
    <cellStyle name="Percent 25 4 2 4" xfId="7772"/>
    <cellStyle name="Percent 25 4 2 4 2" xfId="13966"/>
    <cellStyle name="Percent 25 4 2 4 3" xfId="20118"/>
    <cellStyle name="Percent 25 4 2 5" xfId="10900"/>
    <cellStyle name="Percent 25 4 2 6" xfId="17052"/>
    <cellStyle name="Percent 25 5" xfId="4317"/>
    <cellStyle name="Percent 25 5 2" xfId="5366"/>
    <cellStyle name="Percent 25 5 2 2" xfId="6991"/>
    <cellStyle name="Percent 25 5 2 2 2" xfId="10077"/>
    <cellStyle name="Percent 25 5 2 2 2 2" xfId="16270"/>
    <cellStyle name="Percent 25 5 2 2 2 3" xfId="22422"/>
    <cellStyle name="Percent 25 5 2 2 3" xfId="13204"/>
    <cellStyle name="Percent 25 5 2 2 4" xfId="19356"/>
    <cellStyle name="Percent 25 5 2 3" xfId="8542"/>
    <cellStyle name="Percent 25 5 2 3 2" xfId="14736"/>
    <cellStyle name="Percent 25 5 2 3 3" xfId="20888"/>
    <cellStyle name="Percent 25 5 2 4" xfId="11670"/>
    <cellStyle name="Percent 25 5 2 5" xfId="17822"/>
    <cellStyle name="Percent 25 5 3" xfId="6212"/>
    <cellStyle name="Percent 25 5 3 2" xfId="9308"/>
    <cellStyle name="Percent 25 5 3 2 2" xfId="15501"/>
    <cellStyle name="Percent 25 5 3 2 3" xfId="21653"/>
    <cellStyle name="Percent 25 5 3 3" xfId="12435"/>
    <cellStyle name="Percent 25 5 3 4" xfId="18587"/>
    <cellStyle name="Percent 25 5 4" xfId="7773"/>
    <cellStyle name="Percent 25 5 4 2" xfId="13967"/>
    <cellStyle name="Percent 25 5 4 3" xfId="20119"/>
    <cellStyle name="Percent 25 5 5" xfId="10901"/>
    <cellStyle name="Percent 25 5 6" xfId="17053"/>
    <cellStyle name="Percent 26" xfId="4318"/>
    <cellStyle name="Percent 26 2" xfId="4319"/>
    <cellStyle name="Percent 26 2 2" xfId="4320"/>
    <cellStyle name="Percent 26 2 2 2" xfId="5368"/>
    <cellStyle name="Percent 26 2 2 2 2" xfId="6993"/>
    <cellStyle name="Percent 26 2 2 2 2 2" xfId="10079"/>
    <cellStyle name="Percent 26 2 2 2 2 2 2" xfId="16272"/>
    <cellStyle name="Percent 26 2 2 2 2 2 3" xfId="22424"/>
    <cellStyle name="Percent 26 2 2 2 2 3" xfId="13206"/>
    <cellStyle name="Percent 26 2 2 2 2 4" xfId="19358"/>
    <cellStyle name="Percent 26 2 2 2 3" xfId="8544"/>
    <cellStyle name="Percent 26 2 2 2 3 2" xfId="14738"/>
    <cellStyle name="Percent 26 2 2 2 3 3" xfId="20890"/>
    <cellStyle name="Percent 26 2 2 2 4" xfId="11672"/>
    <cellStyle name="Percent 26 2 2 2 5" xfId="17824"/>
    <cellStyle name="Percent 26 2 2 3" xfId="6214"/>
    <cellStyle name="Percent 26 2 2 3 2" xfId="9310"/>
    <cellStyle name="Percent 26 2 2 3 2 2" xfId="15503"/>
    <cellStyle name="Percent 26 2 2 3 2 3" xfId="21655"/>
    <cellStyle name="Percent 26 2 2 3 3" xfId="12437"/>
    <cellStyle name="Percent 26 2 2 3 4" xfId="18589"/>
    <cellStyle name="Percent 26 2 2 4" xfId="7775"/>
    <cellStyle name="Percent 26 2 2 4 2" xfId="13969"/>
    <cellStyle name="Percent 26 2 2 4 3" xfId="20121"/>
    <cellStyle name="Percent 26 2 2 5" xfId="10903"/>
    <cellStyle name="Percent 26 2 2 6" xfId="17055"/>
    <cellStyle name="Percent 26 2 3" xfId="5367"/>
    <cellStyle name="Percent 26 2 3 2" xfId="6992"/>
    <cellStyle name="Percent 26 2 3 2 2" xfId="10078"/>
    <cellStyle name="Percent 26 2 3 2 2 2" xfId="16271"/>
    <cellStyle name="Percent 26 2 3 2 2 3" xfId="22423"/>
    <cellStyle name="Percent 26 2 3 2 3" xfId="13205"/>
    <cellStyle name="Percent 26 2 3 2 4" xfId="19357"/>
    <cellStyle name="Percent 26 2 3 3" xfId="8543"/>
    <cellStyle name="Percent 26 2 3 3 2" xfId="14737"/>
    <cellStyle name="Percent 26 2 3 3 3" xfId="20889"/>
    <cellStyle name="Percent 26 2 3 4" xfId="11671"/>
    <cellStyle name="Percent 26 2 3 5" xfId="17823"/>
    <cellStyle name="Percent 26 2 4" xfId="6213"/>
    <cellStyle name="Percent 26 2 4 2" xfId="9309"/>
    <cellStyle name="Percent 26 2 4 2 2" xfId="15502"/>
    <cellStyle name="Percent 26 2 4 2 3" xfId="21654"/>
    <cellStyle name="Percent 26 2 4 3" xfId="12436"/>
    <cellStyle name="Percent 26 2 4 4" xfId="18588"/>
    <cellStyle name="Percent 26 2 5" xfId="7774"/>
    <cellStyle name="Percent 26 2 5 2" xfId="13968"/>
    <cellStyle name="Percent 26 2 5 3" xfId="20120"/>
    <cellStyle name="Percent 26 2 6" xfId="10902"/>
    <cellStyle name="Percent 26 2 7" xfId="17054"/>
    <cellStyle name="Percent 26 3" xfId="4321"/>
    <cellStyle name="Percent 26 3 2" xfId="4322"/>
    <cellStyle name="Percent 26 3 2 2" xfId="5370"/>
    <cellStyle name="Percent 26 3 2 2 2" xfId="6995"/>
    <cellStyle name="Percent 26 3 2 2 2 2" xfId="10081"/>
    <cellStyle name="Percent 26 3 2 2 2 2 2" xfId="16274"/>
    <cellStyle name="Percent 26 3 2 2 2 2 3" xfId="22426"/>
    <cellStyle name="Percent 26 3 2 2 2 3" xfId="13208"/>
    <cellStyle name="Percent 26 3 2 2 2 4" xfId="19360"/>
    <cellStyle name="Percent 26 3 2 2 3" xfId="8546"/>
    <cellStyle name="Percent 26 3 2 2 3 2" xfId="14740"/>
    <cellStyle name="Percent 26 3 2 2 3 3" xfId="20892"/>
    <cellStyle name="Percent 26 3 2 2 4" xfId="11674"/>
    <cellStyle name="Percent 26 3 2 2 5" xfId="17826"/>
    <cellStyle name="Percent 26 3 2 3" xfId="6216"/>
    <cellStyle name="Percent 26 3 2 3 2" xfId="9312"/>
    <cellStyle name="Percent 26 3 2 3 2 2" xfId="15505"/>
    <cellStyle name="Percent 26 3 2 3 2 3" xfId="21657"/>
    <cellStyle name="Percent 26 3 2 3 3" xfId="12439"/>
    <cellStyle name="Percent 26 3 2 3 4" xfId="18591"/>
    <cellStyle name="Percent 26 3 2 4" xfId="7777"/>
    <cellStyle name="Percent 26 3 2 4 2" xfId="13971"/>
    <cellStyle name="Percent 26 3 2 4 3" xfId="20123"/>
    <cellStyle name="Percent 26 3 2 5" xfId="10905"/>
    <cellStyle name="Percent 26 3 2 6" xfId="17057"/>
    <cellStyle name="Percent 26 3 3" xfId="5369"/>
    <cellStyle name="Percent 26 3 3 2" xfId="6994"/>
    <cellStyle name="Percent 26 3 3 2 2" xfId="10080"/>
    <cellStyle name="Percent 26 3 3 2 2 2" xfId="16273"/>
    <cellStyle name="Percent 26 3 3 2 2 3" xfId="22425"/>
    <cellStyle name="Percent 26 3 3 2 3" xfId="13207"/>
    <cellStyle name="Percent 26 3 3 2 4" xfId="19359"/>
    <cellStyle name="Percent 26 3 3 3" xfId="8545"/>
    <cellStyle name="Percent 26 3 3 3 2" xfId="14739"/>
    <cellStyle name="Percent 26 3 3 3 3" xfId="20891"/>
    <cellStyle name="Percent 26 3 3 4" xfId="11673"/>
    <cellStyle name="Percent 26 3 3 5" xfId="17825"/>
    <cellStyle name="Percent 26 3 4" xfId="6215"/>
    <cellStyle name="Percent 26 3 4 2" xfId="9311"/>
    <cellStyle name="Percent 26 3 4 2 2" xfId="15504"/>
    <cellStyle name="Percent 26 3 4 2 3" xfId="21656"/>
    <cellStyle name="Percent 26 3 4 3" xfId="12438"/>
    <cellStyle name="Percent 26 3 4 4" xfId="18590"/>
    <cellStyle name="Percent 26 3 5" xfId="7776"/>
    <cellStyle name="Percent 26 3 5 2" xfId="13970"/>
    <cellStyle name="Percent 26 3 5 3" xfId="20122"/>
    <cellStyle name="Percent 26 3 6" xfId="10904"/>
    <cellStyle name="Percent 26 3 7" xfId="17056"/>
    <cellStyle name="Percent 26 4" xfId="4323"/>
    <cellStyle name="Percent 26 4 2" xfId="4324"/>
    <cellStyle name="Percent 26 4 2 2" xfId="5371"/>
    <cellStyle name="Percent 26 4 2 2 2" xfId="6996"/>
    <cellStyle name="Percent 26 4 2 2 2 2" xfId="10082"/>
    <cellStyle name="Percent 26 4 2 2 2 2 2" xfId="16275"/>
    <cellStyle name="Percent 26 4 2 2 2 2 3" xfId="22427"/>
    <cellStyle name="Percent 26 4 2 2 2 3" xfId="13209"/>
    <cellStyle name="Percent 26 4 2 2 2 4" xfId="19361"/>
    <cellStyle name="Percent 26 4 2 2 3" xfId="8547"/>
    <cellStyle name="Percent 26 4 2 2 3 2" xfId="14741"/>
    <cellStyle name="Percent 26 4 2 2 3 3" xfId="20893"/>
    <cellStyle name="Percent 26 4 2 2 4" xfId="11675"/>
    <cellStyle name="Percent 26 4 2 2 5" xfId="17827"/>
    <cellStyle name="Percent 26 4 2 3" xfId="6217"/>
    <cellStyle name="Percent 26 4 2 3 2" xfId="9313"/>
    <cellStyle name="Percent 26 4 2 3 2 2" xfId="15506"/>
    <cellStyle name="Percent 26 4 2 3 2 3" xfId="21658"/>
    <cellStyle name="Percent 26 4 2 3 3" xfId="12440"/>
    <cellStyle name="Percent 26 4 2 3 4" xfId="18592"/>
    <cellStyle name="Percent 26 4 2 4" xfId="7778"/>
    <cellStyle name="Percent 26 4 2 4 2" xfId="13972"/>
    <cellStyle name="Percent 26 4 2 4 3" xfId="20124"/>
    <cellStyle name="Percent 26 4 2 5" xfId="10906"/>
    <cellStyle name="Percent 26 4 2 6" xfId="17058"/>
    <cellStyle name="Percent 26 5" xfId="4325"/>
    <cellStyle name="Percent 26 5 2" xfId="5372"/>
    <cellStyle name="Percent 26 5 2 2" xfId="6997"/>
    <cellStyle name="Percent 26 5 2 2 2" xfId="10083"/>
    <cellStyle name="Percent 26 5 2 2 2 2" xfId="16276"/>
    <cellStyle name="Percent 26 5 2 2 2 3" xfId="22428"/>
    <cellStyle name="Percent 26 5 2 2 3" xfId="13210"/>
    <cellStyle name="Percent 26 5 2 2 4" xfId="19362"/>
    <cellStyle name="Percent 26 5 2 3" xfId="8548"/>
    <cellStyle name="Percent 26 5 2 3 2" xfId="14742"/>
    <cellStyle name="Percent 26 5 2 3 3" xfId="20894"/>
    <cellStyle name="Percent 26 5 2 4" xfId="11676"/>
    <cellStyle name="Percent 26 5 2 5" xfId="17828"/>
    <cellStyle name="Percent 26 5 3" xfId="6218"/>
    <cellStyle name="Percent 26 5 3 2" xfId="9314"/>
    <cellStyle name="Percent 26 5 3 2 2" xfId="15507"/>
    <cellStyle name="Percent 26 5 3 2 3" xfId="21659"/>
    <cellStyle name="Percent 26 5 3 3" xfId="12441"/>
    <cellStyle name="Percent 26 5 3 4" xfId="18593"/>
    <cellStyle name="Percent 26 5 4" xfId="7779"/>
    <cellStyle name="Percent 26 5 4 2" xfId="13973"/>
    <cellStyle name="Percent 26 5 4 3" xfId="20125"/>
    <cellStyle name="Percent 26 5 5" xfId="10907"/>
    <cellStyle name="Percent 26 5 6" xfId="17059"/>
    <cellStyle name="Percent 27" xfId="4326"/>
    <cellStyle name="Percent 27 2" xfId="4327"/>
    <cellStyle name="Percent 27 2 2" xfId="4328"/>
    <cellStyle name="Percent 27 2 2 2" xfId="5374"/>
    <cellStyle name="Percent 27 2 2 2 2" xfId="6999"/>
    <cellStyle name="Percent 27 2 2 2 2 2" xfId="10085"/>
    <cellStyle name="Percent 27 2 2 2 2 2 2" xfId="16278"/>
    <cellStyle name="Percent 27 2 2 2 2 2 3" xfId="22430"/>
    <cellStyle name="Percent 27 2 2 2 2 3" xfId="13212"/>
    <cellStyle name="Percent 27 2 2 2 2 4" xfId="19364"/>
    <cellStyle name="Percent 27 2 2 2 3" xfId="8550"/>
    <cellStyle name="Percent 27 2 2 2 3 2" xfId="14744"/>
    <cellStyle name="Percent 27 2 2 2 3 3" xfId="20896"/>
    <cellStyle name="Percent 27 2 2 2 4" xfId="11678"/>
    <cellStyle name="Percent 27 2 2 2 5" xfId="17830"/>
    <cellStyle name="Percent 27 2 2 3" xfId="6221"/>
    <cellStyle name="Percent 27 2 2 3 2" xfId="9316"/>
    <cellStyle name="Percent 27 2 2 3 2 2" xfId="15509"/>
    <cellStyle name="Percent 27 2 2 3 2 3" xfId="21661"/>
    <cellStyle name="Percent 27 2 2 3 3" xfId="12443"/>
    <cellStyle name="Percent 27 2 2 3 4" xfId="18595"/>
    <cellStyle name="Percent 27 2 2 4" xfId="7781"/>
    <cellStyle name="Percent 27 2 2 4 2" xfId="13975"/>
    <cellStyle name="Percent 27 2 2 4 3" xfId="20127"/>
    <cellStyle name="Percent 27 2 2 5" xfId="10909"/>
    <cellStyle name="Percent 27 2 2 6" xfId="17061"/>
    <cellStyle name="Percent 27 2 3" xfId="5373"/>
    <cellStyle name="Percent 27 2 3 2" xfId="6998"/>
    <cellStyle name="Percent 27 2 3 2 2" xfId="10084"/>
    <cellStyle name="Percent 27 2 3 2 2 2" xfId="16277"/>
    <cellStyle name="Percent 27 2 3 2 2 3" xfId="22429"/>
    <cellStyle name="Percent 27 2 3 2 3" xfId="13211"/>
    <cellStyle name="Percent 27 2 3 2 4" xfId="19363"/>
    <cellStyle name="Percent 27 2 3 3" xfId="8549"/>
    <cellStyle name="Percent 27 2 3 3 2" xfId="14743"/>
    <cellStyle name="Percent 27 2 3 3 3" xfId="20895"/>
    <cellStyle name="Percent 27 2 3 4" xfId="11677"/>
    <cellStyle name="Percent 27 2 3 5" xfId="17829"/>
    <cellStyle name="Percent 27 2 4" xfId="6220"/>
    <cellStyle name="Percent 27 2 4 2" xfId="9315"/>
    <cellStyle name="Percent 27 2 4 2 2" xfId="15508"/>
    <cellStyle name="Percent 27 2 4 2 3" xfId="21660"/>
    <cellStyle name="Percent 27 2 4 3" xfId="12442"/>
    <cellStyle name="Percent 27 2 4 4" xfId="18594"/>
    <cellStyle name="Percent 27 2 5" xfId="7780"/>
    <cellStyle name="Percent 27 2 5 2" xfId="13974"/>
    <cellStyle name="Percent 27 2 5 3" xfId="20126"/>
    <cellStyle name="Percent 27 2 6" xfId="10908"/>
    <cellStyle name="Percent 27 2 7" xfId="17060"/>
    <cellStyle name="Percent 27 3" xfId="4329"/>
    <cellStyle name="Percent 27 3 2" xfId="4330"/>
    <cellStyle name="Percent 27 3 2 2" xfId="5376"/>
    <cellStyle name="Percent 27 3 2 2 2" xfId="7001"/>
    <cellStyle name="Percent 27 3 2 2 2 2" xfId="10087"/>
    <cellStyle name="Percent 27 3 2 2 2 2 2" xfId="16280"/>
    <cellStyle name="Percent 27 3 2 2 2 2 3" xfId="22432"/>
    <cellStyle name="Percent 27 3 2 2 2 3" xfId="13214"/>
    <cellStyle name="Percent 27 3 2 2 2 4" xfId="19366"/>
    <cellStyle name="Percent 27 3 2 2 3" xfId="8552"/>
    <cellStyle name="Percent 27 3 2 2 3 2" xfId="14746"/>
    <cellStyle name="Percent 27 3 2 2 3 3" xfId="20898"/>
    <cellStyle name="Percent 27 3 2 2 4" xfId="11680"/>
    <cellStyle name="Percent 27 3 2 2 5" xfId="17832"/>
    <cellStyle name="Percent 27 3 2 3" xfId="6223"/>
    <cellStyle name="Percent 27 3 2 3 2" xfId="9318"/>
    <cellStyle name="Percent 27 3 2 3 2 2" xfId="15511"/>
    <cellStyle name="Percent 27 3 2 3 2 3" xfId="21663"/>
    <cellStyle name="Percent 27 3 2 3 3" xfId="12445"/>
    <cellStyle name="Percent 27 3 2 3 4" xfId="18597"/>
    <cellStyle name="Percent 27 3 2 4" xfId="7783"/>
    <cellStyle name="Percent 27 3 2 4 2" xfId="13977"/>
    <cellStyle name="Percent 27 3 2 4 3" xfId="20129"/>
    <cellStyle name="Percent 27 3 2 5" xfId="10911"/>
    <cellStyle name="Percent 27 3 2 6" xfId="17063"/>
    <cellStyle name="Percent 27 3 3" xfId="5375"/>
    <cellStyle name="Percent 27 3 3 2" xfId="7000"/>
    <cellStyle name="Percent 27 3 3 2 2" xfId="10086"/>
    <cellStyle name="Percent 27 3 3 2 2 2" xfId="16279"/>
    <cellStyle name="Percent 27 3 3 2 2 3" xfId="22431"/>
    <cellStyle name="Percent 27 3 3 2 3" xfId="13213"/>
    <cellStyle name="Percent 27 3 3 2 4" xfId="19365"/>
    <cellStyle name="Percent 27 3 3 3" xfId="8551"/>
    <cellStyle name="Percent 27 3 3 3 2" xfId="14745"/>
    <cellStyle name="Percent 27 3 3 3 3" xfId="20897"/>
    <cellStyle name="Percent 27 3 3 4" xfId="11679"/>
    <cellStyle name="Percent 27 3 3 5" xfId="17831"/>
    <cellStyle name="Percent 27 3 4" xfId="6222"/>
    <cellStyle name="Percent 27 3 4 2" xfId="9317"/>
    <cellStyle name="Percent 27 3 4 2 2" xfId="15510"/>
    <cellStyle name="Percent 27 3 4 2 3" xfId="21662"/>
    <cellStyle name="Percent 27 3 4 3" xfId="12444"/>
    <cellStyle name="Percent 27 3 4 4" xfId="18596"/>
    <cellStyle name="Percent 27 3 5" xfId="7782"/>
    <cellStyle name="Percent 27 3 5 2" xfId="13976"/>
    <cellStyle name="Percent 27 3 5 3" xfId="20128"/>
    <cellStyle name="Percent 27 3 6" xfId="10910"/>
    <cellStyle name="Percent 27 3 7" xfId="17062"/>
    <cellStyle name="Percent 27 4" xfId="4331"/>
    <cellStyle name="Percent 27 4 2" xfId="4332"/>
    <cellStyle name="Percent 27 4 2 2" xfId="5377"/>
    <cellStyle name="Percent 27 4 2 2 2" xfId="7002"/>
    <cellStyle name="Percent 27 4 2 2 2 2" xfId="10088"/>
    <cellStyle name="Percent 27 4 2 2 2 2 2" xfId="16281"/>
    <cellStyle name="Percent 27 4 2 2 2 2 3" xfId="22433"/>
    <cellStyle name="Percent 27 4 2 2 2 3" xfId="13215"/>
    <cellStyle name="Percent 27 4 2 2 2 4" xfId="19367"/>
    <cellStyle name="Percent 27 4 2 2 3" xfId="8553"/>
    <cellStyle name="Percent 27 4 2 2 3 2" xfId="14747"/>
    <cellStyle name="Percent 27 4 2 2 3 3" xfId="20899"/>
    <cellStyle name="Percent 27 4 2 2 4" xfId="11681"/>
    <cellStyle name="Percent 27 4 2 2 5" xfId="17833"/>
    <cellStyle name="Percent 27 4 2 3" xfId="6225"/>
    <cellStyle name="Percent 27 4 2 3 2" xfId="9319"/>
    <cellStyle name="Percent 27 4 2 3 2 2" xfId="15512"/>
    <cellStyle name="Percent 27 4 2 3 2 3" xfId="21664"/>
    <cellStyle name="Percent 27 4 2 3 3" xfId="12446"/>
    <cellStyle name="Percent 27 4 2 3 4" xfId="18598"/>
    <cellStyle name="Percent 27 4 2 4" xfId="7784"/>
    <cellStyle name="Percent 27 4 2 4 2" xfId="13978"/>
    <cellStyle name="Percent 27 4 2 4 3" xfId="20130"/>
    <cellStyle name="Percent 27 4 2 5" xfId="10912"/>
    <cellStyle name="Percent 27 4 2 6" xfId="17064"/>
    <cellStyle name="Percent 27 5" xfId="4333"/>
    <cellStyle name="Percent 27 5 2" xfId="5378"/>
    <cellStyle name="Percent 27 5 2 2" xfId="7003"/>
    <cellStyle name="Percent 27 5 2 2 2" xfId="10089"/>
    <cellStyle name="Percent 27 5 2 2 2 2" xfId="16282"/>
    <cellStyle name="Percent 27 5 2 2 2 3" xfId="22434"/>
    <cellStyle name="Percent 27 5 2 2 3" xfId="13216"/>
    <cellStyle name="Percent 27 5 2 2 4" xfId="19368"/>
    <cellStyle name="Percent 27 5 2 3" xfId="8554"/>
    <cellStyle name="Percent 27 5 2 3 2" xfId="14748"/>
    <cellStyle name="Percent 27 5 2 3 3" xfId="20900"/>
    <cellStyle name="Percent 27 5 2 4" xfId="11682"/>
    <cellStyle name="Percent 27 5 2 5" xfId="17834"/>
    <cellStyle name="Percent 27 5 3" xfId="6226"/>
    <cellStyle name="Percent 27 5 3 2" xfId="9320"/>
    <cellStyle name="Percent 27 5 3 2 2" xfId="15513"/>
    <cellStyle name="Percent 27 5 3 2 3" xfId="21665"/>
    <cellStyle name="Percent 27 5 3 3" xfId="12447"/>
    <cellStyle name="Percent 27 5 3 4" xfId="18599"/>
    <cellStyle name="Percent 27 5 4" xfId="7785"/>
    <cellStyle name="Percent 27 5 4 2" xfId="13979"/>
    <cellStyle name="Percent 27 5 4 3" xfId="20131"/>
    <cellStyle name="Percent 27 5 5" xfId="10913"/>
    <cellStyle name="Percent 27 5 6" xfId="17065"/>
    <cellStyle name="Percent 28" xfId="4334"/>
    <cellStyle name="Percent 28 2" xfId="4335"/>
    <cellStyle name="Percent 28 2 2" xfId="4336"/>
    <cellStyle name="Percent 28 2 2 2" xfId="5380"/>
    <cellStyle name="Percent 28 2 2 2 2" xfId="7005"/>
    <cellStyle name="Percent 28 2 2 2 2 2" xfId="10091"/>
    <cellStyle name="Percent 28 2 2 2 2 2 2" xfId="16284"/>
    <cellStyle name="Percent 28 2 2 2 2 2 3" xfId="22436"/>
    <cellStyle name="Percent 28 2 2 2 2 3" xfId="13218"/>
    <cellStyle name="Percent 28 2 2 2 2 4" xfId="19370"/>
    <cellStyle name="Percent 28 2 2 2 3" xfId="8556"/>
    <cellStyle name="Percent 28 2 2 2 3 2" xfId="14750"/>
    <cellStyle name="Percent 28 2 2 2 3 3" xfId="20902"/>
    <cellStyle name="Percent 28 2 2 2 4" xfId="11684"/>
    <cellStyle name="Percent 28 2 2 2 5" xfId="17836"/>
    <cellStyle name="Percent 28 2 2 3" xfId="6229"/>
    <cellStyle name="Percent 28 2 2 3 2" xfId="9322"/>
    <cellStyle name="Percent 28 2 2 3 2 2" xfId="15515"/>
    <cellStyle name="Percent 28 2 2 3 2 3" xfId="21667"/>
    <cellStyle name="Percent 28 2 2 3 3" xfId="12449"/>
    <cellStyle name="Percent 28 2 2 3 4" xfId="18601"/>
    <cellStyle name="Percent 28 2 2 4" xfId="7787"/>
    <cellStyle name="Percent 28 2 2 4 2" xfId="13981"/>
    <cellStyle name="Percent 28 2 2 4 3" xfId="20133"/>
    <cellStyle name="Percent 28 2 2 5" xfId="10915"/>
    <cellStyle name="Percent 28 2 2 6" xfId="17067"/>
    <cellStyle name="Percent 28 2 3" xfId="5379"/>
    <cellStyle name="Percent 28 2 3 2" xfId="7004"/>
    <cellStyle name="Percent 28 2 3 2 2" xfId="10090"/>
    <cellStyle name="Percent 28 2 3 2 2 2" xfId="16283"/>
    <cellStyle name="Percent 28 2 3 2 2 3" xfId="22435"/>
    <cellStyle name="Percent 28 2 3 2 3" xfId="13217"/>
    <cellStyle name="Percent 28 2 3 2 4" xfId="19369"/>
    <cellStyle name="Percent 28 2 3 3" xfId="8555"/>
    <cellStyle name="Percent 28 2 3 3 2" xfId="14749"/>
    <cellStyle name="Percent 28 2 3 3 3" xfId="20901"/>
    <cellStyle name="Percent 28 2 3 4" xfId="11683"/>
    <cellStyle name="Percent 28 2 3 5" xfId="17835"/>
    <cellStyle name="Percent 28 2 4" xfId="6228"/>
    <cellStyle name="Percent 28 2 4 2" xfId="9321"/>
    <cellStyle name="Percent 28 2 4 2 2" xfId="15514"/>
    <cellStyle name="Percent 28 2 4 2 3" xfId="21666"/>
    <cellStyle name="Percent 28 2 4 3" xfId="12448"/>
    <cellStyle name="Percent 28 2 4 4" xfId="18600"/>
    <cellStyle name="Percent 28 2 5" xfId="7786"/>
    <cellStyle name="Percent 28 2 5 2" xfId="13980"/>
    <cellStyle name="Percent 28 2 5 3" xfId="20132"/>
    <cellStyle name="Percent 28 2 6" xfId="10914"/>
    <cellStyle name="Percent 28 2 7" xfId="17066"/>
    <cellStyle name="Percent 28 3" xfId="4337"/>
    <cellStyle name="Percent 28 3 2" xfId="4338"/>
    <cellStyle name="Percent 28 3 2 2" xfId="5382"/>
    <cellStyle name="Percent 28 3 2 2 2" xfId="7007"/>
    <cellStyle name="Percent 28 3 2 2 2 2" xfId="10093"/>
    <cellStyle name="Percent 28 3 2 2 2 2 2" xfId="16286"/>
    <cellStyle name="Percent 28 3 2 2 2 2 3" xfId="22438"/>
    <cellStyle name="Percent 28 3 2 2 2 3" xfId="13220"/>
    <cellStyle name="Percent 28 3 2 2 2 4" xfId="19372"/>
    <cellStyle name="Percent 28 3 2 2 3" xfId="8558"/>
    <cellStyle name="Percent 28 3 2 2 3 2" xfId="14752"/>
    <cellStyle name="Percent 28 3 2 2 3 3" xfId="20904"/>
    <cellStyle name="Percent 28 3 2 2 4" xfId="11686"/>
    <cellStyle name="Percent 28 3 2 2 5" xfId="17838"/>
    <cellStyle name="Percent 28 3 2 3" xfId="6231"/>
    <cellStyle name="Percent 28 3 2 3 2" xfId="9324"/>
    <cellStyle name="Percent 28 3 2 3 2 2" xfId="15517"/>
    <cellStyle name="Percent 28 3 2 3 2 3" xfId="21669"/>
    <cellStyle name="Percent 28 3 2 3 3" xfId="12451"/>
    <cellStyle name="Percent 28 3 2 3 4" xfId="18603"/>
    <cellStyle name="Percent 28 3 2 4" xfId="7789"/>
    <cellStyle name="Percent 28 3 2 4 2" xfId="13983"/>
    <cellStyle name="Percent 28 3 2 4 3" xfId="20135"/>
    <cellStyle name="Percent 28 3 2 5" xfId="10917"/>
    <cellStyle name="Percent 28 3 2 6" xfId="17069"/>
    <cellStyle name="Percent 28 3 3" xfId="5381"/>
    <cellStyle name="Percent 28 3 3 2" xfId="7006"/>
    <cellStyle name="Percent 28 3 3 2 2" xfId="10092"/>
    <cellStyle name="Percent 28 3 3 2 2 2" xfId="16285"/>
    <cellStyle name="Percent 28 3 3 2 2 3" xfId="22437"/>
    <cellStyle name="Percent 28 3 3 2 3" xfId="13219"/>
    <cellStyle name="Percent 28 3 3 2 4" xfId="19371"/>
    <cellStyle name="Percent 28 3 3 3" xfId="8557"/>
    <cellStyle name="Percent 28 3 3 3 2" xfId="14751"/>
    <cellStyle name="Percent 28 3 3 3 3" xfId="20903"/>
    <cellStyle name="Percent 28 3 3 4" xfId="11685"/>
    <cellStyle name="Percent 28 3 3 5" xfId="17837"/>
    <cellStyle name="Percent 28 3 4" xfId="6230"/>
    <cellStyle name="Percent 28 3 4 2" xfId="9323"/>
    <cellStyle name="Percent 28 3 4 2 2" xfId="15516"/>
    <cellStyle name="Percent 28 3 4 2 3" xfId="21668"/>
    <cellStyle name="Percent 28 3 4 3" xfId="12450"/>
    <cellStyle name="Percent 28 3 4 4" xfId="18602"/>
    <cellStyle name="Percent 28 3 5" xfId="7788"/>
    <cellStyle name="Percent 28 3 5 2" xfId="13982"/>
    <cellStyle name="Percent 28 3 5 3" xfId="20134"/>
    <cellStyle name="Percent 28 3 6" xfId="10916"/>
    <cellStyle name="Percent 28 3 7" xfId="17068"/>
    <cellStyle name="Percent 28 4" xfId="4339"/>
    <cellStyle name="Percent 28 4 2" xfId="4340"/>
    <cellStyle name="Percent 28 4 2 2" xfId="5383"/>
    <cellStyle name="Percent 28 4 2 2 2" xfId="7008"/>
    <cellStyle name="Percent 28 4 2 2 2 2" xfId="10094"/>
    <cellStyle name="Percent 28 4 2 2 2 2 2" xfId="16287"/>
    <cellStyle name="Percent 28 4 2 2 2 2 3" xfId="22439"/>
    <cellStyle name="Percent 28 4 2 2 2 3" xfId="13221"/>
    <cellStyle name="Percent 28 4 2 2 2 4" xfId="19373"/>
    <cellStyle name="Percent 28 4 2 2 3" xfId="8559"/>
    <cellStyle name="Percent 28 4 2 2 3 2" xfId="14753"/>
    <cellStyle name="Percent 28 4 2 2 3 3" xfId="20905"/>
    <cellStyle name="Percent 28 4 2 2 4" xfId="11687"/>
    <cellStyle name="Percent 28 4 2 2 5" xfId="17839"/>
    <cellStyle name="Percent 28 4 2 3" xfId="6232"/>
    <cellStyle name="Percent 28 4 2 3 2" xfId="9325"/>
    <cellStyle name="Percent 28 4 2 3 2 2" xfId="15518"/>
    <cellStyle name="Percent 28 4 2 3 2 3" xfId="21670"/>
    <cellStyle name="Percent 28 4 2 3 3" xfId="12452"/>
    <cellStyle name="Percent 28 4 2 3 4" xfId="18604"/>
    <cellStyle name="Percent 28 4 2 4" xfId="7790"/>
    <cellStyle name="Percent 28 4 2 4 2" xfId="13984"/>
    <cellStyle name="Percent 28 4 2 4 3" xfId="20136"/>
    <cellStyle name="Percent 28 4 2 5" xfId="10918"/>
    <cellStyle name="Percent 28 4 2 6" xfId="17070"/>
    <cellStyle name="Percent 28 5" xfId="4341"/>
    <cellStyle name="Percent 28 5 2" xfId="5384"/>
    <cellStyle name="Percent 28 5 2 2" xfId="7009"/>
    <cellStyle name="Percent 28 5 2 2 2" xfId="10095"/>
    <cellStyle name="Percent 28 5 2 2 2 2" xfId="16288"/>
    <cellStyle name="Percent 28 5 2 2 2 3" xfId="22440"/>
    <cellStyle name="Percent 28 5 2 2 3" xfId="13222"/>
    <cellStyle name="Percent 28 5 2 2 4" xfId="19374"/>
    <cellStyle name="Percent 28 5 2 3" xfId="8560"/>
    <cellStyle name="Percent 28 5 2 3 2" xfId="14754"/>
    <cellStyle name="Percent 28 5 2 3 3" xfId="20906"/>
    <cellStyle name="Percent 28 5 2 4" xfId="11688"/>
    <cellStyle name="Percent 28 5 2 5" xfId="17840"/>
    <cellStyle name="Percent 28 5 3" xfId="6233"/>
    <cellStyle name="Percent 28 5 3 2" xfId="9326"/>
    <cellStyle name="Percent 28 5 3 2 2" xfId="15519"/>
    <cellStyle name="Percent 28 5 3 2 3" xfId="21671"/>
    <cellStyle name="Percent 28 5 3 3" xfId="12453"/>
    <cellStyle name="Percent 28 5 3 4" xfId="18605"/>
    <cellStyle name="Percent 28 5 4" xfId="7791"/>
    <cellStyle name="Percent 28 5 4 2" xfId="13985"/>
    <cellStyle name="Percent 28 5 4 3" xfId="20137"/>
    <cellStyle name="Percent 28 5 5" xfId="10919"/>
    <cellStyle name="Percent 28 5 6" xfId="17071"/>
    <cellStyle name="Percent 29" xfId="4342"/>
    <cellStyle name="Percent 29 2" xfId="4343"/>
    <cellStyle name="Percent 29 2 2" xfId="4344"/>
    <cellStyle name="Percent 29 2 2 2" xfId="5386"/>
    <cellStyle name="Percent 29 2 2 2 2" xfId="7011"/>
    <cellStyle name="Percent 29 2 2 2 2 2" xfId="10097"/>
    <cellStyle name="Percent 29 2 2 2 2 2 2" xfId="16290"/>
    <cellStyle name="Percent 29 2 2 2 2 2 3" xfId="22442"/>
    <cellStyle name="Percent 29 2 2 2 2 3" xfId="13224"/>
    <cellStyle name="Percent 29 2 2 2 2 4" xfId="19376"/>
    <cellStyle name="Percent 29 2 2 2 3" xfId="8562"/>
    <cellStyle name="Percent 29 2 2 2 3 2" xfId="14756"/>
    <cellStyle name="Percent 29 2 2 2 3 3" xfId="20908"/>
    <cellStyle name="Percent 29 2 2 2 4" xfId="11690"/>
    <cellStyle name="Percent 29 2 2 2 5" xfId="17842"/>
    <cellStyle name="Percent 29 2 2 3" xfId="6236"/>
    <cellStyle name="Percent 29 2 2 3 2" xfId="9328"/>
    <cellStyle name="Percent 29 2 2 3 2 2" xfId="15521"/>
    <cellStyle name="Percent 29 2 2 3 2 3" xfId="21673"/>
    <cellStyle name="Percent 29 2 2 3 3" xfId="12455"/>
    <cellStyle name="Percent 29 2 2 3 4" xfId="18607"/>
    <cellStyle name="Percent 29 2 2 4" xfId="7793"/>
    <cellStyle name="Percent 29 2 2 4 2" xfId="13987"/>
    <cellStyle name="Percent 29 2 2 4 3" xfId="20139"/>
    <cellStyle name="Percent 29 2 2 5" xfId="10921"/>
    <cellStyle name="Percent 29 2 2 6" xfId="17073"/>
    <cellStyle name="Percent 29 2 3" xfId="5385"/>
    <cellStyle name="Percent 29 2 3 2" xfId="7010"/>
    <cellStyle name="Percent 29 2 3 2 2" xfId="10096"/>
    <cellStyle name="Percent 29 2 3 2 2 2" xfId="16289"/>
    <cellStyle name="Percent 29 2 3 2 2 3" xfId="22441"/>
    <cellStyle name="Percent 29 2 3 2 3" xfId="13223"/>
    <cellStyle name="Percent 29 2 3 2 4" xfId="19375"/>
    <cellStyle name="Percent 29 2 3 3" xfId="8561"/>
    <cellStyle name="Percent 29 2 3 3 2" xfId="14755"/>
    <cellStyle name="Percent 29 2 3 3 3" xfId="20907"/>
    <cellStyle name="Percent 29 2 3 4" xfId="11689"/>
    <cellStyle name="Percent 29 2 3 5" xfId="17841"/>
    <cellStyle name="Percent 29 2 4" xfId="6235"/>
    <cellStyle name="Percent 29 2 4 2" xfId="9327"/>
    <cellStyle name="Percent 29 2 4 2 2" xfId="15520"/>
    <cellStyle name="Percent 29 2 4 2 3" xfId="21672"/>
    <cellStyle name="Percent 29 2 4 3" xfId="12454"/>
    <cellStyle name="Percent 29 2 4 4" xfId="18606"/>
    <cellStyle name="Percent 29 2 5" xfId="7792"/>
    <cellStyle name="Percent 29 2 5 2" xfId="13986"/>
    <cellStyle name="Percent 29 2 5 3" xfId="20138"/>
    <cellStyle name="Percent 29 2 6" xfId="10920"/>
    <cellStyle name="Percent 29 2 7" xfId="17072"/>
    <cellStyle name="Percent 29 3" xfId="4345"/>
    <cellStyle name="Percent 29 3 2" xfId="4346"/>
    <cellStyle name="Percent 29 3 2 2" xfId="5388"/>
    <cellStyle name="Percent 29 3 2 2 2" xfId="7013"/>
    <cellStyle name="Percent 29 3 2 2 2 2" xfId="10099"/>
    <cellStyle name="Percent 29 3 2 2 2 2 2" xfId="16292"/>
    <cellStyle name="Percent 29 3 2 2 2 2 3" xfId="22444"/>
    <cellStyle name="Percent 29 3 2 2 2 3" xfId="13226"/>
    <cellStyle name="Percent 29 3 2 2 2 4" xfId="19378"/>
    <cellStyle name="Percent 29 3 2 2 3" xfId="8564"/>
    <cellStyle name="Percent 29 3 2 2 3 2" xfId="14758"/>
    <cellStyle name="Percent 29 3 2 2 3 3" xfId="20910"/>
    <cellStyle name="Percent 29 3 2 2 4" xfId="11692"/>
    <cellStyle name="Percent 29 3 2 2 5" xfId="17844"/>
    <cellStyle name="Percent 29 3 2 3" xfId="6238"/>
    <cellStyle name="Percent 29 3 2 3 2" xfId="9330"/>
    <cellStyle name="Percent 29 3 2 3 2 2" xfId="15523"/>
    <cellStyle name="Percent 29 3 2 3 2 3" xfId="21675"/>
    <cellStyle name="Percent 29 3 2 3 3" xfId="12457"/>
    <cellStyle name="Percent 29 3 2 3 4" xfId="18609"/>
    <cellStyle name="Percent 29 3 2 4" xfId="7795"/>
    <cellStyle name="Percent 29 3 2 4 2" xfId="13989"/>
    <cellStyle name="Percent 29 3 2 4 3" xfId="20141"/>
    <cellStyle name="Percent 29 3 2 5" xfId="10923"/>
    <cellStyle name="Percent 29 3 2 6" xfId="17075"/>
    <cellStyle name="Percent 29 3 3" xfId="5387"/>
    <cellStyle name="Percent 29 3 3 2" xfId="7012"/>
    <cellStyle name="Percent 29 3 3 2 2" xfId="10098"/>
    <cellStyle name="Percent 29 3 3 2 2 2" xfId="16291"/>
    <cellStyle name="Percent 29 3 3 2 2 3" xfId="22443"/>
    <cellStyle name="Percent 29 3 3 2 3" xfId="13225"/>
    <cellStyle name="Percent 29 3 3 2 4" xfId="19377"/>
    <cellStyle name="Percent 29 3 3 3" xfId="8563"/>
    <cellStyle name="Percent 29 3 3 3 2" xfId="14757"/>
    <cellStyle name="Percent 29 3 3 3 3" xfId="20909"/>
    <cellStyle name="Percent 29 3 3 4" xfId="11691"/>
    <cellStyle name="Percent 29 3 3 5" xfId="17843"/>
    <cellStyle name="Percent 29 3 4" xfId="6237"/>
    <cellStyle name="Percent 29 3 4 2" xfId="9329"/>
    <cellStyle name="Percent 29 3 4 2 2" xfId="15522"/>
    <cellStyle name="Percent 29 3 4 2 3" xfId="21674"/>
    <cellStyle name="Percent 29 3 4 3" xfId="12456"/>
    <cellStyle name="Percent 29 3 4 4" xfId="18608"/>
    <cellStyle name="Percent 29 3 5" xfId="7794"/>
    <cellStyle name="Percent 29 3 5 2" xfId="13988"/>
    <cellStyle name="Percent 29 3 5 3" xfId="20140"/>
    <cellStyle name="Percent 29 3 6" xfId="10922"/>
    <cellStyle name="Percent 29 3 7" xfId="17074"/>
    <cellStyle name="Percent 29 4" xfId="4347"/>
    <cellStyle name="Percent 29 4 2" xfId="4348"/>
    <cellStyle name="Percent 29 4 2 2" xfId="5389"/>
    <cellStyle name="Percent 29 4 2 2 2" xfId="7014"/>
    <cellStyle name="Percent 29 4 2 2 2 2" xfId="10100"/>
    <cellStyle name="Percent 29 4 2 2 2 2 2" xfId="16293"/>
    <cellStyle name="Percent 29 4 2 2 2 2 3" xfId="22445"/>
    <cellStyle name="Percent 29 4 2 2 2 3" xfId="13227"/>
    <cellStyle name="Percent 29 4 2 2 2 4" xfId="19379"/>
    <cellStyle name="Percent 29 4 2 2 3" xfId="8565"/>
    <cellStyle name="Percent 29 4 2 2 3 2" xfId="14759"/>
    <cellStyle name="Percent 29 4 2 2 3 3" xfId="20911"/>
    <cellStyle name="Percent 29 4 2 2 4" xfId="11693"/>
    <cellStyle name="Percent 29 4 2 2 5" xfId="17845"/>
    <cellStyle name="Percent 29 4 2 3" xfId="6239"/>
    <cellStyle name="Percent 29 4 2 3 2" xfId="9331"/>
    <cellStyle name="Percent 29 4 2 3 2 2" xfId="15524"/>
    <cellStyle name="Percent 29 4 2 3 2 3" xfId="21676"/>
    <cellStyle name="Percent 29 4 2 3 3" xfId="12458"/>
    <cellStyle name="Percent 29 4 2 3 4" xfId="18610"/>
    <cellStyle name="Percent 29 4 2 4" xfId="7796"/>
    <cellStyle name="Percent 29 4 2 4 2" xfId="13990"/>
    <cellStyle name="Percent 29 4 2 4 3" xfId="20142"/>
    <cellStyle name="Percent 29 4 2 5" xfId="10924"/>
    <cellStyle name="Percent 29 4 2 6" xfId="17076"/>
    <cellStyle name="Percent 29 5" xfId="4349"/>
    <cellStyle name="Percent 29 5 2" xfId="5390"/>
    <cellStyle name="Percent 29 5 2 2" xfId="7015"/>
    <cellStyle name="Percent 29 5 2 2 2" xfId="10101"/>
    <cellStyle name="Percent 29 5 2 2 2 2" xfId="16294"/>
    <cellStyle name="Percent 29 5 2 2 2 3" xfId="22446"/>
    <cellStyle name="Percent 29 5 2 2 3" xfId="13228"/>
    <cellStyle name="Percent 29 5 2 2 4" xfId="19380"/>
    <cellStyle name="Percent 29 5 2 3" xfId="8566"/>
    <cellStyle name="Percent 29 5 2 3 2" xfId="14760"/>
    <cellStyle name="Percent 29 5 2 3 3" xfId="20912"/>
    <cellStyle name="Percent 29 5 2 4" xfId="11694"/>
    <cellStyle name="Percent 29 5 2 5" xfId="17846"/>
    <cellStyle name="Percent 29 5 3" xfId="6240"/>
    <cellStyle name="Percent 29 5 3 2" xfId="9332"/>
    <cellStyle name="Percent 29 5 3 2 2" xfId="15525"/>
    <cellStyle name="Percent 29 5 3 2 3" xfId="21677"/>
    <cellStyle name="Percent 29 5 3 3" xfId="12459"/>
    <cellStyle name="Percent 29 5 3 4" xfId="18611"/>
    <cellStyle name="Percent 29 5 4" xfId="7797"/>
    <cellStyle name="Percent 29 5 4 2" xfId="13991"/>
    <cellStyle name="Percent 29 5 4 3" xfId="20143"/>
    <cellStyle name="Percent 29 5 5" xfId="10925"/>
    <cellStyle name="Percent 29 5 6" xfId="17077"/>
    <cellStyle name="Percent 3" xfId="45"/>
    <cellStyle name="Percent 3 10" xfId="343"/>
    <cellStyle name="Percent 3 10 2" xfId="5391"/>
    <cellStyle name="Percent 3 10 2 2" xfId="7016"/>
    <cellStyle name="Percent 3 10 2 2 2" xfId="10102"/>
    <cellStyle name="Percent 3 10 2 2 2 2" xfId="16295"/>
    <cellStyle name="Percent 3 10 2 2 2 3" xfId="22447"/>
    <cellStyle name="Percent 3 10 2 2 3" xfId="13229"/>
    <cellStyle name="Percent 3 10 2 2 4" xfId="19381"/>
    <cellStyle name="Percent 3 10 2 3" xfId="8567"/>
    <cellStyle name="Percent 3 10 2 3 2" xfId="14761"/>
    <cellStyle name="Percent 3 10 2 3 3" xfId="20913"/>
    <cellStyle name="Percent 3 10 2 4" xfId="11695"/>
    <cellStyle name="Percent 3 10 2 5" xfId="17847"/>
    <cellStyle name="Percent 3 10 3" xfId="6241"/>
    <cellStyle name="Percent 3 10 3 2" xfId="9333"/>
    <cellStyle name="Percent 3 10 3 2 2" xfId="15526"/>
    <cellStyle name="Percent 3 10 3 2 3" xfId="21678"/>
    <cellStyle name="Percent 3 10 3 3" xfId="12460"/>
    <cellStyle name="Percent 3 10 3 4" xfId="18612"/>
    <cellStyle name="Percent 3 10 4" xfId="7798"/>
    <cellStyle name="Percent 3 10 4 2" xfId="13992"/>
    <cellStyle name="Percent 3 10 4 3" xfId="20144"/>
    <cellStyle name="Percent 3 10 5" xfId="10926"/>
    <cellStyle name="Percent 3 10 6" xfId="17078"/>
    <cellStyle name="Percent 3 10 7" xfId="4350"/>
    <cellStyle name="Percent 3 11" xfId="363"/>
    <cellStyle name="Percent 3 11 2" xfId="5392"/>
    <cellStyle name="Percent 3 11 2 2" xfId="7017"/>
    <cellStyle name="Percent 3 11 2 2 2" xfId="10103"/>
    <cellStyle name="Percent 3 11 2 2 2 2" xfId="16296"/>
    <cellStyle name="Percent 3 11 2 2 2 3" xfId="22448"/>
    <cellStyle name="Percent 3 11 2 2 3" xfId="13230"/>
    <cellStyle name="Percent 3 11 2 2 4" xfId="19382"/>
    <cellStyle name="Percent 3 11 2 3" xfId="8568"/>
    <cellStyle name="Percent 3 11 2 3 2" xfId="14762"/>
    <cellStyle name="Percent 3 11 2 3 3" xfId="20914"/>
    <cellStyle name="Percent 3 11 2 4" xfId="11696"/>
    <cellStyle name="Percent 3 11 2 5" xfId="17848"/>
    <cellStyle name="Percent 3 11 3" xfId="6242"/>
    <cellStyle name="Percent 3 11 3 2" xfId="9334"/>
    <cellStyle name="Percent 3 11 3 2 2" xfId="15527"/>
    <cellStyle name="Percent 3 11 3 2 3" xfId="21679"/>
    <cellStyle name="Percent 3 11 3 3" xfId="12461"/>
    <cellStyle name="Percent 3 11 3 4" xfId="18613"/>
    <cellStyle name="Percent 3 11 4" xfId="7799"/>
    <cellStyle name="Percent 3 11 4 2" xfId="13993"/>
    <cellStyle name="Percent 3 11 4 3" xfId="20145"/>
    <cellStyle name="Percent 3 11 5" xfId="10927"/>
    <cellStyle name="Percent 3 11 6" xfId="17079"/>
    <cellStyle name="Percent 3 11 7" xfId="4351"/>
    <cellStyle name="Percent 3 12" xfId="378"/>
    <cellStyle name="Percent 3 12 2" xfId="5393"/>
    <cellStyle name="Percent 3 12 2 2" xfId="7018"/>
    <cellStyle name="Percent 3 12 2 2 2" xfId="10104"/>
    <cellStyle name="Percent 3 12 2 2 2 2" xfId="16297"/>
    <cellStyle name="Percent 3 12 2 2 2 3" xfId="22449"/>
    <cellStyle name="Percent 3 12 2 2 3" xfId="13231"/>
    <cellStyle name="Percent 3 12 2 2 4" xfId="19383"/>
    <cellStyle name="Percent 3 12 2 3" xfId="8569"/>
    <cellStyle name="Percent 3 12 2 3 2" xfId="14763"/>
    <cellStyle name="Percent 3 12 2 3 3" xfId="20915"/>
    <cellStyle name="Percent 3 12 2 4" xfId="11697"/>
    <cellStyle name="Percent 3 12 2 5" xfId="17849"/>
    <cellStyle name="Percent 3 12 3" xfId="6243"/>
    <cellStyle name="Percent 3 12 3 2" xfId="9335"/>
    <cellStyle name="Percent 3 12 3 2 2" xfId="15528"/>
    <cellStyle name="Percent 3 12 3 2 3" xfId="21680"/>
    <cellStyle name="Percent 3 12 3 3" xfId="12462"/>
    <cellStyle name="Percent 3 12 3 4" xfId="18614"/>
    <cellStyle name="Percent 3 12 4" xfId="7800"/>
    <cellStyle name="Percent 3 12 4 2" xfId="13994"/>
    <cellStyle name="Percent 3 12 4 3" xfId="20146"/>
    <cellStyle name="Percent 3 12 5" xfId="10928"/>
    <cellStyle name="Percent 3 12 6" xfId="17080"/>
    <cellStyle name="Percent 3 12 7" xfId="4352"/>
    <cellStyle name="Percent 3 13" xfId="394"/>
    <cellStyle name="Percent 3 13 2" xfId="5394"/>
    <cellStyle name="Percent 3 13 2 2" xfId="7019"/>
    <cellStyle name="Percent 3 13 2 2 2" xfId="10105"/>
    <cellStyle name="Percent 3 13 2 2 2 2" xfId="16298"/>
    <cellStyle name="Percent 3 13 2 2 2 3" xfId="22450"/>
    <cellStyle name="Percent 3 13 2 2 3" xfId="13232"/>
    <cellStyle name="Percent 3 13 2 2 4" xfId="19384"/>
    <cellStyle name="Percent 3 13 2 3" xfId="8570"/>
    <cellStyle name="Percent 3 13 2 3 2" xfId="14764"/>
    <cellStyle name="Percent 3 13 2 3 3" xfId="20916"/>
    <cellStyle name="Percent 3 13 2 4" xfId="11698"/>
    <cellStyle name="Percent 3 13 2 5" xfId="17850"/>
    <cellStyle name="Percent 3 13 3" xfId="6244"/>
    <cellStyle name="Percent 3 13 3 2" xfId="9336"/>
    <cellStyle name="Percent 3 13 3 2 2" xfId="15529"/>
    <cellStyle name="Percent 3 13 3 2 3" xfId="21681"/>
    <cellStyle name="Percent 3 13 3 3" xfId="12463"/>
    <cellStyle name="Percent 3 13 3 4" xfId="18615"/>
    <cellStyle name="Percent 3 13 4" xfId="7801"/>
    <cellStyle name="Percent 3 13 4 2" xfId="13995"/>
    <cellStyle name="Percent 3 13 4 3" xfId="20147"/>
    <cellStyle name="Percent 3 13 5" xfId="10929"/>
    <cellStyle name="Percent 3 13 6" xfId="17081"/>
    <cellStyle name="Percent 3 13 7" xfId="4353"/>
    <cellStyle name="Percent 3 14" xfId="407"/>
    <cellStyle name="Percent 3 14 2" xfId="5395"/>
    <cellStyle name="Percent 3 14 2 2" xfId="7020"/>
    <cellStyle name="Percent 3 14 2 2 2" xfId="10106"/>
    <cellStyle name="Percent 3 14 2 2 2 2" xfId="16299"/>
    <cellStyle name="Percent 3 14 2 2 2 3" xfId="22451"/>
    <cellStyle name="Percent 3 14 2 2 3" xfId="13233"/>
    <cellStyle name="Percent 3 14 2 2 4" xfId="19385"/>
    <cellStyle name="Percent 3 14 2 3" xfId="8571"/>
    <cellStyle name="Percent 3 14 2 3 2" xfId="14765"/>
    <cellStyle name="Percent 3 14 2 3 3" xfId="20917"/>
    <cellStyle name="Percent 3 14 2 4" xfId="11699"/>
    <cellStyle name="Percent 3 14 2 5" xfId="17851"/>
    <cellStyle name="Percent 3 14 3" xfId="6245"/>
    <cellStyle name="Percent 3 14 3 2" xfId="9337"/>
    <cellStyle name="Percent 3 14 3 2 2" xfId="15530"/>
    <cellStyle name="Percent 3 14 3 2 3" xfId="21682"/>
    <cellStyle name="Percent 3 14 3 3" xfId="12464"/>
    <cellStyle name="Percent 3 14 3 4" xfId="18616"/>
    <cellStyle name="Percent 3 14 4" xfId="7802"/>
    <cellStyle name="Percent 3 14 4 2" xfId="13996"/>
    <cellStyle name="Percent 3 14 4 3" xfId="20148"/>
    <cellStyle name="Percent 3 14 5" xfId="10930"/>
    <cellStyle name="Percent 3 14 6" xfId="17082"/>
    <cellStyle name="Percent 3 14 7" xfId="4354"/>
    <cellStyle name="Percent 3 15" xfId="385"/>
    <cellStyle name="Percent 3 15 2" xfId="5396"/>
    <cellStyle name="Percent 3 15 2 2" xfId="7021"/>
    <cellStyle name="Percent 3 15 2 2 2" xfId="10107"/>
    <cellStyle name="Percent 3 15 2 2 2 2" xfId="16300"/>
    <cellStyle name="Percent 3 15 2 2 2 3" xfId="22452"/>
    <cellStyle name="Percent 3 15 2 2 3" xfId="13234"/>
    <cellStyle name="Percent 3 15 2 2 4" xfId="19386"/>
    <cellStyle name="Percent 3 15 2 3" xfId="8572"/>
    <cellStyle name="Percent 3 15 2 3 2" xfId="14766"/>
    <cellStyle name="Percent 3 15 2 3 3" xfId="20918"/>
    <cellStyle name="Percent 3 15 2 4" xfId="11700"/>
    <cellStyle name="Percent 3 15 2 5" xfId="17852"/>
    <cellStyle name="Percent 3 15 3" xfId="6246"/>
    <cellStyle name="Percent 3 15 3 2" xfId="9338"/>
    <cellStyle name="Percent 3 15 3 2 2" xfId="15531"/>
    <cellStyle name="Percent 3 15 3 2 3" xfId="21683"/>
    <cellStyle name="Percent 3 15 3 3" xfId="12465"/>
    <cellStyle name="Percent 3 15 3 4" xfId="18617"/>
    <cellStyle name="Percent 3 15 4" xfId="7803"/>
    <cellStyle name="Percent 3 15 4 2" xfId="13997"/>
    <cellStyle name="Percent 3 15 4 3" xfId="20149"/>
    <cellStyle name="Percent 3 15 5" xfId="10931"/>
    <cellStyle name="Percent 3 15 6" xfId="17083"/>
    <cellStyle name="Percent 3 15 7" xfId="4355"/>
    <cellStyle name="Percent 3 16" xfId="455"/>
    <cellStyle name="Percent 3 16 2" xfId="5397"/>
    <cellStyle name="Percent 3 16 2 2" xfId="7022"/>
    <cellStyle name="Percent 3 16 2 2 2" xfId="10108"/>
    <cellStyle name="Percent 3 16 2 2 2 2" xfId="16301"/>
    <cellStyle name="Percent 3 16 2 2 2 3" xfId="22453"/>
    <cellStyle name="Percent 3 16 2 2 3" xfId="13235"/>
    <cellStyle name="Percent 3 16 2 2 4" xfId="19387"/>
    <cellStyle name="Percent 3 16 2 3" xfId="8573"/>
    <cellStyle name="Percent 3 16 2 3 2" xfId="14767"/>
    <cellStyle name="Percent 3 16 2 3 3" xfId="20919"/>
    <cellStyle name="Percent 3 16 2 4" xfId="11701"/>
    <cellStyle name="Percent 3 16 2 5" xfId="17853"/>
    <cellStyle name="Percent 3 16 3" xfId="6247"/>
    <cellStyle name="Percent 3 16 3 2" xfId="9339"/>
    <cellStyle name="Percent 3 16 3 2 2" xfId="15532"/>
    <cellStyle name="Percent 3 16 3 2 3" xfId="21684"/>
    <cellStyle name="Percent 3 16 3 3" xfId="12466"/>
    <cellStyle name="Percent 3 16 3 4" xfId="18618"/>
    <cellStyle name="Percent 3 16 4" xfId="7804"/>
    <cellStyle name="Percent 3 16 4 2" xfId="13998"/>
    <cellStyle name="Percent 3 16 4 3" xfId="20150"/>
    <cellStyle name="Percent 3 16 5" xfId="10932"/>
    <cellStyle name="Percent 3 16 6" xfId="17084"/>
    <cellStyle name="Percent 3 16 7" xfId="4356"/>
    <cellStyle name="Percent 3 17" xfId="468"/>
    <cellStyle name="Percent 3 17 2" xfId="5398"/>
    <cellStyle name="Percent 3 17 2 2" xfId="7023"/>
    <cellStyle name="Percent 3 17 2 2 2" xfId="10109"/>
    <cellStyle name="Percent 3 17 2 2 2 2" xfId="16302"/>
    <cellStyle name="Percent 3 17 2 2 2 3" xfId="22454"/>
    <cellStyle name="Percent 3 17 2 2 3" xfId="13236"/>
    <cellStyle name="Percent 3 17 2 2 4" xfId="19388"/>
    <cellStyle name="Percent 3 17 2 3" xfId="8574"/>
    <cellStyle name="Percent 3 17 2 3 2" xfId="14768"/>
    <cellStyle name="Percent 3 17 2 3 3" xfId="20920"/>
    <cellStyle name="Percent 3 17 2 4" xfId="11702"/>
    <cellStyle name="Percent 3 17 2 5" xfId="17854"/>
    <cellStyle name="Percent 3 17 3" xfId="6248"/>
    <cellStyle name="Percent 3 17 3 2" xfId="9340"/>
    <cellStyle name="Percent 3 17 3 2 2" xfId="15533"/>
    <cellStyle name="Percent 3 17 3 2 3" xfId="21685"/>
    <cellStyle name="Percent 3 17 3 3" xfId="12467"/>
    <cellStyle name="Percent 3 17 3 4" xfId="18619"/>
    <cellStyle name="Percent 3 17 4" xfId="7805"/>
    <cellStyle name="Percent 3 17 4 2" xfId="13999"/>
    <cellStyle name="Percent 3 17 4 3" xfId="20151"/>
    <cellStyle name="Percent 3 17 5" xfId="10933"/>
    <cellStyle name="Percent 3 17 6" xfId="17085"/>
    <cellStyle name="Percent 3 17 7" xfId="4357"/>
    <cellStyle name="Percent 3 18" xfId="501"/>
    <cellStyle name="Percent 3 18 2" xfId="5399"/>
    <cellStyle name="Percent 3 18 2 2" xfId="7024"/>
    <cellStyle name="Percent 3 18 2 2 2" xfId="10110"/>
    <cellStyle name="Percent 3 18 2 2 2 2" xfId="16303"/>
    <cellStyle name="Percent 3 18 2 2 2 3" xfId="22455"/>
    <cellStyle name="Percent 3 18 2 2 3" xfId="13237"/>
    <cellStyle name="Percent 3 18 2 2 4" xfId="19389"/>
    <cellStyle name="Percent 3 18 2 3" xfId="8575"/>
    <cellStyle name="Percent 3 18 2 3 2" xfId="14769"/>
    <cellStyle name="Percent 3 18 2 3 3" xfId="20921"/>
    <cellStyle name="Percent 3 18 2 4" xfId="11703"/>
    <cellStyle name="Percent 3 18 2 5" xfId="17855"/>
    <cellStyle name="Percent 3 18 3" xfId="6249"/>
    <cellStyle name="Percent 3 18 3 2" xfId="9341"/>
    <cellStyle name="Percent 3 18 3 2 2" xfId="15534"/>
    <cellStyle name="Percent 3 18 3 2 3" xfId="21686"/>
    <cellStyle name="Percent 3 18 3 3" xfId="12468"/>
    <cellStyle name="Percent 3 18 3 4" xfId="18620"/>
    <cellStyle name="Percent 3 18 4" xfId="7806"/>
    <cellStyle name="Percent 3 18 4 2" xfId="14000"/>
    <cellStyle name="Percent 3 18 4 3" xfId="20152"/>
    <cellStyle name="Percent 3 18 5" xfId="10934"/>
    <cellStyle name="Percent 3 18 6" xfId="17086"/>
    <cellStyle name="Percent 3 18 7" xfId="4358"/>
    <cellStyle name="Percent 3 19" xfId="517"/>
    <cellStyle name="Percent 3 19 2" xfId="5400"/>
    <cellStyle name="Percent 3 19 2 2" xfId="7025"/>
    <cellStyle name="Percent 3 19 2 2 2" xfId="10111"/>
    <cellStyle name="Percent 3 19 2 2 2 2" xfId="16304"/>
    <cellStyle name="Percent 3 19 2 2 2 3" xfId="22456"/>
    <cellStyle name="Percent 3 19 2 2 3" xfId="13238"/>
    <cellStyle name="Percent 3 19 2 2 4" xfId="19390"/>
    <cellStyle name="Percent 3 19 2 3" xfId="8576"/>
    <cellStyle name="Percent 3 19 2 3 2" xfId="14770"/>
    <cellStyle name="Percent 3 19 2 3 3" xfId="20922"/>
    <cellStyle name="Percent 3 19 2 4" xfId="11704"/>
    <cellStyle name="Percent 3 19 2 5" xfId="17856"/>
    <cellStyle name="Percent 3 19 3" xfId="6250"/>
    <cellStyle name="Percent 3 19 3 2" xfId="9342"/>
    <cellStyle name="Percent 3 19 3 2 2" xfId="15535"/>
    <cellStyle name="Percent 3 19 3 2 3" xfId="21687"/>
    <cellStyle name="Percent 3 19 3 3" xfId="12469"/>
    <cellStyle name="Percent 3 19 3 4" xfId="18621"/>
    <cellStyle name="Percent 3 19 4" xfId="7807"/>
    <cellStyle name="Percent 3 19 4 2" xfId="14001"/>
    <cellStyle name="Percent 3 19 4 3" xfId="20153"/>
    <cellStyle name="Percent 3 19 5" xfId="10935"/>
    <cellStyle name="Percent 3 19 6" xfId="17087"/>
    <cellStyle name="Percent 3 19 7" xfId="4359"/>
    <cellStyle name="Percent 3 2" xfId="61"/>
    <cellStyle name="Percent 3 2 10" xfId="4361"/>
    <cellStyle name="Percent 3 2 10 2" xfId="5402"/>
    <cellStyle name="Percent 3 2 10 2 2" xfId="7027"/>
    <cellStyle name="Percent 3 2 10 2 2 2" xfId="10113"/>
    <cellStyle name="Percent 3 2 10 2 2 2 2" xfId="16306"/>
    <cellStyle name="Percent 3 2 10 2 2 2 3" xfId="22458"/>
    <cellStyle name="Percent 3 2 10 2 2 3" xfId="13240"/>
    <cellStyle name="Percent 3 2 10 2 2 4" xfId="19392"/>
    <cellStyle name="Percent 3 2 10 2 3" xfId="8578"/>
    <cellStyle name="Percent 3 2 10 2 3 2" xfId="14772"/>
    <cellStyle name="Percent 3 2 10 2 3 3" xfId="20924"/>
    <cellStyle name="Percent 3 2 10 2 4" xfId="11706"/>
    <cellStyle name="Percent 3 2 10 2 5" xfId="17858"/>
    <cellStyle name="Percent 3 2 10 3" xfId="6252"/>
    <cellStyle name="Percent 3 2 10 3 2" xfId="9344"/>
    <cellStyle name="Percent 3 2 10 3 2 2" xfId="15537"/>
    <cellStyle name="Percent 3 2 10 3 2 3" xfId="21689"/>
    <cellStyle name="Percent 3 2 10 3 3" xfId="12471"/>
    <cellStyle name="Percent 3 2 10 3 4" xfId="18623"/>
    <cellStyle name="Percent 3 2 10 4" xfId="7809"/>
    <cellStyle name="Percent 3 2 10 4 2" xfId="14003"/>
    <cellStyle name="Percent 3 2 10 4 3" xfId="20155"/>
    <cellStyle name="Percent 3 2 10 5" xfId="10937"/>
    <cellStyle name="Percent 3 2 10 6" xfId="17089"/>
    <cellStyle name="Percent 3 2 11" xfId="4362"/>
    <cellStyle name="Percent 3 2 11 2" xfId="5403"/>
    <cellStyle name="Percent 3 2 11 2 2" xfId="7028"/>
    <cellStyle name="Percent 3 2 11 2 2 2" xfId="10114"/>
    <cellStyle name="Percent 3 2 11 2 2 2 2" xfId="16307"/>
    <cellStyle name="Percent 3 2 11 2 2 2 3" xfId="22459"/>
    <cellStyle name="Percent 3 2 11 2 2 3" xfId="13241"/>
    <cellStyle name="Percent 3 2 11 2 2 4" xfId="19393"/>
    <cellStyle name="Percent 3 2 11 2 3" xfId="8579"/>
    <cellStyle name="Percent 3 2 11 2 3 2" xfId="14773"/>
    <cellStyle name="Percent 3 2 11 2 3 3" xfId="20925"/>
    <cellStyle name="Percent 3 2 11 2 4" xfId="11707"/>
    <cellStyle name="Percent 3 2 11 2 5" xfId="17859"/>
    <cellStyle name="Percent 3 2 11 3" xfId="6253"/>
    <cellStyle name="Percent 3 2 11 3 2" xfId="9345"/>
    <cellStyle name="Percent 3 2 11 3 2 2" xfId="15538"/>
    <cellStyle name="Percent 3 2 11 3 2 3" xfId="21690"/>
    <cellStyle name="Percent 3 2 11 3 3" xfId="12472"/>
    <cellStyle name="Percent 3 2 11 3 4" xfId="18624"/>
    <cellStyle name="Percent 3 2 11 4" xfId="7810"/>
    <cellStyle name="Percent 3 2 11 4 2" xfId="14004"/>
    <cellStyle name="Percent 3 2 11 4 3" xfId="20156"/>
    <cellStyle name="Percent 3 2 11 5" xfId="10938"/>
    <cellStyle name="Percent 3 2 11 6" xfId="17090"/>
    <cellStyle name="Percent 3 2 12" xfId="4363"/>
    <cellStyle name="Percent 3 2 12 2" xfId="5404"/>
    <cellStyle name="Percent 3 2 12 2 2" xfId="7029"/>
    <cellStyle name="Percent 3 2 12 2 2 2" xfId="10115"/>
    <cellStyle name="Percent 3 2 12 2 2 2 2" xfId="16308"/>
    <cellStyle name="Percent 3 2 12 2 2 2 3" xfId="22460"/>
    <cellStyle name="Percent 3 2 12 2 2 3" xfId="13242"/>
    <cellStyle name="Percent 3 2 12 2 2 4" xfId="19394"/>
    <cellStyle name="Percent 3 2 12 2 3" xfId="8580"/>
    <cellStyle name="Percent 3 2 12 2 3 2" xfId="14774"/>
    <cellStyle name="Percent 3 2 12 2 3 3" xfId="20926"/>
    <cellStyle name="Percent 3 2 12 2 4" xfId="11708"/>
    <cellStyle name="Percent 3 2 12 2 5" xfId="17860"/>
    <cellStyle name="Percent 3 2 12 3" xfId="6254"/>
    <cellStyle name="Percent 3 2 12 3 2" xfId="9346"/>
    <cellStyle name="Percent 3 2 12 3 2 2" xfId="15539"/>
    <cellStyle name="Percent 3 2 12 3 2 3" xfId="21691"/>
    <cellStyle name="Percent 3 2 12 3 3" xfId="12473"/>
    <cellStyle name="Percent 3 2 12 3 4" xfId="18625"/>
    <cellStyle name="Percent 3 2 12 4" xfId="7811"/>
    <cellStyle name="Percent 3 2 12 4 2" xfId="14005"/>
    <cellStyle name="Percent 3 2 12 4 3" xfId="20157"/>
    <cellStyle name="Percent 3 2 12 5" xfId="10939"/>
    <cellStyle name="Percent 3 2 12 6" xfId="17091"/>
    <cellStyle name="Percent 3 2 13" xfId="4364"/>
    <cellStyle name="Percent 3 2 13 2" xfId="5405"/>
    <cellStyle name="Percent 3 2 13 2 2" xfId="7030"/>
    <cellStyle name="Percent 3 2 13 2 2 2" xfId="10116"/>
    <cellStyle name="Percent 3 2 13 2 2 2 2" xfId="16309"/>
    <cellStyle name="Percent 3 2 13 2 2 2 3" xfId="22461"/>
    <cellStyle name="Percent 3 2 13 2 2 3" xfId="13243"/>
    <cellStyle name="Percent 3 2 13 2 2 4" xfId="19395"/>
    <cellStyle name="Percent 3 2 13 2 3" xfId="8581"/>
    <cellStyle name="Percent 3 2 13 2 3 2" xfId="14775"/>
    <cellStyle name="Percent 3 2 13 2 3 3" xfId="20927"/>
    <cellStyle name="Percent 3 2 13 2 4" xfId="11709"/>
    <cellStyle name="Percent 3 2 13 2 5" xfId="17861"/>
    <cellStyle name="Percent 3 2 13 3" xfId="6255"/>
    <cellStyle name="Percent 3 2 13 3 2" xfId="9347"/>
    <cellStyle name="Percent 3 2 13 3 2 2" xfId="15540"/>
    <cellStyle name="Percent 3 2 13 3 2 3" xfId="21692"/>
    <cellStyle name="Percent 3 2 13 3 3" xfId="12474"/>
    <cellStyle name="Percent 3 2 13 3 4" xfId="18626"/>
    <cellStyle name="Percent 3 2 13 4" xfId="7812"/>
    <cellStyle name="Percent 3 2 13 4 2" xfId="14006"/>
    <cellStyle name="Percent 3 2 13 4 3" xfId="20158"/>
    <cellStyle name="Percent 3 2 13 5" xfId="10940"/>
    <cellStyle name="Percent 3 2 13 6" xfId="17092"/>
    <cellStyle name="Percent 3 2 14" xfId="4365"/>
    <cellStyle name="Percent 3 2 14 2" xfId="5406"/>
    <cellStyle name="Percent 3 2 14 2 2" xfId="7031"/>
    <cellStyle name="Percent 3 2 14 2 2 2" xfId="10117"/>
    <cellStyle name="Percent 3 2 14 2 2 2 2" xfId="16310"/>
    <cellStyle name="Percent 3 2 14 2 2 2 3" xfId="22462"/>
    <cellStyle name="Percent 3 2 14 2 2 3" xfId="13244"/>
    <cellStyle name="Percent 3 2 14 2 2 4" xfId="19396"/>
    <cellStyle name="Percent 3 2 14 2 3" xfId="8582"/>
    <cellStyle name="Percent 3 2 14 2 3 2" xfId="14776"/>
    <cellStyle name="Percent 3 2 14 2 3 3" xfId="20928"/>
    <cellStyle name="Percent 3 2 14 2 4" xfId="11710"/>
    <cellStyle name="Percent 3 2 14 2 5" xfId="17862"/>
    <cellStyle name="Percent 3 2 14 3" xfId="6256"/>
    <cellStyle name="Percent 3 2 14 3 2" xfId="9348"/>
    <cellStyle name="Percent 3 2 14 3 2 2" xfId="15541"/>
    <cellStyle name="Percent 3 2 14 3 2 3" xfId="21693"/>
    <cellStyle name="Percent 3 2 14 3 3" xfId="12475"/>
    <cellStyle name="Percent 3 2 14 3 4" xfId="18627"/>
    <cellStyle name="Percent 3 2 14 4" xfId="7813"/>
    <cellStyle name="Percent 3 2 14 4 2" xfId="14007"/>
    <cellStyle name="Percent 3 2 14 4 3" xfId="20159"/>
    <cellStyle name="Percent 3 2 14 5" xfId="10941"/>
    <cellStyle name="Percent 3 2 14 6" xfId="17093"/>
    <cellStyle name="Percent 3 2 15" xfId="4366"/>
    <cellStyle name="Percent 3 2 15 2" xfId="5407"/>
    <cellStyle name="Percent 3 2 15 2 2" xfId="7032"/>
    <cellStyle name="Percent 3 2 15 2 2 2" xfId="10118"/>
    <cellStyle name="Percent 3 2 15 2 2 2 2" xfId="16311"/>
    <cellStyle name="Percent 3 2 15 2 2 2 3" xfId="22463"/>
    <cellStyle name="Percent 3 2 15 2 2 3" xfId="13245"/>
    <cellStyle name="Percent 3 2 15 2 2 4" xfId="19397"/>
    <cellStyle name="Percent 3 2 15 2 3" xfId="8583"/>
    <cellStyle name="Percent 3 2 15 2 3 2" xfId="14777"/>
    <cellStyle name="Percent 3 2 15 2 3 3" xfId="20929"/>
    <cellStyle name="Percent 3 2 15 2 4" xfId="11711"/>
    <cellStyle name="Percent 3 2 15 2 5" xfId="17863"/>
    <cellStyle name="Percent 3 2 15 3" xfId="6257"/>
    <cellStyle name="Percent 3 2 15 3 2" xfId="9349"/>
    <cellStyle name="Percent 3 2 15 3 2 2" xfId="15542"/>
    <cellStyle name="Percent 3 2 15 3 2 3" xfId="21694"/>
    <cellStyle name="Percent 3 2 15 3 3" xfId="12476"/>
    <cellStyle name="Percent 3 2 15 3 4" xfId="18628"/>
    <cellStyle name="Percent 3 2 15 4" xfId="7814"/>
    <cellStyle name="Percent 3 2 15 4 2" xfId="14008"/>
    <cellStyle name="Percent 3 2 15 4 3" xfId="20160"/>
    <cellStyle name="Percent 3 2 15 5" xfId="10942"/>
    <cellStyle name="Percent 3 2 15 6" xfId="17094"/>
    <cellStyle name="Percent 3 2 16" xfId="4367"/>
    <cellStyle name="Percent 3 2 16 2" xfId="5408"/>
    <cellStyle name="Percent 3 2 16 2 2" xfId="7033"/>
    <cellStyle name="Percent 3 2 16 2 2 2" xfId="10119"/>
    <cellStyle name="Percent 3 2 16 2 2 2 2" xfId="16312"/>
    <cellStyle name="Percent 3 2 16 2 2 2 3" xfId="22464"/>
    <cellStyle name="Percent 3 2 16 2 2 3" xfId="13246"/>
    <cellStyle name="Percent 3 2 16 2 2 4" xfId="19398"/>
    <cellStyle name="Percent 3 2 16 2 3" xfId="8584"/>
    <cellStyle name="Percent 3 2 16 2 3 2" xfId="14778"/>
    <cellStyle name="Percent 3 2 16 2 3 3" xfId="20930"/>
    <cellStyle name="Percent 3 2 16 2 4" xfId="11712"/>
    <cellStyle name="Percent 3 2 16 2 5" xfId="17864"/>
    <cellStyle name="Percent 3 2 16 3" xfId="6258"/>
    <cellStyle name="Percent 3 2 16 3 2" xfId="9350"/>
    <cellStyle name="Percent 3 2 16 3 2 2" xfId="15543"/>
    <cellStyle name="Percent 3 2 16 3 2 3" xfId="21695"/>
    <cellStyle name="Percent 3 2 16 3 3" xfId="12477"/>
    <cellStyle name="Percent 3 2 16 3 4" xfId="18629"/>
    <cellStyle name="Percent 3 2 16 4" xfId="7815"/>
    <cellStyle name="Percent 3 2 16 4 2" xfId="14009"/>
    <cellStyle name="Percent 3 2 16 4 3" xfId="20161"/>
    <cellStyle name="Percent 3 2 16 5" xfId="10943"/>
    <cellStyle name="Percent 3 2 16 6" xfId="17095"/>
    <cellStyle name="Percent 3 2 17" xfId="4368"/>
    <cellStyle name="Percent 3 2 17 2" xfId="5409"/>
    <cellStyle name="Percent 3 2 17 2 2" xfId="7034"/>
    <cellStyle name="Percent 3 2 17 2 2 2" xfId="10120"/>
    <cellStyle name="Percent 3 2 17 2 2 2 2" xfId="16313"/>
    <cellStyle name="Percent 3 2 17 2 2 2 3" xfId="22465"/>
    <cellStyle name="Percent 3 2 17 2 2 3" xfId="13247"/>
    <cellStyle name="Percent 3 2 17 2 2 4" xfId="19399"/>
    <cellStyle name="Percent 3 2 17 2 3" xfId="8585"/>
    <cellStyle name="Percent 3 2 17 2 3 2" xfId="14779"/>
    <cellStyle name="Percent 3 2 17 2 3 3" xfId="20931"/>
    <cellStyle name="Percent 3 2 17 2 4" xfId="11713"/>
    <cellStyle name="Percent 3 2 17 2 5" xfId="17865"/>
    <cellStyle name="Percent 3 2 17 3" xfId="6259"/>
    <cellStyle name="Percent 3 2 17 3 2" xfId="9351"/>
    <cellStyle name="Percent 3 2 17 3 2 2" xfId="15544"/>
    <cellStyle name="Percent 3 2 17 3 2 3" xfId="21696"/>
    <cellStyle name="Percent 3 2 17 3 3" xfId="12478"/>
    <cellStyle name="Percent 3 2 17 3 4" xfId="18630"/>
    <cellStyle name="Percent 3 2 17 4" xfId="7816"/>
    <cellStyle name="Percent 3 2 17 4 2" xfId="14010"/>
    <cellStyle name="Percent 3 2 17 4 3" xfId="20162"/>
    <cellStyle name="Percent 3 2 17 5" xfId="10944"/>
    <cellStyle name="Percent 3 2 17 6" xfId="17096"/>
    <cellStyle name="Percent 3 2 18" xfId="4369"/>
    <cellStyle name="Percent 3 2 18 2" xfId="5410"/>
    <cellStyle name="Percent 3 2 18 2 2" xfId="7035"/>
    <cellStyle name="Percent 3 2 18 2 2 2" xfId="10121"/>
    <cellStyle name="Percent 3 2 18 2 2 2 2" xfId="16314"/>
    <cellStyle name="Percent 3 2 18 2 2 2 3" xfId="22466"/>
    <cellStyle name="Percent 3 2 18 2 2 3" xfId="13248"/>
    <cellStyle name="Percent 3 2 18 2 2 4" xfId="19400"/>
    <cellStyle name="Percent 3 2 18 2 3" xfId="8586"/>
    <cellStyle name="Percent 3 2 18 2 3 2" xfId="14780"/>
    <cellStyle name="Percent 3 2 18 2 3 3" xfId="20932"/>
    <cellStyle name="Percent 3 2 18 2 4" xfId="11714"/>
    <cellStyle name="Percent 3 2 18 2 5" xfId="17866"/>
    <cellStyle name="Percent 3 2 18 3" xfId="6260"/>
    <cellStyle name="Percent 3 2 18 3 2" xfId="9352"/>
    <cellStyle name="Percent 3 2 18 3 2 2" xfId="15545"/>
    <cellStyle name="Percent 3 2 18 3 2 3" xfId="21697"/>
    <cellStyle name="Percent 3 2 18 3 3" xfId="12479"/>
    <cellStyle name="Percent 3 2 18 3 4" xfId="18631"/>
    <cellStyle name="Percent 3 2 18 4" xfId="7817"/>
    <cellStyle name="Percent 3 2 18 4 2" xfId="14011"/>
    <cellStyle name="Percent 3 2 18 4 3" xfId="20163"/>
    <cellStyle name="Percent 3 2 18 5" xfId="10945"/>
    <cellStyle name="Percent 3 2 18 6" xfId="17097"/>
    <cellStyle name="Percent 3 2 19" xfId="4370"/>
    <cellStyle name="Percent 3 2 19 2" xfId="5411"/>
    <cellStyle name="Percent 3 2 19 2 2" xfId="7036"/>
    <cellStyle name="Percent 3 2 19 2 2 2" xfId="10122"/>
    <cellStyle name="Percent 3 2 19 2 2 2 2" xfId="16315"/>
    <cellStyle name="Percent 3 2 19 2 2 2 3" xfId="22467"/>
    <cellStyle name="Percent 3 2 19 2 2 3" xfId="13249"/>
    <cellStyle name="Percent 3 2 19 2 2 4" xfId="19401"/>
    <cellStyle name="Percent 3 2 19 2 3" xfId="8587"/>
    <cellStyle name="Percent 3 2 19 2 3 2" xfId="14781"/>
    <cellStyle name="Percent 3 2 19 2 3 3" xfId="20933"/>
    <cellStyle name="Percent 3 2 19 2 4" xfId="11715"/>
    <cellStyle name="Percent 3 2 19 2 5" xfId="17867"/>
    <cellStyle name="Percent 3 2 19 3" xfId="6261"/>
    <cellStyle name="Percent 3 2 19 3 2" xfId="9353"/>
    <cellStyle name="Percent 3 2 19 3 2 2" xfId="15546"/>
    <cellStyle name="Percent 3 2 19 3 2 3" xfId="21698"/>
    <cellStyle name="Percent 3 2 19 3 3" xfId="12480"/>
    <cellStyle name="Percent 3 2 19 3 4" xfId="18632"/>
    <cellStyle name="Percent 3 2 19 4" xfId="7818"/>
    <cellStyle name="Percent 3 2 19 4 2" xfId="14012"/>
    <cellStyle name="Percent 3 2 19 4 3" xfId="20164"/>
    <cellStyle name="Percent 3 2 19 5" xfId="10946"/>
    <cellStyle name="Percent 3 2 19 6" xfId="17098"/>
    <cellStyle name="Percent 3 2 2" xfId="4371"/>
    <cellStyle name="Percent 3 2 2 2" xfId="4372"/>
    <cellStyle name="Percent 3 2 2 2 2" xfId="5412"/>
    <cellStyle name="Percent 3 2 2 2 2 2" xfId="7037"/>
    <cellStyle name="Percent 3 2 2 2 2 2 2" xfId="10123"/>
    <cellStyle name="Percent 3 2 2 2 2 2 2 2" xfId="16316"/>
    <cellStyle name="Percent 3 2 2 2 2 2 2 3" xfId="22468"/>
    <cellStyle name="Percent 3 2 2 2 2 2 3" xfId="13250"/>
    <cellStyle name="Percent 3 2 2 2 2 2 4" xfId="19402"/>
    <cellStyle name="Percent 3 2 2 2 2 3" xfId="8588"/>
    <cellStyle name="Percent 3 2 2 2 2 3 2" xfId="14782"/>
    <cellStyle name="Percent 3 2 2 2 2 3 3" xfId="20934"/>
    <cellStyle name="Percent 3 2 2 2 2 4" xfId="11716"/>
    <cellStyle name="Percent 3 2 2 2 2 5" xfId="17868"/>
    <cellStyle name="Percent 3 2 2 2 3" xfId="6262"/>
    <cellStyle name="Percent 3 2 2 2 3 2" xfId="9354"/>
    <cellStyle name="Percent 3 2 2 2 3 2 2" xfId="15547"/>
    <cellStyle name="Percent 3 2 2 2 3 2 3" xfId="21699"/>
    <cellStyle name="Percent 3 2 2 2 3 3" xfId="12481"/>
    <cellStyle name="Percent 3 2 2 2 3 4" xfId="18633"/>
    <cellStyle name="Percent 3 2 2 2 4" xfId="7819"/>
    <cellStyle name="Percent 3 2 2 2 4 2" xfId="14013"/>
    <cellStyle name="Percent 3 2 2 2 4 3" xfId="20165"/>
    <cellStyle name="Percent 3 2 2 2 5" xfId="10947"/>
    <cellStyle name="Percent 3 2 2 2 6" xfId="17099"/>
    <cellStyle name="Percent 3 2 2 3" xfId="4373"/>
    <cellStyle name="Percent 3 2 2 3 2" xfId="5413"/>
    <cellStyle name="Percent 3 2 2 3 2 2" xfId="7038"/>
    <cellStyle name="Percent 3 2 2 3 2 2 2" xfId="10124"/>
    <cellStyle name="Percent 3 2 2 3 2 2 2 2" xfId="16317"/>
    <cellStyle name="Percent 3 2 2 3 2 2 2 3" xfId="22469"/>
    <cellStyle name="Percent 3 2 2 3 2 2 3" xfId="13251"/>
    <cellStyle name="Percent 3 2 2 3 2 2 4" xfId="19403"/>
    <cellStyle name="Percent 3 2 2 3 2 3" xfId="8589"/>
    <cellStyle name="Percent 3 2 2 3 2 3 2" xfId="14783"/>
    <cellStyle name="Percent 3 2 2 3 2 3 3" xfId="20935"/>
    <cellStyle name="Percent 3 2 2 3 2 4" xfId="11717"/>
    <cellStyle name="Percent 3 2 2 3 2 5" xfId="17869"/>
    <cellStyle name="Percent 3 2 2 3 3" xfId="6263"/>
    <cellStyle name="Percent 3 2 2 3 3 2" xfId="9355"/>
    <cellStyle name="Percent 3 2 2 3 3 2 2" xfId="15548"/>
    <cellStyle name="Percent 3 2 2 3 3 2 3" xfId="21700"/>
    <cellStyle name="Percent 3 2 2 3 3 3" xfId="12482"/>
    <cellStyle name="Percent 3 2 2 3 3 4" xfId="18634"/>
    <cellStyle name="Percent 3 2 2 3 4" xfId="7820"/>
    <cellStyle name="Percent 3 2 2 3 4 2" xfId="14014"/>
    <cellStyle name="Percent 3 2 2 3 4 3" xfId="20166"/>
    <cellStyle name="Percent 3 2 2 3 5" xfId="10948"/>
    <cellStyle name="Percent 3 2 2 3 6" xfId="17100"/>
    <cellStyle name="Percent 3 2 2 4" xfId="4374"/>
    <cellStyle name="Percent 3 2 2 4 2" xfId="5414"/>
    <cellStyle name="Percent 3 2 2 4 2 2" xfId="7039"/>
    <cellStyle name="Percent 3 2 2 4 2 2 2" xfId="10125"/>
    <cellStyle name="Percent 3 2 2 4 2 2 2 2" xfId="16318"/>
    <cellStyle name="Percent 3 2 2 4 2 2 2 3" xfId="22470"/>
    <cellStyle name="Percent 3 2 2 4 2 2 3" xfId="13252"/>
    <cellStyle name="Percent 3 2 2 4 2 2 4" xfId="19404"/>
    <cellStyle name="Percent 3 2 2 4 2 3" xfId="8590"/>
    <cellStyle name="Percent 3 2 2 4 2 3 2" xfId="14784"/>
    <cellStyle name="Percent 3 2 2 4 2 3 3" xfId="20936"/>
    <cellStyle name="Percent 3 2 2 4 2 4" xfId="11718"/>
    <cellStyle name="Percent 3 2 2 4 2 5" xfId="17870"/>
    <cellStyle name="Percent 3 2 2 4 3" xfId="6264"/>
    <cellStyle name="Percent 3 2 2 4 3 2" xfId="9356"/>
    <cellStyle name="Percent 3 2 2 4 3 2 2" xfId="15549"/>
    <cellStyle name="Percent 3 2 2 4 3 2 3" xfId="21701"/>
    <cellStyle name="Percent 3 2 2 4 3 3" xfId="12483"/>
    <cellStyle name="Percent 3 2 2 4 3 4" xfId="18635"/>
    <cellStyle name="Percent 3 2 2 4 4" xfId="7821"/>
    <cellStyle name="Percent 3 2 2 4 4 2" xfId="14015"/>
    <cellStyle name="Percent 3 2 2 4 4 3" xfId="20167"/>
    <cellStyle name="Percent 3 2 2 4 5" xfId="10949"/>
    <cellStyle name="Percent 3 2 2 4 6" xfId="17101"/>
    <cellStyle name="Percent 3 2 2 5" xfId="4375"/>
    <cellStyle name="Percent 3 2 2 5 2" xfId="5415"/>
    <cellStyle name="Percent 3 2 2 5 2 2" xfId="7040"/>
    <cellStyle name="Percent 3 2 2 5 2 2 2" xfId="10126"/>
    <cellStyle name="Percent 3 2 2 5 2 2 2 2" xfId="16319"/>
    <cellStyle name="Percent 3 2 2 5 2 2 2 3" xfId="22471"/>
    <cellStyle name="Percent 3 2 2 5 2 2 3" xfId="13253"/>
    <cellStyle name="Percent 3 2 2 5 2 2 4" xfId="19405"/>
    <cellStyle name="Percent 3 2 2 5 2 3" xfId="8591"/>
    <cellStyle name="Percent 3 2 2 5 2 3 2" xfId="14785"/>
    <cellStyle name="Percent 3 2 2 5 2 3 3" xfId="20937"/>
    <cellStyle name="Percent 3 2 2 5 2 4" xfId="11719"/>
    <cellStyle name="Percent 3 2 2 5 2 5" xfId="17871"/>
    <cellStyle name="Percent 3 2 2 5 3" xfId="6265"/>
    <cellStyle name="Percent 3 2 2 5 3 2" xfId="9357"/>
    <cellStyle name="Percent 3 2 2 5 3 2 2" xfId="15550"/>
    <cellStyle name="Percent 3 2 2 5 3 2 3" xfId="21702"/>
    <cellStyle name="Percent 3 2 2 5 3 3" xfId="12484"/>
    <cellStyle name="Percent 3 2 2 5 3 4" xfId="18636"/>
    <cellStyle name="Percent 3 2 2 5 4" xfId="7822"/>
    <cellStyle name="Percent 3 2 2 5 4 2" xfId="14016"/>
    <cellStyle name="Percent 3 2 2 5 4 3" xfId="20168"/>
    <cellStyle name="Percent 3 2 2 5 5" xfId="10950"/>
    <cellStyle name="Percent 3 2 2 5 6" xfId="17102"/>
    <cellStyle name="Percent 3 2 20" xfId="4376"/>
    <cellStyle name="Percent 3 2 20 2" xfId="5416"/>
    <cellStyle name="Percent 3 2 20 2 2" xfId="7041"/>
    <cellStyle name="Percent 3 2 20 2 2 2" xfId="10127"/>
    <cellStyle name="Percent 3 2 20 2 2 2 2" xfId="16320"/>
    <cellStyle name="Percent 3 2 20 2 2 2 3" xfId="22472"/>
    <cellStyle name="Percent 3 2 20 2 2 3" xfId="13254"/>
    <cellStyle name="Percent 3 2 20 2 2 4" xfId="19406"/>
    <cellStyle name="Percent 3 2 20 2 3" xfId="8592"/>
    <cellStyle name="Percent 3 2 20 2 3 2" xfId="14786"/>
    <cellStyle name="Percent 3 2 20 2 3 3" xfId="20938"/>
    <cellStyle name="Percent 3 2 20 2 4" xfId="11720"/>
    <cellStyle name="Percent 3 2 20 2 5" xfId="17872"/>
    <cellStyle name="Percent 3 2 20 3" xfId="6266"/>
    <cellStyle name="Percent 3 2 20 3 2" xfId="9358"/>
    <cellStyle name="Percent 3 2 20 3 2 2" xfId="15551"/>
    <cellStyle name="Percent 3 2 20 3 2 3" xfId="21703"/>
    <cellStyle name="Percent 3 2 20 3 3" xfId="12485"/>
    <cellStyle name="Percent 3 2 20 3 4" xfId="18637"/>
    <cellStyle name="Percent 3 2 20 4" xfId="7823"/>
    <cellStyle name="Percent 3 2 20 4 2" xfId="14017"/>
    <cellStyle name="Percent 3 2 20 4 3" xfId="20169"/>
    <cellStyle name="Percent 3 2 20 5" xfId="10951"/>
    <cellStyle name="Percent 3 2 20 6" xfId="17103"/>
    <cellStyle name="Percent 3 2 21" xfId="4377"/>
    <cellStyle name="Percent 3 2 21 2" xfId="4378"/>
    <cellStyle name="Percent 3 2 21 2 2" xfId="5417"/>
    <cellStyle name="Percent 3 2 21 2 2 2" xfId="7042"/>
    <cellStyle name="Percent 3 2 21 2 2 2 2" xfId="10128"/>
    <cellStyle name="Percent 3 2 21 2 2 2 2 2" xfId="16321"/>
    <cellStyle name="Percent 3 2 21 2 2 2 2 3" xfId="22473"/>
    <cellStyle name="Percent 3 2 21 2 2 2 3" xfId="13255"/>
    <cellStyle name="Percent 3 2 21 2 2 2 4" xfId="19407"/>
    <cellStyle name="Percent 3 2 21 2 2 3" xfId="8593"/>
    <cellStyle name="Percent 3 2 21 2 2 3 2" xfId="14787"/>
    <cellStyle name="Percent 3 2 21 2 2 3 3" xfId="20939"/>
    <cellStyle name="Percent 3 2 21 2 2 4" xfId="11721"/>
    <cellStyle name="Percent 3 2 21 2 2 5" xfId="17873"/>
    <cellStyle name="Percent 3 2 21 2 3" xfId="6267"/>
    <cellStyle name="Percent 3 2 21 2 3 2" xfId="9359"/>
    <cellStyle name="Percent 3 2 21 2 3 2 2" xfId="15552"/>
    <cellStyle name="Percent 3 2 21 2 3 2 3" xfId="21704"/>
    <cellStyle name="Percent 3 2 21 2 3 3" xfId="12486"/>
    <cellStyle name="Percent 3 2 21 2 3 4" xfId="18638"/>
    <cellStyle name="Percent 3 2 21 2 4" xfId="7824"/>
    <cellStyle name="Percent 3 2 21 2 4 2" xfId="14018"/>
    <cellStyle name="Percent 3 2 21 2 4 3" xfId="20170"/>
    <cellStyle name="Percent 3 2 21 2 5" xfId="10952"/>
    <cellStyle name="Percent 3 2 21 2 6" xfId="17104"/>
    <cellStyle name="Percent 3 2 21 3" xfId="4379"/>
    <cellStyle name="Percent 3 2 21 4" xfId="4380"/>
    <cellStyle name="Percent 3 2 22" xfId="4381"/>
    <cellStyle name="Percent 3 2 23" xfId="5401"/>
    <cellStyle name="Percent 3 2 23 2" xfId="7026"/>
    <cellStyle name="Percent 3 2 23 2 2" xfId="10112"/>
    <cellStyle name="Percent 3 2 23 2 2 2" xfId="16305"/>
    <cellStyle name="Percent 3 2 23 2 2 3" xfId="22457"/>
    <cellStyle name="Percent 3 2 23 2 3" xfId="13239"/>
    <cellStyle name="Percent 3 2 23 2 4" xfId="19391"/>
    <cellStyle name="Percent 3 2 23 3" xfId="8577"/>
    <cellStyle name="Percent 3 2 23 3 2" xfId="14771"/>
    <cellStyle name="Percent 3 2 23 3 3" xfId="20923"/>
    <cellStyle name="Percent 3 2 23 4" xfId="11705"/>
    <cellStyle name="Percent 3 2 23 5" xfId="17857"/>
    <cellStyle name="Percent 3 2 24" xfId="6251"/>
    <cellStyle name="Percent 3 2 24 2" xfId="9343"/>
    <cellStyle name="Percent 3 2 24 2 2" xfId="15536"/>
    <cellStyle name="Percent 3 2 24 2 3" xfId="21688"/>
    <cellStyle name="Percent 3 2 24 3" xfId="12470"/>
    <cellStyle name="Percent 3 2 24 4" xfId="18622"/>
    <cellStyle name="Percent 3 2 25" xfId="7808"/>
    <cellStyle name="Percent 3 2 25 2" xfId="14002"/>
    <cellStyle name="Percent 3 2 25 3" xfId="20154"/>
    <cellStyle name="Percent 3 2 26" xfId="10936"/>
    <cellStyle name="Percent 3 2 27" xfId="17088"/>
    <cellStyle name="Percent 3 2 28" xfId="4360"/>
    <cellStyle name="Percent 3 2 29" xfId="23313"/>
    <cellStyle name="Percent 3 2 3" xfId="4382"/>
    <cellStyle name="Percent 3 2 3 10" xfId="17105"/>
    <cellStyle name="Percent 3 2 3 2" xfId="4383"/>
    <cellStyle name="Percent 3 2 3 2 2" xfId="5419"/>
    <cellStyle name="Percent 3 2 3 2 2 2" xfId="7044"/>
    <cellStyle name="Percent 3 2 3 2 2 2 2" xfId="10130"/>
    <cellStyle name="Percent 3 2 3 2 2 2 2 2" xfId="16323"/>
    <cellStyle name="Percent 3 2 3 2 2 2 2 3" xfId="22475"/>
    <cellStyle name="Percent 3 2 3 2 2 2 3" xfId="13257"/>
    <cellStyle name="Percent 3 2 3 2 2 2 4" xfId="19409"/>
    <cellStyle name="Percent 3 2 3 2 2 3" xfId="8595"/>
    <cellStyle name="Percent 3 2 3 2 2 3 2" xfId="14789"/>
    <cellStyle name="Percent 3 2 3 2 2 3 3" xfId="20941"/>
    <cellStyle name="Percent 3 2 3 2 2 4" xfId="11723"/>
    <cellStyle name="Percent 3 2 3 2 2 5" xfId="17875"/>
    <cellStyle name="Percent 3 2 3 2 3" xfId="6271"/>
    <cellStyle name="Percent 3 2 3 2 3 2" xfId="9361"/>
    <cellStyle name="Percent 3 2 3 2 3 2 2" xfId="15554"/>
    <cellStyle name="Percent 3 2 3 2 3 2 3" xfId="21706"/>
    <cellStyle name="Percent 3 2 3 2 3 3" xfId="12488"/>
    <cellStyle name="Percent 3 2 3 2 3 4" xfId="18640"/>
    <cellStyle name="Percent 3 2 3 2 4" xfId="7826"/>
    <cellStyle name="Percent 3 2 3 2 4 2" xfId="14020"/>
    <cellStyle name="Percent 3 2 3 2 4 3" xfId="20172"/>
    <cellStyle name="Percent 3 2 3 2 5" xfId="10954"/>
    <cellStyle name="Percent 3 2 3 2 6" xfId="17106"/>
    <cellStyle name="Percent 3 2 3 3" xfId="4384"/>
    <cellStyle name="Percent 3 2 3 3 2" xfId="5420"/>
    <cellStyle name="Percent 3 2 3 3 2 2" xfId="7045"/>
    <cellStyle name="Percent 3 2 3 3 2 2 2" xfId="10131"/>
    <cellStyle name="Percent 3 2 3 3 2 2 2 2" xfId="16324"/>
    <cellStyle name="Percent 3 2 3 3 2 2 2 3" xfId="22476"/>
    <cellStyle name="Percent 3 2 3 3 2 2 3" xfId="13258"/>
    <cellStyle name="Percent 3 2 3 3 2 2 4" xfId="19410"/>
    <cellStyle name="Percent 3 2 3 3 2 3" xfId="8596"/>
    <cellStyle name="Percent 3 2 3 3 2 3 2" xfId="14790"/>
    <cellStyle name="Percent 3 2 3 3 2 3 3" xfId="20942"/>
    <cellStyle name="Percent 3 2 3 3 2 4" xfId="11724"/>
    <cellStyle name="Percent 3 2 3 3 2 5" xfId="17876"/>
    <cellStyle name="Percent 3 2 3 3 3" xfId="6272"/>
    <cellStyle name="Percent 3 2 3 3 3 2" xfId="9362"/>
    <cellStyle name="Percent 3 2 3 3 3 2 2" xfId="15555"/>
    <cellStyle name="Percent 3 2 3 3 3 2 3" xfId="21707"/>
    <cellStyle name="Percent 3 2 3 3 3 3" xfId="12489"/>
    <cellStyle name="Percent 3 2 3 3 3 4" xfId="18641"/>
    <cellStyle name="Percent 3 2 3 3 4" xfId="7827"/>
    <cellStyle name="Percent 3 2 3 3 4 2" xfId="14021"/>
    <cellStyle name="Percent 3 2 3 3 4 3" xfId="20173"/>
    <cellStyle name="Percent 3 2 3 3 5" xfId="10955"/>
    <cellStyle name="Percent 3 2 3 3 6" xfId="17107"/>
    <cellStyle name="Percent 3 2 3 4" xfId="4385"/>
    <cellStyle name="Percent 3 2 3 4 2" xfId="5421"/>
    <cellStyle name="Percent 3 2 3 4 2 2" xfId="7046"/>
    <cellStyle name="Percent 3 2 3 4 2 2 2" xfId="10132"/>
    <cellStyle name="Percent 3 2 3 4 2 2 2 2" xfId="16325"/>
    <cellStyle name="Percent 3 2 3 4 2 2 2 3" xfId="22477"/>
    <cellStyle name="Percent 3 2 3 4 2 2 3" xfId="13259"/>
    <cellStyle name="Percent 3 2 3 4 2 2 4" xfId="19411"/>
    <cellStyle name="Percent 3 2 3 4 2 3" xfId="8597"/>
    <cellStyle name="Percent 3 2 3 4 2 3 2" xfId="14791"/>
    <cellStyle name="Percent 3 2 3 4 2 3 3" xfId="20943"/>
    <cellStyle name="Percent 3 2 3 4 2 4" xfId="11725"/>
    <cellStyle name="Percent 3 2 3 4 2 5" xfId="17877"/>
    <cellStyle name="Percent 3 2 3 4 3" xfId="6273"/>
    <cellStyle name="Percent 3 2 3 4 3 2" xfId="9363"/>
    <cellStyle name="Percent 3 2 3 4 3 2 2" xfId="15556"/>
    <cellStyle name="Percent 3 2 3 4 3 2 3" xfId="21708"/>
    <cellStyle name="Percent 3 2 3 4 3 3" xfId="12490"/>
    <cellStyle name="Percent 3 2 3 4 3 4" xfId="18642"/>
    <cellStyle name="Percent 3 2 3 4 4" xfId="7828"/>
    <cellStyle name="Percent 3 2 3 4 4 2" xfId="14022"/>
    <cellStyle name="Percent 3 2 3 4 4 3" xfId="20174"/>
    <cellStyle name="Percent 3 2 3 4 5" xfId="10956"/>
    <cellStyle name="Percent 3 2 3 4 6" xfId="17108"/>
    <cellStyle name="Percent 3 2 3 5" xfId="4386"/>
    <cellStyle name="Percent 3 2 3 5 2" xfId="5422"/>
    <cellStyle name="Percent 3 2 3 5 2 2" xfId="7047"/>
    <cellStyle name="Percent 3 2 3 5 2 2 2" xfId="10133"/>
    <cellStyle name="Percent 3 2 3 5 2 2 2 2" xfId="16326"/>
    <cellStyle name="Percent 3 2 3 5 2 2 2 3" xfId="22478"/>
    <cellStyle name="Percent 3 2 3 5 2 2 3" xfId="13260"/>
    <cellStyle name="Percent 3 2 3 5 2 2 4" xfId="19412"/>
    <cellStyle name="Percent 3 2 3 5 2 3" xfId="8598"/>
    <cellStyle name="Percent 3 2 3 5 2 3 2" xfId="14792"/>
    <cellStyle name="Percent 3 2 3 5 2 3 3" xfId="20944"/>
    <cellStyle name="Percent 3 2 3 5 2 4" xfId="11726"/>
    <cellStyle name="Percent 3 2 3 5 2 5" xfId="17878"/>
    <cellStyle name="Percent 3 2 3 5 3" xfId="6274"/>
    <cellStyle name="Percent 3 2 3 5 3 2" xfId="9364"/>
    <cellStyle name="Percent 3 2 3 5 3 2 2" xfId="15557"/>
    <cellStyle name="Percent 3 2 3 5 3 2 3" xfId="21709"/>
    <cellStyle name="Percent 3 2 3 5 3 3" xfId="12491"/>
    <cellStyle name="Percent 3 2 3 5 3 4" xfId="18643"/>
    <cellStyle name="Percent 3 2 3 5 4" xfId="7829"/>
    <cellStyle name="Percent 3 2 3 5 4 2" xfId="14023"/>
    <cellStyle name="Percent 3 2 3 5 4 3" xfId="20175"/>
    <cellStyle name="Percent 3 2 3 5 5" xfId="10957"/>
    <cellStyle name="Percent 3 2 3 5 6" xfId="17109"/>
    <cellStyle name="Percent 3 2 3 6" xfId="5418"/>
    <cellStyle name="Percent 3 2 3 6 2" xfId="7043"/>
    <cellStyle name="Percent 3 2 3 6 2 2" xfId="10129"/>
    <cellStyle name="Percent 3 2 3 6 2 2 2" xfId="16322"/>
    <cellStyle name="Percent 3 2 3 6 2 2 3" xfId="22474"/>
    <cellStyle name="Percent 3 2 3 6 2 3" xfId="13256"/>
    <cellStyle name="Percent 3 2 3 6 2 4" xfId="19408"/>
    <cellStyle name="Percent 3 2 3 6 3" xfId="8594"/>
    <cellStyle name="Percent 3 2 3 6 3 2" xfId="14788"/>
    <cellStyle name="Percent 3 2 3 6 3 3" xfId="20940"/>
    <cellStyle name="Percent 3 2 3 6 4" xfId="11722"/>
    <cellStyle name="Percent 3 2 3 6 5" xfId="17874"/>
    <cellStyle name="Percent 3 2 3 7" xfId="6270"/>
    <cellStyle name="Percent 3 2 3 7 2" xfId="9360"/>
    <cellStyle name="Percent 3 2 3 7 2 2" xfId="15553"/>
    <cellStyle name="Percent 3 2 3 7 2 3" xfId="21705"/>
    <cellStyle name="Percent 3 2 3 7 3" xfId="12487"/>
    <cellStyle name="Percent 3 2 3 7 4" xfId="18639"/>
    <cellStyle name="Percent 3 2 3 8" xfId="7825"/>
    <cellStyle name="Percent 3 2 3 8 2" xfId="14019"/>
    <cellStyle name="Percent 3 2 3 8 3" xfId="20171"/>
    <cellStyle name="Percent 3 2 3 9" xfId="10953"/>
    <cellStyle name="Percent 3 2 4" xfId="4387"/>
    <cellStyle name="Percent 3 2 4 2" xfId="4388"/>
    <cellStyle name="Percent 3 2 4 2 2" xfId="5424"/>
    <cellStyle name="Percent 3 2 4 2 2 2" xfId="7049"/>
    <cellStyle name="Percent 3 2 4 2 2 2 2" xfId="10135"/>
    <cellStyle name="Percent 3 2 4 2 2 2 2 2" xfId="16328"/>
    <cellStyle name="Percent 3 2 4 2 2 2 2 3" xfId="22480"/>
    <cellStyle name="Percent 3 2 4 2 2 2 3" xfId="13262"/>
    <cellStyle name="Percent 3 2 4 2 2 2 4" xfId="19414"/>
    <cellStyle name="Percent 3 2 4 2 2 3" xfId="8600"/>
    <cellStyle name="Percent 3 2 4 2 2 3 2" xfId="14794"/>
    <cellStyle name="Percent 3 2 4 2 2 3 3" xfId="20946"/>
    <cellStyle name="Percent 3 2 4 2 2 4" xfId="11728"/>
    <cellStyle name="Percent 3 2 4 2 2 5" xfId="17880"/>
    <cellStyle name="Percent 3 2 4 2 3" xfId="6276"/>
    <cellStyle name="Percent 3 2 4 2 3 2" xfId="9366"/>
    <cellStyle name="Percent 3 2 4 2 3 2 2" xfId="15559"/>
    <cellStyle name="Percent 3 2 4 2 3 2 3" xfId="21711"/>
    <cellStyle name="Percent 3 2 4 2 3 3" xfId="12493"/>
    <cellStyle name="Percent 3 2 4 2 3 4" xfId="18645"/>
    <cellStyle name="Percent 3 2 4 2 4" xfId="7831"/>
    <cellStyle name="Percent 3 2 4 2 4 2" xfId="14025"/>
    <cellStyle name="Percent 3 2 4 2 4 3" xfId="20177"/>
    <cellStyle name="Percent 3 2 4 2 5" xfId="10959"/>
    <cellStyle name="Percent 3 2 4 2 6" xfId="17111"/>
    <cellStyle name="Percent 3 2 4 3" xfId="5423"/>
    <cellStyle name="Percent 3 2 4 3 2" xfId="7048"/>
    <cellStyle name="Percent 3 2 4 3 2 2" xfId="10134"/>
    <cellStyle name="Percent 3 2 4 3 2 2 2" xfId="16327"/>
    <cellStyle name="Percent 3 2 4 3 2 2 3" xfId="22479"/>
    <cellStyle name="Percent 3 2 4 3 2 3" xfId="13261"/>
    <cellStyle name="Percent 3 2 4 3 2 4" xfId="19413"/>
    <cellStyle name="Percent 3 2 4 3 3" xfId="8599"/>
    <cellStyle name="Percent 3 2 4 3 3 2" xfId="14793"/>
    <cellStyle name="Percent 3 2 4 3 3 3" xfId="20945"/>
    <cellStyle name="Percent 3 2 4 3 4" xfId="11727"/>
    <cellStyle name="Percent 3 2 4 3 5" xfId="17879"/>
    <cellStyle name="Percent 3 2 4 4" xfId="6275"/>
    <cellStyle name="Percent 3 2 4 4 2" xfId="9365"/>
    <cellStyle name="Percent 3 2 4 4 2 2" xfId="15558"/>
    <cellStyle name="Percent 3 2 4 4 2 3" xfId="21710"/>
    <cellStyle name="Percent 3 2 4 4 3" xfId="12492"/>
    <cellStyle name="Percent 3 2 4 4 4" xfId="18644"/>
    <cellStyle name="Percent 3 2 4 5" xfId="7830"/>
    <cellStyle name="Percent 3 2 4 5 2" xfId="14024"/>
    <cellStyle name="Percent 3 2 4 5 3" xfId="20176"/>
    <cellStyle name="Percent 3 2 4 6" xfId="10958"/>
    <cellStyle name="Percent 3 2 4 7" xfId="17110"/>
    <cellStyle name="Percent 3 2 5" xfId="4389"/>
    <cellStyle name="Percent 3 2 5 2" xfId="4390"/>
    <cellStyle name="Percent 3 2 5 2 2" xfId="5426"/>
    <cellStyle name="Percent 3 2 5 2 2 2" xfId="7051"/>
    <cellStyle name="Percent 3 2 5 2 2 2 2" xfId="10137"/>
    <cellStyle name="Percent 3 2 5 2 2 2 2 2" xfId="16330"/>
    <cellStyle name="Percent 3 2 5 2 2 2 2 3" xfId="22482"/>
    <cellStyle name="Percent 3 2 5 2 2 2 3" xfId="13264"/>
    <cellStyle name="Percent 3 2 5 2 2 2 4" xfId="19416"/>
    <cellStyle name="Percent 3 2 5 2 2 3" xfId="8602"/>
    <cellStyle name="Percent 3 2 5 2 2 3 2" xfId="14796"/>
    <cellStyle name="Percent 3 2 5 2 2 3 3" xfId="20948"/>
    <cellStyle name="Percent 3 2 5 2 2 4" xfId="11730"/>
    <cellStyle name="Percent 3 2 5 2 2 5" xfId="17882"/>
    <cellStyle name="Percent 3 2 5 2 3" xfId="6278"/>
    <cellStyle name="Percent 3 2 5 2 3 2" xfId="9368"/>
    <cellStyle name="Percent 3 2 5 2 3 2 2" xfId="15561"/>
    <cellStyle name="Percent 3 2 5 2 3 2 3" xfId="21713"/>
    <cellStyle name="Percent 3 2 5 2 3 3" xfId="12495"/>
    <cellStyle name="Percent 3 2 5 2 3 4" xfId="18647"/>
    <cellStyle name="Percent 3 2 5 2 4" xfId="7833"/>
    <cellStyle name="Percent 3 2 5 2 4 2" xfId="14027"/>
    <cellStyle name="Percent 3 2 5 2 4 3" xfId="20179"/>
    <cellStyle name="Percent 3 2 5 2 5" xfId="10961"/>
    <cellStyle name="Percent 3 2 5 2 6" xfId="17113"/>
    <cellStyle name="Percent 3 2 5 3" xfId="5425"/>
    <cellStyle name="Percent 3 2 5 3 2" xfId="7050"/>
    <cellStyle name="Percent 3 2 5 3 2 2" xfId="10136"/>
    <cellStyle name="Percent 3 2 5 3 2 2 2" xfId="16329"/>
    <cellStyle name="Percent 3 2 5 3 2 2 3" xfId="22481"/>
    <cellStyle name="Percent 3 2 5 3 2 3" xfId="13263"/>
    <cellStyle name="Percent 3 2 5 3 2 4" xfId="19415"/>
    <cellStyle name="Percent 3 2 5 3 3" xfId="8601"/>
    <cellStyle name="Percent 3 2 5 3 3 2" xfId="14795"/>
    <cellStyle name="Percent 3 2 5 3 3 3" xfId="20947"/>
    <cellStyle name="Percent 3 2 5 3 4" xfId="11729"/>
    <cellStyle name="Percent 3 2 5 3 5" xfId="17881"/>
    <cellStyle name="Percent 3 2 5 4" xfId="6277"/>
    <cellStyle name="Percent 3 2 5 4 2" xfId="9367"/>
    <cellStyle name="Percent 3 2 5 4 2 2" xfId="15560"/>
    <cellStyle name="Percent 3 2 5 4 2 3" xfId="21712"/>
    <cellStyle name="Percent 3 2 5 4 3" xfId="12494"/>
    <cellStyle name="Percent 3 2 5 4 4" xfId="18646"/>
    <cellStyle name="Percent 3 2 5 5" xfId="7832"/>
    <cellStyle name="Percent 3 2 5 5 2" xfId="14026"/>
    <cellStyle name="Percent 3 2 5 5 3" xfId="20178"/>
    <cellStyle name="Percent 3 2 5 6" xfId="10960"/>
    <cellStyle name="Percent 3 2 5 7" xfId="17112"/>
    <cellStyle name="Percent 3 2 6" xfId="4391"/>
    <cellStyle name="Percent 3 2 6 2" xfId="4392"/>
    <cellStyle name="Percent 3 2 6 2 2" xfId="5428"/>
    <cellStyle name="Percent 3 2 6 2 2 2" xfId="7053"/>
    <cellStyle name="Percent 3 2 6 2 2 2 2" xfId="10139"/>
    <cellStyle name="Percent 3 2 6 2 2 2 2 2" xfId="16332"/>
    <cellStyle name="Percent 3 2 6 2 2 2 2 3" xfId="22484"/>
    <cellStyle name="Percent 3 2 6 2 2 2 3" xfId="13266"/>
    <cellStyle name="Percent 3 2 6 2 2 2 4" xfId="19418"/>
    <cellStyle name="Percent 3 2 6 2 2 3" xfId="8604"/>
    <cellStyle name="Percent 3 2 6 2 2 3 2" xfId="14798"/>
    <cellStyle name="Percent 3 2 6 2 2 3 3" xfId="20950"/>
    <cellStyle name="Percent 3 2 6 2 2 4" xfId="11732"/>
    <cellStyle name="Percent 3 2 6 2 2 5" xfId="17884"/>
    <cellStyle name="Percent 3 2 6 2 3" xfId="6280"/>
    <cellStyle name="Percent 3 2 6 2 3 2" xfId="9370"/>
    <cellStyle name="Percent 3 2 6 2 3 2 2" xfId="15563"/>
    <cellStyle name="Percent 3 2 6 2 3 2 3" xfId="21715"/>
    <cellStyle name="Percent 3 2 6 2 3 3" xfId="12497"/>
    <cellStyle name="Percent 3 2 6 2 3 4" xfId="18649"/>
    <cellStyle name="Percent 3 2 6 2 4" xfId="7835"/>
    <cellStyle name="Percent 3 2 6 2 4 2" xfId="14029"/>
    <cellStyle name="Percent 3 2 6 2 4 3" xfId="20181"/>
    <cellStyle name="Percent 3 2 6 2 5" xfId="10963"/>
    <cellStyle name="Percent 3 2 6 2 6" xfId="17115"/>
    <cellStyle name="Percent 3 2 6 3" xfId="5427"/>
    <cellStyle name="Percent 3 2 6 3 2" xfId="7052"/>
    <cellStyle name="Percent 3 2 6 3 2 2" xfId="10138"/>
    <cellStyle name="Percent 3 2 6 3 2 2 2" xfId="16331"/>
    <cellStyle name="Percent 3 2 6 3 2 2 3" xfId="22483"/>
    <cellStyle name="Percent 3 2 6 3 2 3" xfId="13265"/>
    <cellStyle name="Percent 3 2 6 3 2 4" xfId="19417"/>
    <cellStyle name="Percent 3 2 6 3 3" xfId="8603"/>
    <cellStyle name="Percent 3 2 6 3 3 2" xfId="14797"/>
    <cellStyle name="Percent 3 2 6 3 3 3" xfId="20949"/>
    <cellStyle name="Percent 3 2 6 3 4" xfId="11731"/>
    <cellStyle name="Percent 3 2 6 3 5" xfId="17883"/>
    <cellStyle name="Percent 3 2 6 4" xfId="6279"/>
    <cellStyle name="Percent 3 2 6 4 2" xfId="9369"/>
    <cellStyle name="Percent 3 2 6 4 2 2" xfId="15562"/>
    <cellStyle name="Percent 3 2 6 4 2 3" xfId="21714"/>
    <cellStyle name="Percent 3 2 6 4 3" xfId="12496"/>
    <cellStyle name="Percent 3 2 6 4 4" xfId="18648"/>
    <cellStyle name="Percent 3 2 6 5" xfId="7834"/>
    <cellStyle name="Percent 3 2 6 5 2" xfId="14028"/>
    <cellStyle name="Percent 3 2 6 5 3" xfId="20180"/>
    <cellStyle name="Percent 3 2 6 6" xfId="10962"/>
    <cellStyle name="Percent 3 2 6 7" xfId="17114"/>
    <cellStyle name="Percent 3 2 7" xfId="4393"/>
    <cellStyle name="Percent 3 2 7 2" xfId="5429"/>
    <cellStyle name="Percent 3 2 7 2 2" xfId="7054"/>
    <cellStyle name="Percent 3 2 7 2 2 2" xfId="10140"/>
    <cellStyle name="Percent 3 2 7 2 2 2 2" xfId="16333"/>
    <cellStyle name="Percent 3 2 7 2 2 2 3" xfId="22485"/>
    <cellStyle name="Percent 3 2 7 2 2 3" xfId="13267"/>
    <cellStyle name="Percent 3 2 7 2 2 4" xfId="19419"/>
    <cellStyle name="Percent 3 2 7 2 3" xfId="8605"/>
    <cellStyle name="Percent 3 2 7 2 3 2" xfId="14799"/>
    <cellStyle name="Percent 3 2 7 2 3 3" xfId="20951"/>
    <cellStyle name="Percent 3 2 7 2 4" xfId="11733"/>
    <cellStyle name="Percent 3 2 7 2 5" xfId="17885"/>
    <cellStyle name="Percent 3 2 7 3" xfId="6281"/>
    <cellStyle name="Percent 3 2 7 3 2" xfId="9371"/>
    <cellStyle name="Percent 3 2 7 3 2 2" xfId="15564"/>
    <cellStyle name="Percent 3 2 7 3 2 3" xfId="21716"/>
    <cellStyle name="Percent 3 2 7 3 3" xfId="12498"/>
    <cellStyle name="Percent 3 2 7 3 4" xfId="18650"/>
    <cellStyle name="Percent 3 2 7 4" xfId="7836"/>
    <cellStyle name="Percent 3 2 7 4 2" xfId="14030"/>
    <cellStyle name="Percent 3 2 7 4 3" xfId="20182"/>
    <cellStyle name="Percent 3 2 7 5" xfId="10964"/>
    <cellStyle name="Percent 3 2 7 6" xfId="17116"/>
    <cellStyle name="Percent 3 2 8" xfId="4394"/>
    <cellStyle name="Percent 3 2 8 2" xfId="5430"/>
    <cellStyle name="Percent 3 2 8 2 2" xfId="7055"/>
    <cellStyle name="Percent 3 2 8 2 2 2" xfId="10141"/>
    <cellStyle name="Percent 3 2 8 2 2 2 2" xfId="16334"/>
    <cellStyle name="Percent 3 2 8 2 2 2 3" xfId="22486"/>
    <cellStyle name="Percent 3 2 8 2 2 3" xfId="13268"/>
    <cellStyle name="Percent 3 2 8 2 2 4" xfId="19420"/>
    <cellStyle name="Percent 3 2 8 2 3" xfId="8606"/>
    <cellStyle name="Percent 3 2 8 2 3 2" xfId="14800"/>
    <cellStyle name="Percent 3 2 8 2 3 3" xfId="20952"/>
    <cellStyle name="Percent 3 2 8 2 4" xfId="11734"/>
    <cellStyle name="Percent 3 2 8 2 5" xfId="17886"/>
    <cellStyle name="Percent 3 2 8 3" xfId="6282"/>
    <cellStyle name="Percent 3 2 8 3 2" xfId="9372"/>
    <cellStyle name="Percent 3 2 8 3 2 2" xfId="15565"/>
    <cellStyle name="Percent 3 2 8 3 2 3" xfId="21717"/>
    <cellStyle name="Percent 3 2 8 3 3" xfId="12499"/>
    <cellStyle name="Percent 3 2 8 3 4" xfId="18651"/>
    <cellStyle name="Percent 3 2 8 4" xfId="7837"/>
    <cellStyle name="Percent 3 2 8 4 2" xfId="14031"/>
    <cellStyle name="Percent 3 2 8 4 3" xfId="20183"/>
    <cellStyle name="Percent 3 2 8 5" xfId="10965"/>
    <cellStyle name="Percent 3 2 8 6" xfId="17117"/>
    <cellStyle name="Percent 3 2 9" xfId="4395"/>
    <cellStyle name="Percent 3 2 9 2" xfId="5431"/>
    <cellStyle name="Percent 3 2 9 2 2" xfId="7056"/>
    <cellStyle name="Percent 3 2 9 2 2 2" xfId="10142"/>
    <cellStyle name="Percent 3 2 9 2 2 2 2" xfId="16335"/>
    <cellStyle name="Percent 3 2 9 2 2 2 3" xfId="22487"/>
    <cellStyle name="Percent 3 2 9 2 2 3" xfId="13269"/>
    <cellStyle name="Percent 3 2 9 2 2 4" xfId="19421"/>
    <cellStyle name="Percent 3 2 9 2 3" xfId="8607"/>
    <cellStyle name="Percent 3 2 9 2 3 2" xfId="14801"/>
    <cellStyle name="Percent 3 2 9 2 3 3" xfId="20953"/>
    <cellStyle name="Percent 3 2 9 2 4" xfId="11735"/>
    <cellStyle name="Percent 3 2 9 2 5" xfId="17887"/>
    <cellStyle name="Percent 3 2 9 3" xfId="6283"/>
    <cellStyle name="Percent 3 2 9 3 2" xfId="9373"/>
    <cellStyle name="Percent 3 2 9 3 2 2" xfId="15566"/>
    <cellStyle name="Percent 3 2 9 3 2 3" xfId="21718"/>
    <cellStyle name="Percent 3 2 9 3 3" xfId="12500"/>
    <cellStyle name="Percent 3 2 9 3 4" xfId="18652"/>
    <cellStyle name="Percent 3 2 9 4" xfId="7838"/>
    <cellStyle name="Percent 3 2 9 4 2" xfId="14032"/>
    <cellStyle name="Percent 3 2 9 4 3" xfId="20184"/>
    <cellStyle name="Percent 3 2 9 5" xfId="10966"/>
    <cellStyle name="Percent 3 2 9 6" xfId="17118"/>
    <cellStyle name="Percent 3 20" xfId="545"/>
    <cellStyle name="Percent 3 20 2" xfId="5432"/>
    <cellStyle name="Percent 3 20 2 2" xfId="7057"/>
    <cellStyle name="Percent 3 20 2 2 2" xfId="10143"/>
    <cellStyle name="Percent 3 20 2 2 2 2" xfId="16336"/>
    <cellStyle name="Percent 3 20 2 2 2 3" xfId="22488"/>
    <cellStyle name="Percent 3 20 2 2 3" xfId="13270"/>
    <cellStyle name="Percent 3 20 2 2 4" xfId="19422"/>
    <cellStyle name="Percent 3 20 2 3" xfId="8608"/>
    <cellStyle name="Percent 3 20 2 3 2" xfId="14802"/>
    <cellStyle name="Percent 3 20 2 3 3" xfId="20954"/>
    <cellStyle name="Percent 3 20 2 4" xfId="11736"/>
    <cellStyle name="Percent 3 20 2 5" xfId="17888"/>
    <cellStyle name="Percent 3 20 3" xfId="6284"/>
    <cellStyle name="Percent 3 20 3 2" xfId="9374"/>
    <cellStyle name="Percent 3 20 3 2 2" xfId="15567"/>
    <cellStyle name="Percent 3 20 3 2 3" xfId="21719"/>
    <cellStyle name="Percent 3 20 3 3" xfId="12501"/>
    <cellStyle name="Percent 3 20 3 4" xfId="18653"/>
    <cellStyle name="Percent 3 20 4" xfId="7839"/>
    <cellStyle name="Percent 3 20 4 2" xfId="14033"/>
    <cellStyle name="Percent 3 20 4 3" xfId="20185"/>
    <cellStyle name="Percent 3 20 5" xfId="10967"/>
    <cellStyle name="Percent 3 20 6" xfId="17119"/>
    <cellStyle name="Percent 3 20 7" xfId="4396"/>
    <cellStyle name="Percent 3 21" xfId="572"/>
    <cellStyle name="Percent 3 21 2" xfId="5433"/>
    <cellStyle name="Percent 3 21 2 2" xfId="7058"/>
    <cellStyle name="Percent 3 21 2 2 2" xfId="10144"/>
    <cellStyle name="Percent 3 21 2 2 2 2" xfId="16337"/>
    <cellStyle name="Percent 3 21 2 2 2 3" xfId="22489"/>
    <cellStyle name="Percent 3 21 2 2 3" xfId="13271"/>
    <cellStyle name="Percent 3 21 2 2 4" xfId="19423"/>
    <cellStyle name="Percent 3 21 2 3" xfId="8609"/>
    <cellStyle name="Percent 3 21 2 3 2" xfId="14803"/>
    <cellStyle name="Percent 3 21 2 3 3" xfId="20955"/>
    <cellStyle name="Percent 3 21 2 4" xfId="11737"/>
    <cellStyle name="Percent 3 21 2 5" xfId="17889"/>
    <cellStyle name="Percent 3 21 3" xfId="6285"/>
    <cellStyle name="Percent 3 21 3 2" xfId="9375"/>
    <cellStyle name="Percent 3 21 3 2 2" xfId="15568"/>
    <cellStyle name="Percent 3 21 3 2 3" xfId="21720"/>
    <cellStyle name="Percent 3 21 3 3" xfId="12502"/>
    <cellStyle name="Percent 3 21 3 4" xfId="18654"/>
    <cellStyle name="Percent 3 21 4" xfId="7840"/>
    <cellStyle name="Percent 3 21 4 2" xfId="14034"/>
    <cellStyle name="Percent 3 21 4 3" xfId="20186"/>
    <cellStyle name="Percent 3 21 5" xfId="10968"/>
    <cellStyle name="Percent 3 21 6" xfId="17120"/>
    <cellStyle name="Percent 3 21 7" xfId="4397"/>
    <cellStyle name="Percent 3 22" xfId="562"/>
    <cellStyle name="Percent 3 22 2" xfId="10237"/>
    <cellStyle name="Percent 3 23" xfId="470"/>
    <cellStyle name="Percent 3 24" xfId="682"/>
    <cellStyle name="Percent 3 25" xfId="708"/>
    <cellStyle name="Percent 3 26" xfId="714"/>
    <cellStyle name="Percent 3 27" xfId="742"/>
    <cellStyle name="Percent 3 28" xfId="768"/>
    <cellStyle name="Percent 3 29" xfId="793"/>
    <cellStyle name="Percent 3 3" xfId="62"/>
    <cellStyle name="Percent 3 3 2" xfId="246"/>
    <cellStyle name="Percent 3 3 2 2" xfId="5434"/>
    <cellStyle name="Percent 3 3 2 2 2" xfId="7059"/>
    <cellStyle name="Percent 3 3 2 2 2 2" xfId="10145"/>
    <cellStyle name="Percent 3 3 2 2 2 2 2" xfId="16338"/>
    <cellStyle name="Percent 3 3 2 2 2 2 3" xfId="22490"/>
    <cellStyle name="Percent 3 3 2 2 2 3" xfId="13272"/>
    <cellStyle name="Percent 3 3 2 2 2 4" xfId="19424"/>
    <cellStyle name="Percent 3 3 2 2 3" xfId="8610"/>
    <cellStyle name="Percent 3 3 2 2 3 2" xfId="14804"/>
    <cellStyle name="Percent 3 3 2 2 3 3" xfId="20956"/>
    <cellStyle name="Percent 3 3 2 2 4" xfId="11738"/>
    <cellStyle name="Percent 3 3 2 2 5" xfId="17890"/>
    <cellStyle name="Percent 3 3 2 3" xfId="6286"/>
    <cellStyle name="Percent 3 3 2 3 2" xfId="9376"/>
    <cellStyle name="Percent 3 3 2 3 2 2" xfId="15569"/>
    <cellStyle name="Percent 3 3 2 3 2 3" xfId="21721"/>
    <cellStyle name="Percent 3 3 2 3 3" xfId="12503"/>
    <cellStyle name="Percent 3 3 2 3 4" xfId="18655"/>
    <cellStyle name="Percent 3 3 2 4" xfId="7841"/>
    <cellStyle name="Percent 3 3 2 4 2" xfId="14035"/>
    <cellStyle name="Percent 3 3 2 4 3" xfId="20187"/>
    <cellStyle name="Percent 3 3 2 5" xfId="10969"/>
    <cellStyle name="Percent 3 3 2 6" xfId="17121"/>
    <cellStyle name="Percent 3 3 2 7" xfId="4399"/>
    <cellStyle name="Percent 3 3 3" xfId="4400"/>
    <cellStyle name="Percent 3 3 3 2" xfId="5435"/>
    <cellStyle name="Percent 3 3 3 2 2" xfId="7060"/>
    <cellStyle name="Percent 3 3 3 2 2 2" xfId="10146"/>
    <cellStyle name="Percent 3 3 3 2 2 2 2" xfId="16339"/>
    <cellStyle name="Percent 3 3 3 2 2 2 3" xfId="22491"/>
    <cellStyle name="Percent 3 3 3 2 2 3" xfId="13273"/>
    <cellStyle name="Percent 3 3 3 2 2 4" xfId="19425"/>
    <cellStyle name="Percent 3 3 3 2 3" xfId="8611"/>
    <cellStyle name="Percent 3 3 3 2 3 2" xfId="14805"/>
    <cellStyle name="Percent 3 3 3 2 3 3" xfId="20957"/>
    <cellStyle name="Percent 3 3 3 2 4" xfId="11739"/>
    <cellStyle name="Percent 3 3 3 2 5" xfId="17891"/>
    <cellStyle name="Percent 3 3 3 3" xfId="6287"/>
    <cellStyle name="Percent 3 3 3 3 2" xfId="9377"/>
    <cellStyle name="Percent 3 3 3 3 2 2" xfId="15570"/>
    <cellStyle name="Percent 3 3 3 3 2 3" xfId="21722"/>
    <cellStyle name="Percent 3 3 3 3 3" xfId="12504"/>
    <cellStyle name="Percent 3 3 3 3 4" xfId="18656"/>
    <cellStyle name="Percent 3 3 3 4" xfId="7842"/>
    <cellStyle name="Percent 3 3 3 4 2" xfId="14036"/>
    <cellStyle name="Percent 3 3 3 4 3" xfId="20188"/>
    <cellStyle name="Percent 3 3 3 5" xfId="10970"/>
    <cellStyle name="Percent 3 3 3 6" xfId="17122"/>
    <cellStyle name="Percent 3 3 4" xfId="4401"/>
    <cellStyle name="Percent 3 3 4 2" xfId="5436"/>
    <cellStyle name="Percent 3 3 4 2 2" xfId="7061"/>
    <cellStyle name="Percent 3 3 4 2 2 2" xfId="10147"/>
    <cellStyle name="Percent 3 3 4 2 2 2 2" xfId="16340"/>
    <cellStyle name="Percent 3 3 4 2 2 2 3" xfId="22492"/>
    <cellStyle name="Percent 3 3 4 2 2 3" xfId="13274"/>
    <cellStyle name="Percent 3 3 4 2 2 4" xfId="19426"/>
    <cellStyle name="Percent 3 3 4 2 3" xfId="8612"/>
    <cellStyle name="Percent 3 3 4 2 3 2" xfId="14806"/>
    <cellStyle name="Percent 3 3 4 2 3 3" xfId="20958"/>
    <cellStyle name="Percent 3 3 4 2 4" xfId="11740"/>
    <cellStyle name="Percent 3 3 4 2 5" xfId="17892"/>
    <cellStyle name="Percent 3 3 4 3" xfId="6288"/>
    <cellStyle name="Percent 3 3 4 3 2" xfId="9378"/>
    <cellStyle name="Percent 3 3 4 3 2 2" xfId="15571"/>
    <cellStyle name="Percent 3 3 4 3 2 3" xfId="21723"/>
    <cellStyle name="Percent 3 3 4 3 3" xfId="12505"/>
    <cellStyle name="Percent 3 3 4 3 4" xfId="18657"/>
    <cellStyle name="Percent 3 3 4 4" xfId="7843"/>
    <cellStyle name="Percent 3 3 4 4 2" xfId="14037"/>
    <cellStyle name="Percent 3 3 4 4 3" xfId="20189"/>
    <cellStyle name="Percent 3 3 4 5" xfId="10971"/>
    <cellStyle name="Percent 3 3 4 6" xfId="17123"/>
    <cellStyle name="Percent 3 3 5" xfId="4402"/>
    <cellStyle name="Percent 3 3 5 2" xfId="5437"/>
    <cellStyle name="Percent 3 3 5 2 2" xfId="7062"/>
    <cellStyle name="Percent 3 3 5 2 2 2" xfId="10148"/>
    <cellStyle name="Percent 3 3 5 2 2 2 2" xfId="16341"/>
    <cellStyle name="Percent 3 3 5 2 2 2 3" xfId="22493"/>
    <cellStyle name="Percent 3 3 5 2 2 3" xfId="13275"/>
    <cellStyle name="Percent 3 3 5 2 2 4" xfId="19427"/>
    <cellStyle name="Percent 3 3 5 2 3" xfId="8613"/>
    <cellStyle name="Percent 3 3 5 2 3 2" xfId="14807"/>
    <cellStyle name="Percent 3 3 5 2 3 3" xfId="20959"/>
    <cellStyle name="Percent 3 3 5 2 4" xfId="11741"/>
    <cellStyle name="Percent 3 3 5 2 5" xfId="17893"/>
    <cellStyle name="Percent 3 3 5 3" xfId="6289"/>
    <cellStyle name="Percent 3 3 5 3 2" xfId="9379"/>
    <cellStyle name="Percent 3 3 5 3 2 2" xfId="15572"/>
    <cellStyle name="Percent 3 3 5 3 2 3" xfId="21724"/>
    <cellStyle name="Percent 3 3 5 3 3" xfId="12506"/>
    <cellStyle name="Percent 3 3 5 3 4" xfId="18658"/>
    <cellStyle name="Percent 3 3 5 4" xfId="7844"/>
    <cellStyle name="Percent 3 3 5 4 2" xfId="14038"/>
    <cellStyle name="Percent 3 3 5 4 3" xfId="20190"/>
    <cellStyle name="Percent 3 3 5 5" xfId="10972"/>
    <cellStyle name="Percent 3 3 5 6" xfId="17124"/>
    <cellStyle name="Percent 3 3 6" xfId="10260"/>
    <cellStyle name="Percent 3 3 7" xfId="4398"/>
    <cellStyle name="Percent 3 3 8" xfId="23314"/>
    <cellStyle name="Percent 3 30" xfId="852"/>
    <cellStyle name="Percent 3 31" xfId="854"/>
    <cellStyle name="Percent 3 32" xfId="22817"/>
    <cellStyle name="Percent 3 33" xfId="196"/>
    <cellStyle name="Percent 3 4" xfId="99"/>
    <cellStyle name="Percent 3 4 10" xfId="17125"/>
    <cellStyle name="Percent 3 4 11" xfId="4403"/>
    <cellStyle name="Percent 3 4 12" xfId="215"/>
    <cellStyle name="Percent 3 4 13" xfId="23315"/>
    <cellStyle name="Percent 3 4 2" xfId="270"/>
    <cellStyle name="Percent 3 4 2 2" xfId="5439"/>
    <cellStyle name="Percent 3 4 2 2 2" xfId="7064"/>
    <cellStyle name="Percent 3 4 2 2 2 2" xfId="10150"/>
    <cellStyle name="Percent 3 4 2 2 2 2 2" xfId="16343"/>
    <cellStyle name="Percent 3 4 2 2 2 2 3" xfId="22495"/>
    <cellStyle name="Percent 3 4 2 2 2 3" xfId="13277"/>
    <cellStyle name="Percent 3 4 2 2 2 4" xfId="19429"/>
    <cellStyle name="Percent 3 4 2 2 3" xfId="8615"/>
    <cellStyle name="Percent 3 4 2 2 3 2" xfId="14809"/>
    <cellStyle name="Percent 3 4 2 2 3 3" xfId="20961"/>
    <cellStyle name="Percent 3 4 2 2 4" xfId="11743"/>
    <cellStyle name="Percent 3 4 2 2 5" xfId="17895"/>
    <cellStyle name="Percent 3 4 2 3" xfId="6291"/>
    <cellStyle name="Percent 3 4 2 3 2" xfId="9381"/>
    <cellStyle name="Percent 3 4 2 3 2 2" xfId="15574"/>
    <cellStyle name="Percent 3 4 2 3 2 3" xfId="21726"/>
    <cellStyle name="Percent 3 4 2 3 3" xfId="12508"/>
    <cellStyle name="Percent 3 4 2 3 4" xfId="18660"/>
    <cellStyle name="Percent 3 4 2 4" xfId="7846"/>
    <cellStyle name="Percent 3 4 2 4 2" xfId="14040"/>
    <cellStyle name="Percent 3 4 2 4 3" xfId="20192"/>
    <cellStyle name="Percent 3 4 2 5" xfId="10974"/>
    <cellStyle name="Percent 3 4 2 6" xfId="17126"/>
    <cellStyle name="Percent 3 4 2 7" xfId="4404"/>
    <cellStyle name="Percent 3 4 3" xfId="4405"/>
    <cellStyle name="Percent 3 4 3 2" xfId="5440"/>
    <cellStyle name="Percent 3 4 3 2 2" xfId="7065"/>
    <cellStyle name="Percent 3 4 3 2 2 2" xfId="10151"/>
    <cellStyle name="Percent 3 4 3 2 2 2 2" xfId="16344"/>
    <cellStyle name="Percent 3 4 3 2 2 2 3" xfId="22496"/>
    <cellStyle name="Percent 3 4 3 2 2 3" xfId="13278"/>
    <cellStyle name="Percent 3 4 3 2 2 4" xfId="19430"/>
    <cellStyle name="Percent 3 4 3 2 3" xfId="8616"/>
    <cellStyle name="Percent 3 4 3 2 3 2" xfId="14810"/>
    <cellStyle name="Percent 3 4 3 2 3 3" xfId="20962"/>
    <cellStyle name="Percent 3 4 3 2 4" xfId="11744"/>
    <cellStyle name="Percent 3 4 3 2 5" xfId="17896"/>
    <cellStyle name="Percent 3 4 3 3" xfId="6292"/>
    <cellStyle name="Percent 3 4 3 3 2" xfId="9382"/>
    <cellStyle name="Percent 3 4 3 3 2 2" xfId="15575"/>
    <cellStyle name="Percent 3 4 3 3 2 3" xfId="21727"/>
    <cellStyle name="Percent 3 4 3 3 3" xfId="12509"/>
    <cellStyle name="Percent 3 4 3 3 4" xfId="18661"/>
    <cellStyle name="Percent 3 4 3 4" xfId="7847"/>
    <cellStyle name="Percent 3 4 3 4 2" xfId="14041"/>
    <cellStyle name="Percent 3 4 3 4 3" xfId="20193"/>
    <cellStyle name="Percent 3 4 3 5" xfId="10975"/>
    <cellStyle name="Percent 3 4 3 6" xfId="17127"/>
    <cellStyle name="Percent 3 4 4" xfId="4406"/>
    <cellStyle name="Percent 3 4 4 2" xfId="5441"/>
    <cellStyle name="Percent 3 4 4 2 2" xfId="7066"/>
    <cellStyle name="Percent 3 4 4 2 2 2" xfId="10152"/>
    <cellStyle name="Percent 3 4 4 2 2 2 2" xfId="16345"/>
    <cellStyle name="Percent 3 4 4 2 2 2 3" xfId="22497"/>
    <cellStyle name="Percent 3 4 4 2 2 3" xfId="13279"/>
    <cellStyle name="Percent 3 4 4 2 2 4" xfId="19431"/>
    <cellStyle name="Percent 3 4 4 2 3" xfId="8617"/>
    <cellStyle name="Percent 3 4 4 2 3 2" xfId="14811"/>
    <cellStyle name="Percent 3 4 4 2 3 3" xfId="20963"/>
    <cellStyle name="Percent 3 4 4 2 4" xfId="11745"/>
    <cellStyle name="Percent 3 4 4 2 5" xfId="17897"/>
    <cellStyle name="Percent 3 4 4 3" xfId="6293"/>
    <cellStyle name="Percent 3 4 4 3 2" xfId="9383"/>
    <cellStyle name="Percent 3 4 4 3 2 2" xfId="15576"/>
    <cellStyle name="Percent 3 4 4 3 2 3" xfId="21728"/>
    <cellStyle name="Percent 3 4 4 3 3" xfId="12510"/>
    <cellStyle name="Percent 3 4 4 3 4" xfId="18662"/>
    <cellStyle name="Percent 3 4 4 4" xfId="7848"/>
    <cellStyle name="Percent 3 4 4 4 2" xfId="14042"/>
    <cellStyle name="Percent 3 4 4 4 3" xfId="20194"/>
    <cellStyle name="Percent 3 4 4 5" xfId="10976"/>
    <cellStyle name="Percent 3 4 4 6" xfId="17128"/>
    <cellStyle name="Percent 3 4 5" xfId="4407"/>
    <cellStyle name="Percent 3 4 5 2" xfId="5442"/>
    <cellStyle name="Percent 3 4 5 2 2" xfId="7067"/>
    <cellStyle name="Percent 3 4 5 2 2 2" xfId="10153"/>
    <cellStyle name="Percent 3 4 5 2 2 2 2" xfId="16346"/>
    <cellStyle name="Percent 3 4 5 2 2 2 3" xfId="22498"/>
    <cellStyle name="Percent 3 4 5 2 2 3" xfId="13280"/>
    <cellStyle name="Percent 3 4 5 2 2 4" xfId="19432"/>
    <cellStyle name="Percent 3 4 5 2 3" xfId="8618"/>
    <cellStyle name="Percent 3 4 5 2 3 2" xfId="14812"/>
    <cellStyle name="Percent 3 4 5 2 3 3" xfId="20964"/>
    <cellStyle name="Percent 3 4 5 2 4" xfId="11746"/>
    <cellStyle name="Percent 3 4 5 2 5" xfId="17898"/>
    <cellStyle name="Percent 3 4 5 3" xfId="6294"/>
    <cellStyle name="Percent 3 4 5 3 2" xfId="9384"/>
    <cellStyle name="Percent 3 4 5 3 2 2" xfId="15577"/>
    <cellStyle name="Percent 3 4 5 3 2 3" xfId="21729"/>
    <cellStyle name="Percent 3 4 5 3 3" xfId="12511"/>
    <cellStyle name="Percent 3 4 5 3 4" xfId="18663"/>
    <cellStyle name="Percent 3 4 5 4" xfId="7849"/>
    <cellStyle name="Percent 3 4 5 4 2" xfId="14043"/>
    <cellStyle name="Percent 3 4 5 4 3" xfId="20195"/>
    <cellStyle name="Percent 3 4 5 5" xfId="10977"/>
    <cellStyle name="Percent 3 4 5 6" xfId="17129"/>
    <cellStyle name="Percent 3 4 6" xfId="5438"/>
    <cellStyle name="Percent 3 4 6 2" xfId="7063"/>
    <cellStyle name="Percent 3 4 6 2 2" xfId="10149"/>
    <cellStyle name="Percent 3 4 6 2 2 2" xfId="16342"/>
    <cellStyle name="Percent 3 4 6 2 2 3" xfId="22494"/>
    <cellStyle name="Percent 3 4 6 2 3" xfId="13276"/>
    <cellStyle name="Percent 3 4 6 2 4" xfId="19428"/>
    <cellStyle name="Percent 3 4 6 3" xfId="8614"/>
    <cellStyle name="Percent 3 4 6 3 2" xfId="14808"/>
    <cellStyle name="Percent 3 4 6 3 3" xfId="20960"/>
    <cellStyle name="Percent 3 4 6 4" xfId="11742"/>
    <cellStyle name="Percent 3 4 6 5" xfId="17894"/>
    <cellStyle name="Percent 3 4 7" xfId="6290"/>
    <cellStyle name="Percent 3 4 7 2" xfId="9380"/>
    <cellStyle name="Percent 3 4 7 2 2" xfId="15573"/>
    <cellStyle name="Percent 3 4 7 2 3" xfId="21725"/>
    <cellStyle name="Percent 3 4 7 3" xfId="12507"/>
    <cellStyle name="Percent 3 4 7 4" xfId="18659"/>
    <cellStyle name="Percent 3 4 8" xfId="7845"/>
    <cellStyle name="Percent 3 4 8 2" xfId="14039"/>
    <cellStyle name="Percent 3 4 8 3" xfId="20191"/>
    <cellStyle name="Percent 3 4 9" xfId="10973"/>
    <cellStyle name="Percent 3 5" xfId="242"/>
    <cellStyle name="Percent 3 5 2" xfId="4409"/>
    <cellStyle name="Percent 3 5 2 2" xfId="5444"/>
    <cellStyle name="Percent 3 5 2 2 2" xfId="7069"/>
    <cellStyle name="Percent 3 5 2 2 2 2" xfId="10155"/>
    <cellStyle name="Percent 3 5 2 2 2 2 2" xfId="16348"/>
    <cellStyle name="Percent 3 5 2 2 2 2 3" xfId="22500"/>
    <cellStyle name="Percent 3 5 2 2 2 3" xfId="13282"/>
    <cellStyle name="Percent 3 5 2 2 2 4" xfId="19434"/>
    <cellStyle name="Percent 3 5 2 2 3" xfId="8620"/>
    <cellStyle name="Percent 3 5 2 2 3 2" xfId="14814"/>
    <cellStyle name="Percent 3 5 2 2 3 3" xfId="20966"/>
    <cellStyle name="Percent 3 5 2 2 4" xfId="11748"/>
    <cellStyle name="Percent 3 5 2 2 5" xfId="17900"/>
    <cellStyle name="Percent 3 5 2 3" xfId="6296"/>
    <cellStyle name="Percent 3 5 2 3 2" xfId="9386"/>
    <cellStyle name="Percent 3 5 2 3 2 2" xfId="15579"/>
    <cellStyle name="Percent 3 5 2 3 2 3" xfId="21731"/>
    <cellStyle name="Percent 3 5 2 3 3" xfId="12513"/>
    <cellStyle name="Percent 3 5 2 3 4" xfId="18665"/>
    <cellStyle name="Percent 3 5 2 4" xfId="7851"/>
    <cellStyle name="Percent 3 5 2 4 2" xfId="14045"/>
    <cellStyle name="Percent 3 5 2 4 3" xfId="20197"/>
    <cellStyle name="Percent 3 5 2 5" xfId="10979"/>
    <cellStyle name="Percent 3 5 2 6" xfId="17131"/>
    <cellStyle name="Percent 3 5 3" xfId="5443"/>
    <cellStyle name="Percent 3 5 3 2" xfId="7068"/>
    <cellStyle name="Percent 3 5 3 2 2" xfId="10154"/>
    <cellStyle name="Percent 3 5 3 2 2 2" xfId="16347"/>
    <cellStyle name="Percent 3 5 3 2 2 3" xfId="22499"/>
    <cellStyle name="Percent 3 5 3 2 3" xfId="13281"/>
    <cellStyle name="Percent 3 5 3 2 4" xfId="19433"/>
    <cellStyle name="Percent 3 5 3 3" xfId="8619"/>
    <cellStyle name="Percent 3 5 3 3 2" xfId="14813"/>
    <cellStyle name="Percent 3 5 3 3 3" xfId="20965"/>
    <cellStyle name="Percent 3 5 3 4" xfId="11747"/>
    <cellStyle name="Percent 3 5 3 5" xfId="17899"/>
    <cellStyle name="Percent 3 5 4" xfId="6295"/>
    <cellStyle name="Percent 3 5 4 2" xfId="9385"/>
    <cellStyle name="Percent 3 5 4 2 2" xfId="15578"/>
    <cellStyle name="Percent 3 5 4 2 3" xfId="21730"/>
    <cellStyle name="Percent 3 5 4 3" xfId="12512"/>
    <cellStyle name="Percent 3 5 4 4" xfId="18664"/>
    <cellStyle name="Percent 3 5 5" xfId="7850"/>
    <cellStyle name="Percent 3 5 5 2" xfId="14044"/>
    <cellStyle name="Percent 3 5 5 3" xfId="20196"/>
    <cellStyle name="Percent 3 5 6" xfId="10978"/>
    <cellStyle name="Percent 3 5 7" xfId="17130"/>
    <cellStyle name="Percent 3 5 8" xfId="4408"/>
    <cellStyle name="Percent 3 5 9" xfId="23316"/>
    <cellStyle name="Percent 3 6" xfId="277"/>
    <cellStyle name="Percent 3 6 2" xfId="4411"/>
    <cellStyle name="Percent 3 6 2 2" xfId="5446"/>
    <cellStyle name="Percent 3 6 2 2 2" xfId="7071"/>
    <cellStyle name="Percent 3 6 2 2 2 2" xfId="10157"/>
    <cellStyle name="Percent 3 6 2 2 2 2 2" xfId="16350"/>
    <cellStyle name="Percent 3 6 2 2 2 2 3" xfId="22502"/>
    <cellStyle name="Percent 3 6 2 2 2 3" xfId="13284"/>
    <cellStyle name="Percent 3 6 2 2 2 4" xfId="19436"/>
    <cellStyle name="Percent 3 6 2 2 3" xfId="8622"/>
    <cellStyle name="Percent 3 6 2 2 3 2" xfId="14816"/>
    <cellStyle name="Percent 3 6 2 2 3 3" xfId="20968"/>
    <cellStyle name="Percent 3 6 2 2 4" xfId="11750"/>
    <cellStyle name="Percent 3 6 2 2 5" xfId="17902"/>
    <cellStyle name="Percent 3 6 2 3" xfId="6298"/>
    <cellStyle name="Percent 3 6 2 3 2" xfId="9388"/>
    <cellStyle name="Percent 3 6 2 3 2 2" xfId="15581"/>
    <cellStyle name="Percent 3 6 2 3 2 3" xfId="21733"/>
    <cellStyle name="Percent 3 6 2 3 3" xfId="12515"/>
    <cellStyle name="Percent 3 6 2 3 4" xfId="18667"/>
    <cellStyle name="Percent 3 6 2 4" xfId="7853"/>
    <cellStyle name="Percent 3 6 2 4 2" xfId="14047"/>
    <cellStyle name="Percent 3 6 2 4 3" xfId="20199"/>
    <cellStyle name="Percent 3 6 2 5" xfId="10981"/>
    <cellStyle name="Percent 3 6 2 6" xfId="17133"/>
    <cellStyle name="Percent 3 6 3" xfId="5445"/>
    <cellStyle name="Percent 3 6 3 2" xfId="7070"/>
    <cellStyle name="Percent 3 6 3 2 2" xfId="10156"/>
    <cellStyle name="Percent 3 6 3 2 2 2" xfId="16349"/>
    <cellStyle name="Percent 3 6 3 2 2 3" xfId="22501"/>
    <cellStyle name="Percent 3 6 3 2 3" xfId="13283"/>
    <cellStyle name="Percent 3 6 3 2 4" xfId="19435"/>
    <cellStyle name="Percent 3 6 3 3" xfId="8621"/>
    <cellStyle name="Percent 3 6 3 3 2" xfId="14815"/>
    <cellStyle name="Percent 3 6 3 3 3" xfId="20967"/>
    <cellStyle name="Percent 3 6 3 4" xfId="11749"/>
    <cellStyle name="Percent 3 6 3 5" xfId="17901"/>
    <cellStyle name="Percent 3 6 4" xfId="6297"/>
    <cellStyle name="Percent 3 6 4 2" xfId="9387"/>
    <cellStyle name="Percent 3 6 4 2 2" xfId="15580"/>
    <cellStyle name="Percent 3 6 4 2 3" xfId="21732"/>
    <cellStyle name="Percent 3 6 4 3" xfId="12514"/>
    <cellStyle name="Percent 3 6 4 4" xfId="18666"/>
    <cellStyle name="Percent 3 6 5" xfId="7852"/>
    <cellStyle name="Percent 3 6 5 2" xfId="14046"/>
    <cellStyle name="Percent 3 6 5 3" xfId="20198"/>
    <cellStyle name="Percent 3 6 6" xfId="10980"/>
    <cellStyle name="Percent 3 6 7" xfId="17132"/>
    <cellStyle name="Percent 3 6 8" xfId="4410"/>
    <cellStyle name="Percent 3 6 9" xfId="23317"/>
    <cellStyle name="Percent 3 7" xfId="304"/>
    <cellStyle name="Percent 3 7 2" xfId="4413"/>
    <cellStyle name="Percent 3 7 2 2" xfId="5448"/>
    <cellStyle name="Percent 3 7 2 2 2" xfId="7073"/>
    <cellStyle name="Percent 3 7 2 2 2 2" xfId="10159"/>
    <cellStyle name="Percent 3 7 2 2 2 2 2" xfId="16352"/>
    <cellStyle name="Percent 3 7 2 2 2 2 3" xfId="22504"/>
    <cellStyle name="Percent 3 7 2 2 2 3" xfId="13286"/>
    <cellStyle name="Percent 3 7 2 2 2 4" xfId="19438"/>
    <cellStyle name="Percent 3 7 2 2 3" xfId="8624"/>
    <cellStyle name="Percent 3 7 2 2 3 2" xfId="14818"/>
    <cellStyle name="Percent 3 7 2 2 3 3" xfId="20970"/>
    <cellStyle name="Percent 3 7 2 2 4" xfId="11752"/>
    <cellStyle name="Percent 3 7 2 2 5" xfId="17904"/>
    <cellStyle name="Percent 3 7 2 3" xfId="6300"/>
    <cellStyle name="Percent 3 7 2 3 2" xfId="9390"/>
    <cellStyle name="Percent 3 7 2 3 2 2" xfId="15583"/>
    <cellStyle name="Percent 3 7 2 3 2 3" xfId="21735"/>
    <cellStyle name="Percent 3 7 2 3 3" xfId="12517"/>
    <cellStyle name="Percent 3 7 2 3 4" xfId="18669"/>
    <cellStyle name="Percent 3 7 2 4" xfId="7855"/>
    <cellStyle name="Percent 3 7 2 4 2" xfId="14049"/>
    <cellStyle name="Percent 3 7 2 4 3" xfId="20201"/>
    <cellStyle name="Percent 3 7 2 5" xfId="10983"/>
    <cellStyle name="Percent 3 7 2 6" xfId="17135"/>
    <cellStyle name="Percent 3 7 3" xfId="5447"/>
    <cellStyle name="Percent 3 7 3 2" xfId="7072"/>
    <cellStyle name="Percent 3 7 3 2 2" xfId="10158"/>
    <cellStyle name="Percent 3 7 3 2 2 2" xfId="16351"/>
    <cellStyle name="Percent 3 7 3 2 2 3" xfId="22503"/>
    <cellStyle name="Percent 3 7 3 2 3" xfId="13285"/>
    <cellStyle name="Percent 3 7 3 2 4" xfId="19437"/>
    <cellStyle name="Percent 3 7 3 3" xfId="8623"/>
    <cellStyle name="Percent 3 7 3 3 2" xfId="14817"/>
    <cellStyle name="Percent 3 7 3 3 3" xfId="20969"/>
    <cellStyle name="Percent 3 7 3 4" xfId="11751"/>
    <cellStyle name="Percent 3 7 3 5" xfId="17903"/>
    <cellStyle name="Percent 3 7 4" xfId="6299"/>
    <cellStyle name="Percent 3 7 4 2" xfId="9389"/>
    <cellStyle name="Percent 3 7 4 2 2" xfId="15582"/>
    <cellStyle name="Percent 3 7 4 2 3" xfId="21734"/>
    <cellStyle name="Percent 3 7 4 3" xfId="12516"/>
    <cellStyle name="Percent 3 7 4 4" xfId="18668"/>
    <cellStyle name="Percent 3 7 5" xfId="7854"/>
    <cellStyle name="Percent 3 7 5 2" xfId="14048"/>
    <cellStyle name="Percent 3 7 5 3" xfId="20200"/>
    <cellStyle name="Percent 3 7 6" xfId="10982"/>
    <cellStyle name="Percent 3 7 7" xfId="17134"/>
    <cellStyle name="Percent 3 7 8" xfId="4412"/>
    <cellStyle name="Percent 3 8" xfId="313"/>
    <cellStyle name="Percent 3 8 2" xfId="5449"/>
    <cellStyle name="Percent 3 8 2 2" xfId="7074"/>
    <cellStyle name="Percent 3 8 2 2 2" xfId="10160"/>
    <cellStyle name="Percent 3 8 2 2 2 2" xfId="16353"/>
    <cellStyle name="Percent 3 8 2 2 2 3" xfId="22505"/>
    <cellStyle name="Percent 3 8 2 2 3" xfId="13287"/>
    <cellStyle name="Percent 3 8 2 2 4" xfId="19439"/>
    <cellStyle name="Percent 3 8 2 3" xfId="8625"/>
    <cellStyle name="Percent 3 8 2 3 2" xfId="14819"/>
    <cellStyle name="Percent 3 8 2 3 3" xfId="20971"/>
    <cellStyle name="Percent 3 8 2 4" xfId="11753"/>
    <cellStyle name="Percent 3 8 2 5" xfId="17905"/>
    <cellStyle name="Percent 3 8 3" xfId="6301"/>
    <cellStyle name="Percent 3 8 3 2" xfId="9391"/>
    <cellStyle name="Percent 3 8 3 2 2" xfId="15584"/>
    <cellStyle name="Percent 3 8 3 2 3" xfId="21736"/>
    <cellStyle name="Percent 3 8 3 3" xfId="12518"/>
    <cellStyle name="Percent 3 8 3 4" xfId="18670"/>
    <cellStyle name="Percent 3 8 4" xfId="7856"/>
    <cellStyle name="Percent 3 8 4 2" xfId="14050"/>
    <cellStyle name="Percent 3 8 4 3" xfId="20202"/>
    <cellStyle name="Percent 3 8 5" xfId="10984"/>
    <cellStyle name="Percent 3 8 6" xfId="17136"/>
    <cellStyle name="Percent 3 8 7" xfId="4414"/>
    <cellStyle name="Percent 3 9" xfId="349"/>
    <cellStyle name="Percent 3 9 2" xfId="5450"/>
    <cellStyle name="Percent 3 9 2 2" xfId="7075"/>
    <cellStyle name="Percent 3 9 2 2 2" xfId="10161"/>
    <cellStyle name="Percent 3 9 2 2 2 2" xfId="16354"/>
    <cellStyle name="Percent 3 9 2 2 2 3" xfId="22506"/>
    <cellStyle name="Percent 3 9 2 2 3" xfId="13288"/>
    <cellStyle name="Percent 3 9 2 2 4" xfId="19440"/>
    <cellStyle name="Percent 3 9 2 3" xfId="8626"/>
    <cellStyle name="Percent 3 9 2 3 2" xfId="14820"/>
    <cellStyle name="Percent 3 9 2 3 3" xfId="20972"/>
    <cellStyle name="Percent 3 9 2 4" xfId="11754"/>
    <cellStyle name="Percent 3 9 2 5" xfId="17906"/>
    <cellStyle name="Percent 3 9 3" xfId="6302"/>
    <cellStyle name="Percent 3 9 3 2" xfId="9392"/>
    <cellStyle name="Percent 3 9 3 2 2" xfId="15585"/>
    <cellStyle name="Percent 3 9 3 2 3" xfId="21737"/>
    <cellStyle name="Percent 3 9 3 3" xfId="12519"/>
    <cellStyle name="Percent 3 9 3 4" xfId="18671"/>
    <cellStyle name="Percent 3 9 4" xfId="7857"/>
    <cellStyle name="Percent 3 9 4 2" xfId="14051"/>
    <cellStyle name="Percent 3 9 4 3" xfId="20203"/>
    <cellStyle name="Percent 3 9 5" xfId="10985"/>
    <cellStyle name="Percent 3 9 6" xfId="17137"/>
    <cellStyle name="Percent 3 9 7" xfId="4415"/>
    <cellStyle name="Percent 30" xfId="4416"/>
    <cellStyle name="Percent 30 2" xfId="4417"/>
    <cellStyle name="Percent 30 2 2" xfId="4418"/>
    <cellStyle name="Percent 30 2 2 2" xfId="5452"/>
    <cellStyle name="Percent 30 2 2 2 2" xfId="7077"/>
    <cellStyle name="Percent 30 2 2 2 2 2" xfId="10163"/>
    <cellStyle name="Percent 30 2 2 2 2 2 2" xfId="16356"/>
    <cellStyle name="Percent 30 2 2 2 2 2 3" xfId="22508"/>
    <cellStyle name="Percent 30 2 2 2 2 3" xfId="13290"/>
    <cellStyle name="Percent 30 2 2 2 2 4" xfId="19442"/>
    <cellStyle name="Percent 30 2 2 2 3" xfId="8628"/>
    <cellStyle name="Percent 30 2 2 2 3 2" xfId="14822"/>
    <cellStyle name="Percent 30 2 2 2 3 3" xfId="20974"/>
    <cellStyle name="Percent 30 2 2 2 4" xfId="11756"/>
    <cellStyle name="Percent 30 2 2 2 5" xfId="17908"/>
    <cellStyle name="Percent 30 2 2 3" xfId="6305"/>
    <cellStyle name="Percent 30 2 2 3 2" xfId="9394"/>
    <cellStyle name="Percent 30 2 2 3 2 2" xfId="15587"/>
    <cellStyle name="Percent 30 2 2 3 2 3" xfId="21739"/>
    <cellStyle name="Percent 30 2 2 3 3" xfId="12521"/>
    <cellStyle name="Percent 30 2 2 3 4" xfId="18673"/>
    <cellStyle name="Percent 30 2 2 4" xfId="7859"/>
    <cellStyle name="Percent 30 2 2 4 2" xfId="14053"/>
    <cellStyle name="Percent 30 2 2 4 3" xfId="20205"/>
    <cellStyle name="Percent 30 2 2 5" xfId="10987"/>
    <cellStyle name="Percent 30 2 2 6" xfId="17139"/>
    <cellStyle name="Percent 30 2 3" xfId="5451"/>
    <cellStyle name="Percent 30 2 3 2" xfId="7076"/>
    <cellStyle name="Percent 30 2 3 2 2" xfId="10162"/>
    <cellStyle name="Percent 30 2 3 2 2 2" xfId="16355"/>
    <cellStyle name="Percent 30 2 3 2 2 3" xfId="22507"/>
    <cellStyle name="Percent 30 2 3 2 3" xfId="13289"/>
    <cellStyle name="Percent 30 2 3 2 4" xfId="19441"/>
    <cellStyle name="Percent 30 2 3 3" xfId="8627"/>
    <cellStyle name="Percent 30 2 3 3 2" xfId="14821"/>
    <cellStyle name="Percent 30 2 3 3 3" xfId="20973"/>
    <cellStyle name="Percent 30 2 3 4" xfId="11755"/>
    <cellStyle name="Percent 30 2 3 5" xfId="17907"/>
    <cellStyle name="Percent 30 2 4" xfId="6304"/>
    <cellStyle name="Percent 30 2 4 2" xfId="9393"/>
    <cellStyle name="Percent 30 2 4 2 2" xfId="15586"/>
    <cellStyle name="Percent 30 2 4 2 3" xfId="21738"/>
    <cellStyle name="Percent 30 2 4 3" xfId="12520"/>
    <cellStyle name="Percent 30 2 4 4" xfId="18672"/>
    <cellStyle name="Percent 30 2 5" xfId="7858"/>
    <cellStyle name="Percent 30 2 5 2" xfId="14052"/>
    <cellStyle name="Percent 30 2 5 3" xfId="20204"/>
    <cellStyle name="Percent 30 2 6" xfId="10986"/>
    <cellStyle name="Percent 30 2 7" xfId="17138"/>
    <cellStyle name="Percent 30 3" xfId="4419"/>
    <cellStyle name="Percent 30 3 2" xfId="4420"/>
    <cellStyle name="Percent 30 3 2 2" xfId="5454"/>
    <cellStyle name="Percent 30 3 2 2 2" xfId="7079"/>
    <cellStyle name="Percent 30 3 2 2 2 2" xfId="10165"/>
    <cellStyle name="Percent 30 3 2 2 2 2 2" xfId="16358"/>
    <cellStyle name="Percent 30 3 2 2 2 2 3" xfId="22510"/>
    <cellStyle name="Percent 30 3 2 2 2 3" xfId="13292"/>
    <cellStyle name="Percent 30 3 2 2 2 4" xfId="19444"/>
    <cellStyle name="Percent 30 3 2 2 3" xfId="8630"/>
    <cellStyle name="Percent 30 3 2 2 3 2" xfId="14824"/>
    <cellStyle name="Percent 30 3 2 2 3 3" xfId="20976"/>
    <cellStyle name="Percent 30 3 2 2 4" xfId="11758"/>
    <cellStyle name="Percent 30 3 2 2 5" xfId="17910"/>
    <cellStyle name="Percent 30 3 2 3" xfId="6307"/>
    <cellStyle name="Percent 30 3 2 3 2" xfId="9396"/>
    <cellStyle name="Percent 30 3 2 3 2 2" xfId="15589"/>
    <cellStyle name="Percent 30 3 2 3 2 3" xfId="21741"/>
    <cellStyle name="Percent 30 3 2 3 3" xfId="12523"/>
    <cellStyle name="Percent 30 3 2 3 4" xfId="18675"/>
    <cellStyle name="Percent 30 3 2 4" xfId="7861"/>
    <cellStyle name="Percent 30 3 2 4 2" xfId="14055"/>
    <cellStyle name="Percent 30 3 2 4 3" xfId="20207"/>
    <cellStyle name="Percent 30 3 2 5" xfId="10989"/>
    <cellStyle name="Percent 30 3 2 6" xfId="17141"/>
    <cellStyle name="Percent 30 3 3" xfId="5453"/>
    <cellStyle name="Percent 30 3 3 2" xfId="7078"/>
    <cellStyle name="Percent 30 3 3 2 2" xfId="10164"/>
    <cellStyle name="Percent 30 3 3 2 2 2" xfId="16357"/>
    <cellStyle name="Percent 30 3 3 2 2 3" xfId="22509"/>
    <cellStyle name="Percent 30 3 3 2 3" xfId="13291"/>
    <cellStyle name="Percent 30 3 3 2 4" xfId="19443"/>
    <cellStyle name="Percent 30 3 3 3" xfId="8629"/>
    <cellStyle name="Percent 30 3 3 3 2" xfId="14823"/>
    <cellStyle name="Percent 30 3 3 3 3" xfId="20975"/>
    <cellStyle name="Percent 30 3 3 4" xfId="11757"/>
    <cellStyle name="Percent 30 3 3 5" xfId="17909"/>
    <cellStyle name="Percent 30 3 4" xfId="6306"/>
    <cellStyle name="Percent 30 3 4 2" xfId="9395"/>
    <cellStyle name="Percent 30 3 4 2 2" xfId="15588"/>
    <cellStyle name="Percent 30 3 4 2 3" xfId="21740"/>
    <cellStyle name="Percent 30 3 4 3" xfId="12522"/>
    <cellStyle name="Percent 30 3 4 4" xfId="18674"/>
    <cellStyle name="Percent 30 3 5" xfId="7860"/>
    <cellStyle name="Percent 30 3 5 2" xfId="14054"/>
    <cellStyle name="Percent 30 3 5 3" xfId="20206"/>
    <cellStyle name="Percent 30 3 6" xfId="10988"/>
    <cellStyle name="Percent 30 3 7" xfId="17140"/>
    <cellStyle name="Percent 30 4" xfId="4421"/>
    <cellStyle name="Percent 30 4 2" xfId="4422"/>
    <cellStyle name="Percent 30 4 2 2" xfId="5455"/>
    <cellStyle name="Percent 30 4 2 2 2" xfId="7080"/>
    <cellStyle name="Percent 30 4 2 2 2 2" xfId="10166"/>
    <cellStyle name="Percent 30 4 2 2 2 2 2" xfId="16359"/>
    <cellStyle name="Percent 30 4 2 2 2 2 3" xfId="22511"/>
    <cellStyle name="Percent 30 4 2 2 2 3" xfId="13293"/>
    <cellStyle name="Percent 30 4 2 2 2 4" xfId="19445"/>
    <cellStyle name="Percent 30 4 2 2 3" xfId="8631"/>
    <cellStyle name="Percent 30 4 2 2 3 2" xfId="14825"/>
    <cellStyle name="Percent 30 4 2 2 3 3" xfId="20977"/>
    <cellStyle name="Percent 30 4 2 2 4" xfId="11759"/>
    <cellStyle name="Percent 30 4 2 2 5" xfId="17911"/>
    <cellStyle name="Percent 30 4 2 3" xfId="6308"/>
    <cellStyle name="Percent 30 4 2 3 2" xfId="9397"/>
    <cellStyle name="Percent 30 4 2 3 2 2" xfId="15590"/>
    <cellStyle name="Percent 30 4 2 3 2 3" xfId="21742"/>
    <cellStyle name="Percent 30 4 2 3 3" xfId="12524"/>
    <cellStyle name="Percent 30 4 2 3 4" xfId="18676"/>
    <cellStyle name="Percent 30 4 2 4" xfId="7862"/>
    <cellStyle name="Percent 30 4 2 4 2" xfId="14056"/>
    <cellStyle name="Percent 30 4 2 4 3" xfId="20208"/>
    <cellStyle name="Percent 30 4 2 5" xfId="10990"/>
    <cellStyle name="Percent 30 4 2 6" xfId="17142"/>
    <cellStyle name="Percent 30 5" xfId="4423"/>
    <cellStyle name="Percent 30 5 2" xfId="5456"/>
    <cellStyle name="Percent 30 5 2 2" xfId="7081"/>
    <cellStyle name="Percent 30 5 2 2 2" xfId="10167"/>
    <cellStyle name="Percent 30 5 2 2 2 2" xfId="16360"/>
    <cellStyle name="Percent 30 5 2 2 2 3" xfId="22512"/>
    <cellStyle name="Percent 30 5 2 2 3" xfId="13294"/>
    <cellStyle name="Percent 30 5 2 2 4" xfId="19446"/>
    <cellStyle name="Percent 30 5 2 3" xfId="8632"/>
    <cellStyle name="Percent 30 5 2 3 2" xfId="14826"/>
    <cellStyle name="Percent 30 5 2 3 3" xfId="20978"/>
    <cellStyle name="Percent 30 5 2 4" xfId="11760"/>
    <cellStyle name="Percent 30 5 2 5" xfId="17912"/>
    <cellStyle name="Percent 30 5 3" xfId="6309"/>
    <cellStyle name="Percent 30 5 3 2" xfId="9398"/>
    <cellStyle name="Percent 30 5 3 2 2" xfId="15591"/>
    <cellStyle name="Percent 30 5 3 2 3" xfId="21743"/>
    <cellStyle name="Percent 30 5 3 3" xfId="12525"/>
    <cellStyle name="Percent 30 5 3 4" xfId="18677"/>
    <cellStyle name="Percent 30 5 4" xfId="7863"/>
    <cellStyle name="Percent 30 5 4 2" xfId="14057"/>
    <cellStyle name="Percent 30 5 4 3" xfId="20209"/>
    <cellStyle name="Percent 30 5 5" xfId="10991"/>
    <cellStyle name="Percent 30 5 6" xfId="17143"/>
    <cellStyle name="Percent 31" xfId="4424"/>
    <cellStyle name="Percent 31 2" xfId="4425"/>
    <cellStyle name="Percent 31 2 2" xfId="4426"/>
    <cellStyle name="Percent 31 2 2 2" xfId="5458"/>
    <cellStyle name="Percent 31 2 2 2 2" xfId="7083"/>
    <cellStyle name="Percent 31 2 2 2 2 2" xfId="10169"/>
    <cellStyle name="Percent 31 2 2 2 2 2 2" xfId="16362"/>
    <cellStyle name="Percent 31 2 2 2 2 2 3" xfId="22514"/>
    <cellStyle name="Percent 31 2 2 2 2 3" xfId="13296"/>
    <cellStyle name="Percent 31 2 2 2 2 4" xfId="19448"/>
    <cellStyle name="Percent 31 2 2 2 3" xfId="8634"/>
    <cellStyle name="Percent 31 2 2 2 3 2" xfId="14828"/>
    <cellStyle name="Percent 31 2 2 2 3 3" xfId="20980"/>
    <cellStyle name="Percent 31 2 2 2 4" xfId="11762"/>
    <cellStyle name="Percent 31 2 2 2 5" xfId="17914"/>
    <cellStyle name="Percent 31 2 2 3" xfId="6311"/>
    <cellStyle name="Percent 31 2 2 3 2" xfId="9400"/>
    <cellStyle name="Percent 31 2 2 3 2 2" xfId="15593"/>
    <cellStyle name="Percent 31 2 2 3 2 3" xfId="21745"/>
    <cellStyle name="Percent 31 2 2 3 3" xfId="12527"/>
    <cellStyle name="Percent 31 2 2 3 4" xfId="18679"/>
    <cellStyle name="Percent 31 2 2 4" xfId="7865"/>
    <cellStyle name="Percent 31 2 2 4 2" xfId="14059"/>
    <cellStyle name="Percent 31 2 2 4 3" xfId="20211"/>
    <cellStyle name="Percent 31 2 2 5" xfId="10993"/>
    <cellStyle name="Percent 31 2 2 6" xfId="17145"/>
    <cellStyle name="Percent 31 2 3" xfId="5457"/>
    <cellStyle name="Percent 31 2 3 2" xfId="7082"/>
    <cellStyle name="Percent 31 2 3 2 2" xfId="10168"/>
    <cellStyle name="Percent 31 2 3 2 2 2" xfId="16361"/>
    <cellStyle name="Percent 31 2 3 2 2 3" xfId="22513"/>
    <cellStyle name="Percent 31 2 3 2 3" xfId="13295"/>
    <cellStyle name="Percent 31 2 3 2 4" xfId="19447"/>
    <cellStyle name="Percent 31 2 3 3" xfId="8633"/>
    <cellStyle name="Percent 31 2 3 3 2" xfId="14827"/>
    <cellStyle name="Percent 31 2 3 3 3" xfId="20979"/>
    <cellStyle name="Percent 31 2 3 4" xfId="11761"/>
    <cellStyle name="Percent 31 2 3 5" xfId="17913"/>
    <cellStyle name="Percent 31 2 4" xfId="6310"/>
    <cellStyle name="Percent 31 2 4 2" xfId="9399"/>
    <cellStyle name="Percent 31 2 4 2 2" xfId="15592"/>
    <cellStyle name="Percent 31 2 4 2 3" xfId="21744"/>
    <cellStyle name="Percent 31 2 4 3" xfId="12526"/>
    <cellStyle name="Percent 31 2 4 4" xfId="18678"/>
    <cellStyle name="Percent 31 2 5" xfId="7864"/>
    <cellStyle name="Percent 31 2 5 2" xfId="14058"/>
    <cellStyle name="Percent 31 2 5 3" xfId="20210"/>
    <cellStyle name="Percent 31 2 6" xfId="10992"/>
    <cellStyle name="Percent 31 2 7" xfId="17144"/>
    <cellStyle name="Percent 31 3" xfId="4427"/>
    <cellStyle name="Percent 31 3 2" xfId="4428"/>
    <cellStyle name="Percent 31 3 2 2" xfId="5460"/>
    <cellStyle name="Percent 31 3 2 2 2" xfId="7085"/>
    <cellStyle name="Percent 31 3 2 2 2 2" xfId="10171"/>
    <cellStyle name="Percent 31 3 2 2 2 2 2" xfId="16364"/>
    <cellStyle name="Percent 31 3 2 2 2 2 3" xfId="22516"/>
    <cellStyle name="Percent 31 3 2 2 2 3" xfId="13298"/>
    <cellStyle name="Percent 31 3 2 2 2 4" xfId="19450"/>
    <cellStyle name="Percent 31 3 2 2 3" xfId="8636"/>
    <cellStyle name="Percent 31 3 2 2 3 2" xfId="14830"/>
    <cellStyle name="Percent 31 3 2 2 3 3" xfId="20982"/>
    <cellStyle name="Percent 31 3 2 2 4" xfId="11764"/>
    <cellStyle name="Percent 31 3 2 2 5" xfId="17916"/>
    <cellStyle name="Percent 31 3 2 3" xfId="6313"/>
    <cellStyle name="Percent 31 3 2 3 2" xfId="9402"/>
    <cellStyle name="Percent 31 3 2 3 2 2" xfId="15595"/>
    <cellStyle name="Percent 31 3 2 3 2 3" xfId="21747"/>
    <cellStyle name="Percent 31 3 2 3 3" xfId="12529"/>
    <cellStyle name="Percent 31 3 2 3 4" xfId="18681"/>
    <cellStyle name="Percent 31 3 2 4" xfId="7867"/>
    <cellStyle name="Percent 31 3 2 4 2" xfId="14061"/>
    <cellStyle name="Percent 31 3 2 4 3" xfId="20213"/>
    <cellStyle name="Percent 31 3 2 5" xfId="10995"/>
    <cellStyle name="Percent 31 3 2 6" xfId="17147"/>
    <cellStyle name="Percent 31 3 3" xfId="5459"/>
    <cellStyle name="Percent 31 3 3 2" xfId="7084"/>
    <cellStyle name="Percent 31 3 3 2 2" xfId="10170"/>
    <cellStyle name="Percent 31 3 3 2 2 2" xfId="16363"/>
    <cellStyle name="Percent 31 3 3 2 2 3" xfId="22515"/>
    <cellStyle name="Percent 31 3 3 2 3" xfId="13297"/>
    <cellStyle name="Percent 31 3 3 2 4" xfId="19449"/>
    <cellStyle name="Percent 31 3 3 3" xfId="8635"/>
    <cellStyle name="Percent 31 3 3 3 2" xfId="14829"/>
    <cellStyle name="Percent 31 3 3 3 3" xfId="20981"/>
    <cellStyle name="Percent 31 3 3 4" xfId="11763"/>
    <cellStyle name="Percent 31 3 3 5" xfId="17915"/>
    <cellStyle name="Percent 31 3 4" xfId="6312"/>
    <cellStyle name="Percent 31 3 4 2" xfId="9401"/>
    <cellStyle name="Percent 31 3 4 2 2" xfId="15594"/>
    <cellStyle name="Percent 31 3 4 2 3" xfId="21746"/>
    <cellStyle name="Percent 31 3 4 3" xfId="12528"/>
    <cellStyle name="Percent 31 3 4 4" xfId="18680"/>
    <cellStyle name="Percent 31 3 5" xfId="7866"/>
    <cellStyle name="Percent 31 3 5 2" xfId="14060"/>
    <cellStyle name="Percent 31 3 5 3" xfId="20212"/>
    <cellStyle name="Percent 31 3 6" xfId="10994"/>
    <cellStyle name="Percent 31 3 7" xfId="17146"/>
    <cellStyle name="Percent 31 4" xfId="4429"/>
    <cellStyle name="Percent 31 4 2" xfId="4430"/>
    <cellStyle name="Percent 31 4 2 2" xfId="5461"/>
    <cellStyle name="Percent 31 4 2 2 2" xfId="7086"/>
    <cellStyle name="Percent 31 4 2 2 2 2" xfId="10172"/>
    <cellStyle name="Percent 31 4 2 2 2 2 2" xfId="16365"/>
    <cellStyle name="Percent 31 4 2 2 2 2 3" xfId="22517"/>
    <cellStyle name="Percent 31 4 2 2 2 3" xfId="13299"/>
    <cellStyle name="Percent 31 4 2 2 2 4" xfId="19451"/>
    <cellStyle name="Percent 31 4 2 2 3" xfId="8637"/>
    <cellStyle name="Percent 31 4 2 2 3 2" xfId="14831"/>
    <cellStyle name="Percent 31 4 2 2 3 3" xfId="20983"/>
    <cellStyle name="Percent 31 4 2 2 4" xfId="11765"/>
    <cellStyle name="Percent 31 4 2 2 5" xfId="17917"/>
    <cellStyle name="Percent 31 4 2 3" xfId="6314"/>
    <cellStyle name="Percent 31 4 2 3 2" xfId="9403"/>
    <cellStyle name="Percent 31 4 2 3 2 2" xfId="15596"/>
    <cellStyle name="Percent 31 4 2 3 2 3" xfId="21748"/>
    <cellStyle name="Percent 31 4 2 3 3" xfId="12530"/>
    <cellStyle name="Percent 31 4 2 3 4" xfId="18682"/>
    <cellStyle name="Percent 31 4 2 4" xfId="7868"/>
    <cellStyle name="Percent 31 4 2 4 2" xfId="14062"/>
    <cellStyle name="Percent 31 4 2 4 3" xfId="20214"/>
    <cellStyle name="Percent 31 4 2 5" xfId="10996"/>
    <cellStyle name="Percent 31 4 2 6" xfId="17148"/>
    <cellStyle name="Percent 31 5" xfId="4431"/>
    <cellStyle name="Percent 31 5 2" xfId="5462"/>
    <cellStyle name="Percent 31 5 2 2" xfId="7087"/>
    <cellStyle name="Percent 31 5 2 2 2" xfId="10173"/>
    <cellStyle name="Percent 31 5 2 2 2 2" xfId="16366"/>
    <cellStyle name="Percent 31 5 2 2 2 3" xfId="22518"/>
    <cellStyle name="Percent 31 5 2 2 3" xfId="13300"/>
    <cellStyle name="Percent 31 5 2 2 4" xfId="19452"/>
    <cellStyle name="Percent 31 5 2 3" xfId="8638"/>
    <cellStyle name="Percent 31 5 2 3 2" xfId="14832"/>
    <cellStyle name="Percent 31 5 2 3 3" xfId="20984"/>
    <cellStyle name="Percent 31 5 2 4" xfId="11766"/>
    <cellStyle name="Percent 31 5 2 5" xfId="17918"/>
    <cellStyle name="Percent 31 5 3" xfId="6315"/>
    <cellStyle name="Percent 31 5 3 2" xfId="9404"/>
    <cellStyle name="Percent 31 5 3 2 2" xfId="15597"/>
    <cellStyle name="Percent 31 5 3 2 3" xfId="21749"/>
    <cellStyle name="Percent 31 5 3 3" xfId="12531"/>
    <cellStyle name="Percent 31 5 3 4" xfId="18683"/>
    <cellStyle name="Percent 31 5 4" xfId="7869"/>
    <cellStyle name="Percent 31 5 4 2" xfId="14063"/>
    <cellStyle name="Percent 31 5 4 3" xfId="20215"/>
    <cellStyle name="Percent 31 5 5" xfId="10997"/>
    <cellStyle name="Percent 31 5 6" xfId="17149"/>
    <cellStyle name="Percent 32" xfId="4432"/>
    <cellStyle name="Percent 32 2" xfId="4433"/>
    <cellStyle name="Percent 32 2 2" xfId="4434"/>
    <cellStyle name="Percent 32 2 2 2" xfId="5464"/>
    <cellStyle name="Percent 32 2 2 2 2" xfId="7089"/>
    <cellStyle name="Percent 32 2 2 2 2 2" xfId="10175"/>
    <cellStyle name="Percent 32 2 2 2 2 2 2" xfId="16368"/>
    <cellStyle name="Percent 32 2 2 2 2 2 3" xfId="22520"/>
    <cellStyle name="Percent 32 2 2 2 2 3" xfId="13302"/>
    <cellStyle name="Percent 32 2 2 2 2 4" xfId="19454"/>
    <cellStyle name="Percent 32 2 2 2 3" xfId="8640"/>
    <cellStyle name="Percent 32 2 2 2 3 2" xfId="14834"/>
    <cellStyle name="Percent 32 2 2 2 3 3" xfId="20986"/>
    <cellStyle name="Percent 32 2 2 2 4" xfId="11768"/>
    <cellStyle name="Percent 32 2 2 2 5" xfId="17920"/>
    <cellStyle name="Percent 32 2 2 3" xfId="6317"/>
    <cellStyle name="Percent 32 2 2 3 2" xfId="9406"/>
    <cellStyle name="Percent 32 2 2 3 2 2" xfId="15599"/>
    <cellStyle name="Percent 32 2 2 3 2 3" xfId="21751"/>
    <cellStyle name="Percent 32 2 2 3 3" xfId="12533"/>
    <cellStyle name="Percent 32 2 2 3 4" xfId="18685"/>
    <cellStyle name="Percent 32 2 2 4" xfId="7871"/>
    <cellStyle name="Percent 32 2 2 4 2" xfId="14065"/>
    <cellStyle name="Percent 32 2 2 4 3" xfId="20217"/>
    <cellStyle name="Percent 32 2 2 5" xfId="10999"/>
    <cellStyle name="Percent 32 2 2 6" xfId="17151"/>
    <cellStyle name="Percent 32 2 3" xfId="5463"/>
    <cellStyle name="Percent 32 2 3 2" xfId="7088"/>
    <cellStyle name="Percent 32 2 3 2 2" xfId="10174"/>
    <cellStyle name="Percent 32 2 3 2 2 2" xfId="16367"/>
    <cellStyle name="Percent 32 2 3 2 2 3" xfId="22519"/>
    <cellStyle name="Percent 32 2 3 2 3" xfId="13301"/>
    <cellStyle name="Percent 32 2 3 2 4" xfId="19453"/>
    <cellStyle name="Percent 32 2 3 3" xfId="8639"/>
    <cellStyle name="Percent 32 2 3 3 2" xfId="14833"/>
    <cellStyle name="Percent 32 2 3 3 3" xfId="20985"/>
    <cellStyle name="Percent 32 2 3 4" xfId="11767"/>
    <cellStyle name="Percent 32 2 3 5" xfId="17919"/>
    <cellStyle name="Percent 32 2 4" xfId="6316"/>
    <cellStyle name="Percent 32 2 4 2" xfId="9405"/>
    <cellStyle name="Percent 32 2 4 2 2" xfId="15598"/>
    <cellStyle name="Percent 32 2 4 2 3" xfId="21750"/>
    <cellStyle name="Percent 32 2 4 3" xfId="12532"/>
    <cellStyle name="Percent 32 2 4 4" xfId="18684"/>
    <cellStyle name="Percent 32 2 5" xfId="7870"/>
    <cellStyle name="Percent 32 2 5 2" xfId="14064"/>
    <cellStyle name="Percent 32 2 5 3" xfId="20216"/>
    <cellStyle name="Percent 32 2 6" xfId="10998"/>
    <cellStyle name="Percent 32 2 7" xfId="17150"/>
    <cellStyle name="Percent 32 3" xfId="4435"/>
    <cellStyle name="Percent 32 3 2" xfId="4436"/>
    <cellStyle name="Percent 32 3 2 2" xfId="5466"/>
    <cellStyle name="Percent 32 3 2 2 2" xfId="7091"/>
    <cellStyle name="Percent 32 3 2 2 2 2" xfId="10177"/>
    <cellStyle name="Percent 32 3 2 2 2 2 2" xfId="16370"/>
    <cellStyle name="Percent 32 3 2 2 2 2 3" xfId="22522"/>
    <cellStyle name="Percent 32 3 2 2 2 3" xfId="13304"/>
    <cellStyle name="Percent 32 3 2 2 2 4" xfId="19456"/>
    <cellStyle name="Percent 32 3 2 2 3" xfId="8642"/>
    <cellStyle name="Percent 32 3 2 2 3 2" xfId="14836"/>
    <cellStyle name="Percent 32 3 2 2 3 3" xfId="20988"/>
    <cellStyle name="Percent 32 3 2 2 4" xfId="11770"/>
    <cellStyle name="Percent 32 3 2 2 5" xfId="17922"/>
    <cellStyle name="Percent 32 3 2 3" xfId="6319"/>
    <cellStyle name="Percent 32 3 2 3 2" xfId="9408"/>
    <cellStyle name="Percent 32 3 2 3 2 2" xfId="15601"/>
    <cellStyle name="Percent 32 3 2 3 2 3" xfId="21753"/>
    <cellStyle name="Percent 32 3 2 3 3" xfId="12535"/>
    <cellStyle name="Percent 32 3 2 3 4" xfId="18687"/>
    <cellStyle name="Percent 32 3 2 4" xfId="7873"/>
    <cellStyle name="Percent 32 3 2 4 2" xfId="14067"/>
    <cellStyle name="Percent 32 3 2 4 3" xfId="20219"/>
    <cellStyle name="Percent 32 3 2 5" xfId="11001"/>
    <cellStyle name="Percent 32 3 2 6" xfId="17153"/>
    <cellStyle name="Percent 32 3 3" xfId="5465"/>
    <cellStyle name="Percent 32 3 3 2" xfId="7090"/>
    <cellStyle name="Percent 32 3 3 2 2" xfId="10176"/>
    <cellStyle name="Percent 32 3 3 2 2 2" xfId="16369"/>
    <cellStyle name="Percent 32 3 3 2 2 3" xfId="22521"/>
    <cellStyle name="Percent 32 3 3 2 3" xfId="13303"/>
    <cellStyle name="Percent 32 3 3 2 4" xfId="19455"/>
    <cellStyle name="Percent 32 3 3 3" xfId="8641"/>
    <cellStyle name="Percent 32 3 3 3 2" xfId="14835"/>
    <cellStyle name="Percent 32 3 3 3 3" xfId="20987"/>
    <cellStyle name="Percent 32 3 3 4" xfId="11769"/>
    <cellStyle name="Percent 32 3 3 5" xfId="17921"/>
    <cellStyle name="Percent 32 3 4" xfId="6318"/>
    <cellStyle name="Percent 32 3 4 2" xfId="9407"/>
    <cellStyle name="Percent 32 3 4 2 2" xfId="15600"/>
    <cellStyle name="Percent 32 3 4 2 3" xfId="21752"/>
    <cellStyle name="Percent 32 3 4 3" xfId="12534"/>
    <cellStyle name="Percent 32 3 4 4" xfId="18686"/>
    <cellStyle name="Percent 32 3 5" xfId="7872"/>
    <cellStyle name="Percent 32 3 5 2" xfId="14066"/>
    <cellStyle name="Percent 32 3 5 3" xfId="20218"/>
    <cellStyle name="Percent 32 3 6" xfId="11000"/>
    <cellStyle name="Percent 32 3 7" xfId="17152"/>
    <cellStyle name="Percent 32 4" xfId="4437"/>
    <cellStyle name="Percent 32 4 2" xfId="4438"/>
    <cellStyle name="Percent 32 4 2 2" xfId="5467"/>
    <cellStyle name="Percent 32 4 2 2 2" xfId="7092"/>
    <cellStyle name="Percent 32 4 2 2 2 2" xfId="10178"/>
    <cellStyle name="Percent 32 4 2 2 2 2 2" xfId="16371"/>
    <cellStyle name="Percent 32 4 2 2 2 2 3" xfId="22523"/>
    <cellStyle name="Percent 32 4 2 2 2 3" xfId="13305"/>
    <cellStyle name="Percent 32 4 2 2 2 4" xfId="19457"/>
    <cellStyle name="Percent 32 4 2 2 3" xfId="8643"/>
    <cellStyle name="Percent 32 4 2 2 3 2" xfId="14837"/>
    <cellStyle name="Percent 32 4 2 2 3 3" xfId="20989"/>
    <cellStyle name="Percent 32 4 2 2 4" xfId="11771"/>
    <cellStyle name="Percent 32 4 2 2 5" xfId="17923"/>
    <cellStyle name="Percent 32 4 2 3" xfId="6320"/>
    <cellStyle name="Percent 32 4 2 3 2" xfId="9409"/>
    <cellStyle name="Percent 32 4 2 3 2 2" xfId="15602"/>
    <cellStyle name="Percent 32 4 2 3 2 3" xfId="21754"/>
    <cellStyle name="Percent 32 4 2 3 3" xfId="12536"/>
    <cellStyle name="Percent 32 4 2 3 4" xfId="18688"/>
    <cellStyle name="Percent 32 4 2 4" xfId="7874"/>
    <cellStyle name="Percent 32 4 2 4 2" xfId="14068"/>
    <cellStyle name="Percent 32 4 2 4 3" xfId="20220"/>
    <cellStyle name="Percent 32 4 2 5" xfId="11002"/>
    <cellStyle name="Percent 32 4 2 6" xfId="17154"/>
    <cellStyle name="Percent 32 5" xfId="4439"/>
    <cellStyle name="Percent 32 5 2" xfId="5468"/>
    <cellStyle name="Percent 32 5 2 2" xfId="7093"/>
    <cellStyle name="Percent 32 5 2 2 2" xfId="10179"/>
    <cellStyle name="Percent 32 5 2 2 2 2" xfId="16372"/>
    <cellStyle name="Percent 32 5 2 2 2 3" xfId="22524"/>
    <cellStyle name="Percent 32 5 2 2 3" xfId="13306"/>
    <cellStyle name="Percent 32 5 2 2 4" xfId="19458"/>
    <cellStyle name="Percent 32 5 2 3" xfId="8644"/>
    <cellStyle name="Percent 32 5 2 3 2" xfId="14838"/>
    <cellStyle name="Percent 32 5 2 3 3" xfId="20990"/>
    <cellStyle name="Percent 32 5 2 4" xfId="11772"/>
    <cellStyle name="Percent 32 5 2 5" xfId="17924"/>
    <cellStyle name="Percent 32 5 3" xfId="6321"/>
    <cellStyle name="Percent 32 5 3 2" xfId="9410"/>
    <cellStyle name="Percent 32 5 3 2 2" xfId="15603"/>
    <cellStyle name="Percent 32 5 3 2 3" xfId="21755"/>
    <cellStyle name="Percent 32 5 3 3" xfId="12537"/>
    <cellStyle name="Percent 32 5 3 4" xfId="18689"/>
    <cellStyle name="Percent 32 5 4" xfId="7875"/>
    <cellStyle name="Percent 32 5 4 2" xfId="14069"/>
    <cellStyle name="Percent 32 5 4 3" xfId="20221"/>
    <cellStyle name="Percent 32 5 5" xfId="11003"/>
    <cellStyle name="Percent 32 5 6" xfId="17155"/>
    <cellStyle name="Percent 33" xfId="4440"/>
    <cellStyle name="Percent 33 2" xfId="4441"/>
    <cellStyle name="Percent 33 2 2" xfId="4442"/>
    <cellStyle name="Percent 33 2 2 2" xfId="5470"/>
    <cellStyle name="Percent 33 2 2 2 2" xfId="7095"/>
    <cellStyle name="Percent 33 2 2 2 2 2" xfId="10181"/>
    <cellStyle name="Percent 33 2 2 2 2 2 2" xfId="16374"/>
    <cellStyle name="Percent 33 2 2 2 2 2 3" xfId="22526"/>
    <cellStyle name="Percent 33 2 2 2 2 3" xfId="13308"/>
    <cellStyle name="Percent 33 2 2 2 2 4" xfId="19460"/>
    <cellStyle name="Percent 33 2 2 2 3" xfId="8646"/>
    <cellStyle name="Percent 33 2 2 2 3 2" xfId="14840"/>
    <cellStyle name="Percent 33 2 2 2 3 3" xfId="20992"/>
    <cellStyle name="Percent 33 2 2 2 4" xfId="11774"/>
    <cellStyle name="Percent 33 2 2 2 5" xfId="17926"/>
    <cellStyle name="Percent 33 2 2 3" xfId="6324"/>
    <cellStyle name="Percent 33 2 2 3 2" xfId="9412"/>
    <cellStyle name="Percent 33 2 2 3 2 2" xfId="15605"/>
    <cellStyle name="Percent 33 2 2 3 2 3" xfId="21757"/>
    <cellStyle name="Percent 33 2 2 3 3" xfId="12539"/>
    <cellStyle name="Percent 33 2 2 3 4" xfId="18691"/>
    <cellStyle name="Percent 33 2 2 4" xfId="7877"/>
    <cellStyle name="Percent 33 2 2 4 2" xfId="14071"/>
    <cellStyle name="Percent 33 2 2 4 3" xfId="20223"/>
    <cellStyle name="Percent 33 2 2 5" xfId="11005"/>
    <cellStyle name="Percent 33 2 2 6" xfId="17157"/>
    <cellStyle name="Percent 33 2 3" xfId="5469"/>
    <cellStyle name="Percent 33 2 3 2" xfId="7094"/>
    <cellStyle name="Percent 33 2 3 2 2" xfId="10180"/>
    <cellStyle name="Percent 33 2 3 2 2 2" xfId="16373"/>
    <cellStyle name="Percent 33 2 3 2 2 3" xfId="22525"/>
    <cellStyle name="Percent 33 2 3 2 3" xfId="13307"/>
    <cellStyle name="Percent 33 2 3 2 4" xfId="19459"/>
    <cellStyle name="Percent 33 2 3 3" xfId="8645"/>
    <cellStyle name="Percent 33 2 3 3 2" xfId="14839"/>
    <cellStyle name="Percent 33 2 3 3 3" xfId="20991"/>
    <cellStyle name="Percent 33 2 3 4" xfId="11773"/>
    <cellStyle name="Percent 33 2 3 5" xfId="17925"/>
    <cellStyle name="Percent 33 2 4" xfId="6323"/>
    <cellStyle name="Percent 33 2 4 2" xfId="9411"/>
    <cellStyle name="Percent 33 2 4 2 2" xfId="15604"/>
    <cellStyle name="Percent 33 2 4 2 3" xfId="21756"/>
    <cellStyle name="Percent 33 2 4 3" xfId="12538"/>
    <cellStyle name="Percent 33 2 4 4" xfId="18690"/>
    <cellStyle name="Percent 33 2 5" xfId="7876"/>
    <cellStyle name="Percent 33 2 5 2" xfId="14070"/>
    <cellStyle name="Percent 33 2 5 3" xfId="20222"/>
    <cellStyle name="Percent 33 2 6" xfId="11004"/>
    <cellStyle name="Percent 33 2 7" xfId="17156"/>
    <cellStyle name="Percent 33 3" xfId="4443"/>
    <cellStyle name="Percent 33 3 2" xfId="4444"/>
    <cellStyle name="Percent 33 3 2 2" xfId="5472"/>
    <cellStyle name="Percent 33 3 2 2 2" xfId="7097"/>
    <cellStyle name="Percent 33 3 2 2 2 2" xfId="10183"/>
    <cellStyle name="Percent 33 3 2 2 2 2 2" xfId="16376"/>
    <cellStyle name="Percent 33 3 2 2 2 2 3" xfId="22528"/>
    <cellStyle name="Percent 33 3 2 2 2 3" xfId="13310"/>
    <cellStyle name="Percent 33 3 2 2 2 4" xfId="19462"/>
    <cellStyle name="Percent 33 3 2 2 3" xfId="8648"/>
    <cellStyle name="Percent 33 3 2 2 3 2" xfId="14842"/>
    <cellStyle name="Percent 33 3 2 2 3 3" xfId="20994"/>
    <cellStyle name="Percent 33 3 2 2 4" xfId="11776"/>
    <cellStyle name="Percent 33 3 2 2 5" xfId="17928"/>
    <cellStyle name="Percent 33 3 2 3" xfId="6326"/>
    <cellStyle name="Percent 33 3 2 3 2" xfId="9414"/>
    <cellStyle name="Percent 33 3 2 3 2 2" xfId="15607"/>
    <cellStyle name="Percent 33 3 2 3 2 3" xfId="21759"/>
    <cellStyle name="Percent 33 3 2 3 3" xfId="12541"/>
    <cellStyle name="Percent 33 3 2 3 4" xfId="18693"/>
    <cellStyle name="Percent 33 3 2 4" xfId="7879"/>
    <cellStyle name="Percent 33 3 2 4 2" xfId="14073"/>
    <cellStyle name="Percent 33 3 2 4 3" xfId="20225"/>
    <cellStyle name="Percent 33 3 2 5" xfId="11007"/>
    <cellStyle name="Percent 33 3 2 6" xfId="17159"/>
    <cellStyle name="Percent 33 3 3" xfId="5471"/>
    <cellStyle name="Percent 33 3 3 2" xfId="7096"/>
    <cellStyle name="Percent 33 3 3 2 2" xfId="10182"/>
    <cellStyle name="Percent 33 3 3 2 2 2" xfId="16375"/>
    <cellStyle name="Percent 33 3 3 2 2 3" xfId="22527"/>
    <cellStyle name="Percent 33 3 3 2 3" xfId="13309"/>
    <cellStyle name="Percent 33 3 3 2 4" xfId="19461"/>
    <cellStyle name="Percent 33 3 3 3" xfId="8647"/>
    <cellStyle name="Percent 33 3 3 3 2" xfId="14841"/>
    <cellStyle name="Percent 33 3 3 3 3" xfId="20993"/>
    <cellStyle name="Percent 33 3 3 4" xfId="11775"/>
    <cellStyle name="Percent 33 3 3 5" xfId="17927"/>
    <cellStyle name="Percent 33 3 4" xfId="6325"/>
    <cellStyle name="Percent 33 3 4 2" xfId="9413"/>
    <cellStyle name="Percent 33 3 4 2 2" xfId="15606"/>
    <cellStyle name="Percent 33 3 4 2 3" xfId="21758"/>
    <cellStyle name="Percent 33 3 4 3" xfId="12540"/>
    <cellStyle name="Percent 33 3 4 4" xfId="18692"/>
    <cellStyle name="Percent 33 3 5" xfId="7878"/>
    <cellStyle name="Percent 33 3 5 2" xfId="14072"/>
    <cellStyle name="Percent 33 3 5 3" xfId="20224"/>
    <cellStyle name="Percent 33 3 6" xfId="11006"/>
    <cellStyle name="Percent 33 3 7" xfId="17158"/>
    <cellStyle name="Percent 33 4" xfId="4445"/>
    <cellStyle name="Percent 33 4 2" xfId="4446"/>
    <cellStyle name="Percent 33 4 2 2" xfId="5473"/>
    <cellStyle name="Percent 33 4 2 2 2" xfId="7098"/>
    <cellStyle name="Percent 33 4 2 2 2 2" xfId="10184"/>
    <cellStyle name="Percent 33 4 2 2 2 2 2" xfId="16377"/>
    <cellStyle name="Percent 33 4 2 2 2 2 3" xfId="22529"/>
    <cellStyle name="Percent 33 4 2 2 2 3" xfId="13311"/>
    <cellStyle name="Percent 33 4 2 2 2 4" xfId="19463"/>
    <cellStyle name="Percent 33 4 2 2 3" xfId="8649"/>
    <cellStyle name="Percent 33 4 2 2 3 2" xfId="14843"/>
    <cellStyle name="Percent 33 4 2 2 3 3" xfId="20995"/>
    <cellStyle name="Percent 33 4 2 2 4" xfId="11777"/>
    <cellStyle name="Percent 33 4 2 2 5" xfId="17929"/>
    <cellStyle name="Percent 33 4 2 3" xfId="6327"/>
    <cellStyle name="Percent 33 4 2 3 2" xfId="9415"/>
    <cellStyle name="Percent 33 4 2 3 2 2" xfId="15608"/>
    <cellStyle name="Percent 33 4 2 3 2 3" xfId="21760"/>
    <cellStyle name="Percent 33 4 2 3 3" xfId="12542"/>
    <cellStyle name="Percent 33 4 2 3 4" xfId="18694"/>
    <cellStyle name="Percent 33 4 2 4" xfId="7880"/>
    <cellStyle name="Percent 33 4 2 4 2" xfId="14074"/>
    <cellStyle name="Percent 33 4 2 4 3" xfId="20226"/>
    <cellStyle name="Percent 33 4 2 5" xfId="11008"/>
    <cellStyle name="Percent 33 4 2 6" xfId="17160"/>
    <cellStyle name="Percent 33 5" xfId="4447"/>
    <cellStyle name="Percent 33 5 2" xfId="5474"/>
    <cellStyle name="Percent 33 5 2 2" xfId="7099"/>
    <cellStyle name="Percent 33 5 2 2 2" xfId="10185"/>
    <cellStyle name="Percent 33 5 2 2 2 2" xfId="16378"/>
    <cellStyle name="Percent 33 5 2 2 2 3" xfId="22530"/>
    <cellStyle name="Percent 33 5 2 2 3" xfId="13312"/>
    <cellStyle name="Percent 33 5 2 2 4" xfId="19464"/>
    <cellStyle name="Percent 33 5 2 3" xfId="8650"/>
    <cellStyle name="Percent 33 5 2 3 2" xfId="14844"/>
    <cellStyle name="Percent 33 5 2 3 3" xfId="20996"/>
    <cellStyle name="Percent 33 5 2 4" xfId="11778"/>
    <cellStyle name="Percent 33 5 2 5" xfId="17930"/>
    <cellStyle name="Percent 33 5 3" xfId="6328"/>
    <cellStyle name="Percent 33 5 3 2" xfId="9416"/>
    <cellStyle name="Percent 33 5 3 2 2" xfId="15609"/>
    <cellStyle name="Percent 33 5 3 2 3" xfId="21761"/>
    <cellStyle name="Percent 33 5 3 3" xfId="12543"/>
    <cellStyle name="Percent 33 5 3 4" xfId="18695"/>
    <cellStyle name="Percent 33 5 4" xfId="7881"/>
    <cellStyle name="Percent 33 5 4 2" xfId="14075"/>
    <cellStyle name="Percent 33 5 4 3" xfId="20227"/>
    <cellStyle name="Percent 33 5 5" xfId="11009"/>
    <cellStyle name="Percent 33 5 6" xfId="17161"/>
    <cellStyle name="Percent 34" xfId="4448"/>
    <cellStyle name="Percent 34 2" xfId="4449"/>
    <cellStyle name="Percent 34 2 2" xfId="4450"/>
    <cellStyle name="Percent 34 2 2 2" xfId="5476"/>
    <cellStyle name="Percent 34 2 2 2 2" xfId="7101"/>
    <cellStyle name="Percent 34 2 2 2 2 2" xfId="10187"/>
    <cellStyle name="Percent 34 2 2 2 2 2 2" xfId="16380"/>
    <cellStyle name="Percent 34 2 2 2 2 2 3" xfId="22532"/>
    <cellStyle name="Percent 34 2 2 2 2 3" xfId="13314"/>
    <cellStyle name="Percent 34 2 2 2 2 4" xfId="19466"/>
    <cellStyle name="Percent 34 2 2 2 3" xfId="8652"/>
    <cellStyle name="Percent 34 2 2 2 3 2" xfId="14846"/>
    <cellStyle name="Percent 34 2 2 2 3 3" xfId="20998"/>
    <cellStyle name="Percent 34 2 2 2 4" xfId="11780"/>
    <cellStyle name="Percent 34 2 2 2 5" xfId="17932"/>
    <cellStyle name="Percent 34 2 2 3" xfId="6331"/>
    <cellStyle name="Percent 34 2 2 3 2" xfId="9418"/>
    <cellStyle name="Percent 34 2 2 3 2 2" xfId="15611"/>
    <cellStyle name="Percent 34 2 2 3 2 3" xfId="21763"/>
    <cellStyle name="Percent 34 2 2 3 3" xfId="12545"/>
    <cellStyle name="Percent 34 2 2 3 4" xfId="18697"/>
    <cellStyle name="Percent 34 2 2 4" xfId="7883"/>
    <cellStyle name="Percent 34 2 2 4 2" xfId="14077"/>
    <cellStyle name="Percent 34 2 2 4 3" xfId="20229"/>
    <cellStyle name="Percent 34 2 2 5" xfId="11011"/>
    <cellStyle name="Percent 34 2 2 6" xfId="17163"/>
    <cellStyle name="Percent 34 2 3" xfId="5475"/>
    <cellStyle name="Percent 34 2 3 2" xfId="7100"/>
    <cellStyle name="Percent 34 2 3 2 2" xfId="10186"/>
    <cellStyle name="Percent 34 2 3 2 2 2" xfId="16379"/>
    <cellStyle name="Percent 34 2 3 2 2 3" xfId="22531"/>
    <cellStyle name="Percent 34 2 3 2 3" xfId="13313"/>
    <cellStyle name="Percent 34 2 3 2 4" xfId="19465"/>
    <cellStyle name="Percent 34 2 3 3" xfId="8651"/>
    <cellStyle name="Percent 34 2 3 3 2" xfId="14845"/>
    <cellStyle name="Percent 34 2 3 3 3" xfId="20997"/>
    <cellStyle name="Percent 34 2 3 4" xfId="11779"/>
    <cellStyle name="Percent 34 2 3 5" xfId="17931"/>
    <cellStyle name="Percent 34 2 4" xfId="6330"/>
    <cellStyle name="Percent 34 2 4 2" xfId="9417"/>
    <cellStyle name="Percent 34 2 4 2 2" xfId="15610"/>
    <cellStyle name="Percent 34 2 4 2 3" xfId="21762"/>
    <cellStyle name="Percent 34 2 4 3" xfId="12544"/>
    <cellStyle name="Percent 34 2 4 4" xfId="18696"/>
    <cellStyle name="Percent 34 2 5" xfId="7882"/>
    <cellStyle name="Percent 34 2 5 2" xfId="14076"/>
    <cellStyle name="Percent 34 2 5 3" xfId="20228"/>
    <cellStyle name="Percent 34 2 6" xfId="11010"/>
    <cellStyle name="Percent 34 2 7" xfId="17162"/>
    <cellStyle name="Percent 34 3" xfId="4451"/>
    <cellStyle name="Percent 34 3 2" xfId="4452"/>
    <cellStyle name="Percent 34 3 2 2" xfId="5478"/>
    <cellStyle name="Percent 34 3 2 2 2" xfId="7103"/>
    <cellStyle name="Percent 34 3 2 2 2 2" xfId="10189"/>
    <cellStyle name="Percent 34 3 2 2 2 2 2" xfId="16382"/>
    <cellStyle name="Percent 34 3 2 2 2 2 3" xfId="22534"/>
    <cellStyle name="Percent 34 3 2 2 2 3" xfId="13316"/>
    <cellStyle name="Percent 34 3 2 2 2 4" xfId="19468"/>
    <cellStyle name="Percent 34 3 2 2 3" xfId="8654"/>
    <cellStyle name="Percent 34 3 2 2 3 2" xfId="14848"/>
    <cellStyle name="Percent 34 3 2 2 3 3" xfId="21000"/>
    <cellStyle name="Percent 34 3 2 2 4" xfId="11782"/>
    <cellStyle name="Percent 34 3 2 2 5" xfId="17934"/>
    <cellStyle name="Percent 34 3 2 3" xfId="6333"/>
    <cellStyle name="Percent 34 3 2 3 2" xfId="9420"/>
    <cellStyle name="Percent 34 3 2 3 2 2" xfId="15613"/>
    <cellStyle name="Percent 34 3 2 3 2 3" xfId="21765"/>
    <cellStyle name="Percent 34 3 2 3 3" xfId="12547"/>
    <cellStyle name="Percent 34 3 2 3 4" xfId="18699"/>
    <cellStyle name="Percent 34 3 2 4" xfId="7885"/>
    <cellStyle name="Percent 34 3 2 4 2" xfId="14079"/>
    <cellStyle name="Percent 34 3 2 4 3" xfId="20231"/>
    <cellStyle name="Percent 34 3 2 5" xfId="11013"/>
    <cellStyle name="Percent 34 3 2 6" xfId="17165"/>
    <cellStyle name="Percent 34 3 3" xfId="5477"/>
    <cellStyle name="Percent 34 3 3 2" xfId="7102"/>
    <cellStyle name="Percent 34 3 3 2 2" xfId="10188"/>
    <cellStyle name="Percent 34 3 3 2 2 2" xfId="16381"/>
    <cellStyle name="Percent 34 3 3 2 2 3" xfId="22533"/>
    <cellStyle name="Percent 34 3 3 2 3" xfId="13315"/>
    <cellStyle name="Percent 34 3 3 2 4" xfId="19467"/>
    <cellStyle name="Percent 34 3 3 3" xfId="8653"/>
    <cellStyle name="Percent 34 3 3 3 2" xfId="14847"/>
    <cellStyle name="Percent 34 3 3 3 3" xfId="20999"/>
    <cellStyle name="Percent 34 3 3 4" xfId="11781"/>
    <cellStyle name="Percent 34 3 3 5" xfId="17933"/>
    <cellStyle name="Percent 34 3 4" xfId="6332"/>
    <cellStyle name="Percent 34 3 4 2" xfId="9419"/>
    <cellStyle name="Percent 34 3 4 2 2" xfId="15612"/>
    <cellStyle name="Percent 34 3 4 2 3" xfId="21764"/>
    <cellStyle name="Percent 34 3 4 3" xfId="12546"/>
    <cellStyle name="Percent 34 3 4 4" xfId="18698"/>
    <cellStyle name="Percent 34 3 5" xfId="7884"/>
    <cellStyle name="Percent 34 3 5 2" xfId="14078"/>
    <cellStyle name="Percent 34 3 5 3" xfId="20230"/>
    <cellStyle name="Percent 34 3 6" xfId="11012"/>
    <cellStyle name="Percent 34 3 7" xfId="17164"/>
    <cellStyle name="Percent 34 4" xfId="4453"/>
    <cellStyle name="Percent 34 4 2" xfId="4454"/>
    <cellStyle name="Percent 34 4 2 2" xfId="5479"/>
    <cellStyle name="Percent 34 4 2 2 2" xfId="7104"/>
    <cellStyle name="Percent 34 4 2 2 2 2" xfId="10190"/>
    <cellStyle name="Percent 34 4 2 2 2 2 2" xfId="16383"/>
    <cellStyle name="Percent 34 4 2 2 2 2 3" xfId="22535"/>
    <cellStyle name="Percent 34 4 2 2 2 3" xfId="13317"/>
    <cellStyle name="Percent 34 4 2 2 2 4" xfId="19469"/>
    <cellStyle name="Percent 34 4 2 2 3" xfId="8655"/>
    <cellStyle name="Percent 34 4 2 2 3 2" xfId="14849"/>
    <cellStyle name="Percent 34 4 2 2 3 3" xfId="21001"/>
    <cellStyle name="Percent 34 4 2 2 4" xfId="11783"/>
    <cellStyle name="Percent 34 4 2 2 5" xfId="17935"/>
    <cellStyle name="Percent 34 4 2 3" xfId="6334"/>
    <cellStyle name="Percent 34 4 2 3 2" xfId="9421"/>
    <cellStyle name="Percent 34 4 2 3 2 2" xfId="15614"/>
    <cellStyle name="Percent 34 4 2 3 2 3" xfId="21766"/>
    <cellStyle name="Percent 34 4 2 3 3" xfId="12548"/>
    <cellStyle name="Percent 34 4 2 3 4" xfId="18700"/>
    <cellStyle name="Percent 34 4 2 4" xfId="7886"/>
    <cellStyle name="Percent 34 4 2 4 2" xfId="14080"/>
    <cellStyle name="Percent 34 4 2 4 3" xfId="20232"/>
    <cellStyle name="Percent 34 4 2 5" xfId="11014"/>
    <cellStyle name="Percent 34 4 2 6" xfId="17166"/>
    <cellStyle name="Percent 34 5" xfId="4455"/>
    <cellStyle name="Percent 34 5 2" xfId="5480"/>
    <cellStyle name="Percent 34 5 2 2" xfId="7105"/>
    <cellStyle name="Percent 34 5 2 2 2" xfId="10191"/>
    <cellStyle name="Percent 34 5 2 2 2 2" xfId="16384"/>
    <cellStyle name="Percent 34 5 2 2 2 3" xfId="22536"/>
    <cellStyle name="Percent 34 5 2 2 3" xfId="13318"/>
    <cellStyle name="Percent 34 5 2 2 4" xfId="19470"/>
    <cellStyle name="Percent 34 5 2 3" xfId="8656"/>
    <cellStyle name="Percent 34 5 2 3 2" xfId="14850"/>
    <cellStyle name="Percent 34 5 2 3 3" xfId="21002"/>
    <cellStyle name="Percent 34 5 2 4" xfId="11784"/>
    <cellStyle name="Percent 34 5 2 5" xfId="17936"/>
    <cellStyle name="Percent 34 5 3" xfId="6335"/>
    <cellStyle name="Percent 34 5 3 2" xfId="9422"/>
    <cellStyle name="Percent 34 5 3 2 2" xfId="15615"/>
    <cellStyle name="Percent 34 5 3 2 3" xfId="21767"/>
    <cellStyle name="Percent 34 5 3 3" xfId="12549"/>
    <cellStyle name="Percent 34 5 3 4" xfId="18701"/>
    <cellStyle name="Percent 34 5 4" xfId="7887"/>
    <cellStyle name="Percent 34 5 4 2" xfId="14081"/>
    <cellStyle name="Percent 34 5 4 3" xfId="20233"/>
    <cellStyle name="Percent 34 5 5" xfId="11015"/>
    <cellStyle name="Percent 34 5 6" xfId="17167"/>
    <cellStyle name="Percent 35" xfId="4456"/>
    <cellStyle name="Percent 35 2" xfId="4457"/>
    <cellStyle name="Percent 35 2 2" xfId="4458"/>
    <cellStyle name="Percent 35 2 2 2" xfId="5482"/>
    <cellStyle name="Percent 35 2 2 2 2" xfId="7107"/>
    <cellStyle name="Percent 35 2 2 2 2 2" xfId="10193"/>
    <cellStyle name="Percent 35 2 2 2 2 2 2" xfId="16386"/>
    <cellStyle name="Percent 35 2 2 2 2 2 3" xfId="22538"/>
    <cellStyle name="Percent 35 2 2 2 2 3" xfId="13320"/>
    <cellStyle name="Percent 35 2 2 2 2 4" xfId="19472"/>
    <cellStyle name="Percent 35 2 2 2 3" xfId="8658"/>
    <cellStyle name="Percent 35 2 2 2 3 2" xfId="14852"/>
    <cellStyle name="Percent 35 2 2 2 3 3" xfId="21004"/>
    <cellStyle name="Percent 35 2 2 2 4" xfId="11786"/>
    <cellStyle name="Percent 35 2 2 2 5" xfId="17938"/>
    <cellStyle name="Percent 35 2 2 3" xfId="6337"/>
    <cellStyle name="Percent 35 2 2 3 2" xfId="9424"/>
    <cellStyle name="Percent 35 2 2 3 2 2" xfId="15617"/>
    <cellStyle name="Percent 35 2 2 3 2 3" xfId="21769"/>
    <cellStyle name="Percent 35 2 2 3 3" xfId="12551"/>
    <cellStyle name="Percent 35 2 2 3 4" xfId="18703"/>
    <cellStyle name="Percent 35 2 2 4" xfId="7889"/>
    <cellStyle name="Percent 35 2 2 4 2" xfId="14083"/>
    <cellStyle name="Percent 35 2 2 4 3" xfId="20235"/>
    <cellStyle name="Percent 35 2 2 5" xfId="11017"/>
    <cellStyle name="Percent 35 2 2 6" xfId="17169"/>
    <cellStyle name="Percent 35 2 3" xfId="5481"/>
    <cellStyle name="Percent 35 2 3 2" xfId="7106"/>
    <cellStyle name="Percent 35 2 3 2 2" xfId="10192"/>
    <cellStyle name="Percent 35 2 3 2 2 2" xfId="16385"/>
    <cellStyle name="Percent 35 2 3 2 2 3" xfId="22537"/>
    <cellStyle name="Percent 35 2 3 2 3" xfId="13319"/>
    <cellStyle name="Percent 35 2 3 2 4" xfId="19471"/>
    <cellStyle name="Percent 35 2 3 3" xfId="8657"/>
    <cellStyle name="Percent 35 2 3 3 2" xfId="14851"/>
    <cellStyle name="Percent 35 2 3 3 3" xfId="21003"/>
    <cellStyle name="Percent 35 2 3 4" xfId="11785"/>
    <cellStyle name="Percent 35 2 3 5" xfId="17937"/>
    <cellStyle name="Percent 35 2 4" xfId="6336"/>
    <cellStyle name="Percent 35 2 4 2" xfId="9423"/>
    <cellStyle name="Percent 35 2 4 2 2" xfId="15616"/>
    <cellStyle name="Percent 35 2 4 2 3" xfId="21768"/>
    <cellStyle name="Percent 35 2 4 3" xfId="12550"/>
    <cellStyle name="Percent 35 2 4 4" xfId="18702"/>
    <cellStyle name="Percent 35 2 5" xfId="7888"/>
    <cellStyle name="Percent 35 2 5 2" xfId="14082"/>
    <cellStyle name="Percent 35 2 5 3" xfId="20234"/>
    <cellStyle name="Percent 35 2 6" xfId="11016"/>
    <cellStyle name="Percent 35 2 7" xfId="17168"/>
    <cellStyle name="Percent 35 3" xfId="4459"/>
    <cellStyle name="Percent 35 3 2" xfId="4460"/>
    <cellStyle name="Percent 35 3 2 2" xfId="5484"/>
    <cellStyle name="Percent 35 3 2 2 2" xfId="7109"/>
    <cellStyle name="Percent 35 3 2 2 2 2" xfId="10195"/>
    <cellStyle name="Percent 35 3 2 2 2 2 2" xfId="16388"/>
    <cellStyle name="Percent 35 3 2 2 2 2 3" xfId="22540"/>
    <cellStyle name="Percent 35 3 2 2 2 3" xfId="13322"/>
    <cellStyle name="Percent 35 3 2 2 2 4" xfId="19474"/>
    <cellStyle name="Percent 35 3 2 2 3" xfId="8660"/>
    <cellStyle name="Percent 35 3 2 2 3 2" xfId="14854"/>
    <cellStyle name="Percent 35 3 2 2 3 3" xfId="21006"/>
    <cellStyle name="Percent 35 3 2 2 4" xfId="11788"/>
    <cellStyle name="Percent 35 3 2 2 5" xfId="17940"/>
    <cellStyle name="Percent 35 3 2 3" xfId="6339"/>
    <cellStyle name="Percent 35 3 2 3 2" xfId="9426"/>
    <cellStyle name="Percent 35 3 2 3 2 2" xfId="15619"/>
    <cellStyle name="Percent 35 3 2 3 2 3" xfId="21771"/>
    <cellStyle name="Percent 35 3 2 3 3" xfId="12553"/>
    <cellStyle name="Percent 35 3 2 3 4" xfId="18705"/>
    <cellStyle name="Percent 35 3 2 4" xfId="7891"/>
    <cellStyle name="Percent 35 3 2 4 2" xfId="14085"/>
    <cellStyle name="Percent 35 3 2 4 3" xfId="20237"/>
    <cellStyle name="Percent 35 3 2 5" xfId="11019"/>
    <cellStyle name="Percent 35 3 2 6" xfId="17171"/>
    <cellStyle name="Percent 35 3 3" xfId="5483"/>
    <cellStyle name="Percent 35 3 3 2" xfId="7108"/>
    <cellStyle name="Percent 35 3 3 2 2" xfId="10194"/>
    <cellStyle name="Percent 35 3 3 2 2 2" xfId="16387"/>
    <cellStyle name="Percent 35 3 3 2 2 3" xfId="22539"/>
    <cellStyle name="Percent 35 3 3 2 3" xfId="13321"/>
    <cellStyle name="Percent 35 3 3 2 4" xfId="19473"/>
    <cellStyle name="Percent 35 3 3 3" xfId="8659"/>
    <cellStyle name="Percent 35 3 3 3 2" xfId="14853"/>
    <cellStyle name="Percent 35 3 3 3 3" xfId="21005"/>
    <cellStyle name="Percent 35 3 3 4" xfId="11787"/>
    <cellStyle name="Percent 35 3 3 5" xfId="17939"/>
    <cellStyle name="Percent 35 3 4" xfId="6338"/>
    <cellStyle name="Percent 35 3 4 2" xfId="9425"/>
    <cellStyle name="Percent 35 3 4 2 2" xfId="15618"/>
    <cellStyle name="Percent 35 3 4 2 3" xfId="21770"/>
    <cellStyle name="Percent 35 3 4 3" xfId="12552"/>
    <cellStyle name="Percent 35 3 4 4" xfId="18704"/>
    <cellStyle name="Percent 35 3 5" xfId="7890"/>
    <cellStyle name="Percent 35 3 5 2" xfId="14084"/>
    <cellStyle name="Percent 35 3 5 3" xfId="20236"/>
    <cellStyle name="Percent 35 3 6" xfId="11018"/>
    <cellStyle name="Percent 35 3 7" xfId="17170"/>
    <cellStyle name="Percent 35 4" xfId="4461"/>
    <cellStyle name="Percent 35 4 2" xfId="4462"/>
    <cellStyle name="Percent 35 4 2 2" xfId="5485"/>
    <cellStyle name="Percent 35 4 2 2 2" xfId="7110"/>
    <cellStyle name="Percent 35 4 2 2 2 2" xfId="10196"/>
    <cellStyle name="Percent 35 4 2 2 2 2 2" xfId="16389"/>
    <cellStyle name="Percent 35 4 2 2 2 2 3" xfId="22541"/>
    <cellStyle name="Percent 35 4 2 2 2 3" xfId="13323"/>
    <cellStyle name="Percent 35 4 2 2 2 4" xfId="19475"/>
    <cellStyle name="Percent 35 4 2 2 3" xfId="8661"/>
    <cellStyle name="Percent 35 4 2 2 3 2" xfId="14855"/>
    <cellStyle name="Percent 35 4 2 2 3 3" xfId="21007"/>
    <cellStyle name="Percent 35 4 2 2 4" xfId="11789"/>
    <cellStyle name="Percent 35 4 2 2 5" xfId="17941"/>
    <cellStyle name="Percent 35 4 2 3" xfId="6340"/>
    <cellStyle name="Percent 35 4 2 3 2" xfId="9427"/>
    <cellStyle name="Percent 35 4 2 3 2 2" xfId="15620"/>
    <cellStyle name="Percent 35 4 2 3 2 3" xfId="21772"/>
    <cellStyle name="Percent 35 4 2 3 3" xfId="12554"/>
    <cellStyle name="Percent 35 4 2 3 4" xfId="18706"/>
    <cellStyle name="Percent 35 4 2 4" xfId="7892"/>
    <cellStyle name="Percent 35 4 2 4 2" xfId="14086"/>
    <cellStyle name="Percent 35 4 2 4 3" xfId="20238"/>
    <cellStyle name="Percent 35 4 2 5" xfId="11020"/>
    <cellStyle name="Percent 35 4 2 6" xfId="17172"/>
    <cellStyle name="Percent 35 5" xfId="4463"/>
    <cellStyle name="Percent 35 5 2" xfId="5486"/>
    <cellStyle name="Percent 35 5 2 2" xfId="7111"/>
    <cellStyle name="Percent 35 5 2 2 2" xfId="10197"/>
    <cellStyle name="Percent 35 5 2 2 2 2" xfId="16390"/>
    <cellStyle name="Percent 35 5 2 2 2 3" xfId="22542"/>
    <cellStyle name="Percent 35 5 2 2 3" xfId="13324"/>
    <cellStyle name="Percent 35 5 2 2 4" xfId="19476"/>
    <cellStyle name="Percent 35 5 2 3" xfId="8662"/>
    <cellStyle name="Percent 35 5 2 3 2" xfId="14856"/>
    <cellStyle name="Percent 35 5 2 3 3" xfId="21008"/>
    <cellStyle name="Percent 35 5 2 4" xfId="11790"/>
    <cellStyle name="Percent 35 5 2 5" xfId="17942"/>
    <cellStyle name="Percent 35 5 3" xfId="6341"/>
    <cellStyle name="Percent 35 5 3 2" xfId="9428"/>
    <cellStyle name="Percent 35 5 3 2 2" xfId="15621"/>
    <cellStyle name="Percent 35 5 3 2 3" xfId="21773"/>
    <cellStyle name="Percent 35 5 3 3" xfId="12555"/>
    <cellStyle name="Percent 35 5 3 4" xfId="18707"/>
    <cellStyle name="Percent 35 5 4" xfId="7893"/>
    <cellStyle name="Percent 35 5 4 2" xfId="14087"/>
    <cellStyle name="Percent 35 5 4 3" xfId="20239"/>
    <cellStyle name="Percent 35 5 5" xfId="11021"/>
    <cellStyle name="Percent 35 5 6" xfId="17173"/>
    <cellStyle name="Percent 36" xfId="4464"/>
    <cellStyle name="Percent 37" xfId="4465"/>
    <cellStyle name="Percent 38" xfId="4466"/>
    <cellStyle name="Percent 39" xfId="4467"/>
    <cellStyle name="Percent 4" xfId="46"/>
    <cellStyle name="Percent 4 10" xfId="384"/>
    <cellStyle name="Percent 4 10 2" xfId="1262"/>
    <cellStyle name="Percent 4 11" xfId="400"/>
    <cellStyle name="Percent 4 12" xfId="412"/>
    <cellStyle name="Percent 4 13" xfId="424"/>
    <cellStyle name="Percent 4 14" xfId="388"/>
    <cellStyle name="Percent 4 15" xfId="463"/>
    <cellStyle name="Percent 4 16" xfId="465"/>
    <cellStyle name="Percent 4 17" xfId="483"/>
    <cellStyle name="Percent 4 18" xfId="477"/>
    <cellStyle name="Percent 4 19" xfId="506"/>
    <cellStyle name="Percent 4 2" xfId="254"/>
    <cellStyle name="Percent 4 2 2" xfId="4470"/>
    <cellStyle name="Percent 4 2 2 2" xfId="4471"/>
    <cellStyle name="Percent 4 2 2 3" xfId="4472"/>
    <cellStyle name="Percent 4 2 3" xfId="4469"/>
    <cellStyle name="Percent 4 2 4" xfId="23319"/>
    <cellStyle name="Percent 4 20" xfId="515"/>
    <cellStyle name="Percent 4 21" xfId="605"/>
    <cellStyle name="Percent 4 22" xfId="658"/>
    <cellStyle name="Percent 4 23" xfId="684"/>
    <cellStyle name="Percent 4 24" xfId="654"/>
    <cellStyle name="Percent 4 25" xfId="683"/>
    <cellStyle name="Percent 4 26" xfId="681"/>
    <cellStyle name="Percent 4 27" xfId="688"/>
    <cellStyle name="Percent 4 28" xfId="720"/>
    <cellStyle name="Percent 4 29" xfId="23318"/>
    <cellStyle name="Percent 4 3" xfId="272"/>
    <cellStyle name="Percent 4 3 2" xfId="4473"/>
    <cellStyle name="Percent 4 3 3" xfId="23320"/>
    <cellStyle name="Percent 4 4" xfId="278"/>
    <cellStyle name="Percent 4 4 2" xfId="4474"/>
    <cellStyle name="Percent 4 4 3" xfId="23321"/>
    <cellStyle name="Percent 4 5" xfId="281"/>
    <cellStyle name="Percent 4 5 2" xfId="4475"/>
    <cellStyle name="Percent 4 5 3" xfId="23322"/>
    <cellStyle name="Percent 4 6" xfId="290"/>
    <cellStyle name="Percent 4 6 2" xfId="4476"/>
    <cellStyle name="Percent 4 7" xfId="324"/>
    <cellStyle name="Percent 4 7 2" xfId="4698"/>
    <cellStyle name="Percent 4 8" xfId="354"/>
    <cellStyle name="Percent 4 8 2" xfId="4468"/>
    <cellStyle name="Percent 4 9" xfId="369"/>
    <cellStyle name="Percent 4 9 2" xfId="10238"/>
    <cellStyle name="Percent 40" xfId="4477"/>
    <cellStyle name="Percent 41" xfId="4478"/>
    <cellStyle name="Percent 42" xfId="4479"/>
    <cellStyle name="Percent 43" xfId="4480"/>
    <cellStyle name="Percent 44" xfId="4481"/>
    <cellStyle name="Percent 45" xfId="4482"/>
    <cellStyle name="Percent 46" xfId="4483"/>
    <cellStyle name="Percent 47" xfId="4484"/>
    <cellStyle name="Percent 48" xfId="4485"/>
    <cellStyle name="Percent 49" xfId="4486"/>
    <cellStyle name="Percent 5" xfId="47"/>
    <cellStyle name="Percent 5 10" xfId="423"/>
    <cellStyle name="Percent 5 10 2" xfId="919"/>
    <cellStyle name="Percent 5 10 3" xfId="10280"/>
    <cellStyle name="Percent 5 10 4" xfId="22882"/>
    <cellStyle name="Percent 5 11" xfId="434"/>
    <cellStyle name="Percent 5 11 2" xfId="922"/>
    <cellStyle name="Percent 5 11 3" xfId="16432"/>
    <cellStyle name="Percent 5 11 4" xfId="22885"/>
    <cellStyle name="Percent 5 12" xfId="442"/>
    <cellStyle name="Percent 5 12 2" xfId="925"/>
    <cellStyle name="Percent 5 12 3" xfId="1281"/>
    <cellStyle name="Percent 5 12 4" xfId="22888"/>
    <cellStyle name="Percent 5 13" xfId="445"/>
    <cellStyle name="Percent 5 13 2" xfId="928"/>
    <cellStyle name="Percent 5 13 3" xfId="22791"/>
    <cellStyle name="Percent 5 13 4" xfId="22891"/>
    <cellStyle name="Percent 5 14" xfId="448"/>
    <cellStyle name="Percent 5 14 2" xfId="931"/>
    <cellStyle name="Percent 5 14 3" xfId="22708"/>
    <cellStyle name="Percent 5 14 4" xfId="22894"/>
    <cellStyle name="Percent 5 15" xfId="513"/>
    <cellStyle name="Percent 5 15 2" xfId="947"/>
    <cellStyle name="Percent 5 15 3" xfId="22651"/>
    <cellStyle name="Percent 5 15 4" xfId="22910"/>
    <cellStyle name="Percent 5 16" xfId="543"/>
    <cellStyle name="Percent 5 16 2" xfId="963"/>
    <cellStyle name="Percent 5 16 3" xfId="22684"/>
    <cellStyle name="Percent 5 16 4" xfId="22926"/>
    <cellStyle name="Percent 5 17" xfId="570"/>
    <cellStyle name="Percent 5 17 2" xfId="979"/>
    <cellStyle name="Percent 5 17 3" xfId="22670"/>
    <cellStyle name="Percent 5 17 4" xfId="22942"/>
    <cellStyle name="Percent 5 18" xfId="596"/>
    <cellStyle name="Percent 5 18 2" xfId="995"/>
    <cellStyle name="Percent 5 18 3" xfId="22607"/>
    <cellStyle name="Percent 5 18 4" xfId="22958"/>
    <cellStyle name="Percent 5 19" xfId="622"/>
    <cellStyle name="Percent 5 19 2" xfId="1011"/>
    <cellStyle name="Percent 5 19 3" xfId="22646"/>
    <cellStyle name="Percent 5 19 4" xfId="22974"/>
    <cellStyle name="Percent 5 2" xfId="100"/>
    <cellStyle name="Percent 5 2 10" xfId="10286"/>
    <cellStyle name="Percent 5 2 11" xfId="16438"/>
    <cellStyle name="Percent 5 2 12" xfId="1296"/>
    <cellStyle name="Percent 5 2 13" xfId="22858"/>
    <cellStyle name="Percent 5 2 14" xfId="299"/>
    <cellStyle name="Percent 5 2 15" xfId="23324"/>
    <cellStyle name="Percent 5 2 2" xfId="895"/>
    <cellStyle name="Percent 5 2 2 10" xfId="1315"/>
    <cellStyle name="Percent 5 2 2 2" xfId="4726"/>
    <cellStyle name="Percent 5 2 2 2 2" xfId="5502"/>
    <cellStyle name="Percent 5 2 2 2 2 2" xfId="7127"/>
    <cellStyle name="Percent 5 2 2 2 2 2 2" xfId="10213"/>
    <cellStyle name="Percent 5 2 2 2 2 2 2 2" xfId="16406"/>
    <cellStyle name="Percent 5 2 2 2 2 2 2 3" xfId="22558"/>
    <cellStyle name="Percent 5 2 2 2 2 2 3" xfId="13340"/>
    <cellStyle name="Percent 5 2 2 2 2 2 4" xfId="19492"/>
    <cellStyle name="Percent 5 2 2 2 2 3" xfId="8678"/>
    <cellStyle name="Percent 5 2 2 2 2 3 2" xfId="14872"/>
    <cellStyle name="Percent 5 2 2 2 2 3 3" xfId="21024"/>
    <cellStyle name="Percent 5 2 2 2 2 4" xfId="11806"/>
    <cellStyle name="Percent 5 2 2 2 2 5" xfId="17958"/>
    <cellStyle name="Percent 5 2 2 2 3" xfId="6358"/>
    <cellStyle name="Percent 5 2 2 2 3 2" xfId="9444"/>
    <cellStyle name="Percent 5 2 2 2 3 2 2" xfId="15637"/>
    <cellStyle name="Percent 5 2 2 2 3 2 3" xfId="21789"/>
    <cellStyle name="Percent 5 2 2 2 3 3" xfId="12571"/>
    <cellStyle name="Percent 5 2 2 2 3 4" xfId="18723"/>
    <cellStyle name="Percent 5 2 2 2 4" xfId="7909"/>
    <cellStyle name="Percent 5 2 2 2 4 2" xfId="14103"/>
    <cellStyle name="Percent 5 2 2 2 4 3" xfId="20255"/>
    <cellStyle name="Percent 5 2 2 2 5" xfId="10252"/>
    <cellStyle name="Percent 5 2 2 2 5 2" xfId="16424"/>
    <cellStyle name="Percent 5 2 2 2 5 3" xfId="22576"/>
    <cellStyle name="Percent 5 2 2 2 6" xfId="11037"/>
    <cellStyle name="Percent 5 2 2 2 7" xfId="17189"/>
    <cellStyle name="Percent 5 2 2 3" xfId="4489"/>
    <cellStyle name="Percent 5 2 2 4" xfId="4762"/>
    <cellStyle name="Percent 5 2 2 4 2" xfId="6387"/>
    <cellStyle name="Percent 5 2 2 4 2 2" xfId="9473"/>
    <cellStyle name="Percent 5 2 2 4 2 2 2" xfId="15666"/>
    <cellStyle name="Percent 5 2 2 4 2 2 3" xfId="21818"/>
    <cellStyle name="Percent 5 2 2 4 2 3" xfId="12600"/>
    <cellStyle name="Percent 5 2 2 4 2 4" xfId="18752"/>
    <cellStyle name="Percent 5 2 2 4 3" xfId="7938"/>
    <cellStyle name="Percent 5 2 2 4 3 2" xfId="14132"/>
    <cellStyle name="Percent 5 2 2 4 3 3" xfId="20284"/>
    <cellStyle name="Percent 5 2 2 4 4" xfId="11066"/>
    <cellStyle name="Percent 5 2 2 4 5" xfId="17218"/>
    <cellStyle name="Percent 5 2 2 5" xfId="5601"/>
    <cellStyle name="Percent 5 2 2 5 2" xfId="8704"/>
    <cellStyle name="Percent 5 2 2 5 2 2" xfId="14897"/>
    <cellStyle name="Percent 5 2 2 5 2 3" xfId="21049"/>
    <cellStyle name="Percent 5 2 2 5 3" xfId="11831"/>
    <cellStyle name="Percent 5 2 2 5 4" xfId="17983"/>
    <cellStyle name="Percent 5 2 2 6" xfId="7169"/>
    <cellStyle name="Percent 5 2 2 6 2" xfId="13363"/>
    <cellStyle name="Percent 5 2 2 6 3" xfId="19515"/>
    <cellStyle name="Percent 5 2 2 7" xfId="10241"/>
    <cellStyle name="Percent 5 2 2 7 2" xfId="16415"/>
    <cellStyle name="Percent 5 2 2 7 3" xfId="22567"/>
    <cellStyle name="Percent 5 2 2 8" xfId="10297"/>
    <cellStyle name="Percent 5 2 2 9" xfId="16449"/>
    <cellStyle name="Percent 5 2 3" xfId="4490"/>
    <cellStyle name="Percent 5 2 3 2" xfId="10251"/>
    <cellStyle name="Percent 5 2 3 2 2" xfId="16423"/>
    <cellStyle name="Percent 5 2 3 2 3" xfId="22575"/>
    <cellStyle name="Percent 5 2 4" xfId="4709"/>
    <cellStyle name="Percent 5 2 4 2" xfId="5493"/>
    <cellStyle name="Percent 5 2 4 2 2" xfId="7118"/>
    <cellStyle name="Percent 5 2 4 2 2 2" xfId="10204"/>
    <cellStyle name="Percent 5 2 4 2 2 2 2" xfId="16397"/>
    <cellStyle name="Percent 5 2 4 2 2 2 3" xfId="22549"/>
    <cellStyle name="Percent 5 2 4 2 2 3" xfId="13331"/>
    <cellStyle name="Percent 5 2 4 2 2 4" xfId="19483"/>
    <cellStyle name="Percent 5 2 4 2 3" xfId="8669"/>
    <cellStyle name="Percent 5 2 4 2 3 2" xfId="14863"/>
    <cellStyle name="Percent 5 2 4 2 3 3" xfId="21015"/>
    <cellStyle name="Percent 5 2 4 2 4" xfId="11797"/>
    <cellStyle name="Percent 5 2 4 2 5" xfId="17949"/>
    <cellStyle name="Percent 5 2 4 3" xfId="6349"/>
    <cellStyle name="Percent 5 2 4 3 2" xfId="9435"/>
    <cellStyle name="Percent 5 2 4 3 2 2" xfId="15628"/>
    <cellStyle name="Percent 5 2 4 3 2 3" xfId="21780"/>
    <cellStyle name="Percent 5 2 4 3 3" xfId="12562"/>
    <cellStyle name="Percent 5 2 4 3 4" xfId="18714"/>
    <cellStyle name="Percent 5 2 4 4" xfId="7900"/>
    <cellStyle name="Percent 5 2 4 4 2" xfId="14094"/>
    <cellStyle name="Percent 5 2 4 4 3" xfId="20246"/>
    <cellStyle name="Percent 5 2 4 5" xfId="11028"/>
    <cellStyle name="Percent 5 2 4 6" xfId="17180"/>
    <cellStyle name="Percent 5 2 5" xfId="4488"/>
    <cellStyle name="Percent 5 2 6" xfId="4751"/>
    <cellStyle name="Percent 5 2 6 2" xfId="6376"/>
    <cellStyle name="Percent 5 2 6 2 2" xfId="9462"/>
    <cellStyle name="Percent 5 2 6 2 2 2" xfId="15655"/>
    <cellStyle name="Percent 5 2 6 2 2 3" xfId="21807"/>
    <cellStyle name="Percent 5 2 6 2 3" xfId="12589"/>
    <cellStyle name="Percent 5 2 6 2 4" xfId="18741"/>
    <cellStyle name="Percent 5 2 6 3" xfId="7927"/>
    <cellStyle name="Percent 5 2 6 3 2" xfId="14121"/>
    <cellStyle name="Percent 5 2 6 3 3" xfId="20273"/>
    <cellStyle name="Percent 5 2 6 4" xfId="11055"/>
    <cellStyle name="Percent 5 2 6 5" xfId="17207"/>
    <cellStyle name="Percent 5 2 7" xfId="5589"/>
    <cellStyle name="Percent 5 2 7 2" xfId="8693"/>
    <cellStyle name="Percent 5 2 7 2 2" xfId="14886"/>
    <cellStyle name="Percent 5 2 7 2 3" xfId="21038"/>
    <cellStyle name="Percent 5 2 7 3" xfId="11820"/>
    <cellStyle name="Percent 5 2 7 4" xfId="17972"/>
    <cellStyle name="Percent 5 2 8" xfId="7158"/>
    <cellStyle name="Percent 5 2 8 2" xfId="13352"/>
    <cellStyle name="Percent 5 2 8 3" xfId="19504"/>
    <cellStyle name="Percent 5 2 9" xfId="10240"/>
    <cellStyle name="Percent 5 2 9 2" xfId="16414"/>
    <cellStyle name="Percent 5 2 9 3" xfId="22566"/>
    <cellStyle name="Percent 5 20" xfId="646"/>
    <cellStyle name="Percent 5 20 2" xfId="1027"/>
    <cellStyle name="Percent 5 20 3" xfId="22727"/>
    <cellStyle name="Percent 5 20 4" xfId="22990"/>
    <cellStyle name="Percent 5 21" xfId="672"/>
    <cellStyle name="Percent 5 21 2" xfId="1043"/>
    <cellStyle name="Percent 5 21 3" xfId="22753"/>
    <cellStyle name="Percent 5 21 4" xfId="23006"/>
    <cellStyle name="Percent 5 22" xfId="712"/>
    <cellStyle name="Percent 5 22 2" xfId="1059"/>
    <cellStyle name="Percent 5 22 3" xfId="22644"/>
    <cellStyle name="Percent 5 22 4" xfId="23022"/>
    <cellStyle name="Percent 5 23" xfId="740"/>
    <cellStyle name="Percent 5 23 2" xfId="1075"/>
    <cellStyle name="Percent 5 23 3" xfId="22737"/>
    <cellStyle name="Percent 5 23 4" xfId="23038"/>
    <cellStyle name="Percent 5 24" xfId="766"/>
    <cellStyle name="Percent 5 24 2" xfId="1091"/>
    <cellStyle name="Percent 5 24 3" xfId="22705"/>
    <cellStyle name="Percent 5 24 4" xfId="23054"/>
    <cellStyle name="Percent 5 25" xfId="791"/>
    <cellStyle name="Percent 5 25 2" xfId="1107"/>
    <cellStyle name="Percent 5 25 3" xfId="22650"/>
    <cellStyle name="Percent 5 25 4" xfId="23070"/>
    <cellStyle name="Percent 5 26" xfId="815"/>
    <cellStyle name="Percent 5 26 2" xfId="1123"/>
    <cellStyle name="Percent 5 26 3" xfId="22789"/>
    <cellStyle name="Percent 5 26 4" xfId="23086"/>
    <cellStyle name="Percent 5 27" xfId="831"/>
    <cellStyle name="Percent 5 27 2" xfId="1139"/>
    <cellStyle name="Percent 5 27 3" xfId="22710"/>
    <cellStyle name="Percent 5 27 4" xfId="23102"/>
    <cellStyle name="Percent 5 28" xfId="847"/>
    <cellStyle name="Percent 5 28 2" xfId="1155"/>
    <cellStyle name="Percent 5 28 3" xfId="22697"/>
    <cellStyle name="Percent 5 28 4" xfId="23118"/>
    <cellStyle name="Percent 5 29" xfId="206"/>
    <cellStyle name="Percent 5 3" xfId="322"/>
    <cellStyle name="Percent 5 3 10" xfId="1309"/>
    <cellStyle name="Percent 5 3 11" xfId="22861"/>
    <cellStyle name="Percent 5 3 12" xfId="23325"/>
    <cellStyle name="Percent 5 3 2" xfId="898"/>
    <cellStyle name="Percent 5 3 2 2" xfId="5497"/>
    <cellStyle name="Percent 5 3 2 2 2" xfId="7122"/>
    <cellStyle name="Percent 5 3 2 2 2 2" xfId="10208"/>
    <cellStyle name="Percent 5 3 2 2 2 2 2" xfId="16401"/>
    <cellStyle name="Percent 5 3 2 2 2 2 3" xfId="22553"/>
    <cellStyle name="Percent 5 3 2 2 2 3" xfId="13335"/>
    <cellStyle name="Percent 5 3 2 2 2 4" xfId="19487"/>
    <cellStyle name="Percent 5 3 2 2 3" xfId="8673"/>
    <cellStyle name="Percent 5 3 2 2 3 2" xfId="14867"/>
    <cellStyle name="Percent 5 3 2 2 3 3" xfId="21019"/>
    <cellStyle name="Percent 5 3 2 2 4" xfId="11801"/>
    <cellStyle name="Percent 5 3 2 2 5" xfId="17953"/>
    <cellStyle name="Percent 5 3 2 3" xfId="6353"/>
    <cellStyle name="Percent 5 3 2 3 2" xfId="9439"/>
    <cellStyle name="Percent 5 3 2 3 2 2" xfId="15632"/>
    <cellStyle name="Percent 5 3 2 3 2 3" xfId="21784"/>
    <cellStyle name="Percent 5 3 2 3 3" xfId="12566"/>
    <cellStyle name="Percent 5 3 2 3 4" xfId="18718"/>
    <cellStyle name="Percent 5 3 2 4" xfId="7904"/>
    <cellStyle name="Percent 5 3 2 4 2" xfId="14098"/>
    <cellStyle name="Percent 5 3 2 4 3" xfId="20250"/>
    <cellStyle name="Percent 5 3 2 5" xfId="11032"/>
    <cellStyle name="Percent 5 3 2 6" xfId="17184"/>
    <cellStyle name="Percent 5 3 2 7" xfId="4721"/>
    <cellStyle name="Percent 5 3 3" xfId="4491"/>
    <cellStyle name="Percent 5 3 4" xfId="4756"/>
    <cellStyle name="Percent 5 3 4 2" xfId="6381"/>
    <cellStyle name="Percent 5 3 4 2 2" xfId="9467"/>
    <cellStyle name="Percent 5 3 4 2 2 2" xfId="15660"/>
    <cellStyle name="Percent 5 3 4 2 2 3" xfId="21812"/>
    <cellStyle name="Percent 5 3 4 2 3" xfId="12594"/>
    <cellStyle name="Percent 5 3 4 2 4" xfId="18746"/>
    <cellStyle name="Percent 5 3 4 3" xfId="7932"/>
    <cellStyle name="Percent 5 3 4 3 2" xfId="14126"/>
    <cellStyle name="Percent 5 3 4 3 3" xfId="20278"/>
    <cellStyle name="Percent 5 3 4 4" xfId="11060"/>
    <cellStyle name="Percent 5 3 4 5" xfId="17212"/>
    <cellStyle name="Percent 5 3 5" xfId="5595"/>
    <cellStyle name="Percent 5 3 5 2" xfId="8698"/>
    <cellStyle name="Percent 5 3 5 2 2" xfId="14891"/>
    <cellStyle name="Percent 5 3 5 2 3" xfId="21043"/>
    <cellStyle name="Percent 5 3 5 3" xfId="11825"/>
    <cellStyle name="Percent 5 3 5 4" xfId="17977"/>
    <cellStyle name="Percent 5 3 6" xfId="7163"/>
    <cellStyle name="Percent 5 3 6 2" xfId="13357"/>
    <cellStyle name="Percent 5 3 6 3" xfId="19509"/>
    <cellStyle name="Percent 5 3 7" xfId="10250"/>
    <cellStyle name="Percent 5 3 7 2" xfId="16422"/>
    <cellStyle name="Percent 5 3 7 3" xfId="22574"/>
    <cellStyle name="Percent 5 3 8" xfId="10291"/>
    <cellStyle name="Percent 5 3 9" xfId="16443"/>
    <cellStyle name="Percent 5 30" xfId="23323"/>
    <cellStyle name="Percent 5 4" xfId="337"/>
    <cellStyle name="Percent 5 4 2" xfId="901"/>
    <cellStyle name="Percent 5 4 2 2" xfId="7114"/>
    <cellStyle name="Percent 5 4 2 2 2" xfId="10200"/>
    <cellStyle name="Percent 5 4 2 2 2 2" xfId="16393"/>
    <cellStyle name="Percent 5 4 2 2 2 3" xfId="22545"/>
    <cellStyle name="Percent 5 4 2 2 3" xfId="13327"/>
    <cellStyle name="Percent 5 4 2 2 4" xfId="19479"/>
    <cellStyle name="Percent 5 4 2 3" xfId="8665"/>
    <cellStyle name="Percent 5 4 2 3 2" xfId="14859"/>
    <cellStyle name="Percent 5 4 2 3 3" xfId="21011"/>
    <cellStyle name="Percent 5 4 2 4" xfId="11793"/>
    <cellStyle name="Percent 5 4 2 5" xfId="17945"/>
    <cellStyle name="Percent 5 4 2 6" xfId="5489"/>
    <cellStyle name="Percent 5 4 3" xfId="6345"/>
    <cellStyle name="Percent 5 4 3 2" xfId="9431"/>
    <cellStyle name="Percent 5 4 3 2 2" xfId="15624"/>
    <cellStyle name="Percent 5 4 3 2 3" xfId="21776"/>
    <cellStyle name="Percent 5 4 3 3" xfId="12558"/>
    <cellStyle name="Percent 5 4 3 4" xfId="18710"/>
    <cellStyle name="Percent 5 4 4" xfId="7896"/>
    <cellStyle name="Percent 5 4 4 2" xfId="14090"/>
    <cellStyle name="Percent 5 4 4 3" xfId="20242"/>
    <cellStyle name="Percent 5 4 5" xfId="11024"/>
    <cellStyle name="Percent 5 4 6" xfId="17176"/>
    <cellStyle name="Percent 5 4 7" xfId="4701"/>
    <cellStyle name="Percent 5 4 8" xfId="22864"/>
    <cellStyle name="Percent 5 4 9" xfId="23326"/>
    <cellStyle name="Percent 5 5" xfId="351"/>
    <cellStyle name="Percent 5 5 2" xfId="904"/>
    <cellStyle name="Percent 5 5 3" xfId="4487"/>
    <cellStyle name="Percent 5 5 4" xfId="22701"/>
    <cellStyle name="Percent 5 5 5" xfId="22867"/>
    <cellStyle name="Percent 5 6" xfId="367"/>
    <cellStyle name="Percent 5 6 2" xfId="907"/>
    <cellStyle name="Percent 5 6 2 2" xfId="9456"/>
    <cellStyle name="Percent 5 6 2 2 2" xfId="15649"/>
    <cellStyle name="Percent 5 6 2 2 3" xfId="21801"/>
    <cellStyle name="Percent 5 6 2 3" xfId="12583"/>
    <cellStyle name="Percent 5 6 2 4" xfId="18735"/>
    <cellStyle name="Percent 5 6 2 5" xfId="6370"/>
    <cellStyle name="Percent 5 6 3" xfId="7921"/>
    <cellStyle name="Percent 5 6 3 2" xfId="14115"/>
    <cellStyle name="Percent 5 6 3 3" xfId="20267"/>
    <cellStyle name="Percent 5 6 4" xfId="11049"/>
    <cellStyle name="Percent 5 6 5" xfId="17201"/>
    <cellStyle name="Percent 5 6 6" xfId="4745"/>
    <cellStyle name="Percent 5 6 7" xfId="22870"/>
    <cellStyle name="Percent 5 7" xfId="382"/>
    <cellStyle name="Percent 5 7 2" xfId="910"/>
    <cellStyle name="Percent 5 7 2 2" xfId="14880"/>
    <cellStyle name="Percent 5 7 2 3" xfId="21032"/>
    <cellStyle name="Percent 5 7 2 4" xfId="8687"/>
    <cellStyle name="Percent 5 7 3" xfId="11814"/>
    <cellStyle name="Percent 5 7 4" xfId="17966"/>
    <cellStyle name="Percent 5 7 5" xfId="5583"/>
    <cellStyle name="Percent 5 7 6" xfId="22873"/>
    <cellStyle name="Percent 5 8" xfId="398"/>
    <cellStyle name="Percent 5 8 2" xfId="913"/>
    <cellStyle name="Percent 5 8 2 2" xfId="13346"/>
    <cellStyle name="Percent 5 8 3" xfId="19498"/>
    <cellStyle name="Percent 5 8 4" xfId="7152"/>
    <cellStyle name="Percent 5 8 5" xfId="22876"/>
    <cellStyle name="Percent 5 9" xfId="411"/>
    <cellStyle name="Percent 5 9 2" xfId="916"/>
    <cellStyle name="Percent 5 9 2 2" xfId="16413"/>
    <cellStyle name="Percent 5 9 3" xfId="22565"/>
    <cellStyle name="Percent 5 9 4" xfId="10239"/>
    <cellStyle name="Percent 5 9 5" xfId="22879"/>
    <cellStyle name="Percent 50" xfId="4492"/>
    <cellStyle name="Percent 51" xfId="4493"/>
    <cellStyle name="Percent 52" xfId="4494"/>
    <cellStyle name="Percent 53" xfId="4495"/>
    <cellStyle name="Percent 54" xfId="4496"/>
    <cellStyle name="Percent 55" xfId="4497"/>
    <cellStyle name="Percent 56" xfId="4498"/>
    <cellStyle name="Percent 57" xfId="4499"/>
    <cellStyle name="Percent 58" xfId="4500"/>
    <cellStyle name="Percent 59" xfId="4501"/>
    <cellStyle name="Percent 6" xfId="48"/>
    <cellStyle name="Percent 6 2" xfId="101"/>
    <cellStyle name="Percent 6 2 2" xfId="4504"/>
    <cellStyle name="Percent 6 2 3" xfId="4505"/>
    <cellStyle name="Percent 6 2 4" xfId="4503"/>
    <cellStyle name="Percent 6 3" xfId="4506"/>
    <cellStyle name="Percent 6 4" xfId="4704"/>
    <cellStyle name="Percent 6 5" xfId="4502"/>
    <cellStyle name="Percent 6 6" xfId="1288"/>
    <cellStyle name="Percent 6 7" xfId="23327"/>
    <cellStyle name="Percent 60" xfId="4507"/>
    <cellStyle name="Percent 61" xfId="4508"/>
    <cellStyle name="Percent 62" xfId="4509"/>
    <cellStyle name="Percent 63" xfId="4510"/>
    <cellStyle name="Percent 64" xfId="4511"/>
    <cellStyle name="Percent 65" xfId="4512"/>
    <cellStyle name="Percent 66" xfId="4513"/>
    <cellStyle name="Percent 67" xfId="4514"/>
    <cellStyle name="Percent 68" xfId="4515"/>
    <cellStyle name="Percent 69" xfId="4516"/>
    <cellStyle name="Percent 7" xfId="49"/>
    <cellStyle name="Percent 7 2" xfId="82"/>
    <cellStyle name="Percent 7 2 2" xfId="4519"/>
    <cellStyle name="Percent 7 2 3" xfId="4520"/>
    <cellStyle name="Percent 7 2 4" xfId="4518"/>
    <cellStyle name="Percent 7 3" xfId="4521"/>
    <cellStyle name="Percent 7 4" xfId="4522"/>
    <cellStyle name="Percent 7 5" xfId="4517"/>
    <cellStyle name="Percent 7 6" xfId="23328"/>
    <cellStyle name="Percent 70" xfId="4523"/>
    <cellStyle name="Percent 71" xfId="4524"/>
    <cellStyle name="Percent 72" xfId="4525"/>
    <cellStyle name="Percent 73" xfId="4526"/>
    <cellStyle name="Percent 74" xfId="4527"/>
    <cellStyle name="Percent 75" xfId="4528"/>
    <cellStyle name="Percent 76" xfId="4529"/>
    <cellStyle name="Percent 77" xfId="4530"/>
    <cellStyle name="Percent 78" xfId="4531"/>
    <cellStyle name="Percent 79" xfId="4532"/>
    <cellStyle name="Percent 8" xfId="50"/>
    <cellStyle name="Percent 8 2" xfId="4534"/>
    <cellStyle name="Percent 8 2 2" xfId="4535"/>
    <cellStyle name="Percent 8 2 3" xfId="4536"/>
    <cellStyle name="Percent 8 2 4" xfId="10253"/>
    <cellStyle name="Percent 8 2 4 2" xfId="16425"/>
    <cellStyle name="Percent 8 2 4 3" xfId="22577"/>
    <cellStyle name="Percent 8 3" xfId="10242"/>
    <cellStyle name="Percent 8 3 2" xfId="16416"/>
    <cellStyle name="Percent 8 3 3" xfId="22568"/>
    <cellStyle name="Percent 8 4" xfId="4533"/>
    <cellStyle name="Percent 80" xfId="4537"/>
    <cellStyle name="Percent 81" xfId="4538"/>
    <cellStyle name="Percent 82" xfId="4539"/>
    <cellStyle name="Percent 83" xfId="4540"/>
    <cellStyle name="Percent 84" xfId="4541"/>
    <cellStyle name="Percent 85" xfId="4542"/>
    <cellStyle name="Percent 86" xfId="4543"/>
    <cellStyle name="Percent 87" xfId="4544"/>
    <cellStyle name="Percent 88" xfId="4545"/>
    <cellStyle name="Percent 89" xfId="4546"/>
    <cellStyle name="Percent 9" xfId="52"/>
    <cellStyle name="Percent 9 2" xfId="103"/>
    <cellStyle name="Percent 9 2 2" xfId="146"/>
    <cellStyle name="Percent 9 2 2 2" xfId="4549"/>
    <cellStyle name="Percent 9 2 3" xfId="4550"/>
    <cellStyle name="Percent 9 2 4" xfId="4548"/>
    <cellStyle name="Percent 9 3" xfId="131"/>
    <cellStyle name="Percent 9 4" xfId="116"/>
    <cellStyle name="Percent 9 5" xfId="4547"/>
    <cellStyle name="Percent 90" xfId="4551"/>
    <cellStyle name="Percent 91" xfId="4552"/>
    <cellStyle name="Percent 92" xfId="4553"/>
    <cellStyle name="Percent 93" xfId="4554"/>
    <cellStyle name="Percent 94" xfId="4555"/>
    <cellStyle name="Percent 95" xfId="4556"/>
    <cellStyle name="Percent 96" xfId="4557"/>
    <cellStyle name="Percent 97" xfId="4558"/>
    <cellStyle name="Percent 98" xfId="4559"/>
    <cellStyle name="Percent 99" xfId="4560"/>
    <cellStyle name="placeholder" xfId="4561"/>
    <cellStyle name="PS_Comma" xfId="63"/>
    <cellStyle name="PSChar" xfId="64"/>
    <cellStyle name="PSDate" xfId="65"/>
    <cellStyle name="PSDec" xfId="66"/>
    <cellStyle name="PSHeading" xfId="67"/>
    <cellStyle name="PSInt" xfId="68"/>
    <cellStyle name="PSSpacer" xfId="69"/>
    <cellStyle name="ReportTitlePrompt" xfId="1263"/>
    <cellStyle name="ReportTitleValue" xfId="1264"/>
    <cellStyle name="Row Lvl 1" xfId="4562"/>
    <cellStyle name="Row Lvl 2" xfId="4563"/>
    <cellStyle name="RowAcctAbovePrompt" xfId="1265"/>
    <cellStyle name="RowAcctSOBAbovePrompt" xfId="1266"/>
    <cellStyle name="RowAcctSOBValue" xfId="1267"/>
    <cellStyle name="RowAcctValue" xfId="1268"/>
    <cellStyle name="RowAttrAbovePrompt" xfId="1269"/>
    <cellStyle name="RowAttrValue" xfId="1270"/>
    <cellStyle name="RowColSetAbovePrompt" xfId="1271"/>
    <cellStyle name="RowColSetLeftPrompt" xfId="1272"/>
    <cellStyle name="RowColSetValue" xfId="1273"/>
    <cellStyle name="RowLeftPrompt" xfId="1274"/>
    <cellStyle name="SampleUsingFormatMask" xfId="1275"/>
    <cellStyle name="SampleWithNoFormatMask" xfId="1276"/>
    <cellStyle name="STYLE1" xfId="4564"/>
    <cellStyle name="STYLE1 2" xfId="4565"/>
    <cellStyle name="STYLE1 2 2" xfId="4566"/>
    <cellStyle name="STYLE1 2 3" xfId="4567"/>
    <cellStyle name="STYLE1 3" xfId="4568"/>
    <cellStyle name="STYLE1 4" xfId="4569"/>
    <cellStyle name="STYLE1 5" xfId="4570"/>
    <cellStyle name="STYLE2" xfId="4571"/>
    <cellStyle name="STYLE2 2" xfId="4572"/>
    <cellStyle name="STYLE2 2 2" xfId="4573"/>
    <cellStyle name="STYLE2 2 3" xfId="4574"/>
    <cellStyle name="STYLE2 3" xfId="4575"/>
    <cellStyle name="STYLE2 4" xfId="4576"/>
    <cellStyle name="STYLE3" xfId="4577"/>
    <cellStyle name="STYLE3 2" xfId="4578"/>
    <cellStyle name="STYLE3 2 2" xfId="4579"/>
    <cellStyle name="STYLE3 2 3" xfId="4580"/>
    <cellStyle name="STYLE3 3" xfId="4581"/>
    <cellStyle name="STYLE3 4" xfId="4582"/>
    <cellStyle name="STYLE3 5" xfId="4583"/>
    <cellStyle name="STYLE4" xfId="4584"/>
    <cellStyle name="STYLE4 2" xfId="4585"/>
    <cellStyle name="STYLE4 3" xfId="4586"/>
    <cellStyle name="STYLE5" xfId="4587"/>
    <cellStyle name="STYLE6" xfId="4588"/>
    <cellStyle name="STYLE7" xfId="4589"/>
    <cellStyle name="Title" xfId="152" builtinId="15" customBuiltin="1"/>
    <cellStyle name="Title 2" xfId="4590"/>
    <cellStyle name="Title 2 2" xfId="4591"/>
    <cellStyle name="Title 3" xfId="4592"/>
    <cellStyle name="Title 4" xfId="4593"/>
    <cellStyle name="Title 5" xfId="4594"/>
    <cellStyle name="Title 6" xfId="4595"/>
    <cellStyle name="Title Left" xfId="4596"/>
    <cellStyle name="Total" xfId="167" builtinId="25" customBuiltin="1"/>
    <cellStyle name="Total 2" xfId="4597"/>
    <cellStyle name="Total 3" xfId="4598"/>
    <cellStyle name="Total 4" xfId="4599"/>
    <cellStyle name="Total 5" xfId="4600"/>
    <cellStyle name="Total 5 2" xfId="5570"/>
    <cellStyle name="Total 5 2 2" xfId="7129"/>
    <cellStyle name="Total 5 3" xfId="5560"/>
    <cellStyle name="Total 5 3 2" xfId="6303"/>
    <cellStyle name="Total 5 4" xfId="5547"/>
    <cellStyle name="Total 5 4 2" xfId="7133"/>
    <cellStyle name="Total 5 5" xfId="5540"/>
    <cellStyle name="Total 5 5 2" xfId="6227"/>
    <cellStyle name="Total 5 6" xfId="5591"/>
    <cellStyle name="Total 6" xfId="4601"/>
    <cellStyle name="Total 6 2" xfId="5571"/>
    <cellStyle name="Total 6 2 2" xfId="6322"/>
    <cellStyle name="Total 6 3" xfId="5550"/>
    <cellStyle name="Total 6 3 2" xfId="7132"/>
    <cellStyle name="Total 6 4" xfId="5525"/>
    <cellStyle name="Total 6 4 2" xfId="6205"/>
    <cellStyle name="Total 6 5" xfId="5519"/>
    <cellStyle name="Total 6 5 2" xfId="6204"/>
    <cellStyle name="Total 6 6" xfId="5794"/>
    <cellStyle name="UploadThisRowValue" xfId="1277"/>
    <cellStyle name="Warning Text" xfId="165" builtinId="11" customBuiltin="1"/>
    <cellStyle name="Warning Text 2" xfId="4602"/>
    <cellStyle name="Warning Text 3" xfId="4603"/>
    <cellStyle name="Warning Text 4" xfId="4604"/>
    <cellStyle name="Warning Text 5" xfId="4605"/>
    <cellStyle name="warnings" xfId="4606"/>
    <cellStyle name="WM_STANDARD" xfId="70"/>
    <cellStyle name="WMI_Standard" xfId="71"/>
    <cellStyle name="XComma" xfId="4607"/>
    <cellStyle name="XComma 0.0" xfId="4608"/>
    <cellStyle name="XComma 0.00" xfId="4609"/>
    <cellStyle name="XComma 0.000" xfId="4610"/>
    <cellStyle name="XCurrency" xfId="4611"/>
    <cellStyle name="XCurrency 0.0" xfId="4612"/>
    <cellStyle name="XCurrency 0.00" xfId="4613"/>
    <cellStyle name="XCurrency 0.000" xfId="4614"/>
    <cellStyle name="xstyle" xfId="4615"/>
  </cellStyles>
  <dxfs count="6">
    <dxf>
      <fill>
        <patternFill>
          <bgColor indexed="29"/>
        </patternFill>
      </fill>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5"/>
      <tableStyleElement type="headerRow" dxfId="4"/>
    </tableStyle>
    <tableStyle name="Table Style 2" pivot="0" count="3">
      <tableStyleElement type="wholeTable" dxfId="3"/>
      <tableStyleElement type="headerRow" dxfId="2"/>
      <tableStyleElement type="totalRow" dxfId="1"/>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86844317651807"/>
          <c:y val="0.16051326152845821"/>
          <c:w val="0.74624186991190944"/>
          <c:h val="0.72204486581158545"/>
        </c:manualLayout>
      </c:layout>
      <c:barChart>
        <c:barDir val="col"/>
        <c:grouping val="clustered"/>
        <c:varyColors val="0"/>
        <c:ser>
          <c:idx val="0"/>
          <c:order val="0"/>
          <c:invertIfNegative val="0"/>
          <c:cat>
            <c:numRef>
              <c:f>'Cost Trends'!$I$208:$I$216</c:f>
              <c:numCache>
                <c:formatCode>General</c:formatCode>
                <c:ptCount val="9"/>
                <c:pt idx="0">
                  <c:v>2007</c:v>
                </c:pt>
                <c:pt idx="1">
                  <c:v>2008</c:v>
                </c:pt>
                <c:pt idx="2">
                  <c:v>2009</c:v>
                </c:pt>
                <c:pt idx="3">
                  <c:v>2010</c:v>
                </c:pt>
                <c:pt idx="4">
                  <c:v>2011</c:v>
                </c:pt>
                <c:pt idx="5">
                  <c:v>2012</c:v>
                </c:pt>
                <c:pt idx="6">
                  <c:v>2013</c:v>
                </c:pt>
                <c:pt idx="7" formatCode="0">
                  <c:v>2014</c:v>
                </c:pt>
                <c:pt idx="8">
                  <c:v>2016</c:v>
                </c:pt>
              </c:numCache>
            </c:numRef>
          </c:cat>
          <c:val>
            <c:numRef>
              <c:f>'Cost Trends'!$J$208:$J$216</c:f>
              <c:numCache>
                <c:formatCode>_(* #,##0_);_(* \(#,##0\);_(* "-"??_);_(@_)</c:formatCode>
                <c:ptCount val="9"/>
                <c:pt idx="0">
                  <c:v>870835</c:v>
                </c:pt>
                <c:pt idx="1">
                  <c:v>917247</c:v>
                </c:pt>
                <c:pt idx="2">
                  <c:v>987243</c:v>
                </c:pt>
                <c:pt idx="3">
                  <c:v>1036064</c:v>
                </c:pt>
                <c:pt idx="4">
                  <c:v>1087141</c:v>
                </c:pt>
                <c:pt idx="5">
                  <c:v>1131570</c:v>
                </c:pt>
                <c:pt idx="6">
                  <c:v>1195010</c:v>
                </c:pt>
                <c:pt idx="7">
                  <c:v>1214504</c:v>
                </c:pt>
                <c:pt idx="8">
                  <c:v>1365555</c:v>
                </c:pt>
              </c:numCache>
            </c:numRef>
          </c:val>
        </c:ser>
        <c:dLbls>
          <c:showLegendKey val="0"/>
          <c:showVal val="0"/>
          <c:showCatName val="0"/>
          <c:showSerName val="0"/>
          <c:showPercent val="0"/>
          <c:showBubbleSize val="0"/>
        </c:dLbls>
        <c:gapWidth val="150"/>
        <c:axId val="475289760"/>
        <c:axId val="475290152"/>
      </c:barChart>
      <c:catAx>
        <c:axId val="475289760"/>
        <c:scaling>
          <c:orientation val="minMax"/>
        </c:scaling>
        <c:delete val="0"/>
        <c:axPos val="b"/>
        <c:numFmt formatCode="General" sourceLinked="1"/>
        <c:majorTickMark val="out"/>
        <c:minorTickMark val="none"/>
        <c:tickLblPos val="nextTo"/>
        <c:txPr>
          <a:bodyPr rot="0" anchor="ctr" anchorCtr="0"/>
          <a:lstStyle/>
          <a:p>
            <a:pPr>
              <a:defRPr sz="600"/>
            </a:pPr>
            <a:endParaRPr lang="en-US"/>
          </a:p>
        </c:txPr>
        <c:crossAx val="475290152"/>
        <c:crosses val="autoZero"/>
        <c:auto val="1"/>
        <c:lblAlgn val="ctr"/>
        <c:lblOffset val="100"/>
        <c:noMultiLvlLbl val="0"/>
      </c:catAx>
      <c:valAx>
        <c:axId val="475290152"/>
        <c:scaling>
          <c:orientation val="minMax"/>
          <c:max val="1400000"/>
        </c:scaling>
        <c:delete val="0"/>
        <c:axPos val="l"/>
        <c:majorGridlines/>
        <c:numFmt formatCode="_(* #,##0_);_(* \(#,##0\);_(* &quot;-&quot;??_);_(@_)" sourceLinked="1"/>
        <c:majorTickMark val="out"/>
        <c:minorTickMark val="none"/>
        <c:tickLblPos val="nextTo"/>
        <c:crossAx val="475289760"/>
        <c:crosses val="autoZero"/>
        <c:crossBetween val="between"/>
      </c:valAx>
    </c:plotArea>
    <c:plotVisOnly val="1"/>
    <c:dispBlanksAs val="gap"/>
    <c:showDLblsOverMax val="0"/>
  </c:chart>
  <c:printSettings>
    <c:headerFooter/>
    <c:pageMargins b="0.75000000000000466" l="0.70000000000000062" r="0.70000000000000062" t="0.75000000000000466" header="0.30000000000000032" footer="0.30000000000000032"/>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322891</xdr:colOff>
      <xdr:row>217</xdr:row>
      <xdr:rowOff>63666</xdr:rowOff>
    </xdr:from>
    <xdr:to>
      <xdr:col>17</xdr:col>
      <xdr:colOff>203638</xdr:colOff>
      <xdr:row>240</xdr:row>
      <xdr:rowOff>124810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302172</xdr:colOff>
      <xdr:row>217</xdr:row>
      <xdr:rowOff>118239</xdr:rowOff>
    </xdr:from>
    <xdr:to>
      <xdr:col>16</xdr:col>
      <xdr:colOff>6569</xdr:colOff>
      <xdr:row>220</xdr:row>
      <xdr:rowOff>91963</xdr:rowOff>
    </xdr:to>
    <xdr:sp macro="" textlink="">
      <xdr:nvSpPr>
        <xdr:cNvPr id="20" name="TextBox 19"/>
        <xdr:cNvSpPr txBox="1"/>
      </xdr:nvSpPr>
      <xdr:spPr>
        <a:xfrm>
          <a:off x="5590189" y="32503239"/>
          <a:ext cx="3639208" cy="426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50"/>
            <a:t>Washington</a:t>
          </a:r>
          <a:r>
            <a:rPr lang="en-US" sz="1050" baseline="0"/>
            <a:t> Electric </a:t>
          </a:r>
        </a:p>
        <a:p>
          <a:pPr algn="ctr"/>
          <a:r>
            <a:rPr lang="en-US" sz="1050" baseline="0"/>
            <a:t>Net Plant After DFIT (AMA) 2007-2016</a:t>
          </a:r>
          <a:endParaRPr lang="en-US" sz="1050"/>
        </a:p>
      </xdr:txBody>
    </xdr:sp>
    <xdr:clientData/>
  </xdr:twoCellAnchor>
  <xdr:twoCellAnchor>
    <xdr:from>
      <xdr:col>10</xdr:col>
      <xdr:colOff>23643</xdr:colOff>
      <xdr:row>223</xdr:row>
      <xdr:rowOff>86788</xdr:rowOff>
    </xdr:from>
    <xdr:to>
      <xdr:col>14</xdr:col>
      <xdr:colOff>66674</xdr:colOff>
      <xdr:row>224</xdr:row>
      <xdr:rowOff>123825</xdr:rowOff>
    </xdr:to>
    <xdr:sp macro="" textlink="">
      <xdr:nvSpPr>
        <xdr:cNvPr id="10" name="TextBox 9"/>
        <xdr:cNvSpPr txBox="1"/>
      </xdr:nvSpPr>
      <xdr:spPr>
        <a:xfrm rot="10800000" flipV="1">
          <a:off x="5357643" y="33338563"/>
          <a:ext cx="2386181" cy="18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lang="en-US" sz="1000"/>
            <a:t>Average increase 2007-09.2014 = $49M</a:t>
          </a:r>
        </a:p>
      </xdr:txBody>
    </xdr:sp>
    <xdr:clientData/>
  </xdr:twoCellAnchor>
  <xdr:twoCellAnchor>
    <xdr:from>
      <xdr:col>10</xdr:col>
      <xdr:colOff>78828</xdr:colOff>
      <xdr:row>222</xdr:row>
      <xdr:rowOff>131379</xdr:rowOff>
    </xdr:from>
    <xdr:to>
      <xdr:col>16</xdr:col>
      <xdr:colOff>289034</xdr:colOff>
      <xdr:row>227</xdr:row>
      <xdr:rowOff>85398</xdr:rowOff>
    </xdr:to>
    <xdr:cxnSp macro="">
      <xdr:nvCxnSpPr>
        <xdr:cNvPr id="7" name="Straight Arrow Connector 6"/>
        <xdr:cNvCxnSpPr/>
      </xdr:nvCxnSpPr>
      <xdr:spPr>
        <a:xfrm flipV="1">
          <a:off x="5366845" y="33271810"/>
          <a:ext cx="4145017" cy="70945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466397</xdr:colOff>
      <xdr:row>220</xdr:row>
      <xdr:rowOff>144517</xdr:rowOff>
    </xdr:from>
    <xdr:to>
      <xdr:col>16</xdr:col>
      <xdr:colOff>348155</xdr:colOff>
      <xdr:row>223</xdr:row>
      <xdr:rowOff>65693</xdr:rowOff>
    </xdr:to>
    <xdr:cxnSp macro="">
      <xdr:nvCxnSpPr>
        <xdr:cNvPr id="9" name="Straight Arrow Connector 8"/>
        <xdr:cNvCxnSpPr/>
      </xdr:nvCxnSpPr>
      <xdr:spPr>
        <a:xfrm flipV="1">
          <a:off x="9019190" y="32982776"/>
          <a:ext cx="551793" cy="374434"/>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0.81427</cdr:x>
      <cdr:y>0.12563</cdr:y>
    </cdr:from>
    <cdr:to>
      <cdr:x>0.92713</cdr:x>
      <cdr:y>0.20637</cdr:y>
    </cdr:to>
    <cdr:sp macro="" textlink="">
      <cdr:nvSpPr>
        <cdr:cNvPr id="2" name="TextBox 1"/>
        <cdr:cNvSpPr txBox="1"/>
      </cdr:nvSpPr>
      <cdr:spPr>
        <a:xfrm xmlns:a="http://schemas.openxmlformats.org/drawingml/2006/main" rot="19578605">
          <a:off x="5150167" y="444243"/>
          <a:ext cx="713815" cy="285499"/>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nchor="t"/>
        <a:lstStyle xmlns:a="http://schemas.openxmlformats.org/drawingml/2006/main"/>
        <a:p xmlns:a="http://schemas.openxmlformats.org/drawingml/2006/main">
          <a:r>
            <a:rPr lang="en-US" sz="1000"/>
            <a:t>$151M</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12</xdr:col>
      <xdr:colOff>9525</xdr:colOff>
      <xdr:row>6</xdr:row>
      <xdr:rowOff>28575</xdr:rowOff>
    </xdr:from>
    <xdr:to>
      <xdr:col>12</xdr:col>
      <xdr:colOff>209550</xdr:colOff>
      <xdr:row>8</xdr:row>
      <xdr:rowOff>125730</xdr:rowOff>
    </xdr:to>
    <xdr:sp macro="" textlink="">
      <xdr:nvSpPr>
        <xdr:cNvPr id="2" name="AutoShape 15"/>
        <xdr:cNvSpPr>
          <a:spLocks/>
        </xdr:cNvSpPr>
      </xdr:nvSpPr>
      <xdr:spPr bwMode="auto">
        <a:xfrm>
          <a:off x="9686925" y="1028700"/>
          <a:ext cx="200025" cy="390525"/>
        </a:xfrm>
        <a:prstGeom prst="rightBrace">
          <a:avLst>
            <a:gd name="adj1" fmla="val 16270"/>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Diana%20Crapp/Local%20Settings/Temporary%20Internet%20Files/OLK47/From%20Avista/v16%20Electric%20Revenue%202012-2016%20-%20Res%20Exchang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rzk7kq/Local%20Settings/Temp/WA%20Elec%20Revenue%20-%20Rev%20Adj.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Diana%20Crapp/Local%20Settings/Temporary%20Internet%20Files/OLK47/From%20Avista/WA%20Elec%20Revenue%20-%20wo%20schedule%20shif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Diana%20Crapp/Local%20Settings/Temporary%20Internet%20Files/OLK47/From%20Avista/2012%20WA%20Electric%20CBR%20Model%20%20(revised%20FI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ttrition%20Adj%20Workpapers/Transmission%20Wheeling%20Revenue%2012ME%2009.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ERM"/>
      <sheetName val="ROR"/>
      <sheetName val="Bill Determ"/>
      <sheetName val="WA Sch 25"/>
      <sheetName val="Lighting summary"/>
      <sheetName val="St Lts"/>
      <sheetName val="Area Lts"/>
      <sheetName val="Block Data"/>
      <sheetName val="Rev Runs 12MEJUNE2013"/>
      <sheetName val="Rev Runs 2011"/>
    </sheetNames>
    <sheetDataSet>
      <sheetData sheetId="0" refreshError="1"/>
      <sheetData sheetId="1" refreshError="1">
        <row r="45">
          <cell r="D4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2011 CBR FIT fix"/>
      <sheetName val="LEAD SHEETS-DO NOT ENTER"/>
      <sheetName val="CF "/>
      <sheetName val="ROO INPUT"/>
      <sheetName val="DEBT CALC"/>
      <sheetName val="not used PROPOSED RATES"/>
      <sheetName val="not used RR SUMMARY"/>
      <sheetName val="not used RETAIL REVENUE CREDIT"/>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5"/>
  <sheetViews>
    <sheetView tabSelected="1" view="pageBreakPreview" zoomScale="115" zoomScaleNormal="100" zoomScaleSheetLayoutView="115" workbookViewId="0">
      <selection activeCell="A4" sqref="A4:I4"/>
    </sheetView>
  </sheetViews>
  <sheetFormatPr defaultRowHeight="12.75"/>
  <cols>
    <col min="1" max="1" width="7" customWidth="1"/>
    <col min="2" max="2" width="3" bestFit="1" customWidth="1"/>
    <col min="3" max="3" width="28.85546875" customWidth="1"/>
    <col min="4" max="4" width="1.85546875" customWidth="1"/>
    <col min="5" max="5" width="0.140625" hidden="1" customWidth="1"/>
    <col min="6" max="6" width="11.7109375" customWidth="1"/>
    <col min="7" max="7" width="13.28515625" customWidth="1"/>
    <col min="8" max="8" width="22.140625" customWidth="1"/>
    <col min="9" max="9" width="13.5703125" bestFit="1" customWidth="1"/>
    <col min="10" max="10" width="17.7109375" bestFit="1" customWidth="1"/>
    <col min="11" max="11" width="10.28515625" bestFit="1" customWidth="1"/>
    <col min="12" max="12" width="9.28515625" bestFit="1" customWidth="1"/>
  </cols>
  <sheetData>
    <row r="1" spans="1:10" s="540" customFormat="1" ht="14.25">
      <c r="A1" s="909" t="s">
        <v>117</v>
      </c>
      <c r="B1" s="909"/>
      <c r="C1" s="909"/>
      <c r="D1" s="909"/>
      <c r="E1" s="909"/>
      <c r="F1" s="909"/>
      <c r="G1" s="909"/>
      <c r="H1" s="909"/>
      <c r="I1" s="909"/>
      <c r="J1" s="713"/>
    </row>
    <row r="2" spans="1:10" s="540" customFormat="1" ht="14.25">
      <c r="A2" s="909" t="s">
        <v>519</v>
      </c>
      <c r="B2" s="909"/>
      <c r="C2" s="909"/>
      <c r="D2" s="909"/>
      <c r="E2" s="909"/>
      <c r="F2" s="909"/>
      <c r="G2" s="909"/>
      <c r="H2" s="909"/>
      <c r="I2" s="909"/>
      <c r="J2" s="697"/>
    </row>
    <row r="3" spans="1:10" s="540" customFormat="1" ht="14.25">
      <c r="A3" s="914" t="s">
        <v>782</v>
      </c>
      <c r="B3" s="915"/>
      <c r="C3" s="915"/>
      <c r="D3" s="915"/>
      <c r="E3" s="915"/>
      <c r="F3" s="915"/>
      <c r="G3" s="915"/>
      <c r="H3" s="915"/>
      <c r="I3" s="915"/>
      <c r="J3" s="880"/>
    </row>
    <row r="4" spans="1:10" s="540" customFormat="1" ht="14.25">
      <c r="A4" s="909" t="s">
        <v>474</v>
      </c>
      <c r="B4" s="909"/>
      <c r="C4" s="909"/>
      <c r="D4" s="909"/>
      <c r="E4" s="909"/>
      <c r="F4" s="909"/>
      <c r="G4" s="909"/>
      <c r="H4" s="909"/>
      <c r="I4" s="909"/>
      <c r="J4" s="697"/>
    </row>
    <row r="5" spans="1:10" s="540" customFormat="1" ht="14.25">
      <c r="A5" s="909" t="s">
        <v>273</v>
      </c>
      <c r="B5" s="909"/>
      <c r="C5" s="909"/>
      <c r="D5" s="909"/>
      <c r="E5" s="909"/>
      <c r="F5" s="909"/>
      <c r="G5" s="909"/>
      <c r="H5" s="909"/>
      <c r="I5" s="909"/>
      <c r="J5" s="697"/>
    </row>
    <row r="6" spans="1:10" s="540" customFormat="1" ht="14.25">
      <c r="A6" s="913" t="s">
        <v>637</v>
      </c>
      <c r="B6" s="913"/>
      <c r="C6" s="913"/>
      <c r="D6" s="913"/>
      <c r="E6" s="913"/>
      <c r="F6" s="913"/>
      <c r="G6" s="913"/>
      <c r="H6" s="913"/>
      <c r="I6" s="913"/>
      <c r="J6" s="697"/>
    </row>
    <row r="7" spans="1:10" s="540" customFormat="1" ht="14.25">
      <c r="A7" s="909" t="s">
        <v>482</v>
      </c>
      <c r="B7" s="909"/>
      <c r="C7" s="909"/>
      <c r="D7" s="909"/>
      <c r="E7" s="909"/>
      <c r="F7" s="909"/>
      <c r="G7" s="909"/>
      <c r="H7" s="909"/>
      <c r="I7" s="909"/>
      <c r="J7" s="697"/>
    </row>
    <row r="8" spans="1:10">
      <c r="A8" s="535"/>
      <c r="B8" s="535"/>
      <c r="C8" s="535"/>
      <c r="D8" s="535"/>
      <c r="E8" s="535"/>
      <c r="F8" s="535"/>
      <c r="G8" s="535"/>
      <c r="H8" s="535"/>
      <c r="I8" s="579"/>
    </row>
    <row r="9" spans="1:10">
      <c r="A9" s="515"/>
      <c r="B9" s="515"/>
      <c r="C9" s="515"/>
      <c r="D9" s="515"/>
      <c r="E9" s="515"/>
      <c r="F9" s="535" t="s">
        <v>487</v>
      </c>
      <c r="G9" s="535" t="s">
        <v>489</v>
      </c>
      <c r="H9" s="535" t="s">
        <v>490</v>
      </c>
      <c r="I9" s="580"/>
      <c r="J9" s="580"/>
    </row>
    <row r="10" spans="1:10">
      <c r="A10" s="471" t="s">
        <v>409</v>
      </c>
      <c r="B10" s="471"/>
      <c r="C10" s="471"/>
      <c r="D10" s="515"/>
      <c r="E10" s="471"/>
      <c r="F10" s="535" t="s">
        <v>488</v>
      </c>
      <c r="G10" s="515" t="s">
        <v>484</v>
      </c>
      <c r="H10" s="911" t="s">
        <v>606</v>
      </c>
      <c r="I10" s="580"/>
      <c r="J10" s="580"/>
    </row>
    <row r="11" spans="1:10" ht="26.25" customHeight="1">
      <c r="A11" s="473" t="s">
        <v>90</v>
      </c>
      <c r="B11" s="471"/>
      <c r="C11" s="473" t="s">
        <v>410</v>
      </c>
      <c r="D11" s="474"/>
      <c r="E11" s="474"/>
      <c r="F11" s="473" t="s">
        <v>483</v>
      </c>
      <c r="G11" s="473" t="s">
        <v>480</v>
      </c>
      <c r="H11" s="912"/>
      <c r="I11" s="580"/>
      <c r="J11" s="580"/>
    </row>
    <row r="12" spans="1:10">
      <c r="A12" s="469"/>
      <c r="B12" s="469"/>
      <c r="C12" s="469"/>
      <c r="D12" s="469"/>
      <c r="E12" s="469"/>
      <c r="F12" s="469"/>
      <c r="G12" s="469"/>
      <c r="H12" s="469"/>
      <c r="I12" s="524"/>
      <c r="J12" s="581"/>
    </row>
    <row r="13" spans="1:10">
      <c r="A13" s="476">
        <v>1</v>
      </c>
      <c r="B13" s="469"/>
      <c r="C13" s="469" t="s">
        <v>481</v>
      </c>
      <c r="D13" s="469"/>
      <c r="E13" s="469"/>
      <c r="F13" s="516">
        <f>'Attrition 09.2014 to 2016'!S79</f>
        <v>1437958.0000000796</v>
      </c>
      <c r="G13" s="529">
        <v>1.013115</v>
      </c>
      <c r="H13" s="518">
        <f>F13/G13</f>
        <v>1419343.3124572034</v>
      </c>
      <c r="I13" s="525"/>
      <c r="J13" s="581"/>
    </row>
    <row r="14" spans="1:10">
      <c r="A14" s="476"/>
      <c r="B14" s="469"/>
      <c r="C14" s="469"/>
      <c r="D14" s="469"/>
      <c r="E14" s="469"/>
      <c r="F14" s="516"/>
      <c r="G14" s="516"/>
      <c r="H14" s="516"/>
      <c r="I14" s="525"/>
      <c r="J14" s="581"/>
    </row>
    <row r="15" spans="1:10">
      <c r="A15" s="476">
        <v>2</v>
      </c>
      <c r="B15" s="469"/>
      <c r="C15" s="469" t="s">
        <v>279</v>
      </c>
      <c r="D15" s="469"/>
      <c r="E15" s="469"/>
      <c r="F15" s="526"/>
      <c r="G15" s="517"/>
      <c r="H15" s="823">
        <f>ROR!F15</f>
        <v>7.2900000000000006E-2</v>
      </c>
      <c r="I15" s="679"/>
      <c r="J15" s="581"/>
    </row>
    <row r="16" spans="1:10">
      <c r="A16" s="476"/>
      <c r="B16" s="469"/>
      <c r="C16" s="469"/>
      <c r="D16" s="469"/>
      <c r="E16" s="469"/>
      <c r="F16" s="517"/>
      <c r="G16" s="517"/>
      <c r="H16" s="517"/>
      <c r="I16" s="573"/>
      <c r="J16" s="581"/>
    </row>
    <row r="17" spans="1:21">
      <c r="A17" s="476">
        <v>3</v>
      </c>
      <c r="B17" s="469"/>
      <c r="C17" s="469" t="s">
        <v>475</v>
      </c>
      <c r="D17" s="469"/>
      <c r="E17" s="469"/>
      <c r="F17" s="518"/>
      <c r="G17" s="516"/>
      <c r="H17" s="518">
        <f>ROUND(H13*H15,0)</f>
        <v>103470</v>
      </c>
      <c r="I17" s="525"/>
      <c r="J17" s="581"/>
    </row>
    <row r="18" spans="1:21">
      <c r="A18" s="476"/>
      <c r="B18" s="469"/>
      <c r="C18" s="469"/>
      <c r="D18" s="469"/>
      <c r="E18" s="469"/>
      <c r="F18" s="516"/>
      <c r="G18" s="516"/>
      <c r="H18" s="516"/>
      <c r="I18" s="525"/>
      <c r="J18" s="581"/>
    </row>
    <row r="19" spans="1:21">
      <c r="A19" s="476">
        <v>4</v>
      </c>
      <c r="B19" s="469"/>
      <c r="C19" s="469" t="s">
        <v>485</v>
      </c>
      <c r="D19" s="469"/>
      <c r="E19" s="469"/>
      <c r="F19" s="519">
        <f>'Attrition 09.2014 to 2016'!S54</f>
        <v>98520.840385501273</v>
      </c>
      <c r="G19" s="530">
        <f>G13</f>
        <v>1.013115</v>
      </c>
      <c r="H19" s="519">
        <f>F19/G19</f>
        <v>97245.466097630851</v>
      </c>
      <c r="I19" s="525"/>
      <c r="J19" s="581"/>
    </row>
    <row r="20" spans="1:21">
      <c r="A20" s="476"/>
      <c r="B20" s="469"/>
      <c r="C20" s="469"/>
      <c r="D20" s="469"/>
      <c r="E20" s="469"/>
      <c r="F20" s="469"/>
      <c r="G20" s="469"/>
      <c r="H20" s="469"/>
      <c r="I20" s="524"/>
      <c r="J20" s="581"/>
    </row>
    <row r="21" spans="1:21">
      <c r="A21" s="476">
        <v>5</v>
      </c>
      <c r="B21" s="469"/>
      <c r="C21" s="469" t="s">
        <v>476</v>
      </c>
      <c r="D21" s="469"/>
      <c r="E21" s="469"/>
      <c r="F21" s="516"/>
      <c r="G21" s="516"/>
      <c r="H21" s="516">
        <f>H17-H19</f>
        <v>6224.5339023691486</v>
      </c>
      <c r="I21" s="525"/>
      <c r="J21" s="581"/>
    </row>
    <row r="22" spans="1:21">
      <c r="A22" s="476"/>
      <c r="B22" s="469"/>
      <c r="C22" s="469"/>
      <c r="D22" s="469"/>
      <c r="E22" s="469"/>
      <c r="F22" s="469"/>
      <c r="G22" s="469"/>
      <c r="H22" s="469"/>
      <c r="I22" s="524"/>
      <c r="J22" s="581"/>
      <c r="U22" s="236"/>
    </row>
    <row r="23" spans="1:21">
      <c r="A23" s="476">
        <v>6</v>
      </c>
      <c r="B23" s="469"/>
      <c r="C23" s="469" t="s">
        <v>477</v>
      </c>
      <c r="D23" s="469"/>
      <c r="E23" s="469"/>
      <c r="F23" s="521"/>
      <c r="G23" s="469"/>
      <c r="H23" s="521">
        <f>ROR!L24</f>
        <v>0.62017999999999995</v>
      </c>
      <c r="I23" s="680"/>
      <c r="J23" s="581"/>
    </row>
    <row r="24" spans="1:21">
      <c r="A24" s="476"/>
      <c r="B24" s="469"/>
      <c r="C24" s="469"/>
      <c r="D24" s="469"/>
      <c r="E24" s="469"/>
      <c r="F24" s="531"/>
      <c r="G24" s="469"/>
      <c r="H24" s="469"/>
      <c r="I24" s="524"/>
      <c r="J24" s="582"/>
      <c r="K24" s="534"/>
      <c r="L24" s="664"/>
      <c r="M24" s="665"/>
      <c r="N24" s="534"/>
    </row>
    <row r="25" spans="1:21">
      <c r="A25" s="476">
        <v>7</v>
      </c>
      <c r="B25" s="469"/>
      <c r="C25" s="469" t="s">
        <v>486</v>
      </c>
      <c r="D25" s="469"/>
      <c r="E25" s="469"/>
      <c r="F25" s="532"/>
      <c r="G25" s="520"/>
      <c r="H25" s="824">
        <f>ROUND(H21/H23,0)</f>
        <v>10037</v>
      </c>
      <c r="I25" s="583" t="s">
        <v>743</v>
      </c>
      <c r="J25" s="692"/>
      <c r="M25" s="666"/>
      <c r="N25" s="534"/>
    </row>
    <row r="26" spans="1:21">
      <c r="A26" s="476"/>
      <c r="B26" s="469"/>
      <c r="C26" s="469"/>
      <c r="D26" s="469"/>
      <c r="E26" s="469"/>
      <c r="F26" s="532"/>
      <c r="G26" s="520"/>
      <c r="H26" s="532"/>
      <c r="I26" s="522"/>
      <c r="J26" s="584"/>
      <c r="K26" s="534"/>
      <c r="L26" s="534"/>
      <c r="M26" s="534"/>
      <c r="N26" s="534"/>
    </row>
    <row r="27" spans="1:21">
      <c r="A27" s="476">
        <v>8</v>
      </c>
      <c r="B27" s="523"/>
      <c r="C27" s="469" t="s">
        <v>478</v>
      </c>
      <c r="D27" s="469"/>
      <c r="E27" s="469"/>
      <c r="F27" s="520"/>
      <c r="G27" s="520"/>
      <c r="H27" s="520">
        <f>'Attrition 09.2014 to 2016'!N7+'Attrition 09.2014 to 2016'!N8</f>
        <v>499982</v>
      </c>
      <c r="J27" s="525"/>
      <c r="K27" s="534"/>
      <c r="L27" s="534"/>
      <c r="M27" s="534"/>
      <c r="N27" s="534"/>
    </row>
    <row r="28" spans="1:21">
      <c r="A28" s="476"/>
      <c r="B28" s="523"/>
      <c r="C28" s="469"/>
      <c r="D28" s="469"/>
      <c r="E28" s="469"/>
      <c r="F28" s="531"/>
      <c r="G28" s="469"/>
      <c r="H28" s="469"/>
      <c r="J28" s="524"/>
      <c r="K28" s="534"/>
      <c r="L28" s="534"/>
      <c r="M28" s="534"/>
      <c r="N28" s="534"/>
    </row>
    <row r="29" spans="1:21" ht="13.5" thickBot="1">
      <c r="A29" s="476">
        <v>9</v>
      </c>
      <c r="B29" s="523"/>
      <c r="C29" s="469" t="s">
        <v>479</v>
      </c>
      <c r="D29" s="469"/>
      <c r="E29" s="469"/>
      <c r="F29" s="533"/>
      <c r="G29" s="526"/>
      <c r="H29" s="825">
        <f>H25/H27</f>
        <v>2.0074722690016842E-2</v>
      </c>
      <c r="J29" s="585"/>
      <c r="K29" s="534"/>
      <c r="L29" s="534"/>
      <c r="M29" s="667"/>
      <c r="N29" s="534"/>
    </row>
    <row r="30" spans="1:21" ht="13.5" thickTop="1">
      <c r="A30" s="527"/>
      <c r="B30" s="527"/>
      <c r="C30" s="527"/>
      <c r="D30" s="527"/>
      <c r="E30" s="527"/>
      <c r="F30" s="528"/>
      <c r="G30" s="527"/>
      <c r="H30" s="527"/>
      <c r="I30" s="527"/>
      <c r="J30" s="581"/>
      <c r="K30" s="534"/>
      <c r="L30" s="534"/>
      <c r="M30" s="534"/>
      <c r="N30" s="534"/>
    </row>
    <row r="31" spans="1:21">
      <c r="F31" s="534"/>
      <c r="K31" s="534"/>
      <c r="L31" s="534"/>
      <c r="M31" s="534"/>
      <c r="N31" s="534"/>
    </row>
    <row r="32" spans="1:21">
      <c r="F32" s="534"/>
    </row>
    <row r="33" spans="1:10">
      <c r="F33" s="534"/>
    </row>
    <row r="34" spans="1:10">
      <c r="F34" s="534"/>
    </row>
    <row r="35" spans="1:10" ht="6" customHeight="1">
      <c r="B35" s="537"/>
      <c r="C35" s="910"/>
      <c r="D35" s="910"/>
      <c r="E35" s="910"/>
      <c r="F35" s="910"/>
      <c r="G35" s="910"/>
      <c r="H35" s="910"/>
      <c r="I35" s="910"/>
      <c r="J35" s="910"/>
    </row>
    <row r="44" spans="1:10">
      <c r="A44" s="467"/>
      <c r="B44" s="467"/>
      <c r="C44" s="467"/>
      <c r="D44" s="467"/>
      <c r="E44" s="467"/>
      <c r="F44" s="467"/>
      <c r="G44" s="467"/>
      <c r="H44" s="467"/>
      <c r="I44" s="467"/>
    </row>
    <row r="49" spans="21:21">
      <c r="U49" s="644" t="s">
        <v>740</v>
      </c>
    </row>
    <row r="95" spans="21:21">
      <c r="U95" s="876" t="s">
        <v>741</v>
      </c>
    </row>
    <row r="105" spans="21:21">
      <c r="U105" s="876" t="s">
        <v>741</v>
      </c>
    </row>
    <row r="151" spans="21:21">
      <c r="U151" s="876" t="s">
        <v>741</v>
      </c>
    </row>
    <row r="165" spans="21:21">
      <c r="U165" s="876" t="s">
        <v>741</v>
      </c>
    </row>
    <row r="185" spans="14:21">
      <c r="N185" s="876"/>
      <c r="O185" s="876"/>
      <c r="P185" s="876"/>
      <c r="Q185" s="876"/>
      <c r="R185" s="876"/>
      <c r="S185" s="876"/>
      <c r="T185" s="876"/>
      <c r="U185" s="876" t="s">
        <v>741</v>
      </c>
    </row>
  </sheetData>
  <mergeCells count="9">
    <mergeCell ref="A7:I7"/>
    <mergeCell ref="C35:J35"/>
    <mergeCell ref="H10:H11"/>
    <mergeCell ref="A1:I1"/>
    <mergeCell ref="A2:I2"/>
    <mergeCell ref="A4:I4"/>
    <mergeCell ref="A5:I5"/>
    <mergeCell ref="A6:I6"/>
    <mergeCell ref="A3:I3"/>
  </mergeCells>
  <printOptions horizontalCentered="1"/>
  <pageMargins left="0.7" right="0.7" top="0.75" bottom="0.75" header="0.3" footer="0.3"/>
  <pageSetup scale="85" orientation="landscape" r:id="rId1"/>
  <headerFooter scaleWithDoc="0">
    <oddFooter>&amp;LStaff_DR_130 Revised-Attachment B&amp;RPage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abSelected="1" view="pageBreakPreview" zoomScale="60" zoomScaleNormal="100" workbookViewId="0">
      <selection activeCell="A4" sqref="A4:I4"/>
    </sheetView>
  </sheetViews>
  <sheetFormatPr defaultRowHeight="12.75"/>
  <cols>
    <col min="1" max="1" width="3.140625" style="644" customWidth="1"/>
    <col min="2" max="2" width="4.85546875" style="644" customWidth="1"/>
    <col min="3" max="3" width="41" style="644" customWidth="1"/>
    <col min="4" max="4" width="16" style="644" customWidth="1"/>
    <col min="5" max="5" width="28.7109375" style="644" customWidth="1"/>
    <col min="6" max="6" width="11.28515625" style="644" customWidth="1"/>
    <col min="7" max="7" width="19.140625" style="644" customWidth="1"/>
    <col min="8" max="16384" width="9.140625" style="644"/>
  </cols>
  <sheetData>
    <row r="1" spans="1:8" ht="18.75">
      <c r="A1" s="920" t="s">
        <v>744</v>
      </c>
      <c r="B1" s="921"/>
      <c r="C1" s="921"/>
      <c r="D1" s="921"/>
      <c r="E1" s="921"/>
      <c r="F1" s="921"/>
      <c r="G1" s="922"/>
    </row>
    <row r="2" spans="1:8" ht="18.75">
      <c r="A2" s="881"/>
      <c r="B2" s="882"/>
      <c r="C2" s="882"/>
      <c r="D2" s="882"/>
      <c r="E2" s="882"/>
      <c r="F2" s="882"/>
      <c r="G2" s="883"/>
    </row>
    <row r="3" spans="1:8" ht="31.5">
      <c r="A3" s="884" t="s">
        <v>745</v>
      </c>
      <c r="B3" s="534"/>
      <c r="C3" s="534"/>
      <c r="D3" s="885" t="s">
        <v>746</v>
      </c>
      <c r="E3" s="886"/>
      <c r="F3" s="923"/>
      <c r="G3" s="924"/>
      <c r="H3" s="887"/>
    </row>
    <row r="4" spans="1:8" ht="15.75">
      <c r="A4" s="888"/>
      <c r="B4" s="889" t="s">
        <v>747</v>
      </c>
      <c r="C4" s="534"/>
      <c r="D4" s="890">
        <v>33229</v>
      </c>
      <c r="E4" s="534"/>
      <c r="F4" s="891"/>
      <c r="G4" s="892"/>
    </row>
    <row r="5" spans="1:8" ht="15.75">
      <c r="A5" s="888"/>
      <c r="B5" s="889"/>
      <c r="C5" s="893" t="s">
        <v>748</v>
      </c>
      <c r="D5" s="894">
        <f>D7-D4</f>
        <v>-23192</v>
      </c>
      <c r="E5" s="534"/>
      <c r="F5" s="891"/>
      <c r="G5" s="892"/>
    </row>
    <row r="6" spans="1:8" ht="15">
      <c r="A6" s="888"/>
      <c r="B6" s="893"/>
      <c r="C6" s="534"/>
      <c r="D6" s="895"/>
      <c r="E6" s="581"/>
      <c r="F6" s="891"/>
      <c r="G6" s="892"/>
    </row>
    <row r="7" spans="1:8" ht="15">
      <c r="A7" s="896"/>
      <c r="B7" s="897" t="s">
        <v>749</v>
      </c>
      <c r="C7" s="898"/>
      <c r="D7" s="899">
        <v>10037</v>
      </c>
      <c r="E7" s="900"/>
      <c r="F7" s="818"/>
      <c r="G7" s="901"/>
    </row>
    <row r="8" spans="1:8">
      <c r="A8" s="888"/>
      <c r="B8" s="534"/>
      <c r="C8" s="534"/>
      <c r="D8" s="534"/>
      <c r="E8" s="534"/>
      <c r="F8" s="534"/>
      <c r="G8" s="892"/>
    </row>
    <row r="9" spans="1:8" ht="15">
      <c r="A9" s="902" t="s">
        <v>750</v>
      </c>
      <c r="B9" s="534"/>
      <c r="C9" s="534"/>
      <c r="D9" s="534"/>
      <c r="E9" s="534"/>
      <c r="F9" s="891"/>
      <c r="G9" s="892"/>
    </row>
    <row r="10" spans="1:8" ht="15.75">
      <c r="A10" s="888"/>
      <c r="B10" s="889" t="s">
        <v>751</v>
      </c>
      <c r="C10" s="534"/>
      <c r="D10" s="534"/>
      <c r="E10" s="534"/>
      <c r="F10" s="534"/>
      <c r="G10" s="892"/>
    </row>
    <row r="11" spans="1:8" ht="30.75" customHeight="1">
      <c r="A11" s="896"/>
      <c r="B11" s="903" t="s">
        <v>752</v>
      </c>
      <c r="C11" s="916" t="s">
        <v>753</v>
      </c>
      <c r="D11" s="916"/>
      <c r="E11" s="916"/>
      <c r="F11" s="916"/>
      <c r="G11" s="917"/>
    </row>
    <row r="12" spans="1:8" ht="30.75" customHeight="1">
      <c r="A12" s="896"/>
      <c r="B12" s="903" t="s">
        <v>754</v>
      </c>
      <c r="C12" s="916" t="s">
        <v>755</v>
      </c>
      <c r="D12" s="916"/>
      <c r="E12" s="916"/>
      <c r="F12" s="916"/>
      <c r="G12" s="917"/>
    </row>
    <row r="13" spans="1:8" ht="80.25" customHeight="1">
      <c r="A13" s="896"/>
      <c r="B13" s="903" t="s">
        <v>756</v>
      </c>
      <c r="C13" s="916" t="s">
        <v>757</v>
      </c>
      <c r="D13" s="916"/>
      <c r="E13" s="916"/>
      <c r="F13" s="916"/>
      <c r="G13" s="917"/>
    </row>
    <row r="14" spans="1:8" ht="80.25" customHeight="1">
      <c r="A14" s="896"/>
      <c r="B14" s="903" t="s">
        <v>758</v>
      </c>
      <c r="C14" s="916" t="s">
        <v>759</v>
      </c>
      <c r="D14" s="916"/>
      <c r="E14" s="916"/>
      <c r="F14" s="916"/>
      <c r="G14" s="917"/>
    </row>
    <row r="15" spans="1:8" ht="21" customHeight="1">
      <c r="A15" s="896"/>
      <c r="B15" s="903" t="s">
        <v>760</v>
      </c>
      <c r="C15" s="916" t="s">
        <v>761</v>
      </c>
      <c r="D15" s="916"/>
      <c r="E15" s="916"/>
      <c r="F15" s="916"/>
      <c r="G15" s="917"/>
    </row>
    <row r="16" spans="1:8" ht="33.75" customHeight="1">
      <c r="A16" s="896"/>
      <c r="B16" s="903"/>
      <c r="C16" s="916" t="s">
        <v>762</v>
      </c>
      <c r="D16" s="916"/>
      <c r="E16" s="916"/>
      <c r="F16" s="916"/>
      <c r="G16" s="917"/>
    </row>
    <row r="17" spans="1:7" ht="90.75" customHeight="1">
      <c r="A17" s="904"/>
      <c r="B17" s="905"/>
      <c r="C17" s="918" t="s">
        <v>763</v>
      </c>
      <c r="D17" s="918"/>
      <c r="E17" s="918"/>
      <c r="F17" s="918"/>
      <c r="G17" s="919"/>
    </row>
    <row r="18" spans="1:7" ht="45.75" customHeight="1">
      <c r="A18" s="896"/>
      <c r="B18" s="903" t="s">
        <v>764</v>
      </c>
      <c r="C18" s="916" t="s">
        <v>765</v>
      </c>
      <c r="D18" s="916"/>
      <c r="E18" s="916"/>
      <c r="F18" s="916"/>
      <c r="G18" s="917"/>
    </row>
    <row r="19" spans="1:7" ht="111.75" customHeight="1">
      <c r="A19" s="896"/>
      <c r="B19" s="903" t="s">
        <v>766</v>
      </c>
      <c r="C19" s="918" t="s">
        <v>767</v>
      </c>
      <c r="D19" s="918"/>
      <c r="E19" s="918"/>
      <c r="F19" s="918"/>
      <c r="G19" s="919"/>
    </row>
    <row r="20" spans="1:7" ht="18" customHeight="1">
      <c r="A20" s="896"/>
      <c r="B20" s="903" t="s">
        <v>768</v>
      </c>
      <c r="C20" s="916" t="s">
        <v>769</v>
      </c>
      <c r="D20" s="916"/>
      <c r="E20" s="916"/>
      <c r="F20" s="916"/>
      <c r="G20" s="917"/>
    </row>
    <row r="21" spans="1:7" ht="78.75" customHeight="1">
      <c r="A21" s="896"/>
      <c r="B21" s="906" t="s">
        <v>487</v>
      </c>
      <c r="C21" s="916" t="s">
        <v>770</v>
      </c>
      <c r="D21" s="916"/>
      <c r="E21" s="916"/>
      <c r="F21" s="916"/>
      <c r="G21" s="917"/>
    </row>
    <row r="22" spans="1:7" ht="21.75" customHeight="1">
      <c r="A22" s="896"/>
      <c r="B22" s="906" t="s">
        <v>771</v>
      </c>
      <c r="C22" s="916" t="s">
        <v>772</v>
      </c>
      <c r="D22" s="916"/>
      <c r="E22" s="916"/>
      <c r="F22" s="916"/>
      <c r="G22" s="917"/>
    </row>
    <row r="23" spans="1:7" ht="21.75" customHeight="1">
      <c r="A23" s="896"/>
      <c r="B23" s="906" t="s">
        <v>490</v>
      </c>
      <c r="C23" s="916" t="s">
        <v>773</v>
      </c>
      <c r="D23" s="916"/>
      <c r="E23" s="916"/>
      <c r="F23" s="916"/>
      <c r="G23" s="917"/>
    </row>
    <row r="24" spans="1:7" ht="57" customHeight="1">
      <c r="A24" s="896"/>
      <c r="B24" s="907" t="s">
        <v>774</v>
      </c>
      <c r="C24" s="916" t="s">
        <v>775</v>
      </c>
      <c r="D24" s="916"/>
      <c r="E24" s="916"/>
      <c r="F24" s="916"/>
      <c r="G24" s="917"/>
    </row>
    <row r="25" spans="1:7" ht="82.5" customHeight="1">
      <c r="A25" s="904"/>
      <c r="B25" s="908" t="s">
        <v>776</v>
      </c>
      <c r="C25" s="918" t="s">
        <v>777</v>
      </c>
      <c r="D25" s="918"/>
      <c r="E25" s="918"/>
      <c r="F25" s="918"/>
      <c r="G25" s="919"/>
    </row>
    <row r="26" spans="1:7" ht="42" customHeight="1">
      <c r="A26" s="896"/>
      <c r="B26" s="907" t="s">
        <v>778</v>
      </c>
      <c r="C26" s="916" t="s">
        <v>779</v>
      </c>
      <c r="D26" s="916"/>
      <c r="E26" s="916"/>
      <c r="F26" s="916"/>
      <c r="G26" s="917"/>
    </row>
    <row r="27" spans="1:7" ht="32.25" customHeight="1">
      <c r="A27" s="896"/>
      <c r="B27" s="907" t="s">
        <v>780</v>
      </c>
      <c r="C27" s="916" t="s">
        <v>781</v>
      </c>
      <c r="D27" s="916"/>
      <c r="E27" s="916"/>
      <c r="F27" s="916"/>
      <c r="G27" s="917"/>
    </row>
  </sheetData>
  <mergeCells count="19">
    <mergeCell ref="C20:G20"/>
    <mergeCell ref="A1:G1"/>
    <mergeCell ref="F3:G3"/>
    <mergeCell ref="C11:G11"/>
    <mergeCell ref="C12:G12"/>
    <mergeCell ref="C13:G13"/>
    <mergeCell ref="C14:G14"/>
    <mergeCell ref="C15:G15"/>
    <mergeCell ref="C16:G16"/>
    <mergeCell ref="C17:G17"/>
    <mergeCell ref="C18:G18"/>
    <mergeCell ref="C19:G19"/>
    <mergeCell ref="C27:G27"/>
    <mergeCell ref="C21:G21"/>
    <mergeCell ref="C22:G22"/>
    <mergeCell ref="C23:G23"/>
    <mergeCell ref="C24:G24"/>
    <mergeCell ref="C25:G25"/>
    <mergeCell ref="C26:G26"/>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4"/>
  <sheetViews>
    <sheetView tabSelected="1" view="pageBreakPreview" zoomScale="60" zoomScaleNormal="100" workbookViewId="0">
      <selection activeCell="A4" sqref="A4:I4"/>
    </sheetView>
  </sheetViews>
  <sheetFormatPr defaultColWidth="9.140625" defaultRowHeight="15"/>
  <cols>
    <col min="1" max="3" width="9.140625" style="185"/>
    <col min="4" max="5" width="9.28515625" style="185" bestFit="1" customWidth="1"/>
    <col min="6" max="6" width="11" style="185" customWidth="1"/>
    <col min="7" max="7" width="1.85546875" style="185" customWidth="1"/>
    <col min="8" max="8" width="9.28515625" style="185" bestFit="1" customWidth="1"/>
    <col min="9" max="9" width="2.85546875" style="185" customWidth="1"/>
    <col min="10" max="10" width="29.140625" style="185" customWidth="1"/>
    <col min="11" max="11" width="4.42578125" style="185" customWidth="1"/>
    <col min="12" max="12" width="11.85546875" style="185" bestFit="1" customWidth="1"/>
    <col min="13" max="16384" width="9.140625" style="185"/>
  </cols>
  <sheetData>
    <row r="1" spans="1:12">
      <c r="H1" s="467" t="s">
        <v>117</v>
      </c>
      <c r="I1" s="467"/>
      <c r="J1" s="467"/>
      <c r="K1" s="467"/>
      <c r="L1" s="468"/>
    </row>
    <row r="2" spans="1:12">
      <c r="A2" s="928" t="s">
        <v>117</v>
      </c>
      <c r="B2" s="928"/>
      <c r="C2" s="928"/>
      <c r="D2" s="928"/>
      <c r="E2" s="928"/>
      <c r="F2" s="928"/>
      <c r="G2" s="928"/>
      <c r="H2" s="925" t="s">
        <v>95</v>
      </c>
      <c r="I2" s="925"/>
      <c r="J2" s="925"/>
      <c r="K2" s="925"/>
      <c r="L2" s="925"/>
    </row>
    <row r="3" spans="1:12">
      <c r="A3" s="929" t="s">
        <v>732</v>
      </c>
      <c r="B3" s="929"/>
      <c r="C3" s="929"/>
      <c r="D3" s="929"/>
      <c r="E3" s="929"/>
      <c r="F3" s="929"/>
      <c r="G3" s="929"/>
      <c r="H3" s="925" t="s">
        <v>273</v>
      </c>
      <c r="I3" s="925"/>
      <c r="J3" s="925"/>
      <c r="K3" s="925"/>
      <c r="L3" s="925"/>
    </row>
    <row r="4" spans="1:12" ht="15.75">
      <c r="A4" s="928" t="s">
        <v>273</v>
      </c>
      <c r="B4" s="928"/>
      <c r="C4" s="928"/>
      <c r="D4" s="928"/>
      <c r="E4" s="928"/>
      <c r="F4" s="928"/>
      <c r="G4" s="928"/>
      <c r="H4" s="926" t="s">
        <v>637</v>
      </c>
      <c r="I4" s="927"/>
      <c r="J4" s="926"/>
      <c r="K4" s="926"/>
      <c r="L4" s="926"/>
    </row>
    <row r="5" spans="1:12" ht="15.75" thickBot="1">
      <c r="A5" s="928" t="s">
        <v>637</v>
      </c>
      <c r="B5" s="928"/>
      <c r="C5" s="928"/>
      <c r="D5" s="928"/>
      <c r="E5" s="928"/>
      <c r="F5" s="928"/>
      <c r="G5" s="928"/>
      <c r="H5" s="469"/>
      <c r="I5" s="469"/>
      <c r="J5" s="469"/>
      <c r="K5" s="469"/>
      <c r="L5" s="470"/>
    </row>
    <row r="6" spans="1:12">
      <c r="A6" s="210" t="s">
        <v>402</v>
      </c>
      <c r="B6" s="211"/>
      <c r="C6" s="211"/>
      <c r="D6" s="211"/>
      <c r="E6" s="211"/>
      <c r="F6" s="211"/>
      <c r="G6" s="212"/>
      <c r="H6" s="471" t="s">
        <v>409</v>
      </c>
      <c r="I6" s="471"/>
      <c r="J6" s="471"/>
      <c r="K6" s="471"/>
      <c r="L6" s="472"/>
    </row>
    <row r="7" spans="1:12">
      <c r="A7" s="213"/>
      <c r="B7" s="214"/>
      <c r="C7" s="214"/>
      <c r="D7" s="215"/>
      <c r="E7" s="216"/>
      <c r="F7" s="215"/>
      <c r="G7" s="217"/>
      <c r="H7" s="473" t="s">
        <v>90</v>
      </c>
      <c r="I7" s="471"/>
      <c r="J7" s="473" t="s">
        <v>410</v>
      </c>
      <c r="K7" s="474"/>
      <c r="L7" s="475" t="s">
        <v>411</v>
      </c>
    </row>
    <row r="8" spans="1:12">
      <c r="A8" s="213"/>
      <c r="B8" s="218"/>
      <c r="C8" s="215"/>
      <c r="D8" s="215" t="s">
        <v>97</v>
      </c>
      <c r="E8" s="215"/>
      <c r="F8" s="215" t="s">
        <v>274</v>
      </c>
      <c r="G8" s="217"/>
      <c r="H8" s="469"/>
      <c r="I8" s="469"/>
      <c r="J8" s="469"/>
      <c r="K8" s="469"/>
      <c r="L8" s="470"/>
    </row>
    <row r="9" spans="1:12">
      <c r="A9" s="213"/>
      <c r="B9" s="219" t="s">
        <v>275</v>
      </c>
      <c r="C9" s="215"/>
      <c r="D9" s="219" t="s">
        <v>276</v>
      </c>
      <c r="E9" s="219" t="s">
        <v>277</v>
      </c>
      <c r="F9" s="219" t="s">
        <v>277</v>
      </c>
      <c r="G9" s="217"/>
      <c r="H9" s="476">
        <v>1</v>
      </c>
      <c r="I9" s="469"/>
      <c r="J9" s="477" t="s">
        <v>412</v>
      </c>
      <c r="K9" s="469"/>
      <c r="L9" s="478">
        <v>1</v>
      </c>
    </row>
    <row r="10" spans="1:12">
      <c r="A10" s="213"/>
      <c r="B10" s="214"/>
      <c r="C10" s="214"/>
      <c r="D10" s="214"/>
      <c r="E10" s="216"/>
      <c r="F10" s="214"/>
      <c r="G10" s="220"/>
      <c r="H10" s="476"/>
      <c r="I10" s="469"/>
      <c r="J10" s="469"/>
      <c r="K10" s="469"/>
      <c r="L10" s="478"/>
    </row>
    <row r="11" spans="1:12">
      <c r="A11" s="213"/>
      <c r="B11" s="218" t="s">
        <v>278</v>
      </c>
      <c r="C11" s="221"/>
      <c r="D11" s="222">
        <f>100%-D13</f>
        <v>0.51500000000000001</v>
      </c>
      <c r="E11" s="222">
        <v>5.1999999999999998E-2</v>
      </c>
      <c r="F11" s="826">
        <f>ROUND(D11*E11,4)</f>
        <v>2.6800000000000001E-2</v>
      </c>
      <c r="G11" s="235"/>
      <c r="H11" s="476"/>
      <c r="I11" s="469"/>
      <c r="J11" s="479" t="s">
        <v>413</v>
      </c>
      <c r="K11" s="480"/>
      <c r="L11" s="478"/>
    </row>
    <row r="12" spans="1:12">
      <c r="A12" s="213"/>
      <c r="B12" s="218"/>
      <c r="C12" s="224"/>
      <c r="D12" s="222"/>
      <c r="E12" s="222"/>
      <c r="F12" s="222"/>
      <c r="G12" s="225"/>
      <c r="H12" s="476">
        <v>2</v>
      </c>
      <c r="I12" s="469"/>
      <c r="J12" s="480" t="s">
        <v>414</v>
      </c>
      <c r="K12" s="480"/>
      <c r="L12" s="480">
        <v>5.3530000000000001E-3</v>
      </c>
    </row>
    <row r="13" spans="1:12">
      <c r="A13" s="213"/>
      <c r="B13" s="218" t="s">
        <v>91</v>
      </c>
      <c r="C13" s="224"/>
      <c r="D13" s="826">
        <v>0.48499999999999999</v>
      </c>
      <c r="E13" s="826">
        <v>9.5000000000000001E-2</v>
      </c>
      <c r="F13" s="222">
        <f>ROUND(D13*E13,4)</f>
        <v>4.6100000000000002E-2</v>
      </c>
      <c r="G13" s="220"/>
      <c r="H13" s="476"/>
      <c r="I13" s="469"/>
      <c r="J13" s="480"/>
      <c r="K13" s="480"/>
      <c r="L13" s="480"/>
    </row>
    <row r="14" spans="1:12">
      <c r="A14" s="213"/>
      <c r="B14" s="218"/>
      <c r="C14" s="224"/>
      <c r="D14" s="226"/>
      <c r="E14" s="226"/>
      <c r="F14" s="222"/>
      <c r="G14" s="217"/>
      <c r="H14" s="476">
        <v>3</v>
      </c>
      <c r="I14" s="469"/>
      <c r="J14" s="480" t="s">
        <v>415</v>
      </c>
      <c r="K14" s="480"/>
      <c r="L14" s="480">
        <v>2E-3</v>
      </c>
    </row>
    <row r="15" spans="1:12" ht="15.75" thickBot="1">
      <c r="A15" s="213"/>
      <c r="B15" s="218" t="s">
        <v>8</v>
      </c>
      <c r="C15" s="221"/>
      <c r="D15" s="228">
        <f>SUM(D11:D13)</f>
        <v>1</v>
      </c>
      <c r="E15" s="227"/>
      <c r="F15" s="228">
        <f>SUM(F11:F13)</f>
        <v>7.2900000000000006E-2</v>
      </c>
      <c r="G15" s="217"/>
      <c r="H15" s="476"/>
      <c r="I15" s="469"/>
      <c r="J15" s="480"/>
      <c r="K15" s="480"/>
      <c r="L15" s="480"/>
    </row>
    <row r="16" spans="1:12" ht="16.5" thickTop="1" thickBot="1">
      <c r="A16" s="229"/>
      <c r="B16" s="230"/>
      <c r="C16" s="231"/>
      <c r="D16" s="232"/>
      <c r="E16" s="233"/>
      <c r="F16" s="232"/>
      <c r="G16" s="234"/>
      <c r="H16" s="476">
        <v>4</v>
      </c>
      <c r="I16" s="469"/>
      <c r="J16" s="480" t="s">
        <v>416</v>
      </c>
      <c r="K16" s="480"/>
      <c r="L16" s="480">
        <v>3.8526999999999999E-2</v>
      </c>
    </row>
    <row r="17" spans="1:21">
      <c r="A17" s="214"/>
      <c r="B17" s="218"/>
      <c r="C17" s="224"/>
      <c r="D17" s="222"/>
      <c r="E17" s="223"/>
      <c r="F17" s="222"/>
      <c r="G17" s="214"/>
      <c r="H17" s="476"/>
      <c r="I17" s="469"/>
      <c r="J17" s="480"/>
      <c r="K17" s="480"/>
      <c r="L17" s="480"/>
    </row>
    <row r="18" spans="1:21">
      <c r="A18" s="214"/>
      <c r="B18" s="218"/>
      <c r="C18" s="224"/>
      <c r="D18" s="222"/>
      <c r="E18" s="223"/>
      <c r="F18" s="222"/>
      <c r="G18" s="214"/>
      <c r="H18" s="476">
        <v>5</v>
      </c>
      <c r="I18" s="469"/>
      <c r="J18" s="480" t="s">
        <v>417</v>
      </c>
      <c r="K18" s="480"/>
      <c r="L18" s="481">
        <f>SUM(L12:L16)</f>
        <v>4.5879999999999997E-2</v>
      </c>
    </row>
    <row r="19" spans="1:21">
      <c r="H19" s="476"/>
      <c r="I19" s="469"/>
      <c r="J19" s="480"/>
      <c r="K19" s="480"/>
      <c r="L19" s="482"/>
    </row>
    <row r="20" spans="1:21">
      <c r="H20" s="476">
        <v>6</v>
      </c>
      <c r="I20" s="469"/>
      <c r="J20" s="480" t="s">
        <v>418</v>
      </c>
      <c r="K20" s="480"/>
      <c r="L20" s="482">
        <f>L9-L18</f>
        <v>0.95411999999999997</v>
      </c>
    </row>
    <row r="21" spans="1:21">
      <c r="H21" s="469"/>
      <c r="I21" s="469"/>
      <c r="J21" s="480"/>
      <c r="K21" s="480"/>
      <c r="L21" s="482"/>
      <c r="U21" s="564"/>
    </row>
    <row r="22" spans="1:21">
      <c r="H22" s="476">
        <v>7</v>
      </c>
      <c r="I22" s="469"/>
      <c r="J22" s="480" t="s">
        <v>419</v>
      </c>
      <c r="K22" s="483"/>
      <c r="L22" s="484">
        <f>ROUND(L20*0.35,6)</f>
        <v>0.33394200000000002</v>
      </c>
    </row>
    <row r="23" spans="1:21">
      <c r="H23" s="469"/>
      <c r="I23" s="469"/>
      <c r="J23" s="480"/>
      <c r="K23" s="480"/>
      <c r="L23" s="482"/>
    </row>
    <row r="24" spans="1:21" ht="15.75" thickBot="1">
      <c r="H24" s="476">
        <v>8</v>
      </c>
      <c r="I24" s="469"/>
      <c r="J24" s="479" t="s">
        <v>420</v>
      </c>
      <c r="K24" s="480"/>
      <c r="L24" s="830">
        <f>ROUND(L20-L22,5)</f>
        <v>0.62017999999999995</v>
      </c>
      <c r="M24" s="564"/>
    </row>
    <row r="25" spans="1:21" ht="15.75" thickTop="1"/>
    <row r="28" spans="1:21">
      <c r="A28" s="928" t="s">
        <v>117</v>
      </c>
      <c r="B28" s="928"/>
      <c r="C28" s="928"/>
      <c r="D28" s="928"/>
      <c r="E28" s="928"/>
      <c r="F28" s="928"/>
      <c r="G28" s="928"/>
    </row>
    <row r="29" spans="1:21">
      <c r="A29" s="930" t="s">
        <v>641</v>
      </c>
      <c r="B29" s="930"/>
      <c r="C29" s="930"/>
      <c r="D29" s="930"/>
      <c r="E29" s="930"/>
      <c r="F29" s="930"/>
      <c r="G29" s="930"/>
    </row>
    <row r="30" spans="1:21">
      <c r="A30" s="928" t="s">
        <v>273</v>
      </c>
      <c r="B30" s="928"/>
      <c r="C30" s="928"/>
      <c r="D30" s="928"/>
      <c r="E30" s="928"/>
      <c r="F30" s="928"/>
      <c r="G30" s="928"/>
    </row>
    <row r="31" spans="1:21" ht="15.75" thickBot="1">
      <c r="A31" s="928"/>
      <c r="B31" s="928"/>
      <c r="C31" s="928"/>
      <c r="D31" s="928"/>
      <c r="E31" s="928"/>
      <c r="F31" s="928"/>
      <c r="G31" s="928"/>
    </row>
    <row r="32" spans="1:21">
      <c r="A32" s="210" t="s">
        <v>473</v>
      </c>
      <c r="B32" s="211"/>
      <c r="C32" s="211"/>
      <c r="D32" s="211"/>
      <c r="E32" s="211"/>
      <c r="F32" s="211"/>
      <c r="G32" s="212"/>
    </row>
    <row r="33" spans="1:21">
      <c r="A33" s="213"/>
      <c r="B33" s="214"/>
      <c r="C33" s="214"/>
      <c r="D33" s="215"/>
      <c r="E33" s="216"/>
      <c r="F33" s="215"/>
      <c r="G33" s="217"/>
    </row>
    <row r="34" spans="1:21">
      <c r="A34" s="213"/>
      <c r="B34" s="218"/>
      <c r="C34" s="215"/>
      <c r="D34" s="215" t="s">
        <v>97</v>
      </c>
      <c r="E34" s="215"/>
      <c r="F34" s="215" t="s">
        <v>274</v>
      </c>
      <c r="G34" s="217"/>
    </row>
    <row r="35" spans="1:21">
      <c r="A35" s="213"/>
      <c r="B35" s="219" t="s">
        <v>275</v>
      </c>
      <c r="C35" s="215"/>
      <c r="D35" s="219" t="s">
        <v>276</v>
      </c>
      <c r="E35" s="219" t="s">
        <v>277</v>
      </c>
      <c r="F35" s="219" t="s">
        <v>277</v>
      </c>
      <c r="G35" s="217"/>
    </row>
    <row r="36" spans="1:21">
      <c r="A36" s="213"/>
      <c r="B36" s="214"/>
      <c r="C36" s="214"/>
      <c r="D36" s="214"/>
      <c r="E36" s="216"/>
      <c r="F36" s="214"/>
      <c r="G36" s="220"/>
    </row>
    <row r="37" spans="1:21">
      <c r="A37" s="213"/>
      <c r="B37" s="218" t="s">
        <v>278</v>
      </c>
      <c r="C37" s="221"/>
      <c r="D37" s="222">
        <f>100%-D39</f>
        <v>0.51069999999999993</v>
      </c>
      <c r="E37" s="223">
        <v>5.3800000000000001E-2</v>
      </c>
      <c r="F37" s="226">
        <f>ROUND(D37*E37,5)</f>
        <v>2.7480000000000001E-2</v>
      </c>
      <c r="G37" s="235"/>
    </row>
    <row r="38" spans="1:21">
      <c r="A38" s="213"/>
      <c r="B38" s="218"/>
      <c r="C38" s="224"/>
      <c r="D38" s="222"/>
      <c r="E38" s="223"/>
      <c r="F38" s="222"/>
      <c r="G38" s="225"/>
    </row>
    <row r="39" spans="1:21">
      <c r="A39" s="213"/>
      <c r="B39" s="218" t="s">
        <v>91</v>
      </c>
      <c r="C39" s="224"/>
      <c r="D39" s="601">
        <v>0.48930000000000001</v>
      </c>
      <c r="E39" s="223">
        <v>9.8000000000000004E-2</v>
      </c>
      <c r="F39" s="222">
        <f>ROUND(D39*E39,4)</f>
        <v>4.8000000000000001E-2</v>
      </c>
      <c r="G39" s="220"/>
    </row>
    <row r="40" spans="1:21">
      <c r="A40" s="213"/>
      <c r="B40" s="218"/>
      <c r="C40" s="224"/>
      <c r="D40" s="226"/>
      <c r="E40" s="227"/>
      <c r="F40" s="222"/>
      <c r="G40" s="217"/>
    </row>
    <row r="41" spans="1:21" ht="15.75" thickBot="1">
      <c r="A41" s="213"/>
      <c r="B41" s="218" t="s">
        <v>8</v>
      </c>
      <c r="C41" s="221"/>
      <c r="D41" s="228">
        <f>SUM(D37:D39)</f>
        <v>1</v>
      </c>
      <c r="E41" s="227"/>
      <c r="F41" s="228">
        <f>SUM(F37:F39)</f>
        <v>7.5480000000000005E-2</v>
      </c>
      <c r="G41" s="217"/>
    </row>
    <row r="42" spans="1:21" ht="16.5" thickTop="1" thickBot="1">
      <c r="A42" s="229"/>
      <c r="B42" s="230"/>
      <c r="C42" s="231"/>
      <c r="D42" s="232"/>
      <c r="E42" s="233"/>
      <c r="F42" s="232"/>
      <c r="G42" s="234"/>
      <c r="H42" s="467"/>
      <c r="I42" s="467"/>
      <c r="J42" s="467"/>
      <c r="K42" s="467"/>
      <c r="L42" s="468"/>
    </row>
    <row r="43" spans="1:21">
      <c r="A43" s="564"/>
      <c r="B43" s="564"/>
      <c r="C43" s="564"/>
      <c r="D43" s="564"/>
      <c r="E43" s="564"/>
      <c r="F43" s="564"/>
    </row>
    <row r="44" spans="1:21">
      <c r="A44" s="928"/>
      <c r="B44" s="928"/>
      <c r="C44" s="928"/>
      <c r="D44" s="928"/>
      <c r="E44" s="928"/>
      <c r="F44" s="928"/>
      <c r="G44" s="928"/>
    </row>
    <row r="48" spans="1:21">
      <c r="U48" s="185" t="s">
        <v>740</v>
      </c>
    </row>
    <row r="94" spans="21:21">
      <c r="U94" s="875" t="s">
        <v>741</v>
      </c>
    </row>
    <row r="104" spans="21:21">
      <c r="U104" s="875" t="s">
        <v>741</v>
      </c>
    </row>
    <row r="150" spans="21:21">
      <c r="U150" s="875" t="s">
        <v>741</v>
      </c>
    </row>
    <row r="164" spans="21:21">
      <c r="U164" s="875" t="s">
        <v>741</v>
      </c>
    </row>
    <row r="184" spans="14:21">
      <c r="N184" s="875"/>
      <c r="O184" s="875"/>
      <c r="P184" s="875"/>
      <c r="Q184" s="875"/>
      <c r="R184" s="875"/>
      <c r="S184" s="875"/>
      <c r="T184" s="875"/>
      <c r="U184" s="875" t="s">
        <v>741</v>
      </c>
    </row>
  </sheetData>
  <mergeCells count="12">
    <mergeCell ref="H2:L2"/>
    <mergeCell ref="H3:L3"/>
    <mergeCell ref="H4:L4"/>
    <mergeCell ref="A44:G44"/>
    <mergeCell ref="A30:G30"/>
    <mergeCell ref="A31:G31"/>
    <mergeCell ref="A2:G2"/>
    <mergeCell ref="A3:G3"/>
    <mergeCell ref="A4:G4"/>
    <mergeCell ref="A5:G5"/>
    <mergeCell ref="A28:G28"/>
    <mergeCell ref="A29:G29"/>
  </mergeCells>
  <phoneticPr fontId="59" type="noConversion"/>
  <printOptions horizontalCentered="1"/>
  <pageMargins left="0.95" right="0.95" top="1" bottom="1" header="0.3" footer="0.3"/>
  <pageSetup orientation="portrait" r:id="rId1"/>
  <headerFooter scaleWithDoc="0">
    <oddFooter>&amp;LStaff_DR_130 Revised-Attachment B&amp;RPage &amp;P of &amp;N</oddFooter>
  </headerFooter>
  <rowBreaks count="1" manualBreakCount="1">
    <brk id="26" max="16383" man="1"/>
  </rowBreaks>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2"/>
  <sheetViews>
    <sheetView tabSelected="1" view="pageBreakPreview" topLeftCell="C1" zoomScale="70" zoomScaleNormal="100" zoomScaleSheetLayoutView="70" workbookViewId="0">
      <selection activeCell="A4" sqref="A4:I4"/>
    </sheetView>
  </sheetViews>
  <sheetFormatPr defaultColWidth="12.42578125" defaultRowHeight="11.1" customHeight="1"/>
  <cols>
    <col min="1" max="1" width="6.5703125" style="51" customWidth="1"/>
    <col min="2" max="2" width="2.42578125" style="51" customWidth="1"/>
    <col min="3" max="3" width="37.5703125" style="242" customWidth="1"/>
    <col min="4" max="4" width="2.140625" style="48" customWidth="1"/>
    <col min="5" max="5" width="13.85546875" style="240" customWidth="1"/>
    <col min="6" max="6" width="13.28515625" style="184" customWidth="1"/>
    <col min="7" max="7" width="11.85546875" style="244" customWidth="1"/>
    <col min="8" max="8" width="13.42578125" style="244" bestFit="1" customWidth="1"/>
    <col min="9" max="9" width="15.85546875" style="245" bestFit="1" customWidth="1"/>
    <col min="10" max="10" width="1.140625" style="245" customWidth="1"/>
    <col min="11" max="11" width="12" style="243" customWidth="1"/>
    <col min="12" max="12" width="0.85546875" style="243" customWidth="1"/>
    <col min="13" max="13" width="13.28515625" style="243" customWidth="1"/>
    <col min="14" max="14" width="13.85546875" style="242" customWidth="1"/>
    <col min="15" max="15" width="0.85546875" style="242" customWidth="1"/>
    <col min="16" max="16" width="16.5703125" style="51" customWidth="1"/>
    <col min="17" max="17" width="10.42578125" style="242" customWidth="1"/>
    <col min="18" max="18" width="13.42578125" style="242" customWidth="1"/>
    <col min="19" max="19" width="15.42578125" style="242" bestFit="1" customWidth="1"/>
    <col min="20" max="20" width="12.42578125" style="51"/>
    <col min="21" max="21" width="12.5703125" style="51" bestFit="1" customWidth="1"/>
    <col min="22" max="16384" width="12.42578125" style="51"/>
  </cols>
  <sheetData>
    <row r="1" spans="1:22" s="50" customFormat="1" ht="6" customHeight="1">
      <c r="B1" s="937"/>
      <c r="C1" s="937"/>
      <c r="D1" s="937"/>
      <c r="E1" s="937"/>
      <c r="F1" s="937"/>
      <c r="G1" s="937"/>
      <c r="H1" s="937"/>
      <c r="I1" s="937"/>
      <c r="J1" s="937"/>
      <c r="K1" s="937"/>
      <c r="L1" s="937"/>
      <c r="M1" s="937"/>
      <c r="N1" s="937"/>
      <c r="O1" s="937"/>
      <c r="P1" s="937"/>
      <c r="Q1" s="937"/>
      <c r="R1" s="937"/>
      <c r="S1" s="937"/>
    </row>
    <row r="2" spans="1:22" s="50" customFormat="1" ht="19.5" thickBot="1">
      <c r="A2" s="346" t="s">
        <v>96</v>
      </c>
      <c r="B2" s="938" t="s">
        <v>520</v>
      </c>
      <c r="C2" s="938"/>
      <c r="D2" s="938"/>
      <c r="E2" s="938"/>
      <c r="F2" s="938"/>
      <c r="G2" s="938"/>
      <c r="H2" s="938"/>
      <c r="I2" s="938"/>
      <c r="J2" s="938"/>
      <c r="K2" s="938"/>
      <c r="L2" s="938"/>
      <c r="M2" s="938"/>
      <c r="N2" s="938"/>
      <c r="O2" s="938"/>
      <c r="P2" s="938"/>
      <c r="Q2" s="938"/>
      <c r="R2" s="939"/>
      <c r="S2" s="939"/>
    </row>
    <row r="3" spans="1:22" s="166" customFormat="1" ht="21" thickBot="1">
      <c r="B3" s="695"/>
      <c r="C3" s="676" t="s">
        <v>495</v>
      </c>
      <c r="D3" s="696"/>
      <c r="E3" s="932" t="s">
        <v>248</v>
      </c>
      <c r="F3" s="933"/>
      <c r="G3" s="933"/>
      <c r="H3" s="933"/>
      <c r="I3" s="934"/>
      <c r="J3" s="674"/>
      <c r="K3" s="675"/>
      <c r="L3" s="675"/>
      <c r="M3" s="676" t="s">
        <v>254</v>
      </c>
      <c r="N3" s="677"/>
      <c r="O3" s="678"/>
      <c r="P3" s="935" t="s">
        <v>731</v>
      </c>
      <c r="Q3" s="936"/>
      <c r="R3" s="820"/>
      <c r="S3" s="822"/>
      <c r="V3" s="343"/>
    </row>
    <row r="4" spans="1:22" s="50" customFormat="1" ht="78" customHeight="1">
      <c r="A4" s="300" t="s">
        <v>247</v>
      </c>
      <c r="B4" s="52"/>
      <c r="C4" s="541" t="s">
        <v>4</v>
      </c>
      <c r="D4" s="338"/>
      <c r="E4" s="829" t="s">
        <v>638</v>
      </c>
      <c r="F4" s="831" t="s">
        <v>640</v>
      </c>
      <c r="G4" s="827" t="s">
        <v>728</v>
      </c>
      <c r="H4" s="831" t="s">
        <v>524</v>
      </c>
      <c r="I4" s="672" t="s">
        <v>717</v>
      </c>
      <c r="J4" s="672"/>
      <c r="K4" s="832" t="s">
        <v>422</v>
      </c>
      <c r="L4" s="672"/>
      <c r="M4" s="672" t="s">
        <v>595</v>
      </c>
      <c r="N4" s="673" t="s">
        <v>594</v>
      </c>
      <c r="O4" s="673"/>
      <c r="P4" s="828" t="s">
        <v>639</v>
      </c>
      <c r="Q4" s="828" t="s">
        <v>498</v>
      </c>
      <c r="R4" s="828" t="s">
        <v>716</v>
      </c>
      <c r="S4" s="673" t="s">
        <v>727</v>
      </c>
      <c r="T4" s="50" t="s">
        <v>506</v>
      </c>
    </row>
    <row r="5" spans="1:22" ht="15.75">
      <c r="A5" s="51" t="s">
        <v>516</v>
      </c>
      <c r="B5" s="47"/>
      <c r="C5" s="47"/>
      <c r="D5" s="86"/>
      <c r="E5" s="340" t="s">
        <v>121</v>
      </c>
      <c r="F5" s="739" t="s">
        <v>122</v>
      </c>
      <c r="G5" s="739" t="s">
        <v>284</v>
      </c>
      <c r="H5" s="281" t="s">
        <v>123</v>
      </c>
      <c r="I5" s="337" t="s">
        <v>285</v>
      </c>
      <c r="J5" s="49"/>
      <c r="K5" s="337" t="s">
        <v>286</v>
      </c>
      <c r="L5" s="50"/>
      <c r="M5" s="341" t="s">
        <v>287</v>
      </c>
      <c r="N5" s="341" t="s">
        <v>288</v>
      </c>
      <c r="O5" s="51"/>
      <c r="P5" s="341" t="s">
        <v>289</v>
      </c>
      <c r="Q5" s="341" t="s">
        <v>290</v>
      </c>
      <c r="R5" s="341" t="s">
        <v>726</v>
      </c>
      <c r="S5" s="341" t="s">
        <v>401</v>
      </c>
    </row>
    <row r="6" spans="1:22" ht="15.75" customHeight="1">
      <c r="A6" s="203"/>
      <c r="B6" s="204" t="s">
        <v>0</v>
      </c>
      <c r="C6" s="203"/>
      <c r="D6" s="86"/>
      <c r="E6" s="246"/>
      <c r="F6" s="247"/>
      <c r="G6" s="247"/>
      <c r="H6" s="247"/>
      <c r="I6" s="202"/>
      <c r="J6" s="202"/>
      <c r="K6" s="204"/>
      <c r="L6" s="204"/>
      <c r="M6" s="204"/>
      <c r="N6" s="203"/>
      <c r="O6" s="203"/>
      <c r="P6" s="203"/>
      <c r="Q6" s="203"/>
      <c r="R6" s="203"/>
      <c r="S6" s="203"/>
    </row>
    <row r="7" spans="1:22" ht="15.75" customHeight="1">
      <c r="A7" s="198">
        <v>1</v>
      </c>
      <c r="B7" s="204" t="s">
        <v>85</v>
      </c>
      <c r="C7" s="204"/>
      <c r="D7" s="86"/>
      <c r="E7" s="248">
        <v>488372</v>
      </c>
      <c r="F7" s="248"/>
      <c r="G7" s="248">
        <v>0</v>
      </c>
      <c r="H7" s="248">
        <f>16361-5673</f>
        <v>10688</v>
      </c>
      <c r="I7" s="249">
        <f>SUM(E7:H7)</f>
        <v>499060</v>
      </c>
      <c r="J7" s="249"/>
      <c r="K7" s="251">
        <f>'Weighted Revenue Growth'!J25</f>
        <v>1.3115466412629643E-2</v>
      </c>
      <c r="L7" s="251"/>
      <c r="M7" s="249"/>
      <c r="N7" s="252">
        <f>I7</f>
        <v>499060</v>
      </c>
      <c r="O7" s="252"/>
      <c r="P7" s="248"/>
      <c r="Q7" s="248">
        <f>'incremental load expense'!E10</f>
        <v>6545.4046678869499</v>
      </c>
      <c r="R7" s="248"/>
      <c r="S7" s="252">
        <f>I7+Q7</f>
        <v>505605.40466788696</v>
      </c>
    </row>
    <row r="8" spans="1:22" ht="15.75" customHeight="1">
      <c r="A8" s="198">
        <v>2</v>
      </c>
      <c r="B8" s="204" t="s">
        <v>84</v>
      </c>
      <c r="C8" s="204"/>
      <c r="D8" s="86"/>
      <c r="E8" s="248">
        <v>922</v>
      </c>
      <c r="F8" s="248"/>
      <c r="G8" s="248">
        <v>0</v>
      </c>
      <c r="H8" s="248">
        <v>0</v>
      </c>
      <c r="I8" s="249">
        <f t="shared" ref="I8:I11" si="0">SUM(E8:H8)</f>
        <v>922</v>
      </c>
      <c r="J8" s="249"/>
      <c r="K8" s="251">
        <f>K7</f>
        <v>1.3115466412629643E-2</v>
      </c>
      <c r="L8" s="251"/>
      <c r="M8" s="249"/>
      <c r="N8" s="252">
        <f>I8</f>
        <v>922</v>
      </c>
      <c r="O8" s="252"/>
      <c r="P8" s="252"/>
      <c r="Q8" s="248">
        <f>'incremental load expense'!E11</f>
        <v>12.092460032444531</v>
      </c>
      <c r="R8" s="248"/>
      <c r="S8" s="252">
        <f>I8+Q8</f>
        <v>934.09246003244448</v>
      </c>
      <c r="U8" s="547">
        <f>(S7+S8)/(I7+I8)</f>
        <v>1.0131154664126296</v>
      </c>
    </row>
    <row r="9" spans="1:22" ht="15.75" customHeight="1">
      <c r="A9" s="198">
        <v>3</v>
      </c>
      <c r="B9" s="204" t="s">
        <v>83</v>
      </c>
      <c r="C9" s="204"/>
      <c r="D9" s="86"/>
      <c r="E9" s="248">
        <v>60998</v>
      </c>
      <c r="F9" s="253">
        <f>-ROUND('12.2014 CB Power Supply'!F11,0)</f>
        <v>-60998</v>
      </c>
      <c r="G9" s="248">
        <v>0</v>
      </c>
      <c r="H9" s="248">
        <v>0</v>
      </c>
      <c r="I9" s="249">
        <f t="shared" si="0"/>
        <v>0</v>
      </c>
      <c r="J9" s="254"/>
      <c r="K9" s="256"/>
      <c r="L9" s="256"/>
      <c r="M9" s="255"/>
      <c r="N9" s="253"/>
      <c r="O9" s="253"/>
      <c r="P9" s="253">
        <f>ROUND('PF Power Supply 09.2014 load'!F11,0)</f>
        <v>53757</v>
      </c>
      <c r="Q9" s="248">
        <f>'incremental load expense'!E12</f>
        <v>-2595</v>
      </c>
      <c r="R9" s="253"/>
      <c r="S9" s="253">
        <f>I9+P9+Q9</f>
        <v>51162</v>
      </c>
    </row>
    <row r="10" spans="1:22" ht="15.75" customHeight="1">
      <c r="A10" s="198">
        <v>4</v>
      </c>
      <c r="B10" s="204" t="s">
        <v>252</v>
      </c>
      <c r="C10" s="204"/>
      <c r="D10" s="86"/>
      <c r="E10" s="453">
        <f>SUM(E7:E9)</f>
        <v>550292</v>
      </c>
      <c r="F10" s="249">
        <f>F9+F8+F7</f>
        <v>-60998</v>
      </c>
      <c r="G10" s="455">
        <f>G9+G8+G7</f>
        <v>0</v>
      </c>
      <c r="H10" s="455">
        <f>H9+H8+H7</f>
        <v>10688</v>
      </c>
      <c r="I10" s="455">
        <f>I9+I8+I7</f>
        <v>499982</v>
      </c>
      <c r="J10" s="249"/>
      <c r="K10" s="251"/>
      <c r="L10" s="251"/>
      <c r="M10" s="252"/>
      <c r="N10" s="455">
        <f>N9+N8+N7</f>
        <v>499982</v>
      </c>
      <c r="O10" s="252"/>
      <c r="P10" s="252">
        <f>P7+P8+P9</f>
        <v>53757</v>
      </c>
      <c r="Q10" s="453">
        <f>Q7+Q8+Q9</f>
        <v>3962.4971279193942</v>
      </c>
      <c r="R10" s="252"/>
      <c r="S10" s="252">
        <f>S7+S8+S9</f>
        <v>557701.49712791946</v>
      </c>
    </row>
    <row r="11" spans="1:22" ht="15.75" customHeight="1">
      <c r="A11" s="198">
        <v>5</v>
      </c>
      <c r="B11" s="204" t="s">
        <v>81</v>
      </c>
      <c r="C11" s="204"/>
      <c r="D11" s="86"/>
      <c r="E11" s="248">
        <v>17163</v>
      </c>
      <c r="F11" s="253">
        <f>-ROUND(SUM('12.2014 CB Power Supply'!F12:F18),0)</f>
        <v>-13684</v>
      </c>
      <c r="G11" s="248">
        <v>0</v>
      </c>
      <c r="H11" s="248">
        <v>0</v>
      </c>
      <c r="I11" s="249">
        <f t="shared" si="0"/>
        <v>3479</v>
      </c>
      <c r="J11" s="254"/>
      <c r="K11" s="256">
        <f>'Cost Trends'!N200</f>
        <v>3.602180010428313E-2</v>
      </c>
      <c r="L11" s="256"/>
      <c r="M11" s="254"/>
      <c r="N11" s="253">
        <f>I11</f>
        <v>3479</v>
      </c>
      <c r="O11" s="253"/>
      <c r="P11" s="253">
        <f>ROUND('PF Power Supply 09.2014 load'!F19-P9,0)</f>
        <v>10529</v>
      </c>
      <c r="Q11" s="248">
        <f>'incremental load expense'!E14</f>
        <v>125.31984256280101</v>
      </c>
      <c r="R11" s="253"/>
      <c r="S11" s="253">
        <f>I11+P11+Q11</f>
        <v>14133.319842562802</v>
      </c>
    </row>
    <row r="12" spans="1:22" ht="26.25" customHeight="1">
      <c r="A12" s="198">
        <v>6</v>
      </c>
      <c r="B12" s="204" t="s">
        <v>80</v>
      </c>
      <c r="C12" s="204"/>
      <c r="D12" s="90"/>
      <c r="E12" s="453">
        <f>E10+E11</f>
        <v>567455</v>
      </c>
      <c r="F12" s="248">
        <f>F11+F10</f>
        <v>-74682</v>
      </c>
      <c r="G12" s="453">
        <f>G11+G10</f>
        <v>0</v>
      </c>
      <c r="H12" s="453">
        <f>H11+H10</f>
        <v>10688</v>
      </c>
      <c r="I12" s="455">
        <f>I10+I11</f>
        <v>503461</v>
      </c>
      <c r="J12" s="249"/>
      <c r="K12" s="251"/>
      <c r="L12" s="251"/>
      <c r="M12" s="248"/>
      <c r="N12" s="455">
        <f>N10+N11</f>
        <v>503461</v>
      </c>
      <c r="O12" s="248"/>
      <c r="P12" s="248">
        <f>P11+P10</f>
        <v>64286</v>
      </c>
      <c r="Q12" s="453">
        <f>Q11+Q10</f>
        <v>4087.8169704821953</v>
      </c>
      <c r="R12" s="248"/>
      <c r="S12" s="248">
        <f>S11+S10</f>
        <v>571834.81697048224</v>
      </c>
    </row>
    <row r="13" spans="1:22" ht="15.75" customHeight="1">
      <c r="A13" s="199"/>
      <c r="B13" s="204"/>
      <c r="C13" s="204"/>
      <c r="D13" s="90"/>
      <c r="E13" s="248"/>
      <c r="F13" s="248"/>
      <c r="G13" s="248"/>
      <c r="H13" s="248"/>
      <c r="I13" s="249"/>
      <c r="J13" s="249"/>
      <c r="K13" s="251"/>
      <c r="L13" s="251"/>
      <c r="M13" s="257"/>
      <c r="N13" s="252"/>
      <c r="O13" s="252"/>
      <c r="P13" s="248"/>
      <c r="Q13" s="248"/>
      <c r="R13" s="248"/>
      <c r="S13" s="252"/>
    </row>
    <row r="14" spans="1:22" ht="15.75" customHeight="1">
      <c r="A14" s="198"/>
      <c r="B14" s="204" t="s">
        <v>79</v>
      </c>
      <c r="C14" s="204"/>
      <c r="D14" s="90"/>
      <c r="E14" s="248"/>
      <c r="F14" s="248"/>
      <c r="G14" s="248"/>
      <c r="H14" s="248"/>
      <c r="I14" s="249"/>
      <c r="J14" s="249"/>
      <c r="K14" s="251"/>
      <c r="L14" s="251"/>
      <c r="M14" s="250"/>
      <c r="N14" s="252"/>
      <c r="O14" s="252"/>
      <c r="P14" s="248"/>
      <c r="Q14" s="248"/>
      <c r="R14" s="248"/>
      <c r="S14" s="252"/>
    </row>
    <row r="15" spans="1:22" ht="15.75" customHeight="1">
      <c r="A15" s="198"/>
      <c r="B15" s="204" t="s">
        <v>78</v>
      </c>
      <c r="C15" s="204"/>
      <c r="D15" s="90"/>
      <c r="E15" s="248"/>
      <c r="F15" s="248"/>
      <c r="G15" s="248"/>
      <c r="H15" s="248"/>
      <c r="I15" s="249"/>
      <c r="J15" s="249"/>
      <c r="K15" s="251"/>
      <c r="L15" s="251"/>
      <c r="M15" s="258"/>
      <c r="N15" s="252"/>
      <c r="O15" s="252"/>
      <c r="P15" s="248"/>
      <c r="Q15" s="248"/>
      <c r="R15" s="248"/>
      <c r="S15" s="252"/>
    </row>
    <row r="16" spans="1:22" ht="15.75" customHeight="1">
      <c r="A16" s="198">
        <v>7</v>
      </c>
      <c r="B16" s="204"/>
      <c r="C16" s="204" t="s">
        <v>70</v>
      </c>
      <c r="D16" s="90"/>
      <c r="E16" s="248">
        <v>120307</v>
      </c>
      <c r="F16" s="248">
        <f>-ROUND('12.2014 CB Power Supply'!F35-'12.2014 CB Power Supply'!F26,0)</f>
        <v>-69476</v>
      </c>
      <c r="G16" s="248">
        <v>0</v>
      </c>
      <c r="H16" s="248">
        <v>0</v>
      </c>
      <c r="I16" s="249">
        <f>SUM(E16:H16)</f>
        <v>50831</v>
      </c>
      <c r="J16" s="249"/>
      <c r="K16" s="259">
        <f>'Cost Trends'!N186</f>
        <v>6.0899999999999954E-2</v>
      </c>
      <c r="L16" s="259"/>
      <c r="M16" s="249">
        <f>K16*I16</f>
        <v>3095.6078999999977</v>
      </c>
      <c r="N16" s="252">
        <f>M16+I16</f>
        <v>53926.607899999995</v>
      </c>
      <c r="O16" s="252"/>
      <c r="P16" s="248">
        <f>ROUND('PF Power Supply 09.2014 load'!F35-P17,0)</f>
        <v>89306</v>
      </c>
      <c r="Q16" s="248">
        <f>'incremental load expense'!E19</f>
        <v>0</v>
      </c>
      <c r="R16" s="248">
        <f>'CS2-Colstrip 2016 Incrmntl Exp'!H10</f>
        <v>2883.1872462299998</v>
      </c>
      <c r="S16" s="252">
        <f>N16+P16+Q16+R16</f>
        <v>146115.79514623</v>
      </c>
    </row>
    <row r="17" spans="1:23" ht="15.75" customHeight="1">
      <c r="A17" s="198">
        <v>8</v>
      </c>
      <c r="B17" s="204"/>
      <c r="C17" s="204" t="s">
        <v>77</v>
      </c>
      <c r="D17" s="90"/>
      <c r="E17" s="248">
        <v>116643</v>
      </c>
      <c r="F17" s="248">
        <f>-ROUND('12.2014 CB Power Supply'!F26,0)</f>
        <v>-116641</v>
      </c>
      <c r="G17" s="248">
        <v>0</v>
      </c>
      <c r="H17" s="248">
        <v>0</v>
      </c>
      <c r="I17" s="249">
        <f t="shared" ref="I17:I20" si="1">SUM(E17:H17)</f>
        <v>2</v>
      </c>
      <c r="J17" s="249"/>
      <c r="K17" s="251"/>
      <c r="L17" s="251"/>
      <c r="M17" s="249">
        <f>K17*I17</f>
        <v>0</v>
      </c>
      <c r="N17" s="252">
        <f>M17+I17</f>
        <v>2</v>
      </c>
      <c r="O17" s="252"/>
      <c r="P17" s="248">
        <f>ROUND('PF Power Supply 09.2014 load'!F26,0)</f>
        <v>75611</v>
      </c>
      <c r="Q17" s="248">
        <f>'incremental load expense'!E20</f>
        <v>1907</v>
      </c>
      <c r="R17" s="248"/>
      <c r="S17" s="252">
        <f>N17+P17+Q17+R17</f>
        <v>77520</v>
      </c>
    </row>
    <row r="18" spans="1:23" ht="15.75" customHeight="1">
      <c r="A18" s="198">
        <v>9</v>
      </c>
      <c r="B18" s="204"/>
      <c r="C18" s="204" t="s">
        <v>137</v>
      </c>
      <c r="D18" s="90"/>
      <c r="E18" s="248">
        <v>23715</v>
      </c>
      <c r="F18" s="248"/>
      <c r="G18" s="248">
        <v>0</v>
      </c>
      <c r="H18" s="248">
        <v>0</v>
      </c>
      <c r="I18" s="249">
        <f t="shared" si="1"/>
        <v>23715</v>
      </c>
      <c r="J18" s="249"/>
      <c r="K18" s="259">
        <f>'Cost Trends'!N190</f>
        <v>0.22201191510413221</v>
      </c>
      <c r="L18" s="259"/>
      <c r="M18" s="249">
        <f>K18*I18</f>
        <v>5265.012566694495</v>
      </c>
      <c r="N18" s="252">
        <f>M18+I18</f>
        <v>28980.012566694495</v>
      </c>
      <c r="O18" s="252"/>
      <c r="P18" s="248">
        <v>0</v>
      </c>
      <c r="Q18" s="248"/>
      <c r="R18" s="248"/>
      <c r="S18" s="252">
        <f>N18+P18+Q18+R18</f>
        <v>28980.012566694495</v>
      </c>
      <c r="T18" s="53"/>
      <c r="U18" s="184"/>
      <c r="V18" s="53"/>
      <c r="W18" s="670"/>
    </row>
    <row r="19" spans="1:23" ht="15.75" customHeight="1">
      <c r="A19" s="198">
        <v>10</v>
      </c>
      <c r="B19" s="204"/>
      <c r="C19" s="204" t="s">
        <v>138</v>
      </c>
      <c r="D19" s="90"/>
      <c r="E19" s="248">
        <v>8101</v>
      </c>
      <c r="F19" s="248"/>
      <c r="G19" s="248">
        <v>-1382</v>
      </c>
      <c r="H19" s="248">
        <v>0</v>
      </c>
      <c r="I19" s="249">
        <f t="shared" si="1"/>
        <v>6719</v>
      </c>
      <c r="J19" s="249"/>
      <c r="K19" s="259">
        <v>0</v>
      </c>
      <c r="L19" s="259"/>
      <c r="M19" s="249">
        <f>K19*I19</f>
        <v>0</v>
      </c>
      <c r="N19" s="252">
        <f>M19+I19</f>
        <v>6719</v>
      </c>
      <c r="O19" s="252"/>
      <c r="P19" s="248">
        <v>0</v>
      </c>
      <c r="Q19" s="248"/>
      <c r="R19" s="248"/>
      <c r="S19" s="252">
        <f>N19+P19+Q19+R19</f>
        <v>6719</v>
      </c>
      <c r="T19" s="53"/>
    </row>
    <row r="20" spans="1:23" ht="15.75" customHeight="1">
      <c r="A20" s="198">
        <v>11</v>
      </c>
      <c r="B20" s="204"/>
      <c r="C20" s="200" t="s">
        <v>69</v>
      </c>
      <c r="D20" s="90"/>
      <c r="E20" s="248">
        <v>12828</v>
      </c>
      <c r="F20" s="253"/>
      <c r="G20" s="248">
        <v>0</v>
      </c>
      <c r="H20" s="248">
        <v>0</v>
      </c>
      <c r="I20" s="249">
        <f t="shared" si="1"/>
        <v>12828</v>
      </c>
      <c r="J20" s="254"/>
      <c r="K20" s="256">
        <f>'Cost Trends'!N192</f>
        <v>0.13806181972825415</v>
      </c>
      <c r="L20" s="256"/>
      <c r="M20" s="254">
        <f>K20*I20</f>
        <v>1771.0570234740442</v>
      </c>
      <c r="N20" s="253">
        <f>M20+I20</f>
        <v>14599.057023474044</v>
      </c>
      <c r="O20" s="253"/>
      <c r="P20" s="253"/>
      <c r="Q20" s="253"/>
      <c r="R20" s="253"/>
      <c r="S20" s="253">
        <f>N20+P20+Q20+R20</f>
        <v>14599.057023474044</v>
      </c>
      <c r="T20" s="53"/>
      <c r="V20" s="550"/>
    </row>
    <row r="21" spans="1:23" ht="15.75" customHeight="1">
      <c r="A21" s="198">
        <v>12</v>
      </c>
      <c r="B21" s="204"/>
      <c r="C21" s="200" t="s">
        <v>241</v>
      </c>
      <c r="D21" s="86"/>
      <c r="E21" s="453">
        <f>SUM(E16:E20)</f>
        <v>281594</v>
      </c>
      <c r="F21" s="249">
        <f>F16+F17+F18+F19+F20</f>
        <v>-186117</v>
      </c>
      <c r="G21" s="455">
        <f>G16+G17+G18+G19+G20</f>
        <v>-1382</v>
      </c>
      <c r="H21" s="455">
        <f>H16+H17+H18+H19+H20</f>
        <v>0</v>
      </c>
      <c r="I21" s="455">
        <f>I16+I17+I18+I19+I20</f>
        <v>94095</v>
      </c>
      <c r="J21" s="249"/>
      <c r="K21" s="251"/>
      <c r="L21" s="251"/>
      <c r="M21" s="249">
        <f>M16+M17+M18+M19+M20</f>
        <v>10131.677490168537</v>
      </c>
      <c r="N21" s="249">
        <f>N16+N17+N18+N19+N20</f>
        <v>104226.67749016854</v>
      </c>
      <c r="O21" s="249"/>
      <c r="P21" s="249">
        <f>P16+P17+P18+P19+P20</f>
        <v>164917</v>
      </c>
      <c r="Q21" s="249">
        <f>Q16+Q17+Q18+Q19+Q20</f>
        <v>1907</v>
      </c>
      <c r="R21" s="249">
        <f>R16+R17+R18+R19+R20</f>
        <v>2883.1872462299998</v>
      </c>
      <c r="S21" s="249">
        <f>S16+S17+S18+S19+S20</f>
        <v>273933.86473639857</v>
      </c>
      <c r="T21" s="53"/>
    </row>
    <row r="22" spans="1:23" ht="15.75" customHeight="1">
      <c r="A22" s="198"/>
      <c r="B22" s="204"/>
      <c r="C22" s="200"/>
      <c r="D22" s="86"/>
      <c r="E22" s="248"/>
      <c r="F22" s="248"/>
      <c r="G22" s="248"/>
      <c r="H22" s="248"/>
      <c r="I22" s="249"/>
      <c r="J22" s="249"/>
      <c r="K22" s="251"/>
      <c r="L22" s="251"/>
      <c r="M22" s="250"/>
      <c r="N22" s="252"/>
      <c r="O22" s="252"/>
      <c r="P22" s="248"/>
      <c r="Q22" s="248"/>
      <c r="R22" s="248"/>
      <c r="S22" s="252"/>
      <c r="T22" s="53"/>
    </row>
    <row r="23" spans="1:23" ht="15.75" customHeight="1">
      <c r="A23" s="198"/>
      <c r="B23" s="204" t="s">
        <v>56</v>
      </c>
      <c r="C23" s="200"/>
      <c r="D23" s="86"/>
      <c r="E23" s="248"/>
      <c r="F23" s="260"/>
      <c r="G23" s="260"/>
      <c r="H23" s="260"/>
      <c r="I23" s="249"/>
      <c r="J23" s="249"/>
      <c r="K23" s="251"/>
      <c r="L23" s="251"/>
      <c r="M23" s="250"/>
      <c r="N23" s="252"/>
      <c r="O23" s="252"/>
      <c r="P23" s="248"/>
      <c r="Q23" s="248"/>
      <c r="R23" s="248"/>
      <c r="S23" s="252"/>
      <c r="T23" s="53"/>
    </row>
    <row r="24" spans="1:23" ht="15.75" customHeight="1">
      <c r="A24" s="198">
        <v>13</v>
      </c>
      <c r="B24" s="204"/>
      <c r="C24" s="200" t="s">
        <v>70</v>
      </c>
      <c r="D24" s="86"/>
      <c r="E24" s="248">
        <v>21299</v>
      </c>
      <c r="F24" s="260"/>
      <c r="G24" s="248">
        <v>0</v>
      </c>
      <c r="H24" s="248">
        <v>0</v>
      </c>
      <c r="I24" s="249">
        <f>SUM(E24:H24)</f>
        <v>21299</v>
      </c>
      <c r="J24" s="249"/>
      <c r="K24" s="251">
        <f>K16</f>
        <v>6.0899999999999954E-2</v>
      </c>
      <c r="L24" s="251"/>
      <c r="M24" s="249">
        <f>K24*I24</f>
        <v>1297.109099999999</v>
      </c>
      <c r="N24" s="252">
        <f>M24+I24</f>
        <v>22596.109099999998</v>
      </c>
      <c r="O24" s="252"/>
      <c r="P24" s="248"/>
      <c r="Q24" s="248"/>
      <c r="R24" s="248"/>
      <c r="S24" s="252">
        <f>N24+P24+Q24+R24</f>
        <v>22596.109099999998</v>
      </c>
      <c r="T24" s="53"/>
    </row>
    <row r="25" spans="1:23" ht="15.75" customHeight="1">
      <c r="A25" s="198">
        <v>14</v>
      </c>
      <c r="B25" s="204"/>
      <c r="C25" s="200" t="s">
        <v>139</v>
      </c>
      <c r="D25" s="86"/>
      <c r="E25" s="248">
        <v>23794</v>
      </c>
      <c r="F25" s="260"/>
      <c r="G25" s="248">
        <v>0</v>
      </c>
      <c r="H25" s="248">
        <v>0</v>
      </c>
      <c r="I25" s="249">
        <f t="shared" ref="I25:I27" si="2">SUM(E25:H25)</f>
        <v>23794</v>
      </c>
      <c r="J25" s="249"/>
      <c r="K25" s="251">
        <f>K18</f>
        <v>0.22201191510413221</v>
      </c>
      <c r="L25" s="251"/>
      <c r="M25" s="249">
        <f>K25*I25</f>
        <v>5282.5515079877214</v>
      </c>
      <c r="N25" s="252">
        <f>M25+I25</f>
        <v>29076.551507987722</v>
      </c>
      <c r="O25" s="252"/>
      <c r="P25" s="248"/>
      <c r="Q25" s="248"/>
      <c r="R25" s="248"/>
      <c r="S25" s="252">
        <f>N25+P25+Q25+R25</f>
        <v>29076.551507987722</v>
      </c>
      <c r="T25" s="53"/>
    </row>
    <row r="26" spans="1:23" ht="15.75" customHeight="1">
      <c r="A26" s="198"/>
      <c r="B26" s="204"/>
      <c r="C26" s="200" t="s">
        <v>330</v>
      </c>
      <c r="D26" s="86"/>
      <c r="E26" s="248"/>
      <c r="F26" s="260"/>
      <c r="G26" s="248"/>
      <c r="H26" s="248"/>
      <c r="I26" s="249"/>
      <c r="J26" s="249"/>
      <c r="K26" s="251"/>
      <c r="L26" s="251"/>
      <c r="M26" s="249"/>
      <c r="N26" s="252"/>
      <c r="O26" s="252"/>
      <c r="P26" s="248"/>
      <c r="Q26" s="248"/>
      <c r="R26" s="248"/>
      <c r="S26" s="252"/>
      <c r="T26" s="53"/>
    </row>
    <row r="27" spans="1:23" ht="15.75" customHeight="1">
      <c r="A27" s="198">
        <v>15</v>
      </c>
      <c r="B27" s="204"/>
      <c r="C27" s="200" t="s">
        <v>69</v>
      </c>
      <c r="D27" s="86"/>
      <c r="E27" s="248">
        <v>25575</v>
      </c>
      <c r="F27" s="261"/>
      <c r="G27" s="248">
        <v>0</v>
      </c>
      <c r="H27" s="248">
        <f>ROUND(H7*ROR!L16,0)</f>
        <v>412</v>
      </c>
      <c r="I27" s="249">
        <f t="shared" si="2"/>
        <v>25987</v>
      </c>
      <c r="J27" s="254"/>
      <c r="K27" s="256">
        <f>K20</f>
        <v>0.13806181972825415</v>
      </c>
      <c r="L27" s="256"/>
      <c r="M27" s="254">
        <f>K27*I27</f>
        <v>3587.8125092781406</v>
      </c>
      <c r="N27" s="253">
        <f>M27+I27</f>
        <v>29574.812509278141</v>
      </c>
      <c r="O27" s="253"/>
      <c r="P27" s="253"/>
      <c r="Q27" s="248">
        <f>'incremental load expense'!E29</f>
        <v>252.1748056396805</v>
      </c>
      <c r="R27" s="253"/>
      <c r="S27" s="253">
        <f>N27+P27+Q27+R27</f>
        <v>29826.98731491782</v>
      </c>
      <c r="T27" s="53"/>
    </row>
    <row r="28" spans="1:23" ht="15.75" customHeight="1">
      <c r="A28" s="198">
        <v>16</v>
      </c>
      <c r="B28" s="204"/>
      <c r="C28" s="200" t="s">
        <v>242</v>
      </c>
      <c r="D28" s="86"/>
      <c r="E28" s="453">
        <f>SUM(E24:E27)</f>
        <v>70668</v>
      </c>
      <c r="F28" s="262"/>
      <c r="G28" s="455">
        <f>G24+G25+G27</f>
        <v>0</v>
      </c>
      <c r="H28" s="455">
        <f>H24+H25+H27</f>
        <v>412</v>
      </c>
      <c r="I28" s="455">
        <f>SUM(I24:I27)</f>
        <v>71080</v>
      </c>
      <c r="J28" s="249"/>
      <c r="K28" s="251"/>
      <c r="L28" s="251"/>
      <c r="M28" s="249">
        <f>M24+M25+M27</f>
        <v>10167.473117265861</v>
      </c>
      <c r="N28" s="249">
        <f>N24+N25+N27</f>
        <v>81247.473117265865</v>
      </c>
      <c r="O28" s="249"/>
      <c r="P28" s="249">
        <f>P24+P25+P27</f>
        <v>0</v>
      </c>
      <c r="Q28" s="455">
        <f>Q24+Q25+Q27</f>
        <v>252.1748056396805</v>
      </c>
      <c r="R28" s="455">
        <f>R24+R25+R27</f>
        <v>0</v>
      </c>
      <c r="S28" s="249">
        <f>S24+S25+S27</f>
        <v>81499.64792290554</v>
      </c>
      <c r="T28" s="53"/>
    </row>
    <row r="29" spans="1:23" ht="15.75" customHeight="1">
      <c r="A29" s="198"/>
      <c r="B29" s="204"/>
      <c r="C29" s="200"/>
      <c r="D29" s="86"/>
      <c r="E29" s="248"/>
      <c r="F29" s="263"/>
      <c r="G29" s="263"/>
      <c r="H29" s="263"/>
      <c r="I29" s="249"/>
      <c r="J29" s="249"/>
      <c r="K29" s="251"/>
      <c r="L29" s="251"/>
      <c r="M29" s="250"/>
      <c r="N29" s="252"/>
      <c r="O29" s="252"/>
      <c r="P29" s="248"/>
      <c r="Q29" s="248"/>
      <c r="R29" s="248"/>
      <c r="S29" s="252"/>
      <c r="T29" s="53"/>
    </row>
    <row r="30" spans="1:23" ht="15.75" customHeight="1">
      <c r="A30" s="198">
        <v>17</v>
      </c>
      <c r="B30" s="204" t="s">
        <v>74</v>
      </c>
      <c r="C30" s="200"/>
      <c r="D30" s="86"/>
      <c r="E30" s="248">
        <v>11166</v>
      </c>
      <c r="F30" s="248"/>
      <c r="G30" s="248">
        <v>0</v>
      </c>
      <c r="H30" s="248">
        <f>ROUND(H7*ROR!L12,0)</f>
        <v>57</v>
      </c>
      <c r="I30" s="249">
        <f>SUM(E30:H30)</f>
        <v>11223</v>
      </c>
      <c r="J30" s="249"/>
      <c r="K30" s="251">
        <f>K16</f>
        <v>6.0899999999999954E-2</v>
      </c>
      <c r="L30" s="251"/>
      <c r="M30" s="249">
        <f>K30*I30</f>
        <v>683.4806999999995</v>
      </c>
      <c r="N30" s="252">
        <f>M30+I30</f>
        <v>11906.4807</v>
      </c>
      <c r="O30" s="252"/>
      <c r="P30" s="248"/>
      <c r="Q30" s="248">
        <f>'incremental load expense'!E32</f>
        <v>35.037551187198844</v>
      </c>
      <c r="R30" s="248"/>
      <c r="S30" s="252">
        <f>N30+P30+Q30</f>
        <v>11941.518251187199</v>
      </c>
      <c r="T30" s="53"/>
    </row>
    <row r="31" spans="1:23" ht="15.75" customHeight="1">
      <c r="A31" s="198">
        <v>18</v>
      </c>
      <c r="B31" s="204" t="s">
        <v>73</v>
      </c>
      <c r="C31" s="200"/>
      <c r="D31" s="86"/>
      <c r="E31" s="248">
        <v>1383</v>
      </c>
      <c r="F31" s="248"/>
      <c r="G31" s="248">
        <v>0</v>
      </c>
      <c r="H31" s="248">
        <v>0</v>
      </c>
      <c r="I31" s="249">
        <f t="shared" ref="I31:I32" si="3">SUM(E31:H31)</f>
        <v>1383</v>
      </c>
      <c r="J31" s="249"/>
      <c r="K31" s="251">
        <f>K16</f>
        <v>6.0899999999999954E-2</v>
      </c>
      <c r="L31" s="251"/>
      <c r="M31" s="249">
        <f>K31*I31</f>
        <v>84.224699999999942</v>
      </c>
      <c r="N31" s="252">
        <f>M31+I31</f>
        <v>1467.2247</v>
      </c>
      <c r="O31" s="252"/>
      <c r="P31" s="248"/>
      <c r="Q31" s="248"/>
      <c r="R31" s="248"/>
      <c r="S31" s="252">
        <f>N31+P31+Q31</f>
        <v>1467.2247</v>
      </c>
      <c r="T31" s="53"/>
    </row>
    <row r="32" spans="1:23" ht="15.75" customHeight="1">
      <c r="A32" s="198">
        <v>19</v>
      </c>
      <c r="B32" s="204" t="s">
        <v>72</v>
      </c>
      <c r="C32" s="200"/>
      <c r="D32" s="86"/>
      <c r="E32" s="248">
        <v>0</v>
      </c>
      <c r="F32" s="248"/>
      <c r="G32" s="248">
        <v>0</v>
      </c>
      <c r="H32" s="248">
        <v>0</v>
      </c>
      <c r="I32" s="249">
        <f t="shared" si="3"/>
        <v>0</v>
      </c>
      <c r="J32" s="249"/>
      <c r="K32" s="251">
        <f>K16</f>
        <v>6.0899999999999954E-2</v>
      </c>
      <c r="L32" s="251"/>
      <c r="M32" s="249">
        <f>K32*I32</f>
        <v>0</v>
      </c>
      <c r="N32" s="252">
        <f>M32+I32</f>
        <v>0</v>
      </c>
      <c r="O32" s="252"/>
      <c r="P32" s="248"/>
      <c r="Q32" s="248"/>
      <c r="R32" s="248"/>
      <c r="S32" s="252">
        <f>N32+P32+Q32</f>
        <v>0</v>
      </c>
      <c r="T32" s="53"/>
    </row>
    <row r="33" spans="1:23" ht="15.75" customHeight="1">
      <c r="A33" s="198"/>
      <c r="B33" s="204"/>
      <c r="C33" s="200"/>
      <c r="D33" s="86"/>
      <c r="E33" s="248"/>
      <c r="F33" s="248"/>
      <c r="G33" s="248"/>
      <c r="H33" s="248"/>
      <c r="I33" s="249"/>
      <c r="J33" s="249"/>
      <c r="K33" s="251"/>
      <c r="L33" s="251"/>
      <c r="M33" s="250"/>
      <c r="N33" s="252"/>
      <c r="O33" s="252"/>
      <c r="P33" s="248"/>
      <c r="Q33" s="248"/>
      <c r="R33" s="248"/>
      <c r="S33" s="252"/>
      <c r="T33" s="53"/>
    </row>
    <row r="34" spans="1:23" ht="15.75" customHeight="1">
      <c r="A34" s="198"/>
      <c r="B34" s="204" t="s">
        <v>71</v>
      </c>
      <c r="C34" s="200"/>
      <c r="D34" s="86"/>
      <c r="E34" s="248"/>
      <c r="F34" s="248"/>
      <c r="G34" s="248"/>
      <c r="H34" s="248"/>
      <c r="I34" s="249"/>
      <c r="J34" s="249"/>
      <c r="K34" s="251"/>
      <c r="L34" s="251"/>
      <c r="M34" s="250"/>
      <c r="N34" s="252"/>
      <c r="O34" s="252"/>
      <c r="P34" s="248"/>
      <c r="Q34" s="248"/>
      <c r="R34" s="248"/>
      <c r="S34" s="252"/>
      <c r="T34" s="53"/>
    </row>
    <row r="35" spans="1:23" ht="15.75" customHeight="1">
      <c r="A35" s="198">
        <v>20</v>
      </c>
      <c r="B35" s="204"/>
      <c r="C35" s="200" t="s">
        <v>70</v>
      </c>
      <c r="D35" s="86"/>
      <c r="E35" s="248">
        <v>46210</v>
      </c>
      <c r="F35" s="248"/>
      <c r="G35" s="248">
        <v>0</v>
      </c>
      <c r="H35" s="248">
        <f>ROUND(H7*ROR!L14,0)</f>
        <v>21</v>
      </c>
      <c r="I35" s="249">
        <f t="shared" ref="I35:I37" si="4">SUM(E35:H35)</f>
        <v>46231</v>
      </c>
      <c r="J35" s="249"/>
      <c r="K35" s="251">
        <f>K16</f>
        <v>6.0899999999999954E-2</v>
      </c>
      <c r="L35" s="251"/>
      <c r="M35" s="249">
        <f>K35*I35</f>
        <v>2815.4678999999978</v>
      </c>
      <c r="N35" s="252">
        <f>M35+I35</f>
        <v>49046.467899999996</v>
      </c>
      <c r="O35" s="252"/>
      <c r="P35" s="248"/>
      <c r="Q35" s="248">
        <f>'incremental load expense'!E37</f>
        <v>13.090809335773899</v>
      </c>
      <c r="R35" s="248"/>
      <c r="S35" s="252">
        <f>N35+P35+Q35</f>
        <v>49059.558709335768</v>
      </c>
      <c r="T35" s="53"/>
    </row>
    <row r="36" spans="1:23" ht="15.75" customHeight="1">
      <c r="A36" s="198">
        <v>21</v>
      </c>
      <c r="B36" s="204"/>
      <c r="C36" s="200" t="s">
        <v>139</v>
      </c>
      <c r="D36" s="86"/>
      <c r="E36" s="248">
        <v>16947</v>
      </c>
      <c r="F36" s="248"/>
      <c r="G36" s="248">
        <v>0</v>
      </c>
      <c r="H36" s="248">
        <v>0</v>
      </c>
      <c r="I36" s="249">
        <f t="shared" si="4"/>
        <v>16947</v>
      </c>
      <c r="J36" s="249"/>
      <c r="K36" s="251">
        <f>K18</f>
        <v>0.22201191510413221</v>
      </c>
      <c r="L36" s="251"/>
      <c r="M36" s="249">
        <f>K36*I36</f>
        <v>3762.4359252697286</v>
      </c>
      <c r="N36" s="252">
        <f>M36+I36</f>
        <v>20709.435925269729</v>
      </c>
      <c r="O36" s="252"/>
      <c r="P36" s="248"/>
      <c r="Q36" s="248"/>
      <c r="R36" s="248"/>
      <c r="S36" s="252">
        <f>N36+P36+Q36</f>
        <v>20709.435925269729</v>
      </c>
      <c r="T36" s="53"/>
      <c r="U36" s="53"/>
      <c r="V36" s="184"/>
      <c r="W36" s="550"/>
    </row>
    <row r="37" spans="1:23" ht="15.75" customHeight="1">
      <c r="A37" s="198">
        <v>22</v>
      </c>
      <c r="B37" s="204"/>
      <c r="C37" s="200" t="s">
        <v>69</v>
      </c>
      <c r="D37" s="86"/>
      <c r="E37" s="248">
        <v>0</v>
      </c>
      <c r="F37" s="253"/>
      <c r="G37" s="248">
        <v>0</v>
      </c>
      <c r="H37" s="248">
        <v>0</v>
      </c>
      <c r="I37" s="249">
        <f t="shared" si="4"/>
        <v>0</v>
      </c>
      <c r="J37" s="254"/>
      <c r="K37" s="256">
        <f>K20</f>
        <v>0.13806181972825415</v>
      </c>
      <c r="L37" s="256"/>
      <c r="M37" s="254">
        <f>K37*I37</f>
        <v>0</v>
      </c>
      <c r="N37" s="253">
        <f>M37+I37</f>
        <v>0</v>
      </c>
      <c r="O37" s="253"/>
      <c r="P37" s="253"/>
      <c r="Q37" s="253"/>
      <c r="R37" s="253"/>
      <c r="S37" s="253">
        <f>N37+P37+Q37</f>
        <v>0</v>
      </c>
      <c r="T37" s="53"/>
    </row>
    <row r="38" spans="1:23" ht="15.75" customHeight="1">
      <c r="A38" s="198">
        <v>23</v>
      </c>
      <c r="B38" s="204"/>
      <c r="C38" s="200" t="s">
        <v>243</v>
      </c>
      <c r="D38" s="86"/>
      <c r="E38" s="453">
        <f>SUM(E35:E37)</f>
        <v>63157</v>
      </c>
      <c r="F38" s="249">
        <f>F35+F36+F37</f>
        <v>0</v>
      </c>
      <c r="G38" s="461">
        <f>G35+G36+G37</f>
        <v>0</v>
      </c>
      <c r="H38" s="461">
        <f>H35+H36+H37</f>
        <v>21</v>
      </c>
      <c r="I38" s="461">
        <f>I35+I36+I37</f>
        <v>63178</v>
      </c>
      <c r="J38" s="249"/>
      <c r="K38" s="251"/>
      <c r="L38" s="251"/>
      <c r="M38" s="249">
        <f>M35+M36+M37</f>
        <v>6577.9038252697264</v>
      </c>
      <c r="N38" s="249">
        <f>N35+N36+N37</f>
        <v>69755.903825269721</v>
      </c>
      <c r="O38" s="249"/>
      <c r="P38" s="249">
        <f>P35+P36+P37</f>
        <v>0</v>
      </c>
      <c r="Q38" s="249">
        <f>Q35+Q36+Q37</f>
        <v>13.090809335773899</v>
      </c>
      <c r="R38" s="249">
        <f>R35+R36+R37</f>
        <v>0</v>
      </c>
      <c r="S38" s="249">
        <f>S35+S36+S37</f>
        <v>69768.994634605493</v>
      </c>
    </row>
    <row r="39" spans="1:23" ht="15.75" customHeight="1">
      <c r="A39" s="198">
        <v>24</v>
      </c>
      <c r="B39" s="204" t="s">
        <v>67</v>
      </c>
      <c r="C39" s="200"/>
      <c r="D39" s="86"/>
      <c r="E39" s="453">
        <f>E21+E28+E30+E31+E32+E38</f>
        <v>427968</v>
      </c>
      <c r="F39" s="453">
        <f>F21+F28+F30+F31+F32+F38</f>
        <v>-186117</v>
      </c>
      <c r="G39" s="453">
        <f>G21+G28+G30+G31+G32+G38</f>
        <v>-1382</v>
      </c>
      <c r="H39" s="453">
        <f>H21+H28+H30+H31+H32+H38</f>
        <v>490</v>
      </c>
      <c r="I39" s="453">
        <f>I21+I28+I30+I31+I32+I38</f>
        <v>240959</v>
      </c>
      <c r="J39" s="453"/>
      <c r="K39" s="452"/>
      <c r="L39" s="452"/>
      <c r="M39" s="453">
        <f>M21+M28+M30+M31+M32+M38</f>
        <v>27644.759832704127</v>
      </c>
      <c r="N39" s="453">
        <f>N21+N28+N30+N31+N32+N38</f>
        <v>268603.75983270409</v>
      </c>
      <c r="O39" s="453"/>
      <c r="P39" s="453">
        <f>P21+P28+P30+P31+P32+P38</f>
        <v>164917</v>
      </c>
      <c r="Q39" s="453">
        <f>Q21+Q28+Q30+Q31+Q32+Q38</f>
        <v>2207.3031661626533</v>
      </c>
      <c r="R39" s="453">
        <f>R21+R28+R30+R31+R32+R38</f>
        <v>2883.1872462299998</v>
      </c>
      <c r="S39" s="453">
        <f>S21+S28+S30+S31+S32+S38</f>
        <v>438611.2502450968</v>
      </c>
      <c r="T39" s="53"/>
      <c r="V39" s="53"/>
      <c r="W39" s="668"/>
    </row>
    <row r="40" spans="1:23" ht="15.75" customHeight="1">
      <c r="A40" s="198"/>
      <c r="B40" s="204"/>
      <c r="C40" s="204"/>
      <c r="D40" s="86"/>
      <c r="E40" s="248"/>
      <c r="F40" s="248"/>
      <c r="G40" s="248"/>
      <c r="H40" s="248"/>
      <c r="I40" s="249"/>
      <c r="J40" s="249"/>
      <c r="K40" s="251"/>
      <c r="L40" s="251"/>
      <c r="M40" s="250"/>
      <c r="N40" s="252"/>
      <c r="O40" s="252"/>
      <c r="P40" s="248"/>
      <c r="Q40" s="248"/>
      <c r="R40" s="248"/>
      <c r="S40" s="252"/>
    </row>
    <row r="41" spans="1:23" ht="15.75" customHeight="1">
      <c r="A41" s="198">
        <v>25</v>
      </c>
      <c r="B41" s="204" t="s">
        <v>66</v>
      </c>
      <c r="C41" s="204"/>
      <c r="D41" s="86"/>
      <c r="E41" s="248">
        <f>E12-E39</f>
        <v>139487</v>
      </c>
      <c r="F41" s="248">
        <f>F12-F39</f>
        <v>111435</v>
      </c>
      <c r="G41" s="248">
        <f>G12-G39</f>
        <v>1382</v>
      </c>
      <c r="H41" s="248">
        <f>H12-H39</f>
        <v>10198</v>
      </c>
      <c r="I41" s="248">
        <f>I12-I39</f>
        <v>262502</v>
      </c>
      <c r="J41" s="248"/>
      <c r="K41" s="251"/>
      <c r="L41" s="248"/>
      <c r="M41" s="248">
        <f t="shared" ref="M41:R41" si="5">M12-M39</f>
        <v>-27644.759832704127</v>
      </c>
      <c r="N41" s="248">
        <f>N12-N39</f>
        <v>234857.24016729591</v>
      </c>
      <c r="O41" s="248">
        <f t="shared" si="5"/>
        <v>0</v>
      </c>
      <c r="P41" s="248">
        <f t="shared" si="5"/>
        <v>-100631</v>
      </c>
      <c r="Q41" s="248">
        <f t="shared" si="5"/>
        <v>1880.513804319542</v>
      </c>
      <c r="R41" s="248">
        <f t="shared" si="5"/>
        <v>-2883.1872462299998</v>
      </c>
      <c r="S41" s="248">
        <f>S12-S39</f>
        <v>133223.56672538543</v>
      </c>
      <c r="T41" s="53"/>
    </row>
    <row r="42" spans="1:23" ht="15.75" customHeight="1">
      <c r="A42" s="198"/>
      <c r="B42" s="204"/>
      <c r="C42" s="204"/>
      <c r="D42" s="86"/>
      <c r="E42" s="248"/>
      <c r="F42" s="248"/>
      <c r="G42" s="248"/>
      <c r="H42" s="248"/>
      <c r="I42" s="248"/>
      <c r="J42" s="248"/>
      <c r="K42" s="251"/>
      <c r="L42" s="248"/>
      <c r="M42" s="248"/>
      <c r="N42" s="248"/>
      <c r="O42" s="248"/>
      <c r="P42" s="248"/>
      <c r="Q42" s="248"/>
      <c r="R42" s="248"/>
      <c r="S42" s="248"/>
    </row>
    <row r="43" spans="1:23" ht="3" customHeight="1">
      <c r="A43" s="198"/>
      <c r="B43" s="204"/>
      <c r="C43" s="204"/>
      <c r="D43" s="86"/>
      <c r="E43" s="248"/>
      <c r="F43" s="248"/>
      <c r="G43" s="248"/>
      <c r="H43" s="248"/>
      <c r="I43" s="248"/>
      <c r="J43" s="248"/>
      <c r="K43" s="251"/>
      <c r="L43" s="248"/>
      <c r="M43" s="248"/>
      <c r="N43" s="248"/>
      <c r="O43" s="248"/>
      <c r="P43" s="248"/>
      <c r="Q43" s="248"/>
      <c r="R43" s="248"/>
      <c r="S43" s="248"/>
    </row>
    <row r="44" spans="1:23" s="50" customFormat="1" ht="19.5" thickBot="1">
      <c r="A44" s="346" t="s">
        <v>96</v>
      </c>
      <c r="B44" s="938" t="str">
        <f>B2</f>
        <v>AVISTA'S 2016  ELECTRIC ATTRITION REVENUE REQUIREMENT</v>
      </c>
      <c r="C44" s="938"/>
      <c r="D44" s="938"/>
      <c r="E44" s="938"/>
      <c r="F44" s="938"/>
      <c r="G44" s="938"/>
      <c r="H44" s="938"/>
      <c r="I44" s="938"/>
      <c r="J44" s="938"/>
      <c r="K44" s="938"/>
      <c r="L44" s="938"/>
      <c r="M44" s="938"/>
      <c r="N44" s="938"/>
      <c r="O44" s="938"/>
      <c r="P44" s="938"/>
      <c r="Q44" s="938"/>
      <c r="R44" s="939"/>
      <c r="S44" s="939"/>
    </row>
    <row r="45" spans="1:23" s="166" customFormat="1" ht="21" thickBot="1">
      <c r="A45" s="344"/>
      <c r="B45" s="695"/>
      <c r="C45" s="676" t="s">
        <v>495</v>
      </c>
      <c r="D45" s="696"/>
      <c r="E45" s="932" t="s">
        <v>248</v>
      </c>
      <c r="F45" s="933"/>
      <c r="G45" s="933"/>
      <c r="H45" s="933"/>
      <c r="I45" s="934"/>
      <c r="J45" s="693"/>
      <c r="K45" s="694"/>
      <c r="L45" s="694"/>
      <c r="M45" s="676" t="s">
        <v>254</v>
      </c>
      <c r="N45" s="677"/>
      <c r="O45" s="678"/>
      <c r="P45" s="935" t="s">
        <v>730</v>
      </c>
      <c r="Q45" s="936"/>
      <c r="R45" s="820"/>
      <c r="S45" s="822"/>
      <c r="U45" s="345">
        <v>0</v>
      </c>
    </row>
    <row r="46" spans="1:23" s="50" customFormat="1" ht="78" customHeight="1">
      <c r="A46" s="300" t="s">
        <v>247</v>
      </c>
      <c r="B46" s="52"/>
      <c r="C46" s="191"/>
      <c r="D46" s="338"/>
      <c r="E46" s="339" t="str">
        <f>E4</f>
        <v>12.2014 Commission Basis Report Restated Totals</v>
      </c>
      <c r="F46" s="339" t="str">
        <f t="shared" ref="F46:R46" si="6">F4</f>
        <v>(less) 12.2014 Normalized Net Power Supply  Cost</v>
      </c>
      <c r="G46" s="339" t="str">
        <f t="shared" si="6"/>
        <v>Deferred Debit/Credit &amp; Reg. Amorts Adjs*</v>
      </c>
      <c r="H46" s="339" t="str">
        <f t="shared" si="6"/>
        <v>Pro Forma Revenue Normalization Adjustment</v>
      </c>
      <c r="I46" s="339" t="str">
        <f t="shared" si="6"/>
        <v>December 2014 Escalation Base</v>
      </c>
      <c r="J46" s="339">
        <f t="shared" si="6"/>
        <v>0</v>
      </c>
      <c r="K46" s="339" t="str">
        <f t="shared" si="6"/>
        <v>Escalation Factor</v>
      </c>
      <c r="L46" s="339">
        <f t="shared" si="6"/>
        <v>0</v>
      </c>
      <c r="M46" s="339" t="str">
        <f t="shared" si="6"/>
        <v xml:space="preserve"> Non-Energy Cost Escalation Amount [E]*[F]=[G]</v>
      </c>
      <c r="N46" s="339" t="str">
        <f t="shared" si="6"/>
        <v>Trended 2016 Non-Energy Cost [E]+[G]=[H]</v>
      </c>
      <c r="O46" s="339">
        <f t="shared" si="6"/>
        <v>0</v>
      </c>
      <c r="P46" s="339" t="str">
        <f t="shared" si="6"/>
        <v>(plus) 12.2014 Pro-Formed Net Energy Cost</v>
      </c>
      <c r="Q46" s="339" t="str">
        <f t="shared" si="6"/>
        <v>(plus)  Revenue Growth</v>
      </c>
      <c r="R46" s="339" t="str">
        <f t="shared" si="6"/>
        <v>After Attrition Adj - CS2/Colstrip Incremental O&amp;M Exp</v>
      </c>
      <c r="S46" s="673" t="s">
        <v>593</v>
      </c>
    </row>
    <row r="47" spans="1:23" ht="16.899999999999999" customHeight="1">
      <c r="B47" s="47"/>
      <c r="C47" s="47"/>
      <c r="D47" s="86"/>
      <c r="E47" s="340" t="str">
        <f>E5</f>
        <v>[A]</v>
      </c>
      <c r="F47" s="340" t="str">
        <f t="shared" ref="F47:S47" si="7">F5</f>
        <v>[B]</v>
      </c>
      <c r="G47" s="340" t="str">
        <f t="shared" si="7"/>
        <v>[C]</v>
      </c>
      <c r="H47" s="340" t="str">
        <f t="shared" si="7"/>
        <v>[D]</v>
      </c>
      <c r="I47" s="340" t="str">
        <f t="shared" si="7"/>
        <v>[E]</v>
      </c>
      <c r="J47" s="340">
        <f t="shared" si="7"/>
        <v>0</v>
      </c>
      <c r="K47" s="340" t="str">
        <f t="shared" si="7"/>
        <v>[F]</v>
      </c>
      <c r="L47" s="340">
        <f t="shared" si="7"/>
        <v>0</v>
      </c>
      <c r="M47" s="340" t="str">
        <f t="shared" si="7"/>
        <v>[G]</v>
      </c>
      <c r="N47" s="340" t="str">
        <f t="shared" si="7"/>
        <v>[H]</v>
      </c>
      <c r="O47" s="340">
        <f t="shared" si="7"/>
        <v>0</v>
      </c>
      <c r="P47" s="340" t="str">
        <f t="shared" si="7"/>
        <v>[I]</v>
      </c>
      <c r="Q47" s="340" t="str">
        <f t="shared" si="7"/>
        <v>[J]</v>
      </c>
      <c r="R47" s="340" t="str">
        <f t="shared" si="7"/>
        <v>[AA]</v>
      </c>
      <c r="S47" s="340" t="str">
        <f t="shared" si="7"/>
        <v>[K]</v>
      </c>
    </row>
    <row r="48" spans="1:23" ht="15.75" customHeight="1">
      <c r="A48" s="198"/>
      <c r="B48" s="204" t="s">
        <v>27</v>
      </c>
      <c r="C48" s="204"/>
      <c r="D48" s="86"/>
      <c r="E48" s="248"/>
      <c r="F48" s="248"/>
      <c r="G48" s="248"/>
      <c r="H48" s="248"/>
      <c r="I48" s="249"/>
      <c r="J48" s="249"/>
      <c r="K48" s="251"/>
      <c r="L48" s="251"/>
      <c r="M48" s="250"/>
      <c r="N48" s="264"/>
      <c r="O48" s="264"/>
      <c r="P48" s="248"/>
      <c r="Q48" s="248"/>
      <c r="R48" s="248"/>
      <c r="S48" s="265"/>
      <c r="U48" s="51" t="s">
        <v>740</v>
      </c>
    </row>
    <row r="49" spans="1:23" ht="15.75" customHeight="1">
      <c r="A49" s="198">
        <v>26</v>
      </c>
      <c r="B49" s="203"/>
      <c r="C49" s="204" t="s">
        <v>140</v>
      </c>
      <c r="D49" s="86"/>
      <c r="E49" s="248">
        <v>-7683</v>
      </c>
      <c r="F49" s="347">
        <f>ROUND(F41*0.35,0)</f>
        <v>39002</v>
      </c>
      <c r="G49" s="347">
        <f>ROUND(G41*0.35,0)</f>
        <v>484</v>
      </c>
      <c r="H49" s="347">
        <f>ROUND(H41*0.35,0)</f>
        <v>3569</v>
      </c>
      <c r="I49" s="249">
        <f>SUM(E49:H49)</f>
        <v>35372</v>
      </c>
      <c r="J49" s="249"/>
      <c r="K49" s="251"/>
      <c r="L49" s="251"/>
      <c r="M49" s="347">
        <f>M41*0.35</f>
        <v>-9675.665941446443</v>
      </c>
      <c r="N49" s="266">
        <f>I49+M49</f>
        <v>25696.334058553555</v>
      </c>
      <c r="O49" s="266"/>
      <c r="P49" s="267">
        <f>0.35*P41</f>
        <v>-35220.85</v>
      </c>
      <c r="Q49" s="267">
        <f>0.35*Q41</f>
        <v>658.17983151183967</v>
      </c>
      <c r="R49" s="267">
        <f>0.35*R41</f>
        <v>-1009.1155361804998</v>
      </c>
      <c r="S49" s="266">
        <f>N49+P49+Q49+R49</f>
        <v>-9875.4516461151034</v>
      </c>
    </row>
    <row r="50" spans="1:23" ht="15.75" customHeight="1">
      <c r="A50" s="198">
        <v>27</v>
      </c>
      <c r="B50" s="203"/>
      <c r="C50" s="204" t="s">
        <v>141</v>
      </c>
      <c r="D50" s="86"/>
      <c r="E50" s="248">
        <v>-136</v>
      </c>
      <c r="F50" s="248">
        <f>F79*ROR!F37*-0.35</f>
        <v>0</v>
      </c>
      <c r="G50" s="248">
        <f>G79*ROR!F37*-0.35</f>
        <v>-132.2475</v>
      </c>
      <c r="H50" s="248">
        <f>H79*ROR!F37*-0.35</f>
        <v>0</v>
      </c>
      <c r="I50" s="249">
        <f t="shared" ref="I50:I52" si="8">SUM(E50:H50)</f>
        <v>-268.2475</v>
      </c>
      <c r="J50" s="249"/>
      <c r="K50" s="251"/>
      <c r="L50" s="251"/>
      <c r="M50" s="347">
        <f>(ROR!F11*-0.35*M79)+(ROR!F11-ROR!F37)*I79*-0.35</f>
        <v>-1110.574514000743</v>
      </c>
      <c r="N50" s="266">
        <f>I50+M50</f>
        <v>-1378.8220140007429</v>
      </c>
      <c r="O50" s="266"/>
      <c r="P50" s="267"/>
      <c r="Q50" s="267"/>
      <c r="R50" s="267"/>
      <c r="S50" s="266">
        <f>N50+P50+Q50</f>
        <v>-1378.8220140007429</v>
      </c>
    </row>
    <row r="51" spans="1:23" ht="15.75" customHeight="1">
      <c r="A51" s="198">
        <v>28</v>
      </c>
      <c r="B51" s="203"/>
      <c r="C51" s="204" t="s">
        <v>64</v>
      </c>
      <c r="D51" s="864" t="s">
        <v>737</v>
      </c>
      <c r="E51" s="833">
        <v>46085</v>
      </c>
      <c r="F51" s="248"/>
      <c r="G51" s="248">
        <v>0</v>
      </c>
      <c r="H51" s="248">
        <v>0</v>
      </c>
      <c r="I51" s="249">
        <f t="shared" si="8"/>
        <v>46085</v>
      </c>
      <c r="J51" s="249"/>
      <c r="K51" s="251"/>
      <c r="L51" s="251"/>
      <c r="M51" s="249">
        <f>K51*I51</f>
        <v>0</v>
      </c>
      <c r="N51" s="252">
        <f>M51+I51</f>
        <v>46085</v>
      </c>
      <c r="O51" s="252"/>
      <c r="P51" s="248"/>
      <c r="Q51" s="248"/>
      <c r="R51" s="248"/>
      <c r="S51" s="869">
        <f>N51+P51+Q51</f>
        <v>46085</v>
      </c>
    </row>
    <row r="52" spans="1:23" ht="15.75" customHeight="1">
      <c r="A52" s="198">
        <v>29</v>
      </c>
      <c r="B52" s="203"/>
      <c r="C52" s="204" t="s">
        <v>63</v>
      </c>
      <c r="D52" s="86"/>
      <c r="E52" s="248">
        <v>-128</v>
      </c>
      <c r="F52" s="248"/>
      <c r="G52" s="248">
        <v>0</v>
      </c>
      <c r="H52" s="248">
        <v>0</v>
      </c>
      <c r="I52" s="249">
        <f t="shared" si="8"/>
        <v>-128</v>
      </c>
      <c r="J52" s="249"/>
      <c r="K52" s="251"/>
      <c r="L52" s="251"/>
      <c r="M52" s="249">
        <f>K52*I52</f>
        <v>0</v>
      </c>
      <c r="N52" s="252">
        <f>M52+I52</f>
        <v>-128</v>
      </c>
      <c r="O52" s="252"/>
      <c r="P52" s="248"/>
      <c r="Q52" s="248"/>
      <c r="R52" s="248"/>
      <c r="S52" s="252">
        <f>N52+P52+Q52</f>
        <v>-128</v>
      </c>
    </row>
    <row r="53" spans="1:23" ht="15.75" customHeight="1">
      <c r="A53" s="198">
        <v>30</v>
      </c>
      <c r="B53" s="204"/>
      <c r="C53" s="204"/>
      <c r="D53" s="86"/>
      <c r="E53" s="248"/>
      <c r="F53" s="248"/>
      <c r="G53" s="248"/>
      <c r="H53" s="248"/>
      <c r="I53" s="249"/>
      <c r="J53" s="249"/>
      <c r="K53" s="251"/>
      <c r="L53" s="251"/>
      <c r="M53" s="250"/>
      <c r="N53" s="252"/>
      <c r="O53" s="252"/>
      <c r="P53" s="248"/>
      <c r="Q53" s="248"/>
      <c r="R53" s="248"/>
      <c r="S53" s="252"/>
    </row>
    <row r="54" spans="1:23" ht="15.75" customHeight="1" thickBot="1">
      <c r="A54" s="198">
        <v>31</v>
      </c>
      <c r="B54" s="204" t="s">
        <v>62</v>
      </c>
      <c r="C54" s="204"/>
      <c r="D54" s="86"/>
      <c r="E54" s="454">
        <f>E41-E49-E50-E51-E52</f>
        <v>101349</v>
      </c>
      <c r="F54" s="454">
        <f>F41-F49-F50-F51-F52</f>
        <v>72433</v>
      </c>
      <c r="G54" s="454">
        <f t="shared" ref="G54:I54" si="9">G41-G49-G50-G51-G52</f>
        <v>1030.2474999999999</v>
      </c>
      <c r="H54" s="454">
        <f t="shared" si="9"/>
        <v>6629</v>
      </c>
      <c r="I54" s="454">
        <f t="shared" si="9"/>
        <v>181441.2475</v>
      </c>
      <c r="J54" s="454"/>
      <c r="K54" s="454"/>
      <c r="L54" s="454"/>
      <c r="M54" s="454">
        <f t="shared" ref="M54:R54" si="10">M41-M49-M50-M51-M52</f>
        <v>-16858.51937725694</v>
      </c>
      <c r="N54" s="454">
        <f t="shared" si="10"/>
        <v>164582.72812274308</v>
      </c>
      <c r="O54" s="454"/>
      <c r="P54" s="454">
        <f t="shared" si="10"/>
        <v>-65410.15</v>
      </c>
      <c r="Q54" s="454">
        <f t="shared" si="10"/>
        <v>1222.3339728077024</v>
      </c>
      <c r="R54" s="454">
        <f t="shared" si="10"/>
        <v>-1874.0717100494999</v>
      </c>
      <c r="S54" s="454">
        <f>S41-S49-S50-S51-S52</f>
        <v>98520.840385501273</v>
      </c>
      <c r="T54" s="53">
        <f>S54/S89</f>
        <v>97245.421328288096</v>
      </c>
      <c r="W54" s="53"/>
    </row>
    <row r="55" spans="1:23" ht="6" customHeight="1" thickTop="1">
      <c r="A55" s="198"/>
      <c r="B55" s="204"/>
      <c r="C55" s="204"/>
      <c r="D55" s="86"/>
      <c r="E55" s="248"/>
      <c r="F55" s="248"/>
      <c r="G55" s="248"/>
      <c r="H55" s="248"/>
      <c r="I55" s="249"/>
      <c r="J55" s="249"/>
      <c r="K55" s="251"/>
      <c r="L55" s="251"/>
      <c r="M55" s="250"/>
      <c r="N55" s="268"/>
      <c r="O55" s="268"/>
      <c r="P55" s="248"/>
      <c r="Q55" s="248"/>
      <c r="R55" s="248"/>
      <c r="S55" s="268"/>
    </row>
    <row r="56" spans="1:23" ht="15.75" customHeight="1">
      <c r="A56" s="198"/>
      <c r="B56" s="204" t="s">
        <v>61</v>
      </c>
      <c r="C56" s="204"/>
      <c r="D56" s="86"/>
      <c r="E56" s="248"/>
      <c r="F56" s="248"/>
      <c r="G56" s="248"/>
      <c r="H56" s="248"/>
      <c r="I56" s="249"/>
      <c r="J56" s="249"/>
      <c r="K56" s="251"/>
      <c r="L56" s="251"/>
      <c r="M56" s="250"/>
      <c r="N56" s="252"/>
      <c r="O56" s="252"/>
      <c r="P56" s="248"/>
      <c r="Q56" s="248"/>
      <c r="R56" s="248"/>
      <c r="S56" s="872" t="s">
        <v>740</v>
      </c>
    </row>
    <row r="57" spans="1:23" ht="15.75" customHeight="1">
      <c r="A57" s="198"/>
      <c r="B57" s="204" t="s">
        <v>240</v>
      </c>
      <c r="C57" s="204"/>
      <c r="D57" s="86"/>
      <c r="E57" s="248"/>
      <c r="F57" s="248"/>
      <c r="G57" s="248"/>
      <c r="H57" s="248"/>
      <c r="I57" s="249"/>
      <c r="J57" s="249"/>
      <c r="K57" s="251"/>
      <c r="L57" s="251"/>
      <c r="M57" s="250"/>
      <c r="N57" s="252"/>
      <c r="O57" s="252"/>
      <c r="P57" s="248"/>
      <c r="Q57" s="248"/>
      <c r="R57" s="248"/>
      <c r="S57" s="252"/>
    </row>
    <row r="58" spans="1:23" ht="15.75" customHeight="1">
      <c r="A58" s="198">
        <v>32</v>
      </c>
      <c r="B58" s="204"/>
      <c r="C58" s="204" t="s">
        <v>59</v>
      </c>
      <c r="D58" s="86"/>
      <c r="E58" s="248">
        <v>102620</v>
      </c>
      <c r="F58" s="248"/>
      <c r="G58" s="248">
        <v>0</v>
      </c>
      <c r="H58" s="248">
        <v>0</v>
      </c>
      <c r="I58" s="269">
        <f>SUM(E58:H58)</f>
        <v>102620</v>
      </c>
      <c r="J58" s="249"/>
      <c r="K58" s="251">
        <f>'Cost Trends'!N196</f>
        <v>0.12437258337566548</v>
      </c>
      <c r="L58" s="251"/>
      <c r="M58" s="249">
        <f>I58*K58</f>
        <v>12763.114506010792</v>
      </c>
      <c r="N58" s="252">
        <f>I58+M58</f>
        <v>115383.1145060108</v>
      </c>
      <c r="O58" s="252"/>
      <c r="P58" s="248"/>
      <c r="Q58" s="248"/>
      <c r="R58" s="248"/>
      <c r="S58" s="252">
        <f>N58</f>
        <v>115383.1145060108</v>
      </c>
    </row>
    <row r="59" spans="1:23" ht="15.75" customHeight="1">
      <c r="A59" s="198">
        <v>33</v>
      </c>
      <c r="B59" s="204"/>
      <c r="C59" s="204" t="s">
        <v>58</v>
      </c>
      <c r="D59" s="86"/>
      <c r="E59" s="248">
        <v>746101</v>
      </c>
      <c r="F59" s="248"/>
      <c r="G59" s="248">
        <v>0</v>
      </c>
      <c r="H59" s="248">
        <v>0</v>
      </c>
      <c r="I59" s="269">
        <f t="shared" ref="I59:I62" si="11">SUM(E59:H59)</f>
        <v>746101</v>
      </c>
      <c r="J59" s="249"/>
      <c r="K59" s="251">
        <f>$K$58</f>
        <v>0.12437258337566548</v>
      </c>
      <c r="L59" s="251"/>
      <c r="M59" s="249">
        <f>I59*K59</f>
        <v>92794.508829167389</v>
      </c>
      <c r="N59" s="252">
        <f>I59+M59</f>
        <v>838895.50882916735</v>
      </c>
      <c r="O59" s="252"/>
      <c r="P59" s="248"/>
      <c r="Q59" s="248"/>
      <c r="R59" s="248"/>
      <c r="S59" s="252">
        <f>N59</f>
        <v>838895.50882916735</v>
      </c>
    </row>
    <row r="60" spans="1:23" ht="15.75" customHeight="1">
      <c r="A60" s="198">
        <v>34</v>
      </c>
      <c r="B60" s="204"/>
      <c r="C60" s="204" t="s">
        <v>57</v>
      </c>
      <c r="D60" s="86"/>
      <c r="E60" s="248">
        <v>371971</v>
      </c>
      <c r="F60" s="248"/>
      <c r="G60" s="248">
        <v>0</v>
      </c>
      <c r="H60" s="248">
        <v>0</v>
      </c>
      <c r="I60" s="269">
        <f t="shared" si="11"/>
        <v>371971</v>
      </c>
      <c r="J60" s="249"/>
      <c r="K60" s="251">
        <f>$K$58</f>
        <v>0.12437258337566548</v>
      </c>
      <c r="L60" s="251"/>
      <c r="M60" s="249">
        <f>I60*K60</f>
        <v>46262.994210829667</v>
      </c>
      <c r="N60" s="252">
        <f>I60+M60</f>
        <v>418233.99421082967</v>
      </c>
      <c r="O60" s="252"/>
      <c r="P60" s="248"/>
      <c r="Q60" s="248"/>
      <c r="R60" s="248"/>
      <c r="S60" s="252">
        <f>N60</f>
        <v>418233.99421082967</v>
      </c>
    </row>
    <row r="61" spans="1:23" ht="15.75" customHeight="1">
      <c r="A61" s="198">
        <v>35</v>
      </c>
      <c r="B61" s="204"/>
      <c r="C61" s="204" t="s">
        <v>56</v>
      </c>
      <c r="D61" s="86"/>
      <c r="E61" s="248">
        <v>842795</v>
      </c>
      <c r="F61" s="248"/>
      <c r="G61" s="248">
        <v>0</v>
      </c>
      <c r="H61" s="248">
        <v>0</v>
      </c>
      <c r="I61" s="269">
        <f t="shared" si="11"/>
        <v>842795</v>
      </c>
      <c r="J61" s="249"/>
      <c r="K61" s="251">
        <f>$K$58</f>
        <v>0.12437258337566548</v>
      </c>
      <c r="L61" s="251"/>
      <c r="M61" s="249">
        <f>I61*K61</f>
        <v>104820.59140609398</v>
      </c>
      <c r="N61" s="252">
        <f>I61+M61</f>
        <v>947615.59140609403</v>
      </c>
      <c r="O61" s="252"/>
      <c r="P61" s="248"/>
      <c r="Q61" s="248"/>
      <c r="R61" s="248"/>
      <c r="S61" s="252">
        <f>N61</f>
        <v>947615.59140609403</v>
      </c>
    </row>
    <row r="62" spans="1:23" ht="15.75" customHeight="1">
      <c r="A62" s="198">
        <v>36</v>
      </c>
      <c r="B62" s="204"/>
      <c r="C62" s="204" t="s">
        <v>55</v>
      </c>
      <c r="D62" s="86"/>
      <c r="E62" s="248">
        <v>196867</v>
      </c>
      <c r="F62" s="253"/>
      <c r="G62" s="248">
        <v>0</v>
      </c>
      <c r="H62" s="248">
        <v>0</v>
      </c>
      <c r="I62" s="269">
        <f t="shared" si="11"/>
        <v>196867</v>
      </c>
      <c r="J62" s="254"/>
      <c r="K62" s="251">
        <f>$K$58</f>
        <v>0.12437258337566548</v>
      </c>
      <c r="L62" s="256"/>
      <c r="M62" s="254">
        <f>I62*K62</f>
        <v>24484.857371417136</v>
      </c>
      <c r="N62" s="253">
        <f>I62+M62</f>
        <v>221351.85737141714</v>
      </c>
      <c r="O62" s="253"/>
      <c r="P62" s="253"/>
      <c r="Q62" s="253"/>
      <c r="R62" s="253"/>
      <c r="S62" s="253">
        <f>N62</f>
        <v>221351.85737141714</v>
      </c>
    </row>
    <row r="63" spans="1:23" ht="15.75" customHeight="1">
      <c r="A63" s="198">
        <v>37</v>
      </c>
      <c r="B63" s="204"/>
      <c r="C63" s="204" t="s">
        <v>253</v>
      </c>
      <c r="D63" s="86"/>
      <c r="E63" s="453">
        <f>SUM(E58:E62)</f>
        <v>2260354</v>
      </c>
      <c r="F63" s="453">
        <f t="shared" ref="F63:H63" si="12">SUM(F58:F62)</f>
        <v>0</v>
      </c>
      <c r="G63" s="453">
        <f t="shared" si="12"/>
        <v>0</v>
      </c>
      <c r="H63" s="453">
        <f t="shared" si="12"/>
        <v>0</v>
      </c>
      <c r="I63" s="455">
        <f>SUM(I58:I62)</f>
        <v>2260354</v>
      </c>
      <c r="J63" s="249"/>
      <c r="K63" s="452"/>
      <c r="L63" s="251"/>
      <c r="M63" s="249">
        <f>SUM(M58:M62)</f>
        <v>281126.06632351899</v>
      </c>
      <c r="N63" s="249">
        <f>SUM(N58:N62)</f>
        <v>2541480.0663235192</v>
      </c>
      <c r="O63" s="252"/>
      <c r="P63" s="248"/>
      <c r="Q63" s="248"/>
      <c r="R63" s="248"/>
      <c r="S63" s="249">
        <f>SUM(S58:S62)</f>
        <v>2541480.0663235192</v>
      </c>
      <c r="U63" s="184"/>
    </row>
    <row r="64" spans="1:23" ht="15.75" customHeight="1">
      <c r="A64" s="198"/>
      <c r="B64" s="204" t="s">
        <v>244</v>
      </c>
      <c r="C64" s="204"/>
      <c r="D64" s="86"/>
      <c r="E64" s="248"/>
      <c r="F64" s="248"/>
      <c r="G64" s="248"/>
      <c r="H64" s="248"/>
      <c r="I64" s="249"/>
      <c r="J64" s="249"/>
      <c r="K64" s="251"/>
      <c r="L64" s="251"/>
      <c r="M64" s="250"/>
      <c r="N64" s="252"/>
      <c r="O64" s="252"/>
      <c r="P64" s="248"/>
      <c r="Q64" s="248"/>
      <c r="R64" s="248"/>
      <c r="S64" s="252">
        <f t="shared" ref="S64:S69" si="13">N64</f>
        <v>0</v>
      </c>
    </row>
    <row r="65" spans="1:24" ht="15.75" customHeight="1">
      <c r="A65" s="198">
        <v>38</v>
      </c>
      <c r="B65" s="204"/>
      <c r="C65" s="204" t="s">
        <v>59</v>
      </c>
      <c r="D65" s="90"/>
      <c r="E65" s="248">
        <v>-20242</v>
      </c>
      <c r="F65" s="248"/>
      <c r="G65" s="248">
        <v>0</v>
      </c>
      <c r="H65" s="248">
        <v>0</v>
      </c>
      <c r="I65" s="269">
        <f>SUM(E65:H65)</f>
        <v>-20242</v>
      </c>
      <c r="J65" s="249"/>
      <c r="K65" s="251">
        <f>$K$58</f>
        <v>0.12437258337566548</v>
      </c>
      <c r="L65" s="251"/>
      <c r="M65" s="249">
        <f>I65*K65</f>
        <v>-2517.5498326902207</v>
      </c>
      <c r="N65" s="252">
        <f>I65+M65</f>
        <v>-22759.54983269022</v>
      </c>
      <c r="O65" s="252"/>
      <c r="P65" s="248"/>
      <c r="Q65" s="248"/>
      <c r="R65" s="248"/>
      <c r="S65" s="252">
        <f t="shared" si="13"/>
        <v>-22759.54983269022</v>
      </c>
    </row>
    <row r="66" spans="1:24" ht="15.75" customHeight="1">
      <c r="A66" s="198">
        <v>39</v>
      </c>
      <c r="B66" s="204"/>
      <c r="C66" s="204" t="s">
        <v>58</v>
      </c>
      <c r="D66" s="86"/>
      <c r="E66" s="248">
        <v>-325531</v>
      </c>
      <c r="F66" s="248"/>
      <c r="G66" s="248">
        <v>0</v>
      </c>
      <c r="H66" s="248">
        <v>0</v>
      </c>
      <c r="I66" s="269">
        <f t="shared" ref="I66:I69" si="14">SUM(E66:H66)</f>
        <v>-325531</v>
      </c>
      <c r="J66" s="249"/>
      <c r="K66" s="251">
        <f>$K$58</f>
        <v>0.12437258337566548</v>
      </c>
      <c r="L66" s="251"/>
      <c r="M66" s="249">
        <f>I66*K66</f>
        <v>-40487.131438863762</v>
      </c>
      <c r="N66" s="252">
        <f>I66+M66</f>
        <v>-366018.13143886375</v>
      </c>
      <c r="O66" s="252"/>
      <c r="P66" s="248"/>
      <c r="Q66" s="248"/>
      <c r="R66" s="248"/>
      <c r="S66" s="252">
        <f t="shared" si="13"/>
        <v>-366018.13143886375</v>
      </c>
    </row>
    <row r="67" spans="1:24" ht="15.75" customHeight="1">
      <c r="A67" s="198">
        <v>40</v>
      </c>
      <c r="B67" s="204"/>
      <c r="C67" s="204" t="s">
        <v>57</v>
      </c>
      <c r="D67" s="86"/>
      <c r="E67" s="248">
        <v>-123869</v>
      </c>
      <c r="F67" s="248"/>
      <c r="G67" s="248">
        <v>0</v>
      </c>
      <c r="H67" s="248">
        <v>0</v>
      </c>
      <c r="I67" s="269">
        <f t="shared" si="14"/>
        <v>-123869</v>
      </c>
      <c r="J67" s="249"/>
      <c r="K67" s="251">
        <f>$K$58</f>
        <v>0.12437258337566548</v>
      </c>
      <c r="L67" s="251"/>
      <c r="M67" s="249">
        <f>I67*K67</f>
        <v>-15405.907530160308</v>
      </c>
      <c r="N67" s="252">
        <f>I67+M67</f>
        <v>-139274.9075301603</v>
      </c>
      <c r="O67" s="252"/>
      <c r="P67" s="248"/>
      <c r="Q67" s="248"/>
      <c r="R67" s="248"/>
      <c r="S67" s="252">
        <f t="shared" si="13"/>
        <v>-139274.9075301603</v>
      </c>
    </row>
    <row r="68" spans="1:24" ht="15.75" customHeight="1">
      <c r="A68" s="198">
        <v>41</v>
      </c>
      <c r="B68" s="204"/>
      <c r="C68" s="204" t="s">
        <v>56</v>
      </c>
      <c r="D68" s="86"/>
      <c r="E68" s="248">
        <v>-252722</v>
      </c>
      <c r="F68" s="248"/>
      <c r="G68" s="248">
        <v>0</v>
      </c>
      <c r="H68" s="248">
        <v>0</v>
      </c>
      <c r="I68" s="269">
        <f t="shared" si="14"/>
        <v>-252722</v>
      </c>
      <c r="J68" s="249"/>
      <c r="K68" s="251">
        <f>$K$58</f>
        <v>0.12437258337566548</v>
      </c>
      <c r="L68" s="251"/>
      <c r="M68" s="249">
        <f>I68*K68</f>
        <v>-31431.688015864933</v>
      </c>
      <c r="N68" s="252">
        <f>I68+M68</f>
        <v>-284153.68801586493</v>
      </c>
      <c r="O68" s="252"/>
      <c r="P68" s="248"/>
      <c r="Q68" s="248"/>
      <c r="R68" s="248"/>
      <c r="S68" s="252">
        <f t="shared" si="13"/>
        <v>-284153.68801586493</v>
      </c>
    </row>
    <row r="69" spans="1:24" ht="15.75" customHeight="1">
      <c r="A69" s="198">
        <v>42</v>
      </c>
      <c r="B69" s="204"/>
      <c r="C69" s="204" t="s">
        <v>55</v>
      </c>
      <c r="D69" s="86"/>
      <c r="E69" s="248">
        <v>-65720</v>
      </c>
      <c r="F69" s="254"/>
      <c r="G69" s="248">
        <v>0</v>
      </c>
      <c r="H69" s="248">
        <v>0</v>
      </c>
      <c r="I69" s="269">
        <f t="shared" si="14"/>
        <v>-65720</v>
      </c>
      <c r="J69" s="254"/>
      <c r="K69" s="251">
        <f>$K$58</f>
        <v>0.12437258337566548</v>
      </c>
      <c r="L69" s="256"/>
      <c r="M69" s="254">
        <f>I69*K69</f>
        <v>-8173.7661794487349</v>
      </c>
      <c r="N69" s="253">
        <f>I69+M69</f>
        <v>-73893.766179448736</v>
      </c>
      <c r="O69" s="253"/>
      <c r="P69" s="253"/>
      <c r="Q69" s="253"/>
      <c r="R69" s="253"/>
      <c r="S69" s="253">
        <f t="shared" si="13"/>
        <v>-73893.766179448736</v>
      </c>
    </row>
    <row r="70" spans="1:24" ht="30.75" customHeight="1">
      <c r="A70" s="198">
        <v>43</v>
      </c>
      <c r="B70" s="204"/>
      <c r="C70" s="201" t="s">
        <v>291</v>
      </c>
      <c r="D70" s="91"/>
      <c r="E70" s="453">
        <f>SUM(E65:E69)</f>
        <v>-788084</v>
      </c>
      <c r="F70" s="453">
        <f t="shared" ref="F70:H70" si="15">SUM(F65:F69)</f>
        <v>0</v>
      </c>
      <c r="G70" s="453">
        <f t="shared" si="15"/>
        <v>0</v>
      </c>
      <c r="H70" s="453">
        <f t="shared" si="15"/>
        <v>0</v>
      </c>
      <c r="I70" s="455">
        <f>SUM(I65:I69)</f>
        <v>-788084</v>
      </c>
      <c r="J70" s="249"/>
      <c r="K70" s="452"/>
      <c r="L70" s="251"/>
      <c r="M70" s="269">
        <f>SUM(M65:M69)</f>
        <v>-98016.042997027966</v>
      </c>
      <c r="N70" s="269">
        <f>SUM(N65:N69)</f>
        <v>-886100.04299702786</v>
      </c>
      <c r="O70" s="252"/>
      <c r="P70" s="248"/>
      <c r="Q70" s="248"/>
      <c r="R70" s="248"/>
      <c r="S70" s="269">
        <f>SUM(S65:S69)</f>
        <v>-886100.04299702786</v>
      </c>
      <c r="U70" s="184"/>
    </row>
    <row r="71" spans="1:24" ht="9" customHeight="1">
      <c r="A71" s="198"/>
      <c r="B71" s="204"/>
      <c r="C71" s="201"/>
      <c r="D71" s="91"/>
      <c r="E71" s="248"/>
      <c r="F71" s="269"/>
      <c r="G71" s="269"/>
      <c r="H71" s="269"/>
      <c r="I71" s="249"/>
      <c r="J71" s="249"/>
      <c r="K71" s="251"/>
      <c r="L71" s="251"/>
      <c r="M71" s="249"/>
      <c r="N71" s="252"/>
      <c r="O71" s="252"/>
      <c r="P71" s="248"/>
      <c r="Q71" s="248"/>
      <c r="R71" s="248"/>
      <c r="S71" s="252"/>
    </row>
    <row r="72" spans="1:24" ht="15.75" customHeight="1">
      <c r="A72" s="198">
        <v>44</v>
      </c>
      <c r="B72" s="204" t="s">
        <v>232</v>
      </c>
      <c r="C72" s="204"/>
      <c r="D72" s="86"/>
      <c r="E72" s="453">
        <f>E63+E70</f>
        <v>1472270</v>
      </c>
      <c r="F72" s="453">
        <f t="shared" ref="F72:S72" si="16">F63+F70</f>
        <v>0</v>
      </c>
      <c r="G72" s="453">
        <f t="shared" si="16"/>
        <v>0</v>
      </c>
      <c r="H72" s="453">
        <f t="shared" si="16"/>
        <v>0</v>
      </c>
      <c r="I72" s="453">
        <f t="shared" si="16"/>
        <v>1472270</v>
      </c>
      <c r="J72" s="453">
        <f t="shared" si="16"/>
        <v>0</v>
      </c>
      <c r="K72" s="453">
        <f t="shared" si="16"/>
        <v>0</v>
      </c>
      <c r="L72" s="453">
        <f t="shared" si="16"/>
        <v>0</v>
      </c>
      <c r="M72" s="453">
        <f t="shared" si="16"/>
        <v>183110.02332649101</v>
      </c>
      <c r="N72" s="453">
        <f t="shared" si="16"/>
        <v>1655380.0233264915</v>
      </c>
      <c r="O72" s="453">
        <f t="shared" si="16"/>
        <v>0</v>
      </c>
      <c r="P72" s="453"/>
      <c r="Q72" s="453"/>
      <c r="R72" s="453">
        <f t="shared" si="16"/>
        <v>0</v>
      </c>
      <c r="S72" s="453">
        <f t="shared" si="16"/>
        <v>1655380.0233264915</v>
      </c>
      <c r="V72" s="184"/>
    </row>
    <row r="73" spans="1:24" ht="12.75" customHeight="1">
      <c r="A73" s="198"/>
      <c r="B73" s="204"/>
      <c r="C73" s="204"/>
      <c r="D73" s="86"/>
      <c r="E73" s="248"/>
      <c r="F73" s="269"/>
      <c r="G73" s="269"/>
      <c r="H73" s="269"/>
      <c r="I73" s="249"/>
      <c r="J73" s="249"/>
      <c r="K73" s="251"/>
      <c r="L73" s="251"/>
      <c r="M73" s="250"/>
      <c r="N73" s="252"/>
      <c r="O73" s="252"/>
      <c r="P73" s="248"/>
      <c r="Q73" s="248"/>
      <c r="R73" s="248"/>
      <c r="S73" s="252"/>
    </row>
    <row r="74" spans="1:24" ht="13.5" customHeight="1">
      <c r="A74" s="198">
        <v>45</v>
      </c>
      <c r="B74" s="204" t="s">
        <v>245</v>
      </c>
      <c r="C74" s="204"/>
      <c r="D74" s="86"/>
      <c r="E74" s="260">
        <v>-257766</v>
      </c>
      <c r="F74" s="248"/>
      <c r="G74" s="248">
        <v>0</v>
      </c>
      <c r="H74" s="248">
        <v>0</v>
      </c>
      <c r="I74" s="269">
        <f t="shared" ref="I74:I77" si="17">SUM(E74:H74)</f>
        <v>-257766</v>
      </c>
      <c r="J74" s="249"/>
      <c r="K74" s="251">
        <f>$K$58</f>
        <v>0.12437258337566548</v>
      </c>
      <c r="L74" s="259"/>
      <c r="M74" s="249">
        <f>K74*I74</f>
        <v>-32059.023326411789</v>
      </c>
      <c r="N74" s="252">
        <f>M74+I74</f>
        <v>-289825.02332641179</v>
      </c>
      <c r="O74" s="252"/>
      <c r="P74" s="248"/>
      <c r="Q74" s="248"/>
      <c r="R74" s="248"/>
      <c r="S74" s="252">
        <f>N74</f>
        <v>-289825.02332641179</v>
      </c>
      <c r="U74" s="690"/>
      <c r="V74" s="669"/>
    </row>
    <row r="75" spans="1:24" ht="15.75" customHeight="1">
      <c r="A75" s="198">
        <v>46</v>
      </c>
      <c r="B75" s="204"/>
      <c r="C75" s="204" t="s">
        <v>292</v>
      </c>
      <c r="D75" s="90"/>
      <c r="E75" s="453">
        <f>E72+E74</f>
        <v>1214504</v>
      </c>
      <c r="F75" s="453">
        <f t="shared" ref="F75:N75" si="18">F72+F74</f>
        <v>0</v>
      </c>
      <c r="G75" s="453">
        <f>G72+G74</f>
        <v>0</v>
      </c>
      <c r="H75" s="453">
        <f t="shared" si="18"/>
        <v>0</v>
      </c>
      <c r="I75" s="453">
        <f t="shared" si="18"/>
        <v>1214504</v>
      </c>
      <c r="J75" s="453">
        <f t="shared" si="18"/>
        <v>0</v>
      </c>
      <c r="K75" s="453">
        <f t="shared" si="18"/>
        <v>0.12437258337566548</v>
      </c>
      <c r="L75" s="453">
        <f t="shared" si="18"/>
        <v>0</v>
      </c>
      <c r="M75" s="453">
        <f t="shared" si="18"/>
        <v>151051.00000007922</v>
      </c>
      <c r="N75" s="453">
        <f t="shared" si="18"/>
        <v>1365555.0000000796</v>
      </c>
      <c r="O75" s="453"/>
      <c r="P75" s="453"/>
      <c r="Q75" s="453"/>
      <c r="R75" s="453"/>
      <c r="S75" s="453">
        <f>N75</f>
        <v>1365555.0000000796</v>
      </c>
      <c r="T75" s="53"/>
      <c r="U75" s="53"/>
      <c r="V75" s="184"/>
      <c r="W75" s="670"/>
      <c r="X75" s="670"/>
    </row>
    <row r="76" spans="1:24" ht="15.75" customHeight="1">
      <c r="A76" s="198">
        <v>47</v>
      </c>
      <c r="B76" s="204" t="s">
        <v>246</v>
      </c>
      <c r="C76" s="204"/>
      <c r="D76" s="86"/>
      <c r="E76" s="260">
        <v>10846</v>
      </c>
      <c r="F76" s="293"/>
      <c r="G76" s="248">
        <v>13750</v>
      </c>
      <c r="H76" s="248"/>
      <c r="I76" s="269">
        <f t="shared" si="17"/>
        <v>24596</v>
      </c>
      <c r="J76" s="249"/>
      <c r="K76" s="251">
        <v>0</v>
      </c>
      <c r="L76" s="251"/>
      <c r="M76" s="249">
        <f>K76*I76</f>
        <v>0</v>
      </c>
      <c r="N76" s="252">
        <f>M76+I76</f>
        <v>24596</v>
      </c>
      <c r="O76" s="252"/>
      <c r="P76" s="248"/>
      <c r="Q76" s="248"/>
      <c r="R76" s="248"/>
      <c r="S76" s="252">
        <f>N76</f>
        <v>24596</v>
      </c>
      <c r="T76" s="53"/>
    </row>
    <row r="77" spans="1:24" ht="15.75" customHeight="1">
      <c r="A77" s="198">
        <v>48</v>
      </c>
      <c r="B77" s="204" t="s">
        <v>118</v>
      </c>
      <c r="C77" s="204"/>
      <c r="D77" s="86"/>
      <c r="E77" s="260">
        <v>47807</v>
      </c>
      <c r="F77" s="248"/>
      <c r="G77" s="248">
        <v>0</v>
      </c>
      <c r="H77" s="248"/>
      <c r="I77" s="269">
        <f t="shared" si="17"/>
        <v>47807</v>
      </c>
      <c r="J77" s="249"/>
      <c r="K77" s="251">
        <v>0</v>
      </c>
      <c r="L77" s="251"/>
      <c r="M77" s="249">
        <f>K77*I77</f>
        <v>0</v>
      </c>
      <c r="N77" s="252">
        <f>M77+I77</f>
        <v>47807</v>
      </c>
      <c r="O77" s="252"/>
      <c r="P77" s="248"/>
      <c r="Q77" s="248"/>
      <c r="R77" s="248"/>
      <c r="S77" s="252">
        <f>N77</f>
        <v>47807</v>
      </c>
      <c r="U77" s="784" t="s">
        <v>710</v>
      </c>
      <c r="V77" s="53"/>
      <c r="W77" s="670"/>
      <c r="X77" s="670"/>
    </row>
    <row r="78" spans="1:24" ht="12.75" customHeight="1">
      <c r="A78" s="198"/>
      <c r="B78" s="204"/>
      <c r="C78" s="204"/>
      <c r="D78" s="86"/>
      <c r="E78" s="248"/>
      <c r="F78" s="248"/>
      <c r="G78" s="248"/>
      <c r="H78" s="248"/>
      <c r="I78" s="249"/>
      <c r="J78" s="249"/>
      <c r="K78" s="251"/>
      <c r="L78" s="251"/>
      <c r="M78" s="250"/>
      <c r="N78" s="252"/>
      <c r="O78" s="252"/>
      <c r="P78" s="248"/>
      <c r="Q78" s="248"/>
      <c r="R78" s="248"/>
      <c r="S78" s="252">
        <f>N78</f>
        <v>0</v>
      </c>
      <c r="U78" s="691" t="s">
        <v>590</v>
      </c>
      <c r="V78" s="550"/>
      <c r="W78" s="670"/>
    </row>
    <row r="79" spans="1:24" ht="15.75" customHeight="1" thickBot="1">
      <c r="A79" s="198">
        <v>49</v>
      </c>
      <c r="B79" s="204" t="s">
        <v>51</v>
      </c>
      <c r="C79" s="204"/>
      <c r="D79" s="86"/>
      <c r="E79" s="454">
        <f>SUM(E75:E77)</f>
        <v>1273157</v>
      </c>
      <c r="F79" s="454">
        <f t="shared" ref="F79:H79" si="19">SUM(F75:F77)</f>
        <v>0</v>
      </c>
      <c r="G79" s="454">
        <f t="shared" si="19"/>
        <v>13750</v>
      </c>
      <c r="H79" s="454">
        <f t="shared" si="19"/>
        <v>0</v>
      </c>
      <c r="I79" s="456">
        <f>I72+I74+I76+I77</f>
        <v>1286907</v>
      </c>
      <c r="J79" s="456"/>
      <c r="K79" s="457"/>
      <c r="L79" s="457"/>
      <c r="M79" s="456">
        <f>M72+M74+M76+M77</f>
        <v>151051.00000007922</v>
      </c>
      <c r="N79" s="456">
        <f>N72+N74+N76+N77</f>
        <v>1437958.0000000796</v>
      </c>
      <c r="O79" s="454"/>
      <c r="P79" s="454"/>
      <c r="Q79" s="454"/>
      <c r="R79" s="454"/>
      <c r="S79" s="456">
        <f>S72+S74+S76+S77</f>
        <v>1437958.0000000796</v>
      </c>
      <c r="T79" s="53">
        <f>S79/S89</f>
        <v>1419342.6590275909</v>
      </c>
      <c r="U79" s="184">
        <v>1436022</v>
      </c>
      <c r="V79" s="51" t="s">
        <v>711</v>
      </c>
      <c r="X79" s="668"/>
    </row>
    <row r="80" spans="1:24" ht="13.15" customHeight="1" thickTop="1" thickBot="1">
      <c r="A80" s="198"/>
      <c r="B80" s="204"/>
      <c r="C80" s="204"/>
      <c r="D80" s="86"/>
      <c r="E80" s="248"/>
      <c r="F80" s="248"/>
      <c r="G80" s="248"/>
      <c r="H80" s="538"/>
      <c r="I80" s="249"/>
      <c r="J80" s="249"/>
      <c r="K80" s="251"/>
      <c r="L80" s="251"/>
      <c r="M80" s="249"/>
      <c r="N80" s="252"/>
      <c r="O80" s="252"/>
      <c r="P80" s="248"/>
      <c r="Q80" s="248"/>
      <c r="R80" s="248"/>
      <c r="S80" s="252"/>
      <c r="T80" s="689">
        <f>T79-U79</f>
        <v>-16679.340972409118</v>
      </c>
      <c r="U80" s="550"/>
    </row>
    <row r="81" spans="1:22" ht="15.75" customHeight="1">
      <c r="A81" s="198">
        <v>50</v>
      </c>
      <c r="B81" s="204" t="s">
        <v>50</v>
      </c>
      <c r="C81" s="204"/>
      <c r="D81" s="86"/>
      <c r="E81" s="536">
        <f>E54/E79</f>
        <v>7.9604479259038755E-2</v>
      </c>
      <c r="F81" s="293"/>
      <c r="G81" s="293"/>
      <c r="H81" s="259"/>
      <c r="I81"/>
      <c r="J81" s="270"/>
      <c r="K81" s="251"/>
      <c r="L81" s="251"/>
      <c r="M81" s="251"/>
      <c r="N81" s="271"/>
      <c r="O81" s="271"/>
      <c r="P81" s="259"/>
      <c r="Q81" s="259"/>
      <c r="R81" s="259"/>
      <c r="S81" s="536">
        <f>S54/S79</f>
        <v>6.8514407503901933E-2</v>
      </c>
      <c r="V81" s="53"/>
    </row>
    <row r="82" spans="1:22" s="49" customFormat="1" ht="4.5" customHeight="1" thickBot="1">
      <c r="A82" s="202"/>
      <c r="B82" s="204"/>
      <c r="C82" s="203"/>
      <c r="D82" s="48"/>
      <c r="E82" s="272"/>
      <c r="F82" s="265"/>
      <c r="G82" s="265"/>
      <c r="H82" s="265"/>
      <c r="I82" s="202"/>
      <c r="J82" s="202"/>
      <c r="K82" s="273"/>
      <c r="L82" s="273"/>
      <c r="M82" s="204"/>
      <c r="N82" s="274"/>
      <c r="O82" s="274"/>
      <c r="P82" s="252"/>
      <c r="Q82" s="252"/>
      <c r="R82" s="252"/>
      <c r="S82" s="203"/>
    </row>
    <row r="83" spans="1:22" s="49" customFormat="1" ht="15.75" customHeight="1">
      <c r="A83" s="202"/>
      <c r="B83" s="297" t="s">
        <v>281</v>
      </c>
      <c r="C83" s="205"/>
      <c r="D83" s="85"/>
      <c r="E83" s="275"/>
      <c r="F83" s="276"/>
      <c r="G83" s="276"/>
      <c r="H83" s="276"/>
      <c r="I83" s="277"/>
      <c r="J83" s="277"/>
      <c r="K83" s="278"/>
      <c r="L83" s="278"/>
      <c r="M83" s="278"/>
      <c r="N83" s="205"/>
      <c r="O83" s="205"/>
      <c r="P83" s="279"/>
      <c r="Q83" s="279"/>
      <c r="R83" s="279"/>
      <c r="S83" s="280"/>
      <c r="V83" s="682"/>
    </row>
    <row r="84" spans="1:22" s="197" customFormat="1" ht="15.75" customHeight="1">
      <c r="A84" s="198">
        <v>50</v>
      </c>
      <c r="B84" s="206" t="s">
        <v>279</v>
      </c>
      <c r="C84" s="207"/>
      <c r="D84" s="88"/>
      <c r="E84" s="259">
        <f>ROR!F15</f>
        <v>7.2900000000000006E-2</v>
      </c>
      <c r="F84" s="281"/>
      <c r="G84" s="281"/>
      <c r="H84" s="281"/>
      <c r="I84" s="501"/>
      <c r="J84" s="282"/>
      <c r="K84" s="259"/>
      <c r="L84" s="259"/>
      <c r="M84" s="259"/>
      <c r="N84" s="263"/>
      <c r="O84" s="263"/>
      <c r="P84" s="248"/>
      <c r="Q84" s="248"/>
      <c r="R84" s="248"/>
      <c r="S84" s="835">
        <f>E84</f>
        <v>7.2900000000000006E-2</v>
      </c>
      <c r="V84" s="683"/>
    </row>
    <row r="85" spans="1:22" s="197" customFormat="1" ht="15.75" customHeight="1">
      <c r="A85" s="198">
        <v>51</v>
      </c>
      <c r="B85" s="206" t="s">
        <v>293</v>
      </c>
      <c r="C85" s="207"/>
      <c r="D85" s="88"/>
      <c r="E85" s="248">
        <f>E84*E79</f>
        <v>92813.145300000004</v>
      </c>
      <c r="F85" s="283"/>
      <c r="G85" s="283"/>
      <c r="H85" s="283"/>
      <c r="I85" s="501"/>
      <c r="J85" s="282"/>
      <c r="K85" s="283"/>
      <c r="L85" s="283"/>
      <c r="M85" s="283"/>
      <c r="N85" s="263"/>
      <c r="O85" s="263"/>
      <c r="P85" s="248"/>
      <c r="Q85" s="248"/>
      <c r="R85" s="248"/>
      <c r="S85" s="502">
        <f>S84*S79</f>
        <v>104827.13820000581</v>
      </c>
    </row>
    <row r="86" spans="1:22" s="197" customFormat="1" ht="15.75" customHeight="1">
      <c r="A86" s="198">
        <v>52</v>
      </c>
      <c r="B86" s="206" t="s">
        <v>282</v>
      </c>
      <c r="C86" s="207"/>
      <c r="D86" s="87"/>
      <c r="E86" s="248">
        <f>E85-E54</f>
        <v>-8535.8546999999962</v>
      </c>
      <c r="F86" s="284"/>
      <c r="G86" s="284"/>
      <c r="H86" s="284"/>
      <c r="I86" s="501"/>
      <c r="J86" s="282"/>
      <c r="K86" s="284"/>
      <c r="L86" s="284"/>
      <c r="M86" s="284"/>
      <c r="N86" s="285"/>
      <c r="O86" s="285"/>
      <c r="P86" s="285"/>
      <c r="Q86" s="285"/>
      <c r="R86" s="263"/>
      <c r="S86" s="502">
        <f>S85-S54</f>
        <v>6306.2978145045345</v>
      </c>
    </row>
    <row r="87" spans="1:22" s="197" customFormat="1" ht="15.75" customHeight="1">
      <c r="A87" s="198">
        <v>53</v>
      </c>
      <c r="B87" s="206" t="s">
        <v>95</v>
      </c>
      <c r="C87" s="207"/>
      <c r="D87" s="87"/>
      <c r="E87" s="596">
        <f>S87</f>
        <v>0.62017999999999995</v>
      </c>
      <c r="F87" s="281"/>
      <c r="G87" s="281"/>
      <c r="H87" s="281"/>
      <c r="I87" s="501"/>
      <c r="J87" s="282"/>
      <c r="K87" s="287"/>
      <c r="L87" s="287"/>
      <c r="M87" s="287"/>
      <c r="N87" s="285"/>
      <c r="O87" s="285"/>
      <c r="P87" s="285"/>
      <c r="Q87" s="285"/>
      <c r="R87" s="263"/>
      <c r="S87" s="595">
        <f>ROR!L24</f>
        <v>0.62017999999999995</v>
      </c>
    </row>
    <row r="88" spans="1:22" s="197" customFormat="1" ht="15.75" customHeight="1">
      <c r="A88" s="198">
        <v>54</v>
      </c>
      <c r="B88" s="206" t="s">
        <v>49</v>
      </c>
      <c r="C88" s="207"/>
      <c r="D88" s="87"/>
      <c r="E88" s="248">
        <f>E86/E87</f>
        <v>-13763.511722403167</v>
      </c>
      <c r="F88" s="288"/>
      <c r="G88" s="288"/>
      <c r="H88" s="288"/>
      <c r="I88" s="501"/>
      <c r="J88" s="282"/>
      <c r="K88" s="284"/>
      <c r="L88" s="284"/>
      <c r="M88" s="284"/>
      <c r="N88" s="285"/>
      <c r="O88" s="285"/>
      <c r="P88" s="285"/>
      <c r="Q88" s="285"/>
      <c r="R88" s="263"/>
      <c r="S88" s="502">
        <f>S86/S87</f>
        <v>10168.495943926819</v>
      </c>
    </row>
    <row r="89" spans="1:22" s="47" customFormat="1" ht="15.75" customHeight="1">
      <c r="A89" s="198">
        <v>55</v>
      </c>
      <c r="B89" s="206" t="s">
        <v>116</v>
      </c>
      <c r="C89" s="207"/>
      <c r="D89" s="87"/>
      <c r="E89" s="294"/>
      <c r="F89" s="288"/>
      <c r="G89" s="288"/>
      <c r="H89" s="288"/>
      <c r="I89" s="288"/>
      <c r="J89" s="282"/>
      <c r="K89" s="289"/>
      <c r="L89" s="289"/>
      <c r="M89" s="289"/>
      <c r="N89" s="285"/>
      <c r="O89" s="285"/>
      <c r="P89" s="285"/>
      <c r="Q89" s="285"/>
      <c r="R89" s="263"/>
      <c r="S89" s="348">
        <f>'Weighted Revenue Growth'!J25+1</f>
        <v>1.0131154664126296</v>
      </c>
      <c r="U89" s="546"/>
    </row>
    <row r="90" spans="1:22" s="47" customFormat="1" ht="15.75" customHeight="1" thickBot="1">
      <c r="A90" s="198">
        <v>56</v>
      </c>
      <c r="B90" s="298" t="s">
        <v>283</v>
      </c>
      <c r="C90" s="299"/>
      <c r="D90" s="154"/>
      <c r="E90" s="295"/>
      <c r="F90" s="290"/>
      <c r="G90" s="290"/>
      <c r="H90" s="290"/>
      <c r="I90" s="290"/>
      <c r="J90" s="296"/>
      <c r="K90" s="295"/>
      <c r="L90" s="295"/>
      <c r="M90" s="295"/>
      <c r="N90" s="291"/>
      <c r="O90" s="291"/>
      <c r="P90" s="291"/>
      <c r="Q90" s="291"/>
      <c r="R90" s="292"/>
      <c r="S90" s="834">
        <f>S88/S89</f>
        <v>10036.857871623208</v>
      </c>
    </row>
    <row r="91" spans="1:22" ht="3.75" customHeight="1">
      <c r="B91" s="41"/>
      <c r="C91" s="41"/>
      <c r="D91" s="41"/>
      <c r="E91" s="41"/>
      <c r="F91" s="71"/>
      <c r="G91" s="71"/>
      <c r="H91" s="71"/>
      <c r="I91" s="92"/>
      <c r="J91" s="92"/>
      <c r="K91" s="71"/>
      <c r="L91" s="71"/>
      <c r="M91" s="71"/>
      <c r="N91" s="51"/>
      <c r="O91" s="51"/>
      <c r="Q91" s="51"/>
      <c r="R91" s="51"/>
      <c r="S91" s="51"/>
    </row>
    <row r="92" spans="1:22" s="539" customFormat="1" ht="46.5" customHeight="1">
      <c r="A92" s="553"/>
      <c r="B92" s="553"/>
      <c r="C92" s="931" t="s">
        <v>729</v>
      </c>
      <c r="D92" s="931"/>
      <c r="E92" s="931"/>
      <c r="F92" s="931"/>
      <c r="G92" s="931"/>
      <c r="H92" s="931"/>
      <c r="I92" s="931"/>
      <c r="J92" s="931"/>
      <c r="K92" s="931"/>
      <c r="L92" s="931"/>
      <c r="M92" s="931"/>
      <c r="N92" s="931"/>
      <c r="O92" s="931"/>
      <c r="P92" s="931"/>
      <c r="Q92" s="931"/>
      <c r="R92" s="553"/>
      <c r="S92" s="553"/>
    </row>
    <row r="93" spans="1:22" ht="11.1" customHeight="1">
      <c r="B93" s="48"/>
      <c r="C93" s="48"/>
      <c r="E93" s="48"/>
      <c r="F93" s="48"/>
      <c r="G93" s="48"/>
      <c r="H93" s="48"/>
      <c r="I93" s="92"/>
      <c r="J93" s="92"/>
      <c r="K93" s="48"/>
      <c r="L93" s="48"/>
      <c r="M93" s="48"/>
      <c r="N93" s="51"/>
      <c r="O93" s="51"/>
      <c r="Q93" s="51"/>
      <c r="R93" s="51"/>
      <c r="S93" s="51"/>
    </row>
    <row r="94" spans="1:22" ht="15.6" customHeight="1">
      <c r="C94" s="51"/>
      <c r="E94" s="48"/>
      <c r="F94" s="51"/>
      <c r="G94" s="51"/>
      <c r="H94" s="51"/>
      <c r="I94" s="259"/>
      <c r="J94" s="89"/>
      <c r="K94" s="48"/>
      <c r="L94" s="48"/>
      <c r="M94" s="48"/>
      <c r="N94" s="51"/>
      <c r="O94" s="51"/>
      <c r="Q94" s="51"/>
      <c r="R94" s="51"/>
      <c r="S94" s="283"/>
      <c r="U94" s="872" t="s">
        <v>741</v>
      </c>
    </row>
    <row r="95" spans="1:22" ht="11.1" customHeight="1">
      <c r="C95" s="51"/>
      <c r="E95" s="48"/>
      <c r="F95" s="51"/>
      <c r="G95" s="51"/>
      <c r="H95" s="51"/>
      <c r="I95" s="89"/>
      <c r="J95" s="89"/>
      <c r="K95" s="48"/>
      <c r="L95" s="48"/>
      <c r="M95" s="48"/>
      <c r="N95" s="51"/>
      <c r="O95" s="51"/>
      <c r="Q95" s="51"/>
      <c r="R95" s="51"/>
      <c r="S95" s="51"/>
    </row>
    <row r="96" spans="1:22" ht="15.75">
      <c r="C96" s="51"/>
      <c r="E96" s="48"/>
      <c r="F96" s="51"/>
      <c r="G96" s="51"/>
      <c r="H96" s="51"/>
      <c r="I96" s="259"/>
      <c r="J96" s="89"/>
      <c r="K96" s="48"/>
      <c r="L96" s="48"/>
      <c r="M96" s="48"/>
      <c r="N96" s="51"/>
      <c r="O96" s="51"/>
      <c r="Q96" s="51"/>
      <c r="R96" s="51"/>
      <c r="S96" s="51"/>
    </row>
    <row r="97" spans="3:21" ht="15.75">
      <c r="C97" s="51"/>
      <c r="E97" s="48"/>
      <c r="F97" s="51"/>
      <c r="G97" s="51"/>
      <c r="H97" s="51"/>
      <c r="I97" s="500"/>
      <c r="J97" s="89"/>
      <c r="K97" s="48"/>
      <c r="L97" s="48"/>
      <c r="M97" s="48"/>
      <c r="N97" s="51"/>
      <c r="O97" s="51"/>
      <c r="Q97" s="51"/>
      <c r="R97" s="51"/>
      <c r="S97" s="51"/>
    </row>
    <row r="98" spans="3:21" ht="15.75">
      <c r="C98" s="51"/>
      <c r="E98" s="48"/>
      <c r="F98" s="51"/>
      <c r="G98" s="51"/>
      <c r="H98" s="51"/>
      <c r="I98" s="500"/>
      <c r="J98" s="89"/>
      <c r="K98" s="48"/>
      <c r="L98" s="48"/>
      <c r="M98" s="48"/>
      <c r="N98" s="51"/>
      <c r="O98" s="51"/>
      <c r="Q98" s="51"/>
      <c r="R98" s="51"/>
      <c r="S98" s="51"/>
    </row>
    <row r="99" spans="3:21" ht="15.75">
      <c r="C99" s="51"/>
      <c r="E99" s="48"/>
      <c r="F99" s="51"/>
      <c r="G99" s="51"/>
      <c r="H99" s="51"/>
      <c r="I99" s="286"/>
      <c r="J99" s="89"/>
      <c r="K99" s="48"/>
      <c r="L99" s="48"/>
      <c r="M99" s="48"/>
      <c r="N99" s="51"/>
      <c r="O99" s="51"/>
      <c r="Q99" s="51"/>
      <c r="R99" s="51"/>
      <c r="S99" s="51"/>
    </row>
    <row r="100" spans="3:21" ht="15.75">
      <c r="C100" s="51"/>
      <c r="E100" s="48"/>
      <c r="F100" s="51"/>
      <c r="G100" s="51"/>
      <c r="H100" s="51"/>
      <c r="I100" s="500"/>
      <c r="J100" s="89"/>
      <c r="K100" s="48"/>
      <c r="L100" s="48"/>
      <c r="M100" s="48"/>
      <c r="N100" s="51"/>
      <c r="O100" s="51"/>
      <c r="Q100" s="51"/>
      <c r="R100" s="51"/>
      <c r="S100" s="51"/>
    </row>
    <row r="101" spans="3:21" ht="11.1" customHeight="1">
      <c r="C101" s="51"/>
      <c r="E101" s="48"/>
      <c r="F101" s="51"/>
      <c r="G101" s="51"/>
      <c r="H101" s="51"/>
      <c r="I101" s="89"/>
      <c r="J101" s="89"/>
      <c r="K101" s="48"/>
      <c r="L101" s="48"/>
      <c r="M101" s="48"/>
      <c r="N101" s="51"/>
      <c r="O101" s="51"/>
      <c r="Q101" s="51"/>
      <c r="R101" s="51"/>
      <c r="S101" s="51"/>
    </row>
    <row r="102" spans="3:21" ht="11.1" customHeight="1">
      <c r="C102" s="51"/>
      <c r="E102" s="48"/>
      <c r="F102" s="51"/>
      <c r="G102" s="51"/>
      <c r="H102" s="51"/>
      <c r="I102" s="89"/>
      <c r="J102" s="89"/>
      <c r="K102" s="48"/>
      <c r="L102" s="48"/>
      <c r="M102" s="48"/>
      <c r="N102" s="51"/>
      <c r="O102" s="51"/>
      <c r="Q102" s="51"/>
      <c r="R102" s="51"/>
      <c r="S102" s="51"/>
    </row>
    <row r="103" spans="3:21" ht="11.1" customHeight="1">
      <c r="C103" s="51"/>
      <c r="E103" s="48"/>
      <c r="F103" s="51"/>
      <c r="G103" s="51"/>
      <c r="H103" s="51"/>
      <c r="I103" s="89"/>
      <c r="J103" s="89"/>
      <c r="K103" s="48"/>
      <c r="L103" s="48"/>
      <c r="M103" s="48"/>
      <c r="N103" s="51"/>
      <c r="O103" s="51"/>
      <c r="Q103" s="51"/>
      <c r="R103" s="51"/>
      <c r="S103" s="51"/>
    </row>
    <row r="104" spans="3:21" ht="11.1" customHeight="1">
      <c r="C104" s="51"/>
      <c r="E104" s="48"/>
      <c r="F104" s="51"/>
      <c r="G104" s="51"/>
      <c r="H104" s="51"/>
      <c r="I104" s="89"/>
      <c r="J104" s="89"/>
      <c r="K104" s="48"/>
      <c r="L104" s="48"/>
      <c r="M104" s="48"/>
      <c r="N104" s="51"/>
      <c r="O104" s="51"/>
      <c r="Q104" s="51"/>
      <c r="R104" s="51"/>
      <c r="S104" s="51"/>
      <c r="U104" s="872" t="s">
        <v>741</v>
      </c>
    </row>
    <row r="105" spans="3:21" ht="11.1" customHeight="1">
      <c r="C105" s="51"/>
      <c r="E105" s="48"/>
      <c r="G105" s="184"/>
      <c r="H105" s="184"/>
      <c r="I105" s="49"/>
      <c r="J105" s="49"/>
      <c r="K105" s="50"/>
      <c r="L105" s="50"/>
      <c r="M105" s="50"/>
      <c r="N105" s="51"/>
      <c r="O105" s="51"/>
      <c r="Q105" s="51"/>
      <c r="R105" s="51"/>
      <c r="S105" s="51"/>
    </row>
    <row r="106" spans="3:21" ht="11.1" customHeight="1">
      <c r="C106" s="51"/>
      <c r="E106" s="48"/>
      <c r="G106" s="184"/>
      <c r="H106" s="184"/>
      <c r="I106" s="49"/>
      <c r="J106" s="49"/>
      <c r="K106" s="50"/>
      <c r="L106" s="50"/>
      <c r="M106" s="50"/>
      <c r="N106" s="51"/>
      <c r="O106" s="51"/>
      <c r="Q106" s="51"/>
      <c r="R106" s="51"/>
      <c r="S106" s="51"/>
    </row>
    <row r="107" spans="3:21" ht="11.1" customHeight="1">
      <c r="C107" s="51"/>
      <c r="E107" s="48"/>
      <c r="G107" s="184"/>
      <c r="H107" s="184"/>
      <c r="I107" s="49"/>
      <c r="J107" s="49"/>
      <c r="K107" s="50"/>
      <c r="L107" s="50"/>
      <c r="M107" s="50"/>
      <c r="N107" s="51"/>
      <c r="O107" s="51"/>
      <c r="Q107" s="51"/>
      <c r="R107" s="51"/>
      <c r="S107" s="51"/>
    </row>
    <row r="108" spans="3:21" ht="11.1" customHeight="1">
      <c r="C108" s="51"/>
      <c r="E108" s="48"/>
      <c r="G108" s="184"/>
      <c r="H108" s="184"/>
      <c r="I108" s="49"/>
      <c r="J108" s="49"/>
      <c r="K108" s="50"/>
      <c r="L108" s="50"/>
      <c r="M108" s="50"/>
      <c r="N108" s="51"/>
      <c r="O108" s="51"/>
      <c r="Q108" s="51"/>
      <c r="R108" s="51"/>
      <c r="S108" s="51"/>
    </row>
    <row r="109" spans="3:21" ht="11.1" customHeight="1">
      <c r="C109" s="51"/>
      <c r="E109" s="48"/>
      <c r="G109" s="184"/>
      <c r="H109" s="184"/>
      <c r="I109" s="49"/>
      <c r="J109" s="49"/>
      <c r="K109" s="50"/>
      <c r="L109" s="50"/>
      <c r="M109" s="50"/>
      <c r="N109" s="51"/>
      <c r="O109" s="51"/>
      <c r="Q109" s="51"/>
      <c r="R109" s="51"/>
      <c r="S109" s="51"/>
    </row>
    <row r="110" spans="3:21" ht="11.1" customHeight="1">
      <c r="C110" s="51"/>
      <c r="E110" s="48"/>
      <c r="G110" s="184"/>
      <c r="H110" s="184"/>
      <c r="I110" s="49"/>
      <c r="J110" s="49"/>
      <c r="K110" s="50"/>
      <c r="L110" s="50"/>
      <c r="M110" s="50"/>
      <c r="N110" s="51"/>
      <c r="O110" s="51"/>
      <c r="Q110" s="51"/>
      <c r="R110" s="51"/>
      <c r="S110" s="51"/>
    </row>
    <row r="111" spans="3:21" ht="11.1" customHeight="1">
      <c r="C111" s="51"/>
      <c r="E111" s="48"/>
      <c r="G111" s="184"/>
      <c r="H111" s="184"/>
      <c r="I111" s="49"/>
      <c r="J111" s="49"/>
      <c r="K111" s="50"/>
      <c r="L111" s="50"/>
      <c r="M111" s="50"/>
      <c r="N111" s="51"/>
      <c r="O111" s="51"/>
      <c r="Q111" s="51"/>
      <c r="R111" s="51"/>
      <c r="S111" s="51"/>
    </row>
    <row r="112" spans="3:21" ht="11.1" customHeight="1">
      <c r="C112" s="51"/>
      <c r="E112" s="48"/>
      <c r="G112" s="184"/>
      <c r="H112" s="184"/>
      <c r="I112" s="49"/>
      <c r="J112" s="49"/>
      <c r="K112" s="50"/>
      <c r="L112" s="50"/>
      <c r="M112" s="50"/>
      <c r="N112" s="51"/>
      <c r="O112" s="51"/>
      <c r="Q112" s="51"/>
      <c r="R112" s="51"/>
      <c r="S112" s="51"/>
    </row>
    <row r="113" spans="3:19" ht="11.1" customHeight="1">
      <c r="C113" s="51"/>
      <c r="E113" s="48"/>
      <c r="G113" s="184"/>
      <c r="H113" s="184"/>
      <c r="I113" s="49"/>
      <c r="J113" s="49"/>
      <c r="K113" s="50"/>
      <c r="L113" s="50"/>
      <c r="M113" s="50"/>
      <c r="N113" s="51"/>
      <c r="O113" s="51"/>
      <c r="Q113" s="51"/>
      <c r="R113" s="51"/>
      <c r="S113" s="51"/>
    </row>
    <row r="114" spans="3:19" ht="11.1" customHeight="1">
      <c r="C114" s="51"/>
      <c r="E114" s="48"/>
      <c r="G114" s="184"/>
      <c r="H114" s="184"/>
      <c r="I114" s="49"/>
      <c r="J114" s="49"/>
      <c r="K114" s="50"/>
      <c r="L114" s="50"/>
      <c r="M114" s="50"/>
      <c r="N114" s="51"/>
      <c r="O114" s="51"/>
      <c r="Q114" s="51"/>
      <c r="R114" s="51"/>
      <c r="S114" s="51"/>
    </row>
    <row r="115" spans="3:19" ht="11.1" customHeight="1">
      <c r="C115" s="51"/>
      <c r="E115" s="48"/>
      <c r="G115" s="184"/>
      <c r="H115" s="184"/>
      <c r="I115" s="49"/>
      <c r="J115" s="49"/>
      <c r="K115" s="50"/>
      <c r="L115" s="50"/>
      <c r="M115" s="50"/>
      <c r="N115" s="51"/>
      <c r="O115" s="51"/>
      <c r="Q115" s="51"/>
      <c r="R115" s="51"/>
      <c r="S115" s="51"/>
    </row>
    <row r="116" spans="3:19" ht="11.1" customHeight="1">
      <c r="C116" s="51"/>
      <c r="E116" s="48"/>
      <c r="G116" s="184"/>
      <c r="H116" s="184"/>
      <c r="I116" s="49"/>
      <c r="J116" s="49"/>
      <c r="K116" s="50"/>
      <c r="L116" s="50"/>
      <c r="M116" s="50"/>
      <c r="N116" s="51"/>
      <c r="O116" s="51"/>
      <c r="Q116" s="51"/>
      <c r="R116" s="51"/>
      <c r="S116" s="51"/>
    </row>
    <row r="117" spans="3:19" ht="11.1" customHeight="1">
      <c r="C117" s="51"/>
      <c r="E117" s="48"/>
      <c r="G117" s="184"/>
      <c r="H117" s="184"/>
      <c r="I117" s="49"/>
      <c r="J117" s="49"/>
      <c r="K117" s="50"/>
      <c r="L117" s="50"/>
      <c r="M117" s="50"/>
      <c r="N117" s="51"/>
      <c r="O117" s="51"/>
      <c r="Q117" s="51"/>
      <c r="R117" s="51"/>
      <c r="S117" s="51"/>
    </row>
    <row r="118" spans="3:19" ht="11.1" customHeight="1">
      <c r="C118" s="51"/>
      <c r="E118" s="48"/>
      <c r="G118" s="184"/>
      <c r="H118" s="184"/>
      <c r="I118" s="49"/>
      <c r="J118" s="49"/>
      <c r="K118" s="50"/>
      <c r="L118" s="50"/>
      <c r="M118" s="50"/>
      <c r="N118" s="51"/>
      <c r="O118" s="51"/>
      <c r="Q118" s="51"/>
      <c r="R118" s="51"/>
      <c r="S118" s="51"/>
    </row>
    <row r="119" spans="3:19" ht="11.1" customHeight="1">
      <c r="C119" s="51"/>
      <c r="E119" s="48"/>
      <c r="G119" s="184"/>
      <c r="H119" s="184"/>
      <c r="I119" s="49"/>
      <c r="J119" s="49"/>
      <c r="K119" s="50"/>
      <c r="L119" s="50"/>
      <c r="M119" s="50"/>
      <c r="N119" s="51"/>
      <c r="O119" s="51"/>
      <c r="Q119" s="51"/>
      <c r="R119" s="51"/>
      <c r="S119" s="51"/>
    </row>
    <row r="120" spans="3:19" ht="11.1" customHeight="1">
      <c r="C120" s="51"/>
      <c r="E120" s="48"/>
      <c r="G120" s="184"/>
      <c r="H120" s="184"/>
      <c r="I120" s="49"/>
      <c r="J120" s="49"/>
      <c r="K120" s="50"/>
      <c r="L120" s="50"/>
      <c r="M120" s="50"/>
      <c r="N120" s="51"/>
      <c r="O120" s="51"/>
      <c r="Q120" s="51"/>
      <c r="R120" s="51"/>
      <c r="S120" s="51"/>
    </row>
    <row r="121" spans="3:19" ht="11.1" customHeight="1">
      <c r="C121" s="51"/>
      <c r="E121" s="48"/>
      <c r="G121" s="184"/>
      <c r="H121" s="184"/>
      <c r="I121" s="49"/>
      <c r="J121" s="49"/>
      <c r="K121" s="50"/>
      <c r="L121" s="50"/>
      <c r="M121" s="50"/>
      <c r="N121" s="51"/>
      <c r="O121" s="51"/>
      <c r="Q121" s="51"/>
      <c r="R121" s="51"/>
      <c r="S121" s="51"/>
    </row>
    <row r="122" spans="3:19" ht="11.1" customHeight="1">
      <c r="C122" s="51"/>
      <c r="E122" s="48"/>
      <c r="G122" s="184"/>
      <c r="H122" s="184"/>
      <c r="I122" s="49"/>
      <c r="J122" s="49"/>
      <c r="K122" s="50"/>
      <c r="L122" s="50"/>
      <c r="M122" s="50"/>
      <c r="N122" s="51"/>
      <c r="O122" s="51"/>
      <c r="Q122" s="51"/>
      <c r="R122" s="51"/>
      <c r="S122" s="51"/>
    </row>
    <row r="123" spans="3:19" ht="11.1" customHeight="1">
      <c r="C123" s="51"/>
      <c r="E123" s="48"/>
      <c r="G123" s="184"/>
      <c r="H123" s="184"/>
      <c r="I123" s="49"/>
      <c r="J123" s="49"/>
      <c r="K123" s="50"/>
      <c r="L123" s="50"/>
      <c r="M123" s="50"/>
      <c r="N123" s="51"/>
      <c r="O123" s="51"/>
      <c r="Q123" s="51"/>
      <c r="R123" s="51"/>
      <c r="S123" s="51"/>
    </row>
    <row r="124" spans="3:19" ht="11.1" customHeight="1">
      <c r="C124" s="51"/>
      <c r="E124" s="48"/>
      <c r="G124" s="184"/>
      <c r="H124" s="184"/>
      <c r="I124" s="49"/>
      <c r="J124" s="49"/>
      <c r="K124" s="50"/>
      <c r="L124" s="50"/>
      <c r="M124" s="50"/>
      <c r="N124" s="51"/>
      <c r="O124" s="51"/>
      <c r="Q124" s="51"/>
      <c r="R124" s="51"/>
      <c r="S124" s="51"/>
    </row>
    <row r="125" spans="3:19" ht="11.1" customHeight="1">
      <c r="C125" s="51"/>
      <c r="E125" s="48"/>
      <c r="G125" s="184"/>
      <c r="H125" s="184"/>
      <c r="I125" s="49"/>
      <c r="J125" s="49"/>
      <c r="K125" s="50"/>
      <c r="L125" s="50"/>
      <c r="M125" s="50"/>
      <c r="N125" s="51"/>
      <c r="O125" s="51"/>
      <c r="Q125" s="51"/>
      <c r="R125" s="51"/>
      <c r="S125" s="51"/>
    </row>
    <row r="126" spans="3:19" ht="11.1" customHeight="1">
      <c r="C126" s="51"/>
      <c r="E126" s="48"/>
      <c r="G126" s="184"/>
      <c r="H126" s="184"/>
      <c r="I126" s="49"/>
      <c r="J126" s="49"/>
      <c r="K126" s="50"/>
      <c r="L126" s="50"/>
      <c r="M126" s="50"/>
      <c r="N126" s="51"/>
      <c r="O126" s="51"/>
      <c r="Q126" s="51"/>
      <c r="R126" s="51"/>
      <c r="S126" s="51"/>
    </row>
    <row r="127" spans="3:19" ht="11.1" customHeight="1">
      <c r="C127" s="51"/>
      <c r="E127" s="48"/>
      <c r="G127" s="184"/>
      <c r="H127" s="184"/>
      <c r="I127" s="49"/>
      <c r="J127" s="49"/>
      <c r="K127" s="50"/>
      <c r="L127" s="50"/>
      <c r="M127" s="50"/>
      <c r="N127" s="51"/>
      <c r="O127" s="51"/>
      <c r="Q127" s="51"/>
      <c r="R127" s="51"/>
      <c r="S127" s="51"/>
    </row>
    <row r="128" spans="3:19" ht="11.1" customHeight="1">
      <c r="C128" s="51"/>
      <c r="E128" s="48"/>
      <c r="G128" s="184"/>
      <c r="H128" s="184"/>
      <c r="I128" s="49"/>
      <c r="J128" s="49"/>
      <c r="K128" s="50"/>
      <c r="L128" s="50"/>
      <c r="M128" s="50"/>
      <c r="N128" s="51"/>
      <c r="O128" s="51"/>
      <c r="Q128" s="51"/>
      <c r="R128" s="51"/>
      <c r="S128" s="51"/>
    </row>
    <row r="129" spans="3:19" ht="11.1" customHeight="1">
      <c r="C129" s="51"/>
      <c r="E129" s="48"/>
      <c r="G129" s="184"/>
      <c r="H129" s="184"/>
      <c r="I129" s="49"/>
      <c r="J129" s="49"/>
      <c r="K129" s="50"/>
      <c r="L129" s="50"/>
      <c r="M129" s="50"/>
      <c r="N129" s="51"/>
      <c r="O129" s="51"/>
      <c r="Q129" s="51"/>
      <c r="R129" s="51"/>
      <c r="S129" s="51"/>
    </row>
    <row r="130" spans="3:19" ht="11.1" customHeight="1">
      <c r="C130" s="51"/>
      <c r="E130" s="48"/>
      <c r="G130" s="184"/>
      <c r="H130" s="184"/>
      <c r="I130" s="49"/>
      <c r="J130" s="49"/>
      <c r="K130" s="50"/>
      <c r="L130" s="50"/>
      <c r="M130" s="50"/>
      <c r="N130" s="51"/>
      <c r="O130" s="51"/>
      <c r="Q130" s="51"/>
      <c r="R130" s="51"/>
      <c r="S130" s="51"/>
    </row>
    <row r="131" spans="3:19" ht="11.1" customHeight="1">
      <c r="C131" s="51"/>
      <c r="E131" s="48"/>
      <c r="G131" s="184"/>
      <c r="H131" s="184"/>
      <c r="I131" s="49"/>
      <c r="J131" s="49"/>
      <c r="K131" s="50"/>
      <c r="L131" s="50"/>
      <c r="M131" s="50"/>
      <c r="N131" s="51"/>
      <c r="O131" s="51"/>
      <c r="Q131" s="51"/>
      <c r="R131" s="51"/>
      <c r="S131" s="51"/>
    </row>
    <row r="132" spans="3:19" ht="11.1" customHeight="1">
      <c r="C132" s="51"/>
      <c r="E132" s="48"/>
      <c r="G132" s="184"/>
      <c r="H132" s="184"/>
      <c r="I132" s="49"/>
      <c r="J132" s="49"/>
      <c r="K132" s="50"/>
      <c r="L132" s="50"/>
      <c r="M132" s="50"/>
      <c r="N132" s="51"/>
      <c r="O132" s="51"/>
      <c r="Q132" s="51"/>
      <c r="R132" s="51"/>
      <c r="S132" s="51"/>
    </row>
    <row r="133" spans="3:19" ht="11.1" customHeight="1">
      <c r="C133" s="51"/>
      <c r="E133" s="48"/>
      <c r="G133" s="184"/>
      <c r="H133" s="184"/>
      <c r="I133" s="49"/>
      <c r="J133" s="49"/>
      <c r="K133" s="50"/>
      <c r="L133" s="50"/>
      <c r="M133" s="50"/>
      <c r="N133" s="51"/>
      <c r="O133" s="51"/>
      <c r="Q133" s="51"/>
      <c r="R133" s="51"/>
      <c r="S133" s="51"/>
    </row>
    <row r="134" spans="3:19" ht="11.1" customHeight="1">
      <c r="C134" s="51"/>
      <c r="E134" s="48"/>
      <c r="G134" s="184"/>
      <c r="H134" s="184"/>
      <c r="I134" s="49"/>
      <c r="J134" s="49"/>
      <c r="K134" s="50"/>
      <c r="L134" s="50"/>
      <c r="M134" s="50"/>
      <c r="N134" s="51"/>
      <c r="O134" s="51"/>
      <c r="Q134" s="51"/>
      <c r="R134" s="51"/>
      <c r="S134" s="51"/>
    </row>
    <row r="135" spans="3:19" ht="11.1" customHeight="1">
      <c r="C135" s="51"/>
      <c r="E135" s="48"/>
      <c r="G135" s="184"/>
      <c r="H135" s="184"/>
      <c r="I135" s="49"/>
      <c r="J135" s="49"/>
      <c r="K135" s="50"/>
      <c r="L135" s="50"/>
      <c r="M135" s="50"/>
      <c r="N135" s="51"/>
      <c r="O135" s="51"/>
      <c r="Q135" s="51"/>
      <c r="R135" s="51"/>
      <c r="S135" s="51"/>
    </row>
    <row r="136" spans="3:19" ht="11.1" customHeight="1">
      <c r="C136" s="51"/>
      <c r="E136" s="48"/>
      <c r="G136" s="184"/>
      <c r="H136" s="184"/>
      <c r="I136" s="49"/>
      <c r="J136" s="49"/>
      <c r="K136" s="50"/>
      <c r="L136" s="50"/>
      <c r="M136" s="50"/>
      <c r="N136" s="51"/>
      <c r="O136" s="51"/>
      <c r="Q136" s="51"/>
      <c r="R136" s="51"/>
      <c r="S136" s="51"/>
    </row>
    <row r="137" spans="3:19" ht="11.1" customHeight="1">
      <c r="C137" s="51"/>
      <c r="E137" s="48"/>
      <c r="G137" s="184"/>
      <c r="H137" s="184"/>
      <c r="I137" s="49"/>
      <c r="J137" s="49"/>
      <c r="K137" s="50"/>
      <c r="L137" s="50"/>
      <c r="M137" s="50"/>
      <c r="N137" s="51"/>
      <c r="O137" s="51"/>
      <c r="Q137" s="51"/>
      <c r="R137" s="51"/>
      <c r="S137" s="51"/>
    </row>
    <row r="138" spans="3:19" ht="11.1" customHeight="1">
      <c r="C138" s="51"/>
      <c r="E138" s="48"/>
      <c r="G138" s="184"/>
      <c r="H138" s="184"/>
      <c r="I138" s="49"/>
      <c r="J138" s="49"/>
      <c r="K138" s="50"/>
      <c r="L138" s="50"/>
      <c r="M138" s="50"/>
      <c r="N138" s="51"/>
      <c r="O138" s="51"/>
      <c r="Q138" s="51"/>
      <c r="R138" s="51"/>
      <c r="S138" s="51"/>
    </row>
    <row r="139" spans="3:19" ht="11.1" customHeight="1">
      <c r="C139" s="51"/>
      <c r="E139" s="48"/>
      <c r="G139" s="184"/>
      <c r="H139" s="184"/>
      <c r="I139" s="49"/>
      <c r="J139" s="49"/>
      <c r="K139" s="50"/>
      <c r="L139" s="50"/>
      <c r="M139" s="50"/>
      <c r="N139" s="51"/>
      <c r="O139" s="51"/>
      <c r="Q139" s="51"/>
      <c r="R139" s="51"/>
      <c r="S139" s="51"/>
    </row>
    <row r="140" spans="3:19" ht="11.1" customHeight="1">
      <c r="C140" s="51"/>
      <c r="E140" s="48"/>
      <c r="G140" s="184"/>
      <c r="H140" s="184"/>
      <c r="I140" s="49"/>
      <c r="J140" s="49"/>
      <c r="K140" s="50"/>
      <c r="L140" s="50"/>
      <c r="M140" s="50"/>
      <c r="N140" s="51"/>
      <c r="O140" s="51"/>
      <c r="Q140" s="51"/>
      <c r="R140" s="51"/>
      <c r="S140" s="51"/>
    </row>
    <row r="141" spans="3:19" ht="11.1" customHeight="1">
      <c r="C141" s="51"/>
      <c r="E141" s="48"/>
      <c r="G141" s="184"/>
      <c r="H141" s="184"/>
      <c r="I141" s="49"/>
      <c r="J141" s="49"/>
      <c r="K141" s="50"/>
      <c r="L141" s="50"/>
      <c r="M141" s="50"/>
      <c r="N141" s="51"/>
      <c r="O141" s="51"/>
      <c r="Q141" s="51"/>
      <c r="R141" s="51"/>
      <c r="S141" s="51"/>
    </row>
    <row r="142" spans="3:19" ht="11.1" customHeight="1">
      <c r="C142" s="51"/>
      <c r="E142" s="48"/>
      <c r="G142" s="184"/>
      <c r="H142" s="184"/>
      <c r="I142" s="49"/>
      <c r="J142" s="49"/>
      <c r="K142" s="50"/>
      <c r="L142" s="50"/>
      <c r="M142" s="50"/>
      <c r="N142" s="51"/>
      <c r="O142" s="51"/>
      <c r="Q142" s="51"/>
      <c r="R142" s="51"/>
      <c r="S142" s="51"/>
    </row>
    <row r="143" spans="3:19" ht="11.1" customHeight="1">
      <c r="C143" s="51"/>
      <c r="E143" s="48"/>
      <c r="G143" s="184"/>
      <c r="H143" s="184"/>
      <c r="I143" s="49"/>
      <c r="J143" s="49"/>
      <c r="K143" s="50"/>
      <c r="L143" s="50"/>
      <c r="M143" s="50"/>
      <c r="N143" s="51"/>
      <c r="O143" s="51"/>
      <c r="Q143" s="51"/>
      <c r="R143" s="51"/>
      <c r="S143" s="51"/>
    </row>
    <row r="144" spans="3:19" ht="11.1" customHeight="1">
      <c r="C144" s="51"/>
      <c r="E144" s="48"/>
      <c r="G144" s="184"/>
      <c r="H144" s="184"/>
      <c r="I144" s="49"/>
      <c r="J144" s="49"/>
      <c r="K144" s="50"/>
      <c r="L144" s="50"/>
      <c r="M144" s="50"/>
      <c r="N144" s="51"/>
      <c r="O144" s="51"/>
      <c r="Q144" s="51"/>
      <c r="R144" s="51"/>
      <c r="S144" s="51"/>
    </row>
    <row r="145" spans="3:21" ht="11.1" customHeight="1">
      <c r="C145" s="51"/>
      <c r="E145" s="48"/>
      <c r="G145" s="184"/>
      <c r="H145" s="184"/>
      <c r="I145" s="49"/>
      <c r="J145" s="49"/>
      <c r="K145" s="50"/>
      <c r="L145" s="50"/>
      <c r="M145" s="50"/>
      <c r="N145" s="51"/>
      <c r="O145" s="51"/>
      <c r="Q145" s="51"/>
      <c r="R145" s="51"/>
      <c r="S145" s="51"/>
    </row>
    <row r="146" spans="3:21" ht="11.1" customHeight="1">
      <c r="C146" s="51"/>
      <c r="E146" s="48"/>
      <c r="G146" s="184"/>
      <c r="H146" s="184"/>
      <c r="I146" s="49"/>
      <c r="J146" s="49"/>
      <c r="K146" s="50"/>
      <c r="L146" s="50"/>
      <c r="M146" s="50"/>
      <c r="N146" s="51"/>
      <c r="O146" s="51"/>
      <c r="Q146" s="51"/>
      <c r="R146" s="51"/>
      <c r="S146" s="51"/>
    </row>
    <row r="147" spans="3:21" ht="11.1" customHeight="1">
      <c r="C147" s="51"/>
      <c r="E147" s="48"/>
      <c r="G147" s="184"/>
      <c r="H147" s="184"/>
      <c r="I147" s="49"/>
      <c r="J147" s="49"/>
      <c r="K147" s="50"/>
      <c r="L147" s="50"/>
      <c r="M147" s="50"/>
      <c r="N147" s="51"/>
      <c r="O147" s="51"/>
      <c r="Q147" s="51"/>
      <c r="R147" s="51"/>
      <c r="S147" s="51"/>
    </row>
    <row r="148" spans="3:21" ht="11.1" customHeight="1">
      <c r="C148" s="51"/>
      <c r="E148" s="48"/>
      <c r="G148" s="184"/>
      <c r="H148" s="184"/>
      <c r="I148" s="49"/>
      <c r="J148" s="49"/>
      <c r="K148" s="50"/>
      <c r="L148" s="50"/>
      <c r="M148" s="50"/>
      <c r="N148" s="51"/>
      <c r="O148" s="51"/>
      <c r="Q148" s="51"/>
      <c r="R148" s="51"/>
      <c r="S148" s="51"/>
    </row>
    <row r="149" spans="3:21" ht="11.1" customHeight="1">
      <c r="C149" s="51"/>
      <c r="E149" s="48"/>
      <c r="G149" s="184"/>
      <c r="H149" s="184"/>
      <c r="I149" s="49"/>
      <c r="J149" s="49"/>
      <c r="K149" s="50"/>
      <c r="L149" s="50"/>
      <c r="M149" s="50"/>
      <c r="N149" s="51"/>
      <c r="O149" s="51"/>
      <c r="Q149" s="51"/>
      <c r="R149" s="51"/>
      <c r="S149" s="51"/>
    </row>
    <row r="150" spans="3:21" ht="11.1" customHeight="1">
      <c r="C150" s="51"/>
      <c r="E150" s="48"/>
      <c r="G150" s="184"/>
      <c r="H150" s="184"/>
      <c r="I150" s="49"/>
      <c r="J150" s="49"/>
      <c r="K150" s="50"/>
      <c r="L150" s="50"/>
      <c r="M150" s="50"/>
      <c r="N150" s="51"/>
      <c r="O150" s="51"/>
      <c r="Q150" s="51"/>
      <c r="R150" s="51"/>
      <c r="S150" s="51"/>
      <c r="U150" s="872" t="s">
        <v>741</v>
      </c>
    </row>
    <row r="151" spans="3:21" ht="11.1" customHeight="1">
      <c r="C151" s="51"/>
      <c r="E151" s="48"/>
      <c r="G151" s="184"/>
      <c r="H151" s="184"/>
      <c r="I151" s="49"/>
      <c r="J151" s="49"/>
      <c r="K151" s="50"/>
      <c r="L151" s="50"/>
      <c r="M151" s="50"/>
      <c r="N151" s="51"/>
      <c r="O151" s="51"/>
      <c r="Q151" s="51"/>
      <c r="R151" s="51"/>
      <c r="S151" s="51"/>
    </row>
    <row r="152" spans="3:21" ht="11.1" customHeight="1">
      <c r="C152" s="51"/>
      <c r="E152" s="48"/>
      <c r="G152" s="184"/>
      <c r="H152" s="184"/>
      <c r="I152" s="49"/>
      <c r="J152" s="49"/>
      <c r="K152" s="50"/>
      <c r="L152" s="50"/>
      <c r="M152" s="50"/>
      <c r="N152" s="51"/>
      <c r="O152" s="51"/>
      <c r="Q152" s="51"/>
      <c r="R152" s="51"/>
      <c r="S152" s="51"/>
    </row>
    <row r="153" spans="3:21" ht="11.1" customHeight="1">
      <c r="C153" s="51"/>
      <c r="E153" s="48"/>
      <c r="G153" s="184"/>
      <c r="H153" s="184"/>
      <c r="I153" s="49"/>
      <c r="J153" s="49"/>
      <c r="K153" s="50"/>
      <c r="L153" s="50"/>
      <c r="M153" s="50"/>
      <c r="N153" s="51"/>
      <c r="O153" s="51"/>
      <c r="Q153" s="51"/>
      <c r="R153" s="51"/>
      <c r="S153" s="51"/>
    </row>
    <row r="154" spans="3:21" ht="11.1" customHeight="1">
      <c r="C154" s="51"/>
      <c r="E154" s="48"/>
      <c r="G154" s="184"/>
      <c r="H154" s="184"/>
      <c r="I154" s="49"/>
      <c r="J154" s="49"/>
      <c r="K154" s="50"/>
      <c r="L154" s="50"/>
      <c r="M154" s="50"/>
      <c r="N154" s="51"/>
      <c r="O154" s="51"/>
      <c r="Q154" s="51"/>
      <c r="R154" s="51"/>
      <c r="S154" s="51"/>
    </row>
    <row r="155" spans="3:21" ht="11.1" customHeight="1">
      <c r="C155" s="51"/>
      <c r="E155" s="48"/>
      <c r="G155" s="184"/>
      <c r="H155" s="184"/>
      <c r="I155" s="49"/>
      <c r="J155" s="49"/>
      <c r="K155" s="50"/>
      <c r="L155" s="50"/>
      <c r="M155" s="50"/>
      <c r="N155" s="51"/>
      <c r="O155" s="51"/>
      <c r="Q155" s="51"/>
      <c r="R155" s="51"/>
      <c r="S155" s="51"/>
    </row>
    <row r="156" spans="3:21" ht="11.1" customHeight="1">
      <c r="C156" s="51"/>
      <c r="E156" s="48"/>
      <c r="G156" s="184"/>
      <c r="H156" s="184"/>
      <c r="I156" s="49"/>
      <c r="J156" s="49"/>
      <c r="K156" s="50"/>
      <c r="L156" s="50"/>
      <c r="M156" s="50"/>
      <c r="N156" s="51"/>
      <c r="O156" s="51"/>
      <c r="Q156" s="51"/>
      <c r="R156" s="51"/>
      <c r="S156" s="51"/>
    </row>
    <row r="157" spans="3:21" ht="11.1" customHeight="1">
      <c r="C157" s="51"/>
      <c r="E157" s="48"/>
      <c r="G157" s="184"/>
      <c r="H157" s="184"/>
      <c r="I157" s="49"/>
      <c r="J157" s="49"/>
      <c r="K157" s="50"/>
      <c r="L157" s="50"/>
      <c r="M157" s="50"/>
      <c r="N157" s="51"/>
      <c r="O157" s="51"/>
      <c r="Q157" s="51"/>
      <c r="R157" s="51"/>
      <c r="S157" s="51"/>
    </row>
    <row r="158" spans="3:21" ht="11.1" customHeight="1">
      <c r="C158" s="51"/>
      <c r="E158" s="48"/>
      <c r="G158" s="184"/>
      <c r="H158" s="184"/>
      <c r="I158" s="49"/>
      <c r="J158" s="49"/>
      <c r="K158" s="50"/>
      <c r="L158" s="50"/>
      <c r="M158" s="50"/>
      <c r="N158" s="51"/>
      <c r="O158" s="51"/>
      <c r="Q158" s="51"/>
      <c r="R158" s="51"/>
      <c r="S158" s="51"/>
    </row>
    <row r="159" spans="3:21" ht="11.1" customHeight="1">
      <c r="C159" s="51"/>
      <c r="E159" s="48"/>
      <c r="G159" s="184"/>
      <c r="H159" s="184"/>
      <c r="I159" s="49"/>
      <c r="J159" s="49"/>
      <c r="K159" s="50"/>
      <c r="L159" s="50"/>
      <c r="M159" s="50"/>
      <c r="N159" s="51"/>
      <c r="O159" s="51"/>
      <c r="Q159" s="51"/>
      <c r="R159" s="51"/>
      <c r="S159" s="51"/>
    </row>
    <row r="160" spans="3:21" ht="11.1" customHeight="1">
      <c r="C160" s="51"/>
      <c r="E160" s="48"/>
      <c r="G160" s="184"/>
      <c r="H160" s="184"/>
      <c r="I160" s="49"/>
      <c r="J160" s="49"/>
      <c r="K160" s="50"/>
      <c r="L160" s="50"/>
      <c r="M160" s="50"/>
      <c r="N160" s="51"/>
      <c r="O160" s="51"/>
      <c r="Q160" s="51"/>
      <c r="R160" s="51"/>
      <c r="S160" s="51"/>
    </row>
    <row r="161" spans="3:21" ht="11.1" customHeight="1">
      <c r="C161" s="51"/>
      <c r="E161" s="48"/>
      <c r="G161" s="184"/>
      <c r="H161" s="184"/>
      <c r="I161" s="49"/>
      <c r="J161" s="49"/>
      <c r="K161" s="50"/>
      <c r="L161" s="50"/>
      <c r="M161" s="50"/>
      <c r="N161" s="51"/>
      <c r="O161" s="51"/>
      <c r="Q161" s="51"/>
      <c r="R161" s="51"/>
      <c r="S161" s="51"/>
    </row>
    <row r="162" spans="3:21" ht="11.1" customHeight="1">
      <c r="C162" s="51"/>
      <c r="E162" s="48"/>
      <c r="G162" s="184"/>
      <c r="H162" s="184"/>
      <c r="I162" s="49"/>
      <c r="J162" s="49"/>
      <c r="K162" s="50"/>
      <c r="L162" s="50"/>
      <c r="M162" s="50"/>
      <c r="N162" s="51"/>
      <c r="O162" s="51"/>
      <c r="Q162" s="51"/>
      <c r="R162" s="51"/>
      <c r="S162" s="51"/>
    </row>
    <row r="163" spans="3:21" ht="11.1" customHeight="1">
      <c r="C163" s="51"/>
      <c r="E163" s="48"/>
      <c r="G163" s="184"/>
      <c r="H163" s="184"/>
      <c r="I163" s="49"/>
      <c r="J163" s="49"/>
      <c r="K163" s="50"/>
      <c r="L163" s="50"/>
      <c r="M163" s="50"/>
      <c r="N163" s="51"/>
      <c r="O163" s="51"/>
      <c r="Q163" s="51"/>
      <c r="R163" s="51"/>
      <c r="S163" s="51"/>
    </row>
    <row r="164" spans="3:21" ht="11.1" customHeight="1">
      <c r="C164" s="51"/>
      <c r="E164" s="48"/>
      <c r="G164" s="184"/>
      <c r="H164" s="184"/>
      <c r="I164" s="49"/>
      <c r="J164" s="49"/>
      <c r="K164" s="50"/>
      <c r="L164" s="50"/>
      <c r="M164" s="50"/>
      <c r="N164" s="51"/>
      <c r="O164" s="51"/>
      <c r="Q164" s="51"/>
      <c r="R164" s="51"/>
      <c r="S164" s="51"/>
      <c r="U164" s="872" t="s">
        <v>741</v>
      </c>
    </row>
    <row r="165" spans="3:21" ht="11.1" customHeight="1">
      <c r="C165" s="51"/>
      <c r="E165" s="48"/>
      <c r="G165" s="184"/>
      <c r="H165" s="184"/>
      <c r="I165" s="49"/>
      <c r="J165" s="49"/>
      <c r="K165" s="50"/>
      <c r="L165" s="50"/>
      <c r="M165" s="50"/>
      <c r="N165" s="51"/>
      <c r="O165" s="51"/>
      <c r="Q165" s="51"/>
      <c r="R165" s="51"/>
      <c r="S165" s="51"/>
    </row>
    <row r="166" spans="3:21" ht="11.1" customHeight="1">
      <c r="C166" s="51"/>
      <c r="E166" s="48"/>
      <c r="G166" s="184"/>
      <c r="H166" s="184"/>
      <c r="I166" s="49"/>
      <c r="J166" s="49"/>
      <c r="K166" s="50"/>
      <c r="L166" s="50"/>
      <c r="M166" s="50"/>
      <c r="N166" s="51"/>
      <c r="O166" s="51"/>
      <c r="Q166" s="51"/>
      <c r="R166" s="51"/>
      <c r="S166" s="51"/>
    </row>
    <row r="167" spans="3:21" ht="11.1" customHeight="1">
      <c r="C167" s="51"/>
      <c r="E167" s="48"/>
      <c r="G167" s="184"/>
      <c r="H167" s="184"/>
      <c r="I167" s="49"/>
      <c r="J167" s="49"/>
      <c r="K167" s="50"/>
      <c r="L167" s="50"/>
      <c r="M167" s="50"/>
      <c r="N167" s="51"/>
      <c r="O167" s="51"/>
      <c r="Q167" s="51"/>
      <c r="R167" s="51"/>
      <c r="S167" s="51"/>
    </row>
    <row r="168" spans="3:21" ht="11.1" customHeight="1">
      <c r="C168" s="51"/>
      <c r="E168" s="48"/>
      <c r="G168" s="184"/>
      <c r="H168" s="184"/>
      <c r="I168" s="49"/>
      <c r="J168" s="49"/>
      <c r="K168" s="50"/>
      <c r="L168" s="50"/>
      <c r="M168" s="50"/>
      <c r="N168" s="51"/>
      <c r="O168" s="51"/>
      <c r="Q168" s="51"/>
      <c r="R168" s="51"/>
      <c r="S168" s="51"/>
    </row>
    <row r="169" spans="3:21" ht="11.1" customHeight="1">
      <c r="C169" s="51"/>
      <c r="E169" s="48"/>
      <c r="G169" s="184"/>
      <c r="H169" s="184"/>
      <c r="I169" s="49"/>
      <c r="J169" s="49"/>
      <c r="K169" s="50"/>
      <c r="L169" s="50"/>
      <c r="M169" s="50"/>
      <c r="N169" s="51"/>
      <c r="O169" s="51"/>
      <c r="Q169" s="51"/>
      <c r="R169" s="51"/>
      <c r="S169" s="51"/>
    </row>
    <row r="170" spans="3:21" ht="11.1" customHeight="1">
      <c r="C170" s="51"/>
      <c r="E170" s="48"/>
      <c r="G170" s="184"/>
      <c r="H170" s="184"/>
      <c r="I170" s="49"/>
      <c r="J170" s="49"/>
      <c r="K170" s="50"/>
      <c r="L170" s="50"/>
      <c r="M170" s="50"/>
      <c r="N170" s="51"/>
      <c r="O170" s="51"/>
      <c r="Q170" s="51"/>
      <c r="R170" s="51"/>
      <c r="S170" s="51"/>
    </row>
    <row r="171" spans="3:21" ht="11.1" customHeight="1">
      <c r="C171" s="51"/>
      <c r="E171" s="48"/>
      <c r="G171" s="184"/>
      <c r="H171" s="184"/>
      <c r="I171" s="49"/>
      <c r="J171" s="49"/>
      <c r="K171" s="50"/>
      <c r="L171" s="50"/>
      <c r="M171" s="50"/>
      <c r="N171" s="51"/>
      <c r="O171" s="51"/>
      <c r="Q171" s="51"/>
      <c r="R171" s="51"/>
      <c r="S171" s="51"/>
    </row>
    <row r="172" spans="3:21" ht="11.1" customHeight="1">
      <c r="C172" s="51"/>
      <c r="E172" s="48"/>
      <c r="G172" s="184"/>
      <c r="H172" s="184"/>
      <c r="I172" s="49"/>
      <c r="J172" s="49"/>
      <c r="K172" s="50"/>
      <c r="L172" s="50"/>
      <c r="M172" s="50"/>
      <c r="N172" s="51"/>
      <c r="O172" s="51"/>
      <c r="Q172" s="51"/>
      <c r="R172" s="51"/>
      <c r="S172" s="51"/>
    </row>
    <row r="173" spans="3:21" ht="11.1" customHeight="1">
      <c r="C173" s="51"/>
      <c r="E173" s="48"/>
      <c r="G173" s="184"/>
      <c r="H173" s="184"/>
      <c r="I173" s="49"/>
      <c r="J173" s="49"/>
      <c r="K173" s="50"/>
      <c r="L173" s="50"/>
      <c r="M173" s="50"/>
      <c r="N173" s="51"/>
      <c r="O173" s="51"/>
      <c r="Q173" s="51"/>
      <c r="R173" s="51"/>
      <c r="S173" s="51"/>
    </row>
    <row r="174" spans="3:21" ht="11.1" customHeight="1">
      <c r="C174" s="51"/>
      <c r="E174" s="48"/>
      <c r="G174" s="184"/>
      <c r="H174" s="184"/>
      <c r="I174" s="49"/>
      <c r="J174" s="49"/>
      <c r="K174" s="50"/>
      <c r="L174" s="50"/>
      <c r="M174" s="50"/>
      <c r="N174" s="51"/>
      <c r="O174" s="51"/>
      <c r="Q174" s="51"/>
      <c r="R174" s="51"/>
      <c r="S174" s="51"/>
    </row>
    <row r="175" spans="3:21" ht="11.1" customHeight="1">
      <c r="C175" s="51"/>
      <c r="E175" s="48"/>
      <c r="G175" s="184"/>
      <c r="H175" s="184"/>
      <c r="I175" s="49"/>
      <c r="J175" s="49"/>
      <c r="K175" s="50"/>
      <c r="L175" s="50"/>
      <c r="M175" s="50"/>
      <c r="N175" s="51"/>
      <c r="O175" s="51"/>
      <c r="Q175" s="51"/>
      <c r="R175" s="51"/>
      <c r="S175" s="51"/>
    </row>
    <row r="176" spans="3:21" ht="11.1" customHeight="1">
      <c r="C176" s="51"/>
      <c r="E176" s="48"/>
      <c r="G176" s="184"/>
      <c r="H176" s="184"/>
      <c r="I176" s="49"/>
      <c r="J176" s="49"/>
      <c r="K176" s="50"/>
      <c r="L176" s="50"/>
      <c r="M176" s="50"/>
      <c r="N176" s="51"/>
      <c r="O176" s="51"/>
      <c r="Q176" s="51"/>
      <c r="R176" s="51"/>
      <c r="S176" s="51"/>
    </row>
    <row r="177" spans="3:21" ht="11.1" customHeight="1">
      <c r="C177" s="51"/>
      <c r="E177" s="48"/>
      <c r="G177" s="184"/>
      <c r="H177" s="184"/>
      <c r="I177" s="49"/>
      <c r="J177" s="49"/>
      <c r="K177" s="50"/>
      <c r="L177" s="50"/>
      <c r="M177" s="50"/>
      <c r="N177" s="51"/>
      <c r="O177" s="51"/>
      <c r="Q177" s="51"/>
      <c r="R177" s="51"/>
      <c r="S177" s="51"/>
    </row>
    <row r="178" spans="3:21" ht="11.1" customHeight="1">
      <c r="C178" s="51"/>
      <c r="E178" s="48"/>
      <c r="G178" s="184"/>
      <c r="H178" s="184"/>
      <c r="I178" s="49"/>
      <c r="J178" s="49"/>
      <c r="K178" s="50"/>
      <c r="L178" s="50"/>
      <c r="M178" s="50"/>
      <c r="N178" s="51"/>
      <c r="O178" s="51"/>
      <c r="Q178" s="51"/>
      <c r="R178" s="51"/>
      <c r="S178" s="51"/>
    </row>
    <row r="179" spans="3:21" ht="11.1" customHeight="1">
      <c r="C179" s="51"/>
      <c r="E179" s="48"/>
      <c r="G179" s="184"/>
      <c r="H179" s="184"/>
      <c r="I179" s="49"/>
      <c r="J179" s="49"/>
      <c r="K179" s="50"/>
      <c r="L179" s="50"/>
      <c r="M179" s="50"/>
      <c r="N179" s="51"/>
      <c r="O179" s="51"/>
      <c r="Q179" s="51"/>
      <c r="R179" s="51"/>
      <c r="S179" s="51"/>
    </row>
    <row r="180" spans="3:21" ht="11.1" customHeight="1">
      <c r="C180" s="51"/>
      <c r="E180" s="48"/>
      <c r="G180" s="184"/>
      <c r="H180" s="184"/>
      <c r="I180" s="49"/>
      <c r="J180" s="49"/>
      <c r="K180" s="50"/>
      <c r="L180" s="50"/>
      <c r="M180" s="50"/>
      <c r="N180" s="51"/>
      <c r="O180" s="51"/>
      <c r="Q180" s="51"/>
      <c r="R180" s="51"/>
      <c r="S180" s="51"/>
    </row>
    <row r="181" spans="3:21" ht="11.1" customHeight="1">
      <c r="C181" s="51"/>
      <c r="E181" s="48"/>
      <c r="G181" s="184"/>
      <c r="H181" s="184"/>
      <c r="I181" s="49"/>
      <c r="J181" s="49"/>
      <c r="K181" s="50"/>
      <c r="L181" s="50"/>
      <c r="M181" s="50"/>
      <c r="N181" s="51"/>
      <c r="O181" s="51"/>
      <c r="Q181" s="51"/>
      <c r="R181" s="51"/>
      <c r="S181" s="51"/>
    </row>
    <row r="182" spans="3:21" ht="11.1" customHeight="1">
      <c r="C182" s="51"/>
      <c r="E182" s="48"/>
      <c r="G182" s="184"/>
      <c r="H182" s="184"/>
      <c r="I182" s="49"/>
      <c r="J182" s="49"/>
      <c r="K182" s="50"/>
      <c r="L182" s="50"/>
      <c r="M182" s="50"/>
      <c r="N182" s="51"/>
      <c r="O182" s="51"/>
      <c r="Q182" s="51"/>
      <c r="R182" s="51"/>
      <c r="S182" s="51"/>
    </row>
    <row r="183" spans="3:21" ht="11.1" customHeight="1">
      <c r="C183" s="51"/>
      <c r="E183" s="48"/>
      <c r="G183" s="184"/>
      <c r="H183" s="184"/>
      <c r="I183" s="49"/>
      <c r="J183" s="49"/>
      <c r="K183" s="50"/>
      <c r="L183" s="50"/>
      <c r="M183" s="50"/>
      <c r="N183" s="51"/>
      <c r="O183" s="51"/>
      <c r="Q183" s="51"/>
      <c r="R183" s="51"/>
      <c r="S183" s="51"/>
    </row>
    <row r="184" spans="3:21" ht="11.1" customHeight="1">
      <c r="C184" s="51"/>
      <c r="E184" s="48"/>
      <c r="G184" s="184"/>
      <c r="H184" s="184"/>
      <c r="I184" s="49"/>
      <c r="J184" s="49"/>
      <c r="K184" s="50"/>
      <c r="L184" s="50"/>
      <c r="M184" s="50"/>
      <c r="N184" s="872"/>
      <c r="O184" s="872"/>
      <c r="P184" s="872"/>
      <c r="Q184" s="872"/>
      <c r="R184" s="872"/>
      <c r="S184" s="872"/>
      <c r="T184" s="872"/>
      <c r="U184" s="872" t="s">
        <v>741</v>
      </c>
    </row>
    <row r="185" spans="3:21" ht="11.1" customHeight="1">
      <c r="C185" s="51"/>
      <c r="E185" s="48"/>
      <c r="G185" s="184"/>
      <c r="H185" s="184"/>
      <c r="I185" s="49"/>
      <c r="J185" s="49"/>
      <c r="K185" s="50"/>
      <c r="L185" s="50"/>
      <c r="M185" s="50"/>
      <c r="N185" s="51"/>
      <c r="O185" s="51"/>
      <c r="Q185" s="51"/>
      <c r="R185" s="51"/>
      <c r="S185" s="51"/>
    </row>
    <row r="186" spans="3:21" ht="11.1" customHeight="1">
      <c r="C186" s="51"/>
      <c r="E186" s="48"/>
      <c r="G186" s="184"/>
      <c r="H186" s="184"/>
      <c r="I186" s="49"/>
      <c r="J186" s="49"/>
      <c r="K186" s="50"/>
      <c r="L186" s="50"/>
      <c r="M186" s="50"/>
      <c r="N186" s="51"/>
      <c r="O186" s="51"/>
      <c r="Q186" s="51"/>
      <c r="R186" s="51"/>
      <c r="S186" s="51"/>
    </row>
    <row r="187" spans="3:21" ht="11.1" customHeight="1">
      <c r="C187" s="51"/>
      <c r="E187" s="48"/>
      <c r="G187" s="184"/>
      <c r="H187" s="184"/>
      <c r="I187" s="49"/>
      <c r="J187" s="49"/>
      <c r="K187" s="50"/>
      <c r="L187" s="50"/>
      <c r="M187" s="50"/>
      <c r="N187" s="51"/>
      <c r="O187" s="51"/>
      <c r="Q187" s="51"/>
      <c r="R187" s="51"/>
      <c r="S187" s="51"/>
    </row>
    <row r="188" spans="3:21" ht="11.1" customHeight="1">
      <c r="C188" s="51"/>
      <c r="E188" s="48"/>
      <c r="G188" s="184"/>
      <c r="H188" s="184"/>
      <c r="I188" s="49"/>
      <c r="J188" s="49"/>
      <c r="K188" s="50"/>
      <c r="L188" s="50"/>
      <c r="M188" s="50"/>
      <c r="N188" s="51"/>
      <c r="O188" s="51"/>
      <c r="Q188" s="51"/>
      <c r="R188" s="51"/>
      <c r="S188" s="51"/>
    </row>
    <row r="189" spans="3:21" ht="11.1" customHeight="1">
      <c r="C189" s="51"/>
      <c r="E189" s="48"/>
      <c r="G189" s="184"/>
      <c r="H189" s="184"/>
      <c r="I189" s="49"/>
      <c r="J189" s="49"/>
      <c r="K189" s="50"/>
      <c r="L189" s="50"/>
      <c r="M189" s="50"/>
      <c r="N189" s="51"/>
      <c r="O189" s="51"/>
      <c r="Q189" s="51"/>
      <c r="R189" s="51"/>
      <c r="S189" s="51"/>
    </row>
    <row r="190" spans="3:21" ht="11.1" customHeight="1">
      <c r="C190" s="51"/>
      <c r="E190" s="48"/>
      <c r="G190" s="184"/>
      <c r="H190" s="184"/>
      <c r="I190" s="49"/>
      <c r="J190" s="49"/>
      <c r="K190" s="50"/>
      <c r="L190" s="50"/>
      <c r="M190" s="50"/>
      <c r="N190" s="51"/>
      <c r="O190" s="51"/>
      <c r="Q190" s="51"/>
      <c r="R190" s="51"/>
      <c r="S190" s="51"/>
    </row>
    <row r="191" spans="3:21" ht="11.1" customHeight="1">
      <c r="C191" s="51"/>
      <c r="E191" s="48"/>
      <c r="G191" s="184"/>
      <c r="H191" s="184"/>
      <c r="I191" s="49"/>
      <c r="J191" s="49"/>
      <c r="K191" s="50"/>
      <c r="L191" s="50"/>
      <c r="M191" s="50"/>
      <c r="N191" s="51"/>
      <c r="O191" s="51"/>
      <c r="Q191" s="51"/>
      <c r="R191" s="51"/>
      <c r="S191" s="51"/>
    </row>
    <row r="192" spans="3:21" ht="11.1" customHeight="1">
      <c r="C192" s="51"/>
      <c r="E192" s="48"/>
      <c r="G192" s="184"/>
      <c r="H192" s="184"/>
      <c r="I192" s="49"/>
      <c r="J192" s="49"/>
      <c r="K192" s="50"/>
      <c r="L192" s="50"/>
      <c r="M192" s="50"/>
      <c r="N192" s="51"/>
      <c r="O192" s="51"/>
      <c r="Q192" s="51"/>
      <c r="R192" s="51"/>
      <c r="S192" s="51"/>
    </row>
    <row r="193" spans="3:19" ht="11.1" customHeight="1">
      <c r="C193" s="51"/>
      <c r="E193" s="48"/>
      <c r="G193" s="184"/>
      <c r="H193" s="184"/>
      <c r="I193" s="49"/>
      <c r="J193" s="49"/>
      <c r="K193" s="50"/>
      <c r="L193" s="50"/>
      <c r="M193" s="50"/>
      <c r="N193" s="51"/>
      <c r="O193" s="51"/>
      <c r="Q193" s="51"/>
      <c r="R193" s="51"/>
      <c r="S193" s="51"/>
    </row>
    <row r="194" spans="3:19" ht="11.1" customHeight="1">
      <c r="C194" s="51"/>
      <c r="E194" s="48"/>
      <c r="G194" s="184"/>
      <c r="H194" s="184"/>
      <c r="I194" s="49"/>
      <c r="J194" s="49"/>
      <c r="K194" s="50"/>
      <c r="L194" s="50"/>
      <c r="M194" s="50"/>
      <c r="N194" s="51"/>
      <c r="O194" s="51"/>
      <c r="Q194" s="51"/>
      <c r="R194" s="51"/>
      <c r="S194" s="51"/>
    </row>
    <row r="195" spans="3:19" ht="11.1" customHeight="1">
      <c r="C195" s="51"/>
      <c r="E195" s="48"/>
      <c r="G195" s="184"/>
      <c r="H195" s="184"/>
      <c r="I195" s="49"/>
      <c r="J195" s="49"/>
      <c r="K195" s="50"/>
      <c r="L195" s="50"/>
      <c r="M195" s="50"/>
      <c r="N195" s="51"/>
      <c r="O195" s="51"/>
      <c r="Q195" s="51"/>
      <c r="R195" s="51"/>
      <c r="S195" s="51"/>
    </row>
    <row r="196" spans="3:19" ht="11.1" customHeight="1">
      <c r="C196" s="51"/>
      <c r="E196" s="48"/>
      <c r="G196" s="184"/>
      <c r="H196" s="184"/>
      <c r="I196" s="49"/>
      <c r="J196" s="49"/>
      <c r="K196" s="50"/>
      <c r="L196" s="50"/>
      <c r="M196" s="50"/>
      <c r="N196" s="51"/>
      <c r="O196" s="51"/>
      <c r="Q196" s="51"/>
      <c r="R196" s="51"/>
      <c r="S196" s="51"/>
    </row>
    <row r="197" spans="3:19" ht="11.1" customHeight="1">
      <c r="C197" s="51"/>
      <c r="E197" s="48"/>
      <c r="G197" s="184"/>
      <c r="H197" s="184"/>
      <c r="I197" s="49"/>
      <c r="J197" s="49"/>
      <c r="K197" s="50"/>
      <c r="L197" s="50"/>
      <c r="M197" s="50"/>
      <c r="N197" s="51"/>
      <c r="O197" s="51"/>
      <c r="Q197" s="51"/>
      <c r="R197" s="51"/>
      <c r="S197" s="51"/>
    </row>
    <row r="198" spans="3:19" ht="11.1" customHeight="1">
      <c r="C198" s="51"/>
      <c r="E198" s="48"/>
      <c r="G198" s="184"/>
      <c r="H198" s="184"/>
      <c r="I198" s="49"/>
      <c r="J198" s="49"/>
      <c r="K198" s="50"/>
      <c r="L198" s="50"/>
      <c r="M198" s="50"/>
      <c r="N198" s="51"/>
      <c r="O198" s="51"/>
      <c r="Q198" s="51"/>
      <c r="R198" s="51"/>
      <c r="S198" s="51"/>
    </row>
    <row r="199" spans="3:19" ht="11.1" customHeight="1">
      <c r="C199" s="51"/>
      <c r="E199" s="48"/>
      <c r="G199" s="184"/>
      <c r="H199" s="184"/>
      <c r="I199" s="49"/>
      <c r="J199" s="49"/>
      <c r="K199" s="50"/>
      <c r="L199" s="50"/>
      <c r="M199" s="50"/>
      <c r="N199" s="51"/>
      <c r="O199" s="51"/>
      <c r="Q199" s="51"/>
      <c r="R199" s="51"/>
      <c r="S199" s="51"/>
    </row>
    <row r="200" spans="3:19" ht="11.1" customHeight="1">
      <c r="C200" s="51"/>
      <c r="E200" s="48"/>
      <c r="G200" s="184"/>
      <c r="H200" s="184"/>
      <c r="I200" s="49"/>
      <c r="J200" s="49"/>
      <c r="K200" s="50"/>
      <c r="L200" s="50"/>
      <c r="M200" s="50"/>
      <c r="N200" s="51"/>
      <c r="O200" s="51"/>
      <c r="Q200" s="51"/>
      <c r="R200" s="51"/>
      <c r="S200" s="51"/>
    </row>
    <row r="201" spans="3:19" ht="11.1" customHeight="1">
      <c r="C201" s="51"/>
      <c r="E201" s="48"/>
      <c r="G201" s="184"/>
      <c r="H201" s="184"/>
      <c r="I201" s="49"/>
      <c r="J201" s="49"/>
      <c r="K201" s="50"/>
      <c r="L201" s="50"/>
      <c r="M201" s="50"/>
      <c r="N201" s="51"/>
      <c r="O201" s="51"/>
      <c r="Q201" s="51"/>
      <c r="R201" s="51"/>
      <c r="S201" s="51"/>
    </row>
    <row r="202" spans="3:19" ht="11.1" customHeight="1">
      <c r="C202" s="51"/>
      <c r="E202" s="48"/>
      <c r="G202" s="184"/>
      <c r="H202" s="184"/>
      <c r="I202" s="49"/>
      <c r="J202" s="49"/>
      <c r="K202" s="50"/>
      <c r="L202" s="50"/>
      <c r="M202" s="50"/>
      <c r="N202" s="51"/>
      <c r="O202" s="51"/>
      <c r="Q202" s="51"/>
      <c r="R202" s="51"/>
      <c r="S202" s="51"/>
    </row>
    <row r="203" spans="3:19" ht="11.1" customHeight="1">
      <c r="C203" s="51"/>
      <c r="E203" s="48"/>
      <c r="G203" s="184"/>
      <c r="H203" s="184"/>
      <c r="I203" s="49"/>
      <c r="J203" s="49"/>
      <c r="K203" s="50"/>
      <c r="L203" s="50"/>
      <c r="M203" s="50"/>
      <c r="N203" s="51"/>
      <c r="O203" s="51"/>
      <c r="Q203" s="51"/>
      <c r="R203" s="51"/>
      <c r="S203" s="51"/>
    </row>
    <row r="204" spans="3:19" ht="11.1" customHeight="1">
      <c r="C204" s="51"/>
      <c r="E204" s="48"/>
      <c r="G204" s="184"/>
      <c r="H204" s="184"/>
      <c r="I204" s="49"/>
      <c r="J204" s="49"/>
      <c r="K204" s="50"/>
      <c r="L204" s="50"/>
      <c r="M204" s="50"/>
      <c r="N204" s="51"/>
      <c r="O204" s="51"/>
      <c r="Q204" s="51"/>
      <c r="R204" s="51"/>
      <c r="S204" s="51"/>
    </row>
    <row r="205" spans="3:19" ht="11.1" customHeight="1">
      <c r="C205" s="51"/>
      <c r="E205" s="48"/>
      <c r="G205" s="184"/>
      <c r="H205" s="184"/>
      <c r="I205" s="49"/>
      <c r="J205" s="49"/>
      <c r="K205" s="50"/>
      <c r="L205" s="50"/>
      <c r="M205" s="50"/>
      <c r="N205" s="51"/>
      <c r="O205" s="51"/>
      <c r="Q205" s="51"/>
      <c r="R205" s="51"/>
      <c r="S205" s="51"/>
    </row>
    <row r="206" spans="3:19" ht="11.1" customHeight="1">
      <c r="C206" s="51"/>
      <c r="E206" s="48"/>
      <c r="G206" s="184"/>
      <c r="H206" s="184"/>
      <c r="I206" s="49"/>
      <c r="J206" s="49"/>
      <c r="K206" s="50"/>
      <c r="L206" s="50"/>
      <c r="M206" s="50"/>
      <c r="N206" s="51"/>
      <c r="O206" s="51"/>
      <c r="Q206" s="51"/>
      <c r="R206" s="51"/>
      <c r="S206" s="51"/>
    </row>
    <row r="207" spans="3:19" ht="11.1" customHeight="1">
      <c r="C207" s="51"/>
      <c r="E207" s="48"/>
      <c r="G207" s="184"/>
      <c r="H207" s="184"/>
      <c r="I207" s="49"/>
      <c r="J207" s="49"/>
      <c r="K207" s="50"/>
      <c r="L207" s="50"/>
      <c r="M207" s="50"/>
      <c r="N207" s="51"/>
      <c r="O207" s="51"/>
      <c r="Q207" s="51"/>
      <c r="R207" s="51"/>
      <c r="S207" s="51"/>
    </row>
    <row r="208" spans="3:19" ht="11.1" customHeight="1">
      <c r="C208" s="51"/>
      <c r="E208" s="48"/>
      <c r="G208" s="184"/>
      <c r="H208" s="184"/>
      <c r="I208" s="49"/>
      <c r="J208" s="49"/>
      <c r="K208" s="50"/>
      <c r="L208" s="50"/>
      <c r="M208" s="50"/>
      <c r="N208" s="51"/>
      <c r="O208" s="51"/>
      <c r="Q208" s="51"/>
      <c r="R208" s="51"/>
      <c r="S208" s="51"/>
    </row>
    <row r="209" spans="3:19" ht="11.1" customHeight="1">
      <c r="C209" s="51"/>
      <c r="E209" s="48"/>
      <c r="G209" s="184"/>
      <c r="H209" s="184"/>
      <c r="I209" s="49"/>
      <c r="J209" s="49"/>
      <c r="K209" s="50"/>
      <c r="L209" s="50"/>
      <c r="M209" s="50"/>
      <c r="N209" s="51"/>
      <c r="O209" s="51"/>
      <c r="Q209" s="51"/>
      <c r="R209" s="51"/>
      <c r="S209" s="51"/>
    </row>
    <row r="210" spans="3:19" ht="11.1" customHeight="1">
      <c r="C210" s="51"/>
      <c r="E210" s="48"/>
      <c r="G210" s="184"/>
      <c r="H210" s="184"/>
      <c r="I210" s="49"/>
      <c r="J210" s="49"/>
      <c r="K210" s="50"/>
      <c r="L210" s="50"/>
      <c r="M210" s="50"/>
      <c r="N210" s="51"/>
      <c r="O210" s="51"/>
      <c r="Q210" s="51"/>
      <c r="R210" s="51"/>
      <c r="S210" s="51"/>
    </row>
    <row r="211" spans="3:19" ht="11.1" customHeight="1">
      <c r="C211" s="51"/>
      <c r="E211" s="48"/>
      <c r="G211" s="184"/>
      <c r="H211" s="184"/>
      <c r="I211" s="49"/>
      <c r="J211" s="49"/>
      <c r="K211" s="50"/>
      <c r="L211" s="50"/>
      <c r="M211" s="50"/>
      <c r="N211" s="51"/>
      <c r="O211" s="51"/>
      <c r="Q211" s="51"/>
      <c r="R211" s="51"/>
      <c r="S211" s="51"/>
    </row>
    <row r="212" spans="3:19" ht="11.1" customHeight="1">
      <c r="C212" s="51"/>
      <c r="E212" s="48"/>
      <c r="G212" s="184"/>
      <c r="H212" s="184"/>
      <c r="I212" s="49"/>
      <c r="J212" s="49"/>
      <c r="K212" s="50"/>
      <c r="L212" s="50"/>
      <c r="M212" s="50"/>
      <c r="N212" s="51"/>
      <c r="O212" s="51"/>
      <c r="Q212" s="51"/>
      <c r="R212" s="51"/>
      <c r="S212" s="51"/>
    </row>
    <row r="213" spans="3:19" ht="11.1" customHeight="1">
      <c r="C213" s="51"/>
      <c r="E213" s="48"/>
      <c r="G213" s="184"/>
      <c r="H213" s="184"/>
      <c r="I213" s="49"/>
      <c r="J213" s="49"/>
      <c r="K213" s="50"/>
      <c r="L213" s="50"/>
      <c r="M213" s="50"/>
      <c r="N213" s="51"/>
      <c r="O213" s="51"/>
      <c r="Q213" s="51"/>
      <c r="R213" s="51"/>
      <c r="S213" s="51"/>
    </row>
    <row r="214" spans="3:19" ht="11.1" customHeight="1">
      <c r="C214" s="51"/>
      <c r="E214" s="48"/>
      <c r="G214" s="184"/>
      <c r="H214" s="184"/>
      <c r="I214" s="49"/>
      <c r="J214" s="49"/>
      <c r="K214" s="50"/>
      <c r="L214" s="50"/>
      <c r="M214" s="50"/>
      <c r="N214" s="51"/>
      <c r="O214" s="51"/>
      <c r="Q214" s="51"/>
      <c r="R214" s="51"/>
      <c r="S214" s="51"/>
    </row>
    <row r="215" spans="3:19" ht="11.1" customHeight="1">
      <c r="C215" s="51"/>
      <c r="E215" s="48"/>
      <c r="G215" s="184"/>
      <c r="H215" s="184"/>
      <c r="I215" s="49"/>
      <c r="J215" s="49"/>
      <c r="K215" s="50"/>
      <c r="L215" s="50"/>
      <c r="M215" s="50"/>
      <c r="N215" s="51"/>
      <c r="O215" s="51"/>
      <c r="Q215" s="51"/>
      <c r="R215" s="51"/>
      <c r="S215" s="51"/>
    </row>
    <row r="216" spans="3:19" ht="11.1" customHeight="1">
      <c r="C216" s="51"/>
      <c r="E216" s="48"/>
      <c r="G216" s="184"/>
      <c r="H216" s="184"/>
      <c r="I216" s="49"/>
      <c r="J216" s="49"/>
      <c r="K216" s="50"/>
      <c r="L216" s="50"/>
      <c r="M216" s="50"/>
      <c r="N216" s="51"/>
      <c r="O216" s="51"/>
      <c r="Q216" s="51"/>
      <c r="R216" s="51"/>
      <c r="S216" s="51"/>
    </row>
    <row r="217" spans="3:19" ht="11.1" customHeight="1">
      <c r="C217" s="51"/>
      <c r="E217" s="48"/>
      <c r="G217" s="184"/>
      <c r="H217" s="184"/>
      <c r="I217" s="49"/>
      <c r="J217" s="49"/>
      <c r="K217" s="50"/>
      <c r="L217" s="50"/>
      <c r="M217" s="50"/>
      <c r="N217" s="51"/>
      <c r="O217" s="51"/>
      <c r="Q217" s="51"/>
      <c r="R217" s="51"/>
      <c r="S217" s="51"/>
    </row>
    <row r="218" spans="3:19" ht="11.1" customHeight="1">
      <c r="C218" s="51"/>
      <c r="E218" s="48"/>
      <c r="G218" s="184"/>
      <c r="H218" s="184"/>
      <c r="I218" s="49"/>
      <c r="J218" s="49"/>
      <c r="K218" s="50"/>
      <c r="L218" s="50"/>
      <c r="M218" s="50"/>
      <c r="N218" s="51"/>
      <c r="O218" s="51"/>
      <c r="Q218" s="51"/>
      <c r="R218" s="51"/>
      <c r="S218" s="51"/>
    </row>
    <row r="219" spans="3:19" ht="11.1" customHeight="1">
      <c r="C219" s="51"/>
      <c r="E219" s="48"/>
      <c r="G219" s="184"/>
      <c r="H219" s="184"/>
      <c r="I219" s="49"/>
      <c r="J219" s="49"/>
      <c r="K219" s="50"/>
      <c r="L219" s="50"/>
      <c r="M219" s="50"/>
      <c r="N219" s="51"/>
      <c r="O219" s="51"/>
      <c r="Q219" s="51"/>
      <c r="R219" s="51"/>
      <c r="S219" s="51"/>
    </row>
    <row r="220" spans="3:19" ht="11.1" customHeight="1">
      <c r="C220" s="51"/>
      <c r="E220" s="48"/>
      <c r="G220" s="184"/>
      <c r="H220" s="184"/>
      <c r="I220" s="49"/>
      <c r="J220" s="49"/>
      <c r="K220" s="50"/>
      <c r="L220" s="50"/>
      <c r="M220" s="50"/>
      <c r="N220" s="51"/>
      <c r="O220" s="51"/>
      <c r="Q220" s="51"/>
      <c r="R220" s="51"/>
      <c r="S220" s="51"/>
    </row>
    <row r="221" spans="3:19" ht="11.1" customHeight="1">
      <c r="C221" s="51"/>
      <c r="E221" s="48"/>
      <c r="G221" s="184"/>
      <c r="H221" s="184"/>
      <c r="I221" s="49"/>
      <c r="J221" s="49"/>
      <c r="K221" s="50"/>
      <c r="L221" s="50"/>
      <c r="M221" s="50"/>
      <c r="N221" s="51"/>
      <c r="O221" s="51"/>
      <c r="Q221" s="51"/>
      <c r="R221" s="51"/>
      <c r="S221" s="51"/>
    </row>
    <row r="222" spans="3:19" ht="11.1" customHeight="1">
      <c r="C222" s="51"/>
      <c r="E222" s="48"/>
      <c r="G222" s="184"/>
      <c r="H222" s="184"/>
      <c r="I222" s="49"/>
      <c r="J222" s="49"/>
      <c r="K222" s="50"/>
      <c r="L222" s="50"/>
      <c r="M222" s="50"/>
      <c r="N222" s="51"/>
      <c r="O222" s="51"/>
      <c r="Q222" s="51"/>
      <c r="R222" s="51"/>
      <c r="S222" s="51"/>
    </row>
    <row r="223" spans="3:19" ht="11.1" customHeight="1">
      <c r="C223" s="51"/>
      <c r="E223" s="48"/>
      <c r="G223" s="184"/>
      <c r="H223" s="184"/>
      <c r="I223" s="49"/>
      <c r="J223" s="49"/>
      <c r="K223" s="50"/>
      <c r="L223" s="50"/>
      <c r="M223" s="50"/>
      <c r="N223" s="51"/>
      <c r="O223" s="51"/>
      <c r="Q223" s="51"/>
      <c r="R223" s="51"/>
      <c r="S223" s="51"/>
    </row>
    <row r="224" spans="3:19" ht="11.1" customHeight="1">
      <c r="C224" s="51"/>
      <c r="E224" s="48"/>
      <c r="G224" s="184"/>
      <c r="H224" s="184"/>
      <c r="I224" s="49"/>
      <c r="J224" s="49"/>
      <c r="K224" s="50"/>
      <c r="L224" s="50"/>
      <c r="M224" s="50"/>
      <c r="N224" s="51"/>
      <c r="O224" s="51"/>
      <c r="Q224" s="51"/>
      <c r="R224" s="51"/>
      <c r="S224" s="51"/>
    </row>
    <row r="225" spans="3:19" ht="11.1" customHeight="1">
      <c r="C225" s="51"/>
      <c r="E225" s="48"/>
      <c r="G225" s="184"/>
      <c r="H225" s="184"/>
      <c r="I225" s="49"/>
      <c r="J225" s="49"/>
      <c r="K225" s="50"/>
      <c r="L225" s="50"/>
      <c r="M225" s="50"/>
      <c r="N225" s="51"/>
      <c r="O225" s="51"/>
      <c r="Q225" s="51"/>
      <c r="R225" s="51"/>
      <c r="S225" s="51"/>
    </row>
    <row r="226" spans="3:19" ht="11.1" customHeight="1">
      <c r="C226" s="51"/>
      <c r="E226" s="48"/>
      <c r="G226" s="184"/>
      <c r="H226" s="184"/>
      <c r="I226" s="49"/>
      <c r="J226" s="49"/>
      <c r="K226" s="50"/>
      <c r="L226" s="50"/>
      <c r="M226" s="50"/>
      <c r="N226" s="51"/>
      <c r="O226" s="51"/>
      <c r="Q226" s="51"/>
      <c r="R226" s="51"/>
      <c r="S226" s="51"/>
    </row>
    <row r="227" spans="3:19" ht="11.1" customHeight="1">
      <c r="C227" s="51"/>
      <c r="E227" s="48"/>
      <c r="G227" s="184"/>
      <c r="H227" s="184"/>
      <c r="I227" s="49"/>
      <c r="J227" s="49"/>
      <c r="K227" s="50"/>
      <c r="L227" s="50"/>
      <c r="M227" s="50"/>
      <c r="N227" s="51"/>
      <c r="O227" s="51"/>
      <c r="Q227" s="51"/>
      <c r="R227" s="51"/>
      <c r="S227" s="51"/>
    </row>
    <row r="228" spans="3:19" ht="11.1" customHeight="1">
      <c r="C228" s="51"/>
      <c r="E228" s="48"/>
      <c r="G228" s="184"/>
      <c r="H228" s="184"/>
      <c r="I228" s="49"/>
      <c r="J228" s="49"/>
      <c r="K228" s="50"/>
      <c r="L228" s="50"/>
      <c r="M228" s="50"/>
      <c r="N228" s="51"/>
      <c r="O228" s="51"/>
      <c r="Q228" s="51"/>
      <c r="R228" s="51"/>
      <c r="S228" s="51"/>
    </row>
    <row r="229" spans="3:19" ht="11.1" customHeight="1">
      <c r="C229" s="51"/>
      <c r="E229" s="48"/>
      <c r="G229" s="184"/>
      <c r="H229" s="184"/>
      <c r="I229" s="49"/>
      <c r="J229" s="49"/>
      <c r="K229" s="50"/>
      <c r="L229" s="50"/>
      <c r="M229" s="50"/>
      <c r="N229" s="51"/>
      <c r="O229" s="51"/>
      <c r="Q229" s="51"/>
      <c r="R229" s="51"/>
      <c r="S229" s="51"/>
    </row>
    <row r="230" spans="3:19" ht="11.1" customHeight="1">
      <c r="C230" s="51"/>
      <c r="E230" s="48"/>
      <c r="G230" s="184"/>
      <c r="H230" s="184"/>
      <c r="I230" s="49"/>
      <c r="J230" s="49"/>
      <c r="K230" s="50"/>
      <c r="L230" s="50"/>
      <c r="M230" s="50"/>
      <c r="N230" s="51"/>
      <c r="O230" s="51"/>
      <c r="Q230" s="51"/>
      <c r="R230" s="51"/>
      <c r="S230" s="51"/>
    </row>
    <row r="231" spans="3:19" ht="11.1" customHeight="1">
      <c r="C231" s="51"/>
      <c r="E231" s="48"/>
      <c r="G231" s="184"/>
      <c r="H231" s="184"/>
      <c r="I231" s="49"/>
      <c r="J231" s="49"/>
      <c r="K231" s="50"/>
      <c r="L231" s="50"/>
      <c r="M231" s="50"/>
      <c r="N231" s="51"/>
      <c r="O231" s="51"/>
      <c r="Q231" s="51"/>
      <c r="R231" s="51"/>
      <c r="S231" s="51"/>
    </row>
    <row r="232" spans="3:19" ht="11.1" customHeight="1">
      <c r="C232" s="51"/>
      <c r="E232" s="48"/>
      <c r="G232" s="184"/>
      <c r="H232" s="184"/>
      <c r="I232" s="49"/>
      <c r="J232" s="49"/>
      <c r="K232" s="50"/>
      <c r="L232" s="50"/>
      <c r="M232" s="50"/>
      <c r="N232" s="51"/>
      <c r="O232" s="51"/>
      <c r="Q232" s="51"/>
      <c r="R232" s="51"/>
      <c r="S232" s="51"/>
    </row>
    <row r="233" spans="3:19" ht="11.1" customHeight="1">
      <c r="C233" s="51"/>
      <c r="E233" s="48"/>
      <c r="G233" s="184"/>
      <c r="H233" s="184"/>
      <c r="I233" s="49"/>
      <c r="J233" s="49"/>
      <c r="K233" s="50"/>
      <c r="L233" s="50"/>
      <c r="M233" s="50"/>
      <c r="N233" s="51"/>
      <c r="O233" s="51"/>
      <c r="Q233" s="51"/>
      <c r="R233" s="51"/>
      <c r="S233" s="51"/>
    </row>
    <row r="234" spans="3:19" ht="11.1" customHeight="1">
      <c r="C234" s="51"/>
      <c r="E234" s="48"/>
      <c r="G234" s="184"/>
      <c r="H234" s="184"/>
      <c r="I234" s="49"/>
      <c r="J234" s="49"/>
      <c r="K234" s="50"/>
      <c r="L234" s="50"/>
      <c r="M234" s="50"/>
      <c r="N234" s="51"/>
      <c r="O234" s="51"/>
      <c r="Q234" s="51"/>
      <c r="R234" s="51"/>
      <c r="S234" s="51"/>
    </row>
    <row r="235" spans="3:19" ht="11.1" customHeight="1">
      <c r="C235" s="51"/>
      <c r="E235" s="48"/>
      <c r="G235" s="184"/>
      <c r="H235" s="184"/>
      <c r="I235" s="49"/>
      <c r="J235" s="49"/>
      <c r="K235" s="50"/>
      <c r="L235" s="50"/>
      <c r="M235" s="50"/>
      <c r="N235" s="51"/>
      <c r="O235" s="51"/>
      <c r="Q235" s="51"/>
      <c r="R235" s="51"/>
      <c r="S235" s="51"/>
    </row>
    <row r="236" spans="3:19" ht="11.1" customHeight="1">
      <c r="C236" s="51"/>
      <c r="E236" s="48"/>
      <c r="G236" s="184"/>
      <c r="H236" s="184"/>
      <c r="I236" s="49"/>
      <c r="J236" s="49"/>
      <c r="K236" s="50"/>
      <c r="L236" s="50"/>
      <c r="M236" s="50"/>
      <c r="N236" s="51"/>
      <c r="O236" s="51"/>
      <c r="Q236" s="51"/>
      <c r="R236" s="51"/>
      <c r="S236" s="51"/>
    </row>
    <row r="237" spans="3:19" ht="11.1" customHeight="1">
      <c r="C237" s="51"/>
      <c r="E237" s="48"/>
      <c r="G237" s="184"/>
      <c r="H237" s="184"/>
      <c r="I237" s="49"/>
      <c r="J237" s="49"/>
      <c r="K237" s="50"/>
      <c r="L237" s="50"/>
      <c r="M237" s="50"/>
      <c r="N237" s="51"/>
      <c r="O237" s="51"/>
      <c r="Q237" s="51"/>
      <c r="R237" s="51"/>
      <c r="S237" s="51"/>
    </row>
    <row r="238" spans="3:19" ht="11.1" customHeight="1">
      <c r="C238" s="51"/>
      <c r="E238" s="48"/>
      <c r="G238" s="184"/>
      <c r="H238" s="184"/>
      <c r="I238" s="49"/>
      <c r="J238" s="49"/>
      <c r="K238" s="50"/>
      <c r="L238" s="50"/>
      <c r="M238" s="50"/>
      <c r="N238" s="51"/>
      <c r="O238" s="51"/>
      <c r="Q238" s="51"/>
      <c r="R238" s="51"/>
      <c r="S238" s="51"/>
    </row>
    <row r="239" spans="3:19" ht="11.1" customHeight="1">
      <c r="C239" s="51"/>
      <c r="E239" s="48"/>
      <c r="G239" s="184"/>
      <c r="H239" s="184"/>
      <c r="I239" s="49"/>
      <c r="J239" s="49"/>
      <c r="K239" s="50"/>
      <c r="L239" s="50"/>
      <c r="M239" s="50"/>
      <c r="N239" s="51"/>
      <c r="O239" s="51"/>
      <c r="Q239" s="51"/>
      <c r="R239" s="51"/>
      <c r="S239" s="51"/>
    </row>
    <row r="240" spans="3:19" ht="11.1" customHeight="1">
      <c r="C240" s="51"/>
      <c r="E240" s="48"/>
      <c r="G240" s="184"/>
      <c r="H240" s="184"/>
      <c r="I240" s="49"/>
      <c r="J240" s="49"/>
      <c r="K240" s="50"/>
      <c r="L240" s="50"/>
      <c r="M240" s="50"/>
      <c r="N240" s="51"/>
      <c r="O240" s="51"/>
      <c r="Q240" s="51"/>
      <c r="R240" s="51"/>
      <c r="S240" s="51"/>
    </row>
    <row r="241" spans="3:19" ht="11.1" customHeight="1">
      <c r="C241" s="51"/>
      <c r="E241" s="48"/>
      <c r="G241" s="184"/>
      <c r="H241" s="184"/>
      <c r="I241" s="49"/>
      <c r="J241" s="49"/>
      <c r="K241" s="50"/>
      <c r="L241" s="50"/>
      <c r="M241" s="50"/>
      <c r="N241" s="51"/>
      <c r="O241" s="51"/>
      <c r="Q241" s="51"/>
      <c r="R241" s="51"/>
      <c r="S241" s="51"/>
    </row>
    <row r="242" spans="3:19" ht="11.1" customHeight="1">
      <c r="C242" s="51"/>
      <c r="E242" s="48"/>
      <c r="G242" s="184"/>
      <c r="H242" s="184"/>
      <c r="I242" s="49"/>
      <c r="J242" s="49"/>
      <c r="K242" s="50"/>
      <c r="L242" s="50"/>
      <c r="M242" s="50"/>
      <c r="N242" s="51"/>
      <c r="O242" s="51"/>
      <c r="Q242" s="51"/>
      <c r="R242" s="51"/>
      <c r="S242" s="51"/>
    </row>
    <row r="243" spans="3:19" ht="11.1" customHeight="1">
      <c r="C243" s="51"/>
      <c r="E243" s="48"/>
      <c r="G243" s="184"/>
      <c r="H243" s="184"/>
      <c r="I243" s="49"/>
      <c r="J243" s="49"/>
      <c r="K243" s="50"/>
      <c r="L243" s="50"/>
      <c r="M243" s="50"/>
      <c r="N243" s="51"/>
      <c r="O243" s="51"/>
      <c r="Q243" s="51"/>
      <c r="R243" s="51"/>
      <c r="S243" s="51"/>
    </row>
    <row r="244" spans="3:19" ht="11.1" customHeight="1">
      <c r="C244" s="51"/>
      <c r="E244" s="48"/>
      <c r="G244" s="184"/>
      <c r="H244" s="184"/>
      <c r="I244" s="49"/>
      <c r="J244" s="49"/>
      <c r="K244" s="50"/>
      <c r="L244" s="50"/>
      <c r="M244" s="50"/>
      <c r="N244" s="51"/>
      <c r="O244" s="51"/>
      <c r="Q244" s="51"/>
      <c r="R244" s="51"/>
      <c r="S244" s="51"/>
    </row>
    <row r="245" spans="3:19" ht="11.1" customHeight="1">
      <c r="C245" s="51"/>
      <c r="E245" s="48"/>
      <c r="G245" s="184"/>
      <c r="H245" s="184"/>
      <c r="I245" s="49"/>
      <c r="J245" s="49"/>
      <c r="K245" s="50"/>
      <c r="L245" s="50"/>
      <c r="M245" s="50"/>
      <c r="N245" s="51"/>
      <c r="O245" s="51"/>
      <c r="Q245" s="51"/>
      <c r="R245" s="51"/>
      <c r="S245" s="51"/>
    </row>
    <row r="246" spans="3:19" ht="11.1" customHeight="1">
      <c r="C246" s="51"/>
      <c r="E246" s="48"/>
      <c r="G246" s="184"/>
      <c r="H246" s="184"/>
      <c r="I246" s="49"/>
      <c r="J246" s="49"/>
      <c r="K246" s="50"/>
      <c r="L246" s="50"/>
      <c r="M246" s="50"/>
      <c r="N246" s="51"/>
      <c r="O246" s="51"/>
      <c r="Q246" s="51"/>
      <c r="R246" s="51"/>
      <c r="S246" s="51"/>
    </row>
    <row r="247" spans="3:19" ht="11.1" customHeight="1">
      <c r="C247" s="51"/>
      <c r="E247" s="48"/>
      <c r="G247" s="184"/>
      <c r="H247" s="184"/>
      <c r="I247" s="49"/>
      <c r="J247" s="49"/>
      <c r="K247" s="50"/>
      <c r="L247" s="50"/>
      <c r="M247" s="50"/>
      <c r="N247" s="51"/>
      <c r="O247" s="51"/>
      <c r="Q247" s="51"/>
      <c r="R247" s="51"/>
      <c r="S247" s="51"/>
    </row>
    <row r="248" spans="3:19" ht="11.1" customHeight="1">
      <c r="C248" s="51"/>
      <c r="E248" s="48"/>
      <c r="G248" s="184"/>
      <c r="H248" s="184"/>
      <c r="I248" s="49"/>
      <c r="J248" s="49"/>
      <c r="K248" s="50"/>
      <c r="L248" s="50"/>
      <c r="M248" s="50"/>
      <c r="N248" s="51"/>
      <c r="O248" s="51"/>
      <c r="Q248" s="51"/>
      <c r="R248" s="51"/>
      <c r="S248" s="51"/>
    </row>
    <row r="249" spans="3:19" ht="11.1" customHeight="1">
      <c r="C249" s="51"/>
      <c r="E249" s="48"/>
      <c r="G249" s="184"/>
      <c r="H249" s="184"/>
      <c r="I249" s="49"/>
      <c r="J249" s="49"/>
      <c r="K249" s="50"/>
      <c r="L249" s="50"/>
      <c r="M249" s="50"/>
      <c r="N249" s="51"/>
      <c r="O249" s="51"/>
      <c r="Q249" s="51"/>
      <c r="R249" s="51"/>
      <c r="S249" s="51"/>
    </row>
    <row r="250" spans="3:19" ht="11.1" customHeight="1">
      <c r="C250" s="51"/>
      <c r="E250" s="48"/>
      <c r="G250" s="184"/>
      <c r="H250" s="184"/>
      <c r="I250" s="49"/>
      <c r="J250" s="49"/>
      <c r="K250" s="50"/>
      <c r="L250" s="50"/>
      <c r="M250" s="50"/>
      <c r="N250" s="51"/>
      <c r="O250" s="51"/>
      <c r="Q250" s="51"/>
      <c r="R250" s="51"/>
      <c r="S250" s="51"/>
    </row>
    <row r="251" spans="3:19" ht="11.1" customHeight="1">
      <c r="C251" s="51"/>
      <c r="E251" s="48"/>
      <c r="G251" s="184"/>
      <c r="H251" s="184"/>
      <c r="I251" s="49"/>
      <c r="J251" s="49"/>
      <c r="K251" s="50"/>
      <c r="L251" s="50"/>
      <c r="M251" s="50"/>
      <c r="N251" s="51"/>
      <c r="O251" s="51"/>
      <c r="Q251" s="51"/>
      <c r="R251" s="51"/>
      <c r="S251" s="51"/>
    </row>
    <row r="252" spans="3:19" ht="11.1" customHeight="1">
      <c r="C252" s="51"/>
      <c r="E252" s="48"/>
      <c r="G252" s="184"/>
      <c r="H252" s="184"/>
      <c r="I252" s="49"/>
      <c r="J252" s="49"/>
      <c r="K252" s="50"/>
      <c r="L252" s="50"/>
      <c r="M252" s="50"/>
      <c r="N252" s="51"/>
      <c r="O252" s="51"/>
      <c r="Q252" s="51"/>
      <c r="R252" s="51"/>
      <c r="S252" s="51"/>
    </row>
    <row r="253" spans="3:19" ht="11.1" customHeight="1">
      <c r="C253" s="51"/>
      <c r="E253" s="48"/>
      <c r="G253" s="184"/>
      <c r="H253" s="184"/>
      <c r="I253" s="49"/>
      <c r="J253" s="49"/>
      <c r="K253" s="50"/>
      <c r="L253" s="50"/>
      <c r="M253" s="50"/>
      <c r="N253" s="51"/>
      <c r="O253" s="51"/>
      <c r="Q253" s="51"/>
      <c r="R253" s="51"/>
      <c r="S253" s="51"/>
    </row>
    <row r="254" spans="3:19" ht="11.1" customHeight="1">
      <c r="C254" s="51"/>
      <c r="E254" s="48"/>
      <c r="G254" s="184"/>
      <c r="H254" s="184"/>
      <c r="I254" s="49"/>
      <c r="J254" s="49"/>
      <c r="K254" s="50"/>
      <c r="L254" s="50"/>
      <c r="M254" s="50"/>
      <c r="N254" s="51"/>
      <c r="O254" s="51"/>
      <c r="Q254" s="51"/>
      <c r="R254" s="51"/>
      <c r="S254" s="51"/>
    </row>
    <row r="255" spans="3:19" ht="11.1" customHeight="1">
      <c r="C255" s="51"/>
      <c r="E255" s="48"/>
      <c r="G255" s="184"/>
      <c r="H255" s="184"/>
      <c r="I255" s="49"/>
      <c r="J255" s="49"/>
      <c r="K255" s="50"/>
      <c r="L255" s="50"/>
      <c r="M255" s="50"/>
      <c r="N255" s="51"/>
      <c r="O255" s="51"/>
      <c r="Q255" s="51"/>
      <c r="R255" s="51"/>
      <c r="S255" s="51"/>
    </row>
    <row r="256" spans="3:19" ht="11.1" customHeight="1">
      <c r="C256" s="51"/>
      <c r="E256" s="48"/>
      <c r="G256" s="184"/>
      <c r="H256" s="184"/>
      <c r="I256" s="49"/>
      <c r="J256" s="49"/>
      <c r="K256" s="50"/>
      <c r="L256" s="50"/>
      <c r="M256" s="50"/>
      <c r="N256" s="51"/>
      <c r="O256" s="51"/>
      <c r="Q256" s="51"/>
      <c r="R256" s="51"/>
      <c r="S256" s="51"/>
    </row>
    <row r="257" spans="3:19" ht="11.1" customHeight="1">
      <c r="C257" s="51"/>
      <c r="E257" s="48"/>
      <c r="G257" s="184"/>
      <c r="H257" s="184"/>
      <c r="I257" s="49"/>
      <c r="J257" s="49"/>
      <c r="K257" s="50"/>
      <c r="L257" s="50"/>
      <c r="M257" s="50"/>
      <c r="N257" s="51"/>
      <c r="O257" s="51"/>
      <c r="Q257" s="51"/>
      <c r="R257" s="51"/>
      <c r="S257" s="51"/>
    </row>
    <row r="258" spans="3:19" ht="11.1" customHeight="1">
      <c r="C258" s="51"/>
      <c r="E258" s="48"/>
      <c r="G258" s="184"/>
      <c r="H258" s="184"/>
      <c r="I258" s="49"/>
      <c r="J258" s="49"/>
      <c r="K258" s="50"/>
      <c r="L258" s="50"/>
      <c r="M258" s="50"/>
      <c r="N258" s="51"/>
      <c r="O258" s="51"/>
      <c r="Q258" s="51"/>
      <c r="R258" s="51"/>
      <c r="S258" s="51"/>
    </row>
    <row r="259" spans="3:19" ht="11.1" customHeight="1">
      <c r="C259" s="51"/>
      <c r="E259" s="48"/>
      <c r="G259" s="184"/>
      <c r="H259" s="184"/>
      <c r="I259" s="49"/>
      <c r="J259" s="49"/>
      <c r="K259" s="50"/>
      <c r="L259" s="50"/>
      <c r="M259" s="50"/>
      <c r="N259" s="51"/>
      <c r="O259" s="51"/>
      <c r="Q259" s="51"/>
      <c r="R259" s="51"/>
      <c r="S259" s="51"/>
    </row>
    <row r="260" spans="3:19" ht="11.1" customHeight="1">
      <c r="C260" s="51"/>
      <c r="E260" s="48"/>
      <c r="G260" s="184"/>
      <c r="H260" s="184"/>
      <c r="I260" s="49"/>
      <c r="J260" s="49"/>
      <c r="K260" s="50"/>
      <c r="L260" s="50"/>
      <c r="M260" s="50"/>
      <c r="N260" s="51"/>
      <c r="O260" s="51"/>
      <c r="Q260" s="51"/>
      <c r="R260" s="51"/>
      <c r="S260" s="51"/>
    </row>
    <row r="261" spans="3:19" ht="11.1" customHeight="1">
      <c r="C261" s="51"/>
      <c r="E261" s="48"/>
      <c r="G261" s="184"/>
      <c r="H261" s="184"/>
      <c r="I261" s="49"/>
      <c r="J261" s="49"/>
      <c r="K261" s="50"/>
      <c r="L261" s="50"/>
      <c r="M261" s="50"/>
      <c r="N261" s="51"/>
      <c r="O261" s="51"/>
      <c r="Q261" s="51"/>
      <c r="R261" s="51"/>
      <c r="S261" s="51"/>
    </row>
    <row r="262" spans="3:19" ht="11.1" customHeight="1">
      <c r="C262" s="51"/>
      <c r="E262" s="48"/>
      <c r="G262" s="184"/>
      <c r="H262" s="184"/>
      <c r="I262" s="49"/>
      <c r="J262" s="49"/>
      <c r="K262" s="50"/>
      <c r="L262" s="50"/>
      <c r="M262" s="50"/>
      <c r="N262" s="51"/>
      <c r="O262" s="51"/>
      <c r="Q262" s="51"/>
      <c r="R262" s="51"/>
      <c r="S262" s="51"/>
    </row>
  </sheetData>
  <mergeCells count="8">
    <mergeCell ref="C92:Q92"/>
    <mergeCell ref="E45:I45"/>
    <mergeCell ref="P45:Q45"/>
    <mergeCell ref="B1:S1"/>
    <mergeCell ref="B2:S2"/>
    <mergeCell ref="E3:I3"/>
    <mergeCell ref="P3:Q3"/>
    <mergeCell ref="B44:S44"/>
  </mergeCells>
  <phoneticPr fontId="59" type="noConversion"/>
  <pageMargins left="0.5" right="0.75" top="1" bottom="0.75" header="0.5" footer="0.5"/>
  <pageSetup scale="59" fitToHeight="2" orientation="landscape" r:id="rId1"/>
  <headerFooter scaleWithDoc="0" alignWithMargins="0">
    <oddFooter>&amp;LStaff_DR_130 Revised-Attachment B&amp;RPage &amp;P of &amp;N</oddFooter>
  </headerFooter>
  <rowBreaks count="1" manualBreakCount="1">
    <brk id="43" max="1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139"/>
  <sheetViews>
    <sheetView tabSelected="1" view="pageBreakPreview" topLeftCell="A202" zoomScaleNormal="100" zoomScaleSheetLayoutView="100" workbookViewId="0">
      <selection activeCell="A4" sqref="A4:I4"/>
    </sheetView>
  </sheetViews>
  <sheetFormatPr defaultColWidth="12.42578125" defaultRowHeight="12"/>
  <cols>
    <col min="1" max="1" width="3.85546875" style="40" customWidth="1"/>
    <col min="2" max="2" width="3.42578125" style="40" customWidth="1"/>
    <col min="3" max="3" width="3" style="40" customWidth="1"/>
    <col min="4" max="4" width="22.5703125" style="40" customWidth="1"/>
    <col min="5" max="5" width="9.7109375" style="40" customWidth="1"/>
    <col min="6" max="6" width="8.42578125" style="41" hidden="1" customWidth="1"/>
    <col min="7" max="7" width="9" style="241" bestFit="1" customWidth="1"/>
    <col min="8" max="8" width="9.140625" style="241" customWidth="1"/>
    <col min="9" max="9" width="10.28515625" style="241" customWidth="1"/>
    <col min="10" max="10" width="9" style="241" bestFit="1" customWidth="1"/>
    <col min="11" max="11" width="9" style="41" bestFit="1" customWidth="1"/>
    <col min="12" max="12" width="9.28515625" style="241" customWidth="1"/>
    <col min="13" max="14" width="8.42578125" style="241" bestFit="1" customWidth="1"/>
    <col min="15" max="15" width="10.140625" style="241" bestFit="1" customWidth="1"/>
    <col min="16" max="17" width="9.28515625" style="241" bestFit="1" customWidth="1"/>
    <col min="18" max="18" width="9.28515625" style="40" bestFit="1" customWidth="1"/>
    <col min="19" max="19" width="9.140625" style="41" customWidth="1"/>
    <col min="20" max="20" width="9.5703125" style="41" customWidth="1"/>
    <col min="21" max="21" width="10.85546875" style="40" customWidth="1"/>
    <col min="22" max="16384" width="12.42578125" style="40"/>
  </cols>
  <sheetData>
    <row r="1" spans="1:22" ht="7.5" customHeight="1">
      <c r="A1" s="937"/>
      <c r="B1" s="937"/>
      <c r="C1" s="937"/>
      <c r="D1" s="937"/>
      <c r="E1" s="937"/>
      <c r="F1" s="937"/>
      <c r="G1" s="937"/>
      <c r="H1" s="937"/>
      <c r="I1" s="937"/>
      <c r="J1" s="937"/>
      <c r="K1" s="937"/>
      <c r="L1" s="937"/>
      <c r="M1" s="937"/>
      <c r="N1" s="937"/>
      <c r="O1" s="937"/>
      <c r="P1" s="937"/>
      <c r="Q1" s="937"/>
      <c r="R1" s="937"/>
    </row>
    <row r="2" spans="1:22" ht="23.25" customHeight="1">
      <c r="A2" s="940" t="s">
        <v>508</v>
      </c>
      <c r="B2" s="940"/>
      <c r="C2" s="940"/>
      <c r="D2" s="940"/>
      <c r="E2" s="940"/>
      <c r="F2" s="940"/>
      <c r="G2" s="940"/>
      <c r="H2" s="940"/>
      <c r="I2" s="940"/>
      <c r="J2" s="940"/>
      <c r="K2" s="940"/>
      <c r="L2" s="940"/>
      <c r="M2" s="940"/>
      <c r="N2" s="940"/>
      <c r="O2" s="940"/>
      <c r="P2" s="940"/>
      <c r="Q2" s="940"/>
      <c r="R2" s="940"/>
    </row>
    <row r="3" spans="1:22" ht="10.9" customHeight="1">
      <c r="A3" s="491"/>
      <c r="B3" s="491"/>
      <c r="C3" s="491"/>
      <c r="D3" s="491"/>
      <c r="E3" s="491"/>
      <c r="F3" s="491"/>
      <c r="G3" s="491"/>
      <c r="H3" s="491"/>
      <c r="I3" s="491"/>
      <c r="J3" s="491"/>
      <c r="K3" s="491"/>
      <c r="L3" s="491"/>
      <c r="M3" s="491"/>
      <c r="N3" s="491"/>
      <c r="O3" s="491"/>
      <c r="P3" s="491"/>
      <c r="Q3" s="491"/>
      <c r="R3" s="491"/>
    </row>
    <row r="4" spans="1:22" ht="12.75" customHeight="1">
      <c r="A4" s="364" t="s">
        <v>94</v>
      </c>
      <c r="E4" s="942" t="s">
        <v>423</v>
      </c>
      <c r="F4" s="942"/>
      <c r="G4" s="942"/>
      <c r="H4" s="942"/>
      <c r="I4" s="943"/>
      <c r="J4" s="942"/>
      <c r="K4" s="942"/>
      <c r="L4" s="942"/>
      <c r="M4" s="942"/>
      <c r="N4" s="942"/>
      <c r="O4" s="942"/>
      <c r="P4" s="942"/>
      <c r="Q4" s="942"/>
      <c r="R4" s="942"/>
    </row>
    <row r="5" spans="1:22" ht="15" customHeight="1">
      <c r="A5" s="364" t="s">
        <v>516</v>
      </c>
      <c r="F5" s="493"/>
      <c r="G5" s="493"/>
      <c r="H5" s="493"/>
      <c r="I5" s="493"/>
      <c r="J5" s="493"/>
      <c r="K5" s="493"/>
      <c r="L5" s="493"/>
      <c r="M5" s="493"/>
      <c r="N5" s="493"/>
      <c r="O5" s="493"/>
      <c r="P5" s="493"/>
      <c r="Q5" s="493"/>
      <c r="R5" s="493"/>
    </row>
    <row r="6" spans="1:22" ht="10.5" customHeight="1">
      <c r="G6" s="41"/>
      <c r="H6" s="41"/>
      <c r="I6" s="41"/>
      <c r="J6" s="41"/>
      <c r="L6" s="41"/>
      <c r="M6" s="41"/>
      <c r="N6" s="41"/>
      <c r="O6" s="41"/>
      <c r="P6" s="41"/>
      <c r="Q6" s="41"/>
    </row>
    <row r="7" spans="1:22" ht="12.75">
      <c r="A7" s="364" t="s">
        <v>93</v>
      </c>
      <c r="F7" s="946"/>
      <c r="G7" s="946"/>
      <c r="H7" s="946"/>
      <c r="I7" s="946"/>
      <c r="J7" s="946"/>
      <c r="K7" s="946"/>
      <c r="L7" s="946"/>
      <c r="M7" s="946"/>
      <c r="N7" s="946"/>
      <c r="O7" s="946"/>
      <c r="P7" s="946"/>
      <c r="Q7" s="42"/>
      <c r="T7" s="793" t="s">
        <v>712</v>
      </c>
    </row>
    <row r="8" spans="1:22">
      <c r="A8" s="54" t="s">
        <v>3</v>
      </c>
      <c r="F8" s="192">
        <v>2000</v>
      </c>
      <c r="G8" s="192">
        <v>2001</v>
      </c>
      <c r="H8" s="192">
        <v>2002</v>
      </c>
      <c r="I8" s="192">
        <v>2003</v>
      </c>
      <c r="J8" s="192">
        <v>2004</v>
      </c>
      <c r="K8" s="192">
        <v>2005</v>
      </c>
      <c r="L8" s="192">
        <v>2006</v>
      </c>
      <c r="M8" s="192">
        <v>2007</v>
      </c>
      <c r="N8" s="192">
        <v>2008</v>
      </c>
      <c r="O8" s="192">
        <v>2009</v>
      </c>
      <c r="P8" s="192">
        <v>2010</v>
      </c>
      <c r="Q8" s="192">
        <v>2011</v>
      </c>
      <c r="R8" s="192">
        <v>2012</v>
      </c>
      <c r="S8" s="192">
        <v>2013</v>
      </c>
      <c r="T8" s="192">
        <v>2014</v>
      </c>
      <c r="U8" s="155"/>
      <c r="V8" s="193"/>
    </row>
    <row r="9" spans="1:22">
      <c r="A9" s="54" t="s">
        <v>90</v>
      </c>
      <c r="B9" s="40" t="s">
        <v>86</v>
      </c>
      <c r="F9" s="42"/>
      <c r="G9" s="42"/>
      <c r="H9" s="42"/>
      <c r="I9" s="42"/>
      <c r="J9" s="42"/>
      <c r="K9" s="362"/>
      <c r="L9" s="42"/>
      <c r="M9" s="42"/>
      <c r="N9" s="42"/>
      <c r="O9" s="42"/>
      <c r="P9" s="42"/>
      <c r="Q9" s="42"/>
      <c r="S9" s="40"/>
      <c r="T9" s="40"/>
      <c r="U9" s="155"/>
    </row>
    <row r="10" spans="1:22">
      <c r="A10" s="54">
        <v>1</v>
      </c>
      <c r="B10" s="40" t="s">
        <v>85</v>
      </c>
      <c r="F10" s="195">
        <f>'CBR Hist'!F13</f>
        <v>242529</v>
      </c>
      <c r="G10" s="195">
        <f>'CBR Hist'!G13</f>
        <v>258201</v>
      </c>
      <c r="H10" s="195">
        <f>'CBR Hist'!H13</f>
        <v>273318</v>
      </c>
      <c r="I10" s="195">
        <f>'CBR Hist'!I13</f>
        <v>283356</v>
      </c>
      <c r="J10" s="195">
        <f>'CBR Hist'!J13</f>
        <v>285399</v>
      </c>
      <c r="K10" s="195">
        <f>'CBR Hist'!K13</f>
        <v>289216</v>
      </c>
      <c r="L10" s="195">
        <f>'CBR Hist'!L13</f>
        <v>321929</v>
      </c>
      <c r="M10" s="195">
        <f>'CBR Hist'!M13</f>
        <v>326335</v>
      </c>
      <c r="N10" s="195">
        <f>'CBR Hist'!N13</f>
        <v>365425</v>
      </c>
      <c r="O10" s="195">
        <f>'CBR Hist'!O13</f>
        <v>402618</v>
      </c>
      <c r="P10" s="195">
        <f>'CBR Hist'!P13</f>
        <v>415739.9703632</v>
      </c>
      <c r="Q10" s="195">
        <f>'CBR Hist'!Q13</f>
        <v>451837</v>
      </c>
      <c r="R10" s="195">
        <f>'CBR Hist'!R13-816-113</f>
        <v>459266</v>
      </c>
      <c r="S10" s="195">
        <f>'CBR Hist'!S13</f>
        <v>468006</v>
      </c>
      <c r="T10" s="195">
        <f>'CBR Hist'!T13</f>
        <v>488372</v>
      </c>
      <c r="U10" s="155"/>
    </row>
    <row r="11" spans="1:22">
      <c r="A11" s="54">
        <v>2</v>
      </c>
      <c r="B11" s="40" t="s">
        <v>84</v>
      </c>
      <c r="F11" s="194">
        <f>'CBR Hist'!F14</f>
        <v>546</v>
      </c>
      <c r="G11" s="194">
        <f>'CBR Hist'!G14</f>
        <v>528</v>
      </c>
      <c r="H11" s="194">
        <f>'CBR Hist'!H14</f>
        <v>791</v>
      </c>
      <c r="I11" s="194">
        <f>'CBR Hist'!I14</f>
        <v>752</v>
      </c>
      <c r="J11" s="194">
        <f>'CBR Hist'!J14</f>
        <v>752</v>
      </c>
      <c r="K11" s="194">
        <f>'CBR Hist'!K14</f>
        <v>713</v>
      </c>
      <c r="L11" s="194">
        <f>'CBR Hist'!L14</f>
        <v>733</v>
      </c>
      <c r="M11" s="194">
        <f>'CBR Hist'!M14</f>
        <v>739</v>
      </c>
      <c r="N11" s="194">
        <f>'CBR Hist'!N14</f>
        <v>820</v>
      </c>
      <c r="O11" s="194">
        <f>'CBR Hist'!O14</f>
        <v>871.54909999999995</v>
      </c>
      <c r="P11" s="194">
        <f>'CBR Hist'!P14</f>
        <v>790</v>
      </c>
      <c r="Q11" s="194">
        <f>'CBR Hist'!Q14</f>
        <v>820</v>
      </c>
      <c r="R11" s="194">
        <f>'CBR Hist'!R14+816+113</f>
        <v>816</v>
      </c>
      <c r="S11" s="194">
        <f>'CBR Hist'!S14</f>
        <v>884</v>
      </c>
      <c r="T11" s="194">
        <f>'CBR Hist'!T14</f>
        <v>922</v>
      </c>
      <c r="U11" s="155"/>
    </row>
    <row r="12" spans="1:22">
      <c r="A12" s="54">
        <v>3</v>
      </c>
      <c r="B12" s="40" t="s">
        <v>83</v>
      </c>
      <c r="F12" s="194">
        <f>'CBR Hist'!F15</f>
        <v>137117</v>
      </c>
      <c r="G12" s="194">
        <f>'CBR Hist'!G15</f>
        <v>91388</v>
      </c>
      <c r="H12" s="194">
        <f>'CBR Hist'!H15</f>
        <v>29918</v>
      </c>
      <c r="I12" s="194">
        <f>'CBR Hist'!I15</f>
        <v>35252</v>
      </c>
      <c r="J12" s="194">
        <f>'CBR Hist'!J15</f>
        <v>40460</v>
      </c>
      <c r="K12" s="194">
        <f>'CBR Hist'!K15</f>
        <v>44718</v>
      </c>
      <c r="L12" s="194">
        <f>'CBR Hist'!L15</f>
        <v>35380</v>
      </c>
      <c r="M12" s="194">
        <f>'CBR Hist'!M15</f>
        <v>34954</v>
      </c>
      <c r="N12" s="194">
        <f>'CBR Hist'!N15</f>
        <v>46848</v>
      </c>
      <c r="O12" s="194">
        <f>'CBR Hist'!O15</f>
        <v>31491</v>
      </c>
      <c r="P12" s="194">
        <f>'CBR Hist'!P15</f>
        <v>133479</v>
      </c>
      <c r="Q12" s="194">
        <f>'CBR Hist'!Q15</f>
        <v>52604</v>
      </c>
      <c r="R12" s="194">
        <f>'CBR Hist'!R15</f>
        <v>54549</v>
      </c>
      <c r="S12" s="194">
        <f>'CBR Hist'!S15</f>
        <v>75349</v>
      </c>
      <c r="T12" s="194">
        <f>'CBR Hist'!T15</f>
        <v>60998</v>
      </c>
      <c r="U12" s="155"/>
    </row>
    <row r="13" spans="1:22">
      <c r="A13" s="54">
        <v>4</v>
      </c>
      <c r="B13" s="40" t="s">
        <v>82</v>
      </c>
      <c r="F13" s="427">
        <f>SUM(F10:F12)</f>
        <v>380192</v>
      </c>
      <c r="G13" s="427">
        <f t="shared" ref="G13:R13" si="0">SUM(G10:G12)</f>
        <v>350117</v>
      </c>
      <c r="H13" s="427">
        <f t="shared" si="0"/>
        <v>304027</v>
      </c>
      <c r="I13" s="427">
        <f t="shared" si="0"/>
        <v>319360</v>
      </c>
      <c r="J13" s="427">
        <f t="shared" si="0"/>
        <v>326611</v>
      </c>
      <c r="K13" s="427">
        <f t="shared" si="0"/>
        <v>334647</v>
      </c>
      <c r="L13" s="427">
        <f t="shared" si="0"/>
        <v>358042</v>
      </c>
      <c r="M13" s="427">
        <f t="shared" si="0"/>
        <v>362028</v>
      </c>
      <c r="N13" s="427">
        <f t="shared" si="0"/>
        <v>413093</v>
      </c>
      <c r="O13" s="427">
        <f t="shared" si="0"/>
        <v>434980.5491</v>
      </c>
      <c r="P13" s="427">
        <f t="shared" si="0"/>
        <v>550008.97036319994</v>
      </c>
      <c r="Q13" s="427">
        <f t="shared" si="0"/>
        <v>505261</v>
      </c>
      <c r="R13" s="427">
        <f t="shared" si="0"/>
        <v>514631</v>
      </c>
      <c r="S13" s="427">
        <f t="shared" ref="S13:T13" si="1">SUM(S10:S12)</f>
        <v>544239</v>
      </c>
      <c r="T13" s="427">
        <f t="shared" si="1"/>
        <v>550292</v>
      </c>
      <c r="U13" s="155"/>
    </row>
    <row r="14" spans="1:22">
      <c r="A14" s="54">
        <v>5</v>
      </c>
      <c r="B14" s="40" t="s">
        <v>81</v>
      </c>
      <c r="F14" s="194">
        <f>'CBR Hist'!F17</f>
        <v>13062</v>
      </c>
      <c r="G14" s="194">
        <f>'CBR Hist'!G17</f>
        <v>14305</v>
      </c>
      <c r="H14" s="194">
        <f>'CBR Hist'!H17</f>
        <v>34274</v>
      </c>
      <c r="I14" s="194">
        <f>'CBR Hist'!I17</f>
        <v>57244</v>
      </c>
      <c r="J14" s="194">
        <f>'CBR Hist'!J17</f>
        <v>8587</v>
      </c>
      <c r="K14" s="194">
        <f>'CBR Hist'!K17</f>
        <v>10259</v>
      </c>
      <c r="L14" s="194">
        <f>'CBR Hist'!L17</f>
        <v>10178</v>
      </c>
      <c r="M14" s="194">
        <f>'CBR Hist'!M17</f>
        <v>10170</v>
      </c>
      <c r="N14" s="194">
        <f>'CBR Hist'!N17</f>
        <v>10927</v>
      </c>
      <c r="O14" s="194">
        <f>'CBR Hist'!O17</f>
        <v>9395</v>
      </c>
      <c r="P14" s="194">
        <f>'CBR Hist'!P17</f>
        <v>11786</v>
      </c>
      <c r="Q14" s="194">
        <f>'CBR Hist'!Q17</f>
        <v>13666</v>
      </c>
      <c r="R14" s="194">
        <f>'CBR Hist'!R17</f>
        <v>13089</v>
      </c>
      <c r="S14" s="194">
        <f>'CBR Hist'!S17</f>
        <v>13408</v>
      </c>
      <c r="T14" s="194">
        <f>'CBR Hist'!T17</f>
        <v>17163</v>
      </c>
      <c r="U14" s="155"/>
    </row>
    <row r="15" spans="1:22">
      <c r="A15" s="54">
        <v>6</v>
      </c>
      <c r="B15" s="40" t="s">
        <v>80</v>
      </c>
      <c r="F15" s="427">
        <f>SUM(F13:F14)</f>
        <v>393254</v>
      </c>
      <c r="G15" s="427">
        <f t="shared" ref="G15:R15" si="2">SUM(G13:G14)</f>
        <v>364422</v>
      </c>
      <c r="H15" s="427">
        <f t="shared" si="2"/>
        <v>338301</v>
      </c>
      <c r="I15" s="427">
        <f t="shared" si="2"/>
        <v>376604</v>
      </c>
      <c r="J15" s="427">
        <f t="shared" si="2"/>
        <v>335198</v>
      </c>
      <c r="K15" s="427">
        <f t="shared" si="2"/>
        <v>344906</v>
      </c>
      <c r="L15" s="427">
        <f t="shared" si="2"/>
        <v>368220</v>
      </c>
      <c r="M15" s="427">
        <f t="shared" si="2"/>
        <v>372198</v>
      </c>
      <c r="N15" s="427">
        <f t="shared" si="2"/>
        <v>424020</v>
      </c>
      <c r="O15" s="427">
        <f t="shared" si="2"/>
        <v>444375.5491</v>
      </c>
      <c r="P15" s="427">
        <f t="shared" si="2"/>
        <v>561794.97036319994</v>
      </c>
      <c r="Q15" s="427">
        <f t="shared" si="2"/>
        <v>518927</v>
      </c>
      <c r="R15" s="427">
        <f t="shared" si="2"/>
        <v>527720</v>
      </c>
      <c r="S15" s="427">
        <f t="shared" ref="S15:T15" si="3">SUM(S13:S14)</f>
        <v>557647</v>
      </c>
      <c r="T15" s="427">
        <f t="shared" si="3"/>
        <v>567455</v>
      </c>
      <c r="U15" s="155"/>
    </row>
    <row r="16" spans="1:22" ht="6.75" customHeight="1">
      <c r="A16" s="54"/>
      <c r="F16" s="44"/>
      <c r="G16" s="44"/>
      <c r="H16" s="44"/>
      <c r="I16" s="44"/>
      <c r="J16" s="44"/>
      <c r="K16" s="44"/>
      <c r="L16" s="44"/>
      <c r="M16" s="44"/>
      <c r="N16" s="44"/>
      <c r="O16" s="44"/>
      <c r="P16" s="44"/>
      <c r="Q16" s="44"/>
      <c r="R16" s="44"/>
      <c r="S16" s="44"/>
      <c r="T16" s="44"/>
      <c r="U16" s="155"/>
    </row>
    <row r="17" spans="1:21">
      <c r="A17" s="54"/>
      <c r="B17" s="40" t="s">
        <v>79</v>
      </c>
      <c r="F17" s="44"/>
      <c r="G17" s="44"/>
      <c r="H17" s="44"/>
      <c r="I17" s="44"/>
      <c r="J17" s="44"/>
      <c r="K17" s="44"/>
      <c r="L17" s="44"/>
      <c r="M17" s="44"/>
      <c r="N17" s="44"/>
      <c r="O17" s="44"/>
      <c r="P17" s="44"/>
      <c r="Q17" s="44"/>
      <c r="R17" s="44"/>
      <c r="S17" s="44"/>
      <c r="T17" s="44"/>
      <c r="U17" s="155"/>
    </row>
    <row r="18" spans="1:21">
      <c r="A18" s="54"/>
      <c r="B18" s="40" t="s">
        <v>78</v>
      </c>
      <c r="F18" s="44"/>
      <c r="G18" s="44"/>
      <c r="H18" s="44"/>
      <c r="I18" s="44"/>
      <c r="J18" s="44"/>
      <c r="K18" s="44"/>
      <c r="L18" s="44"/>
      <c r="M18" s="44"/>
      <c r="N18" s="44"/>
      <c r="O18" s="44"/>
      <c r="P18" s="44"/>
      <c r="Q18" s="44"/>
      <c r="R18" s="44"/>
      <c r="S18" s="44"/>
      <c r="T18" s="44"/>
      <c r="U18" s="155"/>
    </row>
    <row r="19" spans="1:21">
      <c r="A19" s="54">
        <v>7</v>
      </c>
      <c r="C19" s="40" t="s">
        <v>70</v>
      </c>
      <c r="F19" s="194">
        <f>'CBR Hist'!F22</f>
        <v>78721</v>
      </c>
      <c r="G19" s="194">
        <f>'CBR Hist'!G22</f>
        <v>47157</v>
      </c>
      <c r="H19" s="194">
        <f>'CBR Hist'!H22</f>
        <v>101475</v>
      </c>
      <c r="I19" s="194">
        <f>'CBR Hist'!I22</f>
        <v>132098</v>
      </c>
      <c r="J19" s="194">
        <f>'CBR Hist'!J22</f>
        <v>101545</v>
      </c>
      <c r="K19" s="194">
        <f>'CBR Hist'!K22</f>
        <v>105374</v>
      </c>
      <c r="L19" s="194">
        <f>'CBR Hist'!L22</f>
        <v>104260</v>
      </c>
      <c r="M19" s="194">
        <f>'CBR Hist'!M22</f>
        <v>102890</v>
      </c>
      <c r="N19" s="194">
        <f>'CBR Hist'!N22</f>
        <v>117123</v>
      </c>
      <c r="O19" s="194">
        <f>'CBR Hist'!O22</f>
        <v>87599</v>
      </c>
      <c r="P19" s="194">
        <f>'CBR Hist'!P22</f>
        <v>147107</v>
      </c>
      <c r="Q19" s="194">
        <f>'CBR Hist'!Q22</f>
        <v>145634</v>
      </c>
      <c r="R19" s="194">
        <f>'CBR Hist'!R22</f>
        <v>131795</v>
      </c>
      <c r="S19" s="194">
        <f>'CBR Hist'!S22</f>
        <v>143904</v>
      </c>
      <c r="T19" s="865">
        <f>'CBR Hist'!T22</f>
        <v>120307</v>
      </c>
      <c r="U19" s="873" t="s">
        <v>738</v>
      </c>
    </row>
    <row r="20" spans="1:21">
      <c r="A20" s="54">
        <v>8</v>
      </c>
      <c r="C20" s="40" t="s">
        <v>77</v>
      </c>
      <c r="F20" s="194">
        <f>'CBR Hist'!F23</f>
        <v>181189</v>
      </c>
      <c r="G20" s="194">
        <f>'CBR Hist'!G23</f>
        <v>132159</v>
      </c>
      <c r="H20" s="194">
        <f>'CBR Hist'!H23</f>
        <v>50769</v>
      </c>
      <c r="I20" s="194">
        <f>'CBR Hist'!I23</f>
        <v>46591</v>
      </c>
      <c r="J20" s="194">
        <f>'CBR Hist'!J23</f>
        <v>51042</v>
      </c>
      <c r="K20" s="194">
        <f>'CBR Hist'!K23</f>
        <v>55046</v>
      </c>
      <c r="L20" s="194">
        <f>'CBR Hist'!L23</f>
        <v>79146</v>
      </c>
      <c r="M20" s="194">
        <f>'CBR Hist'!M23</f>
        <v>65640</v>
      </c>
      <c r="N20" s="194">
        <f>'CBR Hist'!N23</f>
        <v>72508</v>
      </c>
      <c r="O20" s="865">
        <f>'CBR Hist'!O23</f>
        <v>100437</v>
      </c>
      <c r="P20" s="194">
        <f>'CBR Hist'!P23</f>
        <v>142197</v>
      </c>
      <c r="Q20" s="194">
        <f>'CBR Hist'!Q23</f>
        <v>91142</v>
      </c>
      <c r="R20" s="194">
        <f>'CBR Hist'!R23</f>
        <v>101283</v>
      </c>
      <c r="S20" s="194">
        <f>'CBR Hist'!S23</f>
        <v>109034</v>
      </c>
      <c r="T20" s="194">
        <f>'CBR Hist'!T23</f>
        <v>116643</v>
      </c>
      <c r="U20" s="873" t="s">
        <v>739</v>
      </c>
    </row>
    <row r="21" spans="1:21">
      <c r="A21" s="54">
        <v>9</v>
      </c>
      <c r="C21" s="40" t="s">
        <v>137</v>
      </c>
      <c r="F21" s="194">
        <f>'CBR Hist'!F24+'CBR Hist'!F25-F22</f>
        <v>14850</v>
      </c>
      <c r="G21" s="194">
        <f>'CBR Hist'!G24+'CBR Hist'!G25-G22</f>
        <v>15202</v>
      </c>
      <c r="H21" s="194">
        <f>'CBR Hist'!H24+'CBR Hist'!H25-H22</f>
        <v>20157</v>
      </c>
      <c r="I21" s="194">
        <f>'CBR Hist'!I24+'CBR Hist'!I25-I22</f>
        <v>20523</v>
      </c>
      <c r="J21" s="194">
        <f>'CBR Hist'!J24+'CBR Hist'!J25-J22</f>
        <v>22312</v>
      </c>
      <c r="K21" s="194">
        <f>'CBR Hist'!K24+'CBR Hist'!K25-K22</f>
        <v>22629</v>
      </c>
      <c r="L21" s="194">
        <f>'CBR Hist'!L24+'CBR Hist'!L25-L22</f>
        <v>24577</v>
      </c>
      <c r="M21" s="194">
        <f>'CBR Hist'!M24+'CBR Hist'!M25-M22</f>
        <v>24877</v>
      </c>
      <c r="N21" s="194">
        <f>'CBR Hist'!N24+'CBR Hist'!N25-N22</f>
        <v>23076</v>
      </c>
      <c r="O21" s="194">
        <f>'CBR Hist'!O24+'CBR Hist'!O25-O22</f>
        <v>23969</v>
      </c>
      <c r="P21" s="194">
        <f>'CBR Hist'!P24+'CBR Hist'!P25-P22</f>
        <v>25008</v>
      </c>
      <c r="Q21" s="194">
        <f>'CBR Hist'!Q24+'CBR Hist'!Q25-Q22</f>
        <v>25158</v>
      </c>
      <c r="R21" s="194">
        <f>'CBR Hist'!R24+'CBR Hist'!R25-R22</f>
        <v>25680</v>
      </c>
      <c r="S21" s="194">
        <f>'CBR Hist'!S24+'CBR Hist'!S25-S22</f>
        <v>23284</v>
      </c>
      <c r="T21" s="194">
        <f>'CBR Hist'!T24+'CBR Hist'!T25-T22</f>
        <v>23715</v>
      </c>
      <c r="U21" s="794" t="s">
        <v>742</v>
      </c>
    </row>
    <row r="22" spans="1:21">
      <c r="A22" s="54">
        <v>10</v>
      </c>
      <c r="C22" s="40" t="s">
        <v>138</v>
      </c>
      <c r="F22" s="194">
        <f>'Reg Amorts'!E42</f>
        <v>-17964</v>
      </c>
      <c r="G22" s="194">
        <f>'Reg Amorts'!F42</f>
        <v>-6050</v>
      </c>
      <c r="H22" s="194">
        <f>'Reg Amorts'!G42</f>
        <v>-6349</v>
      </c>
      <c r="I22" s="194">
        <f>'Reg Amorts'!H42</f>
        <v>-5608</v>
      </c>
      <c r="J22" s="194">
        <f>'Reg Amorts'!I42</f>
        <v>567</v>
      </c>
      <c r="K22" s="194">
        <f>'Reg Amorts'!J42</f>
        <v>-8817</v>
      </c>
      <c r="L22" s="194">
        <f>'Reg Amorts'!K42</f>
        <v>1168</v>
      </c>
      <c r="M22" s="194">
        <f>'Reg Amorts'!L42</f>
        <v>-3082</v>
      </c>
      <c r="N22" s="194">
        <f>'Reg Amorts'!M42</f>
        <v>-1076</v>
      </c>
      <c r="O22" s="194">
        <f>'Reg Amorts'!N42</f>
        <v>-1703</v>
      </c>
      <c r="P22" s="194">
        <f>'Reg Amorts'!O42</f>
        <v>-2879</v>
      </c>
      <c r="Q22" s="194">
        <f>'Reg Amorts'!P42</f>
        <v>403</v>
      </c>
      <c r="R22" s="194">
        <f>'Reg Amorts'!Q42</f>
        <v>-7744</v>
      </c>
      <c r="S22" s="194">
        <f>'Reg Amorts'!R42</f>
        <v>8629</v>
      </c>
      <c r="T22" s="194">
        <f>'Reg Amorts'!S42</f>
        <v>8101</v>
      </c>
      <c r="U22" s="155"/>
    </row>
    <row r="23" spans="1:21">
      <c r="A23" s="54">
        <v>11</v>
      </c>
      <c r="C23" s="40" t="s">
        <v>69</v>
      </c>
      <c r="F23" s="194">
        <f>'CBR Hist'!F26</f>
        <v>9346</v>
      </c>
      <c r="G23" s="194">
        <f>'CBR Hist'!G26</f>
        <v>5139</v>
      </c>
      <c r="H23" s="194">
        <f>'CBR Hist'!H26</f>
        <v>7164</v>
      </c>
      <c r="I23" s="194">
        <f>'CBR Hist'!I26</f>
        <v>6722</v>
      </c>
      <c r="J23" s="194">
        <f>'CBR Hist'!J26</f>
        <v>7283</v>
      </c>
      <c r="K23" s="194">
        <f>'CBR Hist'!K26</f>
        <v>9900</v>
      </c>
      <c r="L23" s="194">
        <f>'CBR Hist'!L26</f>
        <v>9115</v>
      </c>
      <c r="M23" s="194">
        <f>'CBR Hist'!M26</f>
        <v>8319</v>
      </c>
      <c r="N23" s="194">
        <f>'CBR Hist'!N26</f>
        <v>8146</v>
      </c>
      <c r="O23" s="194">
        <f>'CBR Hist'!O26</f>
        <v>9014</v>
      </c>
      <c r="P23" s="194">
        <f>'CBR Hist'!P26</f>
        <v>9955</v>
      </c>
      <c r="Q23" s="194">
        <f>'CBR Hist'!Q26</f>
        <v>10846</v>
      </c>
      <c r="R23" s="194">
        <f>'CBR Hist'!R26</f>
        <v>11456</v>
      </c>
      <c r="S23" s="194">
        <f>'CBR Hist'!S26</f>
        <v>12913</v>
      </c>
      <c r="T23" s="194">
        <f>'CBR Hist'!T26</f>
        <v>12828</v>
      </c>
      <c r="U23" s="155"/>
    </row>
    <row r="24" spans="1:21">
      <c r="A24" s="54">
        <v>12</v>
      </c>
      <c r="B24" s="40" t="s">
        <v>76</v>
      </c>
      <c r="F24" s="428">
        <f>SUM(F19:F23)</f>
        <v>266142</v>
      </c>
      <c r="G24" s="428">
        <f t="shared" ref="G24:R24" si="4">SUM(G19:G23)</f>
        <v>193607</v>
      </c>
      <c r="H24" s="428">
        <f t="shared" si="4"/>
        <v>173216</v>
      </c>
      <c r="I24" s="428">
        <f t="shared" si="4"/>
        <v>200326</v>
      </c>
      <c r="J24" s="428">
        <f t="shared" si="4"/>
        <v>182749</v>
      </c>
      <c r="K24" s="428">
        <f t="shared" si="4"/>
        <v>184132</v>
      </c>
      <c r="L24" s="428">
        <f t="shared" si="4"/>
        <v>218266</v>
      </c>
      <c r="M24" s="428">
        <f t="shared" si="4"/>
        <v>198644</v>
      </c>
      <c r="N24" s="428">
        <f t="shared" si="4"/>
        <v>219777</v>
      </c>
      <c r="O24" s="428">
        <f t="shared" si="4"/>
        <v>219316</v>
      </c>
      <c r="P24" s="428">
        <f t="shared" si="4"/>
        <v>321388</v>
      </c>
      <c r="Q24" s="428">
        <f t="shared" si="4"/>
        <v>273183</v>
      </c>
      <c r="R24" s="428">
        <f t="shared" si="4"/>
        <v>262470</v>
      </c>
      <c r="S24" s="428">
        <f t="shared" ref="S24:T24" si="5">SUM(S19:S23)</f>
        <v>297764</v>
      </c>
      <c r="T24" s="428">
        <f t="shared" si="5"/>
        <v>281594</v>
      </c>
      <c r="U24" s="155"/>
    </row>
    <row r="25" spans="1:21" ht="13.5" customHeight="1">
      <c r="A25" s="54"/>
      <c r="F25" s="44"/>
      <c r="G25" s="44"/>
      <c r="H25" s="44"/>
      <c r="I25" s="44"/>
      <c r="J25" s="44"/>
      <c r="K25" s="44"/>
      <c r="L25" s="44"/>
      <c r="M25" s="44"/>
      <c r="N25" s="44"/>
      <c r="O25" s="44"/>
      <c r="P25" s="44"/>
      <c r="Q25" s="44"/>
      <c r="R25" s="44"/>
      <c r="S25" s="586"/>
      <c r="T25" s="586"/>
      <c r="U25" s="155"/>
    </row>
    <row r="26" spans="1:21">
      <c r="A26" s="54"/>
      <c r="B26" s="40" t="s">
        <v>56</v>
      </c>
      <c r="F26" s="44"/>
      <c r="G26" s="44"/>
      <c r="H26" s="44"/>
      <c r="I26" s="44"/>
      <c r="J26" s="44"/>
      <c r="K26" s="44"/>
      <c r="L26" s="44"/>
      <c r="M26" s="44"/>
      <c r="N26" s="44"/>
      <c r="O26" s="44"/>
      <c r="P26" s="44"/>
      <c r="Q26" s="44"/>
      <c r="R26" s="44"/>
      <c r="S26" s="44"/>
      <c r="T26" s="44"/>
      <c r="U26" s="155"/>
    </row>
    <row r="27" spans="1:21">
      <c r="A27" s="54">
        <v>13</v>
      </c>
      <c r="C27" s="40" t="s">
        <v>70</v>
      </c>
      <c r="F27" s="194">
        <f>'CBR Hist'!F30</f>
        <v>9418</v>
      </c>
      <c r="G27" s="194">
        <f>'CBR Hist'!G30</f>
        <v>10560</v>
      </c>
      <c r="H27" s="194">
        <f>'CBR Hist'!H30</f>
        <v>9631</v>
      </c>
      <c r="I27" s="194">
        <f>'CBR Hist'!I30</f>
        <v>10171</v>
      </c>
      <c r="J27" s="194">
        <f>'CBR Hist'!J30</f>
        <v>12016</v>
      </c>
      <c r="K27" s="194">
        <f>'CBR Hist'!K30</f>
        <v>14263</v>
      </c>
      <c r="L27" s="194">
        <f>'CBR Hist'!L30</f>
        <v>15485</v>
      </c>
      <c r="M27" s="194">
        <f>'CBR Hist'!M30</f>
        <v>14563</v>
      </c>
      <c r="N27" s="194">
        <f>'CBR Hist'!N30</f>
        <v>17329</v>
      </c>
      <c r="O27" s="194">
        <f>'CBR Hist'!O30</f>
        <v>17267</v>
      </c>
      <c r="P27" s="194">
        <f>'CBR Hist'!P30</f>
        <v>18354</v>
      </c>
      <c r="Q27" s="194">
        <f>'CBR Hist'!Q30</f>
        <v>19081</v>
      </c>
      <c r="R27" s="194">
        <f>'CBR Hist'!R30</f>
        <v>21152</v>
      </c>
      <c r="S27" s="194">
        <f>'CBR Hist'!S30</f>
        <v>20878</v>
      </c>
      <c r="T27" s="194">
        <f>'CBR Hist'!T30</f>
        <v>21299</v>
      </c>
      <c r="U27" s="155"/>
    </row>
    <row r="28" spans="1:21">
      <c r="A28" s="54">
        <v>14</v>
      </c>
      <c r="C28" s="40" t="s">
        <v>139</v>
      </c>
      <c r="F28" s="194">
        <f>'CBR Hist'!F31</f>
        <v>9056</v>
      </c>
      <c r="G28" s="194">
        <f>'CBR Hist'!G31</f>
        <v>9178</v>
      </c>
      <c r="H28" s="194">
        <f>'CBR Hist'!H31</f>
        <v>9427</v>
      </c>
      <c r="I28" s="194">
        <f>'CBR Hist'!I31</f>
        <v>9752</v>
      </c>
      <c r="J28" s="194">
        <f>'CBR Hist'!J31</f>
        <v>10067</v>
      </c>
      <c r="K28" s="194">
        <f>'CBR Hist'!K31</f>
        <v>10399</v>
      </c>
      <c r="L28" s="194">
        <f>'CBR Hist'!L31</f>
        <v>10776</v>
      </c>
      <c r="M28" s="194">
        <f>'CBR Hist'!M31</f>
        <v>11333</v>
      </c>
      <c r="N28" s="194">
        <f>'CBR Hist'!N31</f>
        <v>15611</v>
      </c>
      <c r="O28" s="194">
        <f>'CBR Hist'!O31</f>
        <v>16809</v>
      </c>
      <c r="P28" s="194">
        <f>'CBR Hist'!P31</f>
        <v>17985</v>
      </c>
      <c r="Q28" s="194">
        <f>'CBR Hist'!Q31</f>
        <v>19240</v>
      </c>
      <c r="R28" s="194">
        <f>'CBR Hist'!R31</f>
        <v>20749</v>
      </c>
      <c r="S28" s="194">
        <f>'CBR Hist'!S31</f>
        <v>22303</v>
      </c>
      <c r="T28" s="194">
        <f>'CBR Hist'!T31</f>
        <v>23794</v>
      </c>
      <c r="U28" s="155"/>
    </row>
    <row r="29" spans="1:21">
      <c r="A29" s="54">
        <v>15</v>
      </c>
      <c r="C29" s="40" t="s">
        <v>69</v>
      </c>
      <c r="F29" s="194">
        <f>'CBR Hist'!F32</f>
        <v>11693</v>
      </c>
      <c r="G29" s="194">
        <f>'CBR Hist'!G32</f>
        <v>15462</v>
      </c>
      <c r="H29" s="194">
        <f>'CBR Hist'!H32</f>
        <v>16996</v>
      </c>
      <c r="I29" s="194">
        <f>'CBR Hist'!I32</f>
        <v>17286</v>
      </c>
      <c r="J29" s="194">
        <f>'CBR Hist'!J32</f>
        <v>17401</v>
      </c>
      <c r="K29" s="194">
        <f>'CBR Hist'!K32</f>
        <v>14988</v>
      </c>
      <c r="L29" s="194">
        <f>'CBR Hist'!L32</f>
        <v>16307</v>
      </c>
      <c r="M29" s="194">
        <f>'CBR Hist'!M32</f>
        <v>16156</v>
      </c>
      <c r="N29" s="194">
        <f>'CBR Hist'!N32</f>
        <v>17416</v>
      </c>
      <c r="O29" s="194">
        <f>'CBR Hist'!O32</f>
        <v>18207</v>
      </c>
      <c r="P29" s="194">
        <f>'CBR Hist'!P32</f>
        <v>19990</v>
      </c>
      <c r="Q29" s="194">
        <f>'CBR Hist'!Q32</f>
        <v>22393.453812</v>
      </c>
      <c r="R29" s="194">
        <f>'CBR Hist'!R32</f>
        <v>22594.925350000001</v>
      </c>
      <c r="S29" s="194">
        <f>'CBR Hist'!S32</f>
        <v>23288</v>
      </c>
      <c r="T29" s="194">
        <f>'CBR Hist'!T32</f>
        <v>25575</v>
      </c>
      <c r="U29" s="155"/>
    </row>
    <row r="30" spans="1:21">
      <c r="A30" s="54">
        <v>16</v>
      </c>
      <c r="B30" s="40" t="s">
        <v>75</v>
      </c>
      <c r="F30" s="428">
        <f>SUM(F27:F29)</f>
        <v>30167</v>
      </c>
      <c r="G30" s="428">
        <f t="shared" ref="G30:R30" si="6">SUM(G27:G29)</f>
        <v>35200</v>
      </c>
      <c r="H30" s="428">
        <f t="shared" si="6"/>
        <v>36054</v>
      </c>
      <c r="I30" s="428">
        <f t="shared" si="6"/>
        <v>37209</v>
      </c>
      <c r="J30" s="428">
        <f t="shared" si="6"/>
        <v>39484</v>
      </c>
      <c r="K30" s="428">
        <f t="shared" si="6"/>
        <v>39650</v>
      </c>
      <c r="L30" s="428">
        <f t="shared" si="6"/>
        <v>42568</v>
      </c>
      <c r="M30" s="428">
        <f t="shared" si="6"/>
        <v>42052</v>
      </c>
      <c r="N30" s="428">
        <f t="shared" si="6"/>
        <v>50356</v>
      </c>
      <c r="O30" s="428">
        <f t="shared" si="6"/>
        <v>52283</v>
      </c>
      <c r="P30" s="428">
        <f t="shared" si="6"/>
        <v>56329</v>
      </c>
      <c r="Q30" s="428">
        <f t="shared" si="6"/>
        <v>60714.453812</v>
      </c>
      <c r="R30" s="428">
        <f t="shared" si="6"/>
        <v>64495.925350000005</v>
      </c>
      <c r="S30" s="428">
        <f t="shared" ref="S30:T30" si="7">SUM(S27:S29)</f>
        <v>66469</v>
      </c>
      <c r="T30" s="428">
        <f t="shared" si="7"/>
        <v>70668</v>
      </c>
      <c r="U30" s="155"/>
    </row>
    <row r="31" spans="1:21" ht="4.5" customHeight="1">
      <c r="A31" s="54"/>
      <c r="F31" s="44"/>
      <c r="G31" s="44"/>
      <c r="H31" s="44"/>
      <c r="I31" s="44"/>
      <c r="J31" s="44"/>
      <c r="K31" s="44"/>
      <c r="L31" s="44"/>
      <c r="M31" s="44"/>
      <c r="N31" s="44"/>
      <c r="O31" s="44"/>
      <c r="P31" s="44"/>
      <c r="Q31" s="44"/>
      <c r="R31" s="44"/>
      <c r="S31" s="44"/>
      <c r="T31" s="44"/>
      <c r="U31" s="155"/>
    </row>
    <row r="32" spans="1:21">
      <c r="A32" s="54">
        <v>17</v>
      </c>
      <c r="B32" s="40" t="s">
        <v>74</v>
      </c>
      <c r="F32" s="194">
        <f>'CBR Hist'!F35</f>
        <v>5768</v>
      </c>
      <c r="G32" s="194">
        <f>'CBR Hist'!G35</f>
        <v>6196</v>
      </c>
      <c r="H32" s="194">
        <f>'CBR Hist'!H35</f>
        <v>7113</v>
      </c>
      <c r="I32" s="194">
        <f>'CBR Hist'!I35</f>
        <v>7129</v>
      </c>
      <c r="J32" s="194">
        <f>'CBR Hist'!J35</f>
        <v>7352</v>
      </c>
      <c r="K32" s="194">
        <f>'CBR Hist'!K35</f>
        <v>7156</v>
      </c>
      <c r="L32" s="194">
        <f>'CBR Hist'!L35</f>
        <v>7097</v>
      </c>
      <c r="M32" s="194">
        <f>'CBR Hist'!M35</f>
        <v>7514</v>
      </c>
      <c r="N32" s="194">
        <f>'CBR Hist'!N35</f>
        <v>7919</v>
      </c>
      <c r="O32" s="194">
        <f>'CBR Hist'!O35</f>
        <v>9646</v>
      </c>
      <c r="P32" s="194">
        <f>'CBR Hist'!P35</f>
        <v>9261</v>
      </c>
      <c r="Q32" s="194">
        <f>'CBR Hist'!Q35</f>
        <v>10274.701588</v>
      </c>
      <c r="R32" s="194">
        <f>'CBR Hist'!R35</f>
        <v>10335.791302</v>
      </c>
      <c r="S32" s="194">
        <f>'CBR Hist'!S35</f>
        <v>11334</v>
      </c>
      <c r="T32" s="194">
        <f>'CBR Hist'!T35</f>
        <v>11166</v>
      </c>
      <c r="U32" s="155"/>
    </row>
    <row r="33" spans="1:21">
      <c r="A33" s="54">
        <v>18</v>
      </c>
      <c r="B33" s="40" t="s">
        <v>73</v>
      </c>
      <c r="F33" s="194">
        <f>'CBR Hist'!F36</f>
        <v>5704</v>
      </c>
      <c r="G33" s="194">
        <f>'CBR Hist'!G36</f>
        <v>5381</v>
      </c>
      <c r="H33" s="194">
        <f>'CBR Hist'!H36</f>
        <v>6261</v>
      </c>
      <c r="I33" s="194">
        <f>'CBR Hist'!I36</f>
        <v>6620</v>
      </c>
      <c r="J33" s="194">
        <f>'CBR Hist'!J36</f>
        <v>266</v>
      </c>
      <c r="K33" s="194">
        <f>'CBR Hist'!K36</f>
        <v>7127</v>
      </c>
      <c r="L33" s="194">
        <f>'CBR Hist'!L36</f>
        <v>1159</v>
      </c>
      <c r="M33" s="194">
        <f>'CBR Hist'!M36</f>
        <v>7472</v>
      </c>
      <c r="N33" s="194">
        <f>'CBR Hist'!N36</f>
        <v>12847</v>
      </c>
      <c r="O33" s="194">
        <f>'CBR Hist'!O36</f>
        <v>19736</v>
      </c>
      <c r="P33" s="194">
        <f>'CBR Hist'!P36</f>
        <v>20832</v>
      </c>
      <c r="Q33" s="194">
        <f>'CBR Hist'!Q36</f>
        <v>21292</v>
      </c>
      <c r="R33" s="194">
        <f>'CBR Hist'!R36</f>
        <v>18487</v>
      </c>
      <c r="S33" s="194">
        <f>'CBR Hist'!S36</f>
        <v>1516</v>
      </c>
      <c r="T33" s="194">
        <f>'CBR Hist'!T36</f>
        <v>1383</v>
      </c>
      <c r="U33" s="155"/>
    </row>
    <row r="34" spans="1:21">
      <c r="A34" s="54">
        <v>19</v>
      </c>
      <c r="B34" s="40" t="s">
        <v>72</v>
      </c>
      <c r="F34" s="194">
        <f>'CBR Hist'!F37</f>
        <v>1071</v>
      </c>
      <c r="G34" s="194">
        <f>'CBR Hist'!G37</f>
        <v>734</v>
      </c>
      <c r="H34" s="194">
        <f>'CBR Hist'!H37</f>
        <v>628</v>
      </c>
      <c r="I34" s="194">
        <f>'CBR Hist'!I37</f>
        <v>734</v>
      </c>
      <c r="J34" s="194">
        <f>'CBR Hist'!J37</f>
        <v>686</v>
      </c>
      <c r="K34" s="194">
        <f>'CBR Hist'!K37</f>
        <v>430</v>
      </c>
      <c r="L34" s="194">
        <f>'CBR Hist'!L37</f>
        <v>657</v>
      </c>
      <c r="M34" s="194">
        <f>'CBR Hist'!M37</f>
        <v>682</v>
      </c>
      <c r="N34" s="194">
        <f>'CBR Hist'!N37</f>
        <v>571</v>
      </c>
      <c r="O34" s="194">
        <f>'CBR Hist'!O37</f>
        <v>660</v>
      </c>
      <c r="P34" s="194">
        <f>'CBR Hist'!P37</f>
        <v>176</v>
      </c>
      <c r="Q34" s="194">
        <f>'CBR Hist'!Q37</f>
        <v>4</v>
      </c>
      <c r="R34" s="194">
        <f>'CBR Hist'!R37</f>
        <v>5</v>
      </c>
      <c r="S34" s="194">
        <f>'CBR Hist'!S37</f>
        <v>5</v>
      </c>
      <c r="T34" s="194">
        <f>'CBR Hist'!T37</f>
        <v>0</v>
      </c>
      <c r="U34" s="155"/>
    </row>
    <row r="35" spans="1:21" ht="6.75" customHeight="1">
      <c r="A35" s="54"/>
      <c r="F35" s="44"/>
      <c r="G35" s="44"/>
      <c r="H35" s="44"/>
      <c r="I35" s="44"/>
      <c r="J35" s="44"/>
      <c r="K35" s="44"/>
      <c r="L35" s="44"/>
      <c r="M35" s="44"/>
      <c r="N35" s="44"/>
      <c r="O35" s="44"/>
      <c r="P35" s="44"/>
      <c r="Q35" s="44"/>
      <c r="R35" s="44"/>
      <c r="S35" s="44"/>
      <c r="T35" s="44"/>
      <c r="U35" s="155"/>
    </row>
    <row r="36" spans="1:21">
      <c r="A36" s="54"/>
      <c r="B36" s="40" t="s">
        <v>71</v>
      </c>
      <c r="F36" s="44"/>
      <c r="G36" s="44"/>
      <c r="H36" s="44"/>
      <c r="I36" s="44"/>
      <c r="J36" s="44"/>
      <c r="K36" s="44"/>
      <c r="L36" s="44"/>
      <c r="M36" s="44"/>
      <c r="N36" s="44"/>
      <c r="O36" s="44"/>
      <c r="P36" s="44"/>
      <c r="Q36" s="44"/>
      <c r="R36" s="44"/>
      <c r="S36" s="44"/>
      <c r="T36" s="44"/>
      <c r="U36" s="155"/>
    </row>
    <row r="37" spans="1:21">
      <c r="A37" s="54">
        <v>20</v>
      </c>
      <c r="C37" s="40" t="s">
        <v>70</v>
      </c>
      <c r="F37" s="194">
        <f>'CBR Hist'!F40</f>
        <v>30350</v>
      </c>
      <c r="G37" s="194">
        <f>'CBR Hist'!G40</f>
        <v>25102</v>
      </c>
      <c r="H37" s="194">
        <f>'CBR Hist'!H40</f>
        <v>30304</v>
      </c>
      <c r="I37" s="194">
        <f>'CBR Hist'!I40</f>
        <v>30153</v>
      </c>
      <c r="J37" s="194">
        <f>'CBR Hist'!J40</f>
        <v>31927</v>
      </c>
      <c r="K37" s="194">
        <f>'CBR Hist'!K40</f>
        <v>33143</v>
      </c>
      <c r="L37" s="194">
        <f>'CBR Hist'!L40</f>
        <v>33148</v>
      </c>
      <c r="M37" s="194">
        <f>'CBR Hist'!M40</f>
        <v>35844</v>
      </c>
      <c r="N37" s="194">
        <f>'CBR Hist'!N40</f>
        <v>35982</v>
      </c>
      <c r="O37" s="194">
        <f>'CBR Hist'!O40</f>
        <v>38461</v>
      </c>
      <c r="P37" s="194">
        <f>'CBR Hist'!P40</f>
        <v>44662</v>
      </c>
      <c r="Q37" s="194">
        <f>'CBR Hist'!Q40</f>
        <v>44779.252</v>
      </c>
      <c r="R37" s="194">
        <f>'CBR Hist'!R40</f>
        <v>49333.396000000001</v>
      </c>
      <c r="S37" s="194">
        <f>'CBR Hist'!S40</f>
        <v>43310</v>
      </c>
      <c r="T37" s="194">
        <f>'CBR Hist'!T40</f>
        <v>46210</v>
      </c>
      <c r="U37" s="155"/>
    </row>
    <row r="38" spans="1:21">
      <c r="A38" s="54">
        <v>21</v>
      </c>
      <c r="C38" s="40" t="s">
        <v>139</v>
      </c>
      <c r="F38" s="194">
        <f>'CBR Hist'!F41</f>
        <v>3998</v>
      </c>
      <c r="G38" s="194">
        <f>'CBR Hist'!G41</f>
        <v>4414</v>
      </c>
      <c r="H38" s="194">
        <f>'CBR Hist'!H41</f>
        <v>6606</v>
      </c>
      <c r="I38" s="194">
        <f>'CBR Hist'!I41</f>
        <v>6659</v>
      </c>
      <c r="J38" s="194">
        <f>'CBR Hist'!J41</f>
        <v>6072</v>
      </c>
      <c r="K38" s="194">
        <f>'CBR Hist'!K41</f>
        <v>6537</v>
      </c>
      <c r="L38" s="194">
        <f>'CBR Hist'!L41</f>
        <v>6459</v>
      </c>
      <c r="M38" s="194">
        <f>'CBR Hist'!M41</f>
        <v>6739</v>
      </c>
      <c r="N38" s="194">
        <f>'CBR Hist'!N41</f>
        <v>7187</v>
      </c>
      <c r="O38" s="194">
        <f>'CBR Hist'!O41</f>
        <v>7688</v>
      </c>
      <c r="P38" s="194">
        <f>'CBR Hist'!P41</f>
        <v>9277</v>
      </c>
      <c r="Q38" s="194">
        <f>'CBR Hist'!Q41</f>
        <v>10906</v>
      </c>
      <c r="R38" s="194">
        <f>'CBR Hist'!R41</f>
        <v>12517</v>
      </c>
      <c r="S38" s="194">
        <f>'CBR Hist'!S41</f>
        <v>14721</v>
      </c>
      <c r="T38" s="194">
        <f>'CBR Hist'!T41</f>
        <v>16947</v>
      </c>
      <c r="U38" s="155"/>
    </row>
    <row r="39" spans="1:21">
      <c r="A39" s="54">
        <v>22</v>
      </c>
      <c r="C39" s="40" t="s">
        <v>69</v>
      </c>
      <c r="F39" s="194">
        <f>'CBR Hist'!F42</f>
        <v>5</v>
      </c>
      <c r="G39" s="194">
        <f>'CBR Hist'!G42</f>
        <v>2</v>
      </c>
      <c r="H39" s="194">
        <f>'CBR Hist'!H42</f>
        <v>1</v>
      </c>
      <c r="I39" s="194">
        <f>'CBR Hist'!I42</f>
        <v>2</v>
      </c>
      <c r="J39" s="194">
        <f>'CBR Hist'!J42</f>
        <v>3</v>
      </c>
      <c r="K39" s="194">
        <f>'CBR Hist'!K42</f>
        <v>-4</v>
      </c>
      <c r="L39" s="194">
        <f>'CBR Hist'!L42</f>
        <v>0</v>
      </c>
      <c r="M39" s="194">
        <f>'CBR Hist'!M42</f>
        <v>-9</v>
      </c>
      <c r="N39" s="194">
        <f>'CBR Hist'!N42</f>
        <v>-3</v>
      </c>
      <c r="O39" s="194">
        <f>'CBR Hist'!O42</f>
        <v>-3</v>
      </c>
      <c r="P39" s="194">
        <f>'CBR Hist'!P42</f>
        <v>2</v>
      </c>
      <c r="Q39" s="194">
        <f>'CBR Hist'!Q42</f>
        <v>0</v>
      </c>
      <c r="R39" s="194">
        <f>'CBR Hist'!R42</f>
        <v>-4</v>
      </c>
      <c r="S39" s="194">
        <f>'CBR Hist'!S42</f>
        <v>0</v>
      </c>
      <c r="T39" s="194">
        <f>'CBR Hist'!T42</f>
        <v>0</v>
      </c>
      <c r="U39" s="155"/>
    </row>
    <row r="40" spans="1:21">
      <c r="A40" s="54">
        <v>23</v>
      </c>
      <c r="B40" s="40" t="s">
        <v>68</v>
      </c>
      <c r="F40" s="428">
        <f>SUM(F37:F39)</f>
        <v>34353</v>
      </c>
      <c r="G40" s="428">
        <f t="shared" ref="G40:R40" si="8">SUM(G37:G39)</f>
        <v>29518</v>
      </c>
      <c r="H40" s="428">
        <f t="shared" si="8"/>
        <v>36911</v>
      </c>
      <c r="I40" s="428">
        <f t="shared" si="8"/>
        <v>36814</v>
      </c>
      <c r="J40" s="428">
        <f t="shared" si="8"/>
        <v>38002</v>
      </c>
      <c r="K40" s="428">
        <f t="shared" si="8"/>
        <v>39676</v>
      </c>
      <c r="L40" s="428">
        <f t="shared" si="8"/>
        <v>39607</v>
      </c>
      <c r="M40" s="428">
        <f t="shared" si="8"/>
        <v>42574</v>
      </c>
      <c r="N40" s="428">
        <f t="shared" si="8"/>
        <v>43166</v>
      </c>
      <c r="O40" s="428">
        <f t="shared" si="8"/>
        <v>46146</v>
      </c>
      <c r="P40" s="428">
        <f t="shared" si="8"/>
        <v>53941</v>
      </c>
      <c r="Q40" s="428">
        <f t="shared" si="8"/>
        <v>55685.252</v>
      </c>
      <c r="R40" s="428">
        <f t="shared" si="8"/>
        <v>61846.396000000001</v>
      </c>
      <c r="S40" s="428">
        <f t="shared" ref="S40:T40" si="9">SUM(S37:S39)</f>
        <v>58031</v>
      </c>
      <c r="T40" s="428">
        <f t="shared" si="9"/>
        <v>63157</v>
      </c>
      <c r="U40" s="155"/>
    </row>
    <row r="41" spans="1:21">
      <c r="A41" s="54">
        <v>24</v>
      </c>
      <c r="B41" s="40" t="s">
        <v>67</v>
      </c>
      <c r="F41" s="428">
        <f>F24+F30+F32+F33+F34+F40</f>
        <v>343205</v>
      </c>
      <c r="G41" s="428">
        <f t="shared" ref="G41:R41" si="10">G24+G30+G32+G33+G34+G40</f>
        <v>270636</v>
      </c>
      <c r="H41" s="428">
        <f t="shared" si="10"/>
        <v>260183</v>
      </c>
      <c r="I41" s="428">
        <f t="shared" si="10"/>
        <v>288832</v>
      </c>
      <c r="J41" s="428">
        <f t="shared" si="10"/>
        <v>268539</v>
      </c>
      <c r="K41" s="428">
        <f t="shared" si="10"/>
        <v>278171</v>
      </c>
      <c r="L41" s="428">
        <f t="shared" si="10"/>
        <v>309354</v>
      </c>
      <c r="M41" s="428">
        <f t="shared" si="10"/>
        <v>298938</v>
      </c>
      <c r="N41" s="428">
        <f t="shared" si="10"/>
        <v>334636</v>
      </c>
      <c r="O41" s="428">
        <f t="shared" si="10"/>
        <v>347787</v>
      </c>
      <c r="P41" s="428">
        <f t="shared" si="10"/>
        <v>461927</v>
      </c>
      <c r="Q41" s="428">
        <f t="shared" si="10"/>
        <v>421153.40739999997</v>
      </c>
      <c r="R41" s="428">
        <f t="shared" si="10"/>
        <v>417640.11265200004</v>
      </c>
      <c r="S41" s="428">
        <f t="shared" ref="S41:T41" si="11">S24+S30+S32+S33+S34+S40</f>
        <v>435119</v>
      </c>
      <c r="T41" s="428">
        <f t="shared" si="11"/>
        <v>427968</v>
      </c>
      <c r="U41" s="155"/>
    </row>
    <row r="42" spans="1:21" ht="6.75" customHeight="1">
      <c r="A42" s="54"/>
      <c r="F42" s="168"/>
      <c r="G42" s="168"/>
      <c r="H42" s="168"/>
      <c r="I42" s="168"/>
      <c r="J42" s="168"/>
      <c r="K42" s="168"/>
      <c r="L42" s="168"/>
      <c r="M42" s="168"/>
      <c r="N42" s="168"/>
      <c r="O42" s="168"/>
      <c r="P42" s="168"/>
      <c r="Q42" s="168"/>
      <c r="R42" s="168"/>
      <c r="S42" s="168"/>
      <c r="T42" s="168"/>
      <c r="U42" s="155"/>
    </row>
    <row r="43" spans="1:21">
      <c r="A43" s="54">
        <v>25</v>
      </c>
      <c r="B43" s="40" t="s">
        <v>66</v>
      </c>
      <c r="F43" s="428">
        <f>F15-F41</f>
        <v>50049</v>
      </c>
      <c r="G43" s="428">
        <f t="shared" ref="G43:R43" si="12">G15-G41</f>
        <v>93786</v>
      </c>
      <c r="H43" s="428">
        <f t="shared" si="12"/>
        <v>78118</v>
      </c>
      <c r="I43" s="428">
        <f t="shared" si="12"/>
        <v>87772</v>
      </c>
      <c r="J43" s="428">
        <f t="shared" si="12"/>
        <v>66659</v>
      </c>
      <c r="K43" s="428">
        <f t="shared" si="12"/>
        <v>66735</v>
      </c>
      <c r="L43" s="428">
        <f t="shared" si="12"/>
        <v>58866</v>
      </c>
      <c r="M43" s="428">
        <f t="shared" si="12"/>
        <v>73260</v>
      </c>
      <c r="N43" s="428">
        <f t="shared" si="12"/>
        <v>89384</v>
      </c>
      <c r="O43" s="428">
        <f t="shared" si="12"/>
        <v>96588.549100000004</v>
      </c>
      <c r="P43" s="428">
        <f t="shared" si="12"/>
        <v>99867.970363199944</v>
      </c>
      <c r="Q43" s="428">
        <f t="shared" si="12"/>
        <v>97773.592600000033</v>
      </c>
      <c r="R43" s="428">
        <f t="shared" si="12"/>
        <v>110079.88734799996</v>
      </c>
      <c r="S43" s="428">
        <f t="shared" ref="S43:T43" si="13">S15-S41</f>
        <v>122528</v>
      </c>
      <c r="T43" s="428">
        <f t="shared" si="13"/>
        <v>139487</v>
      </c>
      <c r="U43" s="155"/>
    </row>
    <row r="44" spans="1:21" ht="6.75" customHeight="1">
      <c r="A44" s="54"/>
      <c r="F44" s="44"/>
      <c r="G44" s="44"/>
      <c r="H44" s="44"/>
      <c r="I44" s="44"/>
      <c r="J44" s="44"/>
      <c r="K44" s="44"/>
      <c r="L44" s="44"/>
      <c r="M44" s="44"/>
      <c r="N44" s="44"/>
      <c r="O44" s="44"/>
      <c r="P44" s="44"/>
      <c r="Q44" s="44"/>
      <c r="R44" s="44"/>
      <c r="S44" s="44"/>
      <c r="T44" s="44"/>
      <c r="U44" s="155"/>
    </row>
    <row r="45" spans="1:21">
      <c r="A45" s="54"/>
      <c r="B45" s="40" t="s">
        <v>65</v>
      </c>
      <c r="F45" s="44"/>
      <c r="G45" s="44"/>
      <c r="H45" s="44"/>
      <c r="I45" s="44"/>
      <c r="J45" s="44"/>
      <c r="K45" s="44"/>
      <c r="L45" s="44"/>
      <c r="M45" s="44"/>
      <c r="N45" s="44"/>
      <c r="O45" s="44"/>
      <c r="P45" s="44"/>
      <c r="Q45" s="44"/>
      <c r="R45" s="44"/>
      <c r="S45" s="44"/>
      <c r="T45" s="44"/>
      <c r="U45" s="155"/>
    </row>
    <row r="46" spans="1:21">
      <c r="A46" s="54">
        <v>26</v>
      </c>
      <c r="B46" s="40" t="s">
        <v>140</v>
      </c>
      <c r="F46" s="194">
        <f>'CBR Hist'!F49</f>
        <v>13500</v>
      </c>
      <c r="G46" s="194">
        <f>'CBR Hist'!G49</f>
        <v>7802.6454399910144</v>
      </c>
      <c r="H46" s="194">
        <f>'CBR Hist'!H49</f>
        <v>12532.4934614427</v>
      </c>
      <c r="I46" s="194">
        <f>'CBR Hist'!I49</f>
        <v>18199.38094551977</v>
      </c>
      <c r="J46" s="194">
        <f>'CBR Hist'!J49</f>
        <v>10602.745932108257</v>
      </c>
      <c r="K46" s="194">
        <f>'CBR Hist'!K49</f>
        <v>6760.4768703774607</v>
      </c>
      <c r="L46" s="194">
        <f>'CBR Hist'!L49</f>
        <v>3583.5198936206907</v>
      </c>
      <c r="M46" s="194">
        <f>'CBR Hist'!M49</f>
        <v>5069.5165750000015</v>
      </c>
      <c r="N46" s="194">
        <f>'CBR Hist'!N49</f>
        <v>-6217.1202000000012</v>
      </c>
      <c r="O46" s="194">
        <f>'CBR Hist'!O49</f>
        <v>-1846</v>
      </c>
      <c r="P46" s="194">
        <f>'CBR Hist'!P49</f>
        <v>9263</v>
      </c>
      <c r="Q46" s="194">
        <f>'CBR Hist'!Q49</f>
        <v>6568.9074099999998</v>
      </c>
      <c r="R46" s="194">
        <f>'CBR Hist'!R49</f>
        <v>11499.260571799998</v>
      </c>
      <c r="S46" s="194">
        <f>'CBR Hist'!S49</f>
        <v>19267</v>
      </c>
      <c r="T46" s="194">
        <f>'CBR Hist'!T49</f>
        <v>-7683</v>
      </c>
      <c r="U46" s="155"/>
    </row>
    <row r="47" spans="1:21">
      <c r="A47" s="54">
        <v>27</v>
      </c>
      <c r="B47" s="40" t="s">
        <v>141</v>
      </c>
      <c r="F47" s="194">
        <f>'CBR Hist'!F50</f>
        <v>0</v>
      </c>
      <c r="G47" s="194">
        <f>'CBR Hist'!G50</f>
        <v>0</v>
      </c>
      <c r="H47" s="194">
        <f>'CBR Hist'!H50</f>
        <v>0</v>
      </c>
      <c r="I47" s="194">
        <f>'CBR Hist'!I50</f>
        <v>0</v>
      </c>
      <c r="J47" s="194">
        <f>'CBR Hist'!J50</f>
        <v>0</v>
      </c>
      <c r="K47" s="194">
        <f>'CBR Hist'!K50</f>
        <v>0</v>
      </c>
      <c r="L47" s="194">
        <f>'CBR Hist'!L50</f>
        <v>0</v>
      </c>
      <c r="M47" s="194">
        <f>'CBR Hist'!M50</f>
        <v>0</v>
      </c>
      <c r="N47" s="194">
        <f>'CBR Hist'!N50</f>
        <v>0</v>
      </c>
      <c r="O47" s="194">
        <f>'CBR Hist'!O50</f>
        <v>0</v>
      </c>
      <c r="P47" s="194">
        <f>'CBR Hist'!P50</f>
        <v>0</v>
      </c>
      <c r="Q47" s="194">
        <f>'CBR Hist'!Q50</f>
        <v>206.8288</v>
      </c>
      <c r="R47" s="194">
        <f>'CBR Hist'!R50</f>
        <v>70.410550000000001</v>
      </c>
      <c r="S47" s="194">
        <f>'CBR Hist'!S50</f>
        <v>1</v>
      </c>
      <c r="T47" s="194">
        <f>'CBR Hist'!T50</f>
        <v>-136</v>
      </c>
      <c r="U47" s="155"/>
    </row>
    <row r="48" spans="1:21">
      <c r="A48" s="54">
        <v>28</v>
      </c>
      <c r="B48" s="40" t="s">
        <v>64</v>
      </c>
      <c r="F48" s="194">
        <f>'CBR Hist'!F51</f>
        <v>3549</v>
      </c>
      <c r="G48" s="194">
        <f>'CBR Hist'!G51</f>
        <v>16107</v>
      </c>
      <c r="H48" s="194">
        <f>'CBR Hist'!H51</f>
        <v>3470</v>
      </c>
      <c r="I48" s="194">
        <f>'CBR Hist'!I51</f>
        <v>1284</v>
      </c>
      <c r="J48" s="194">
        <f>'CBR Hist'!J51</f>
        <v>608</v>
      </c>
      <c r="K48" s="194">
        <f>'CBR Hist'!K51</f>
        <v>3867</v>
      </c>
      <c r="L48" s="194">
        <f>'CBR Hist'!L51</f>
        <v>3975</v>
      </c>
      <c r="M48" s="194">
        <f>'CBR Hist'!M51</f>
        <v>6497</v>
      </c>
      <c r="N48" s="194">
        <f>'CBR Hist'!N51</f>
        <v>26634</v>
      </c>
      <c r="O48" s="194">
        <f>'CBR Hist'!O51</f>
        <v>23983</v>
      </c>
      <c r="P48" s="194">
        <f>'CBR Hist'!P51</f>
        <v>13823</v>
      </c>
      <c r="Q48" s="194">
        <f>'CBR Hist'!Q51</f>
        <v>16402</v>
      </c>
      <c r="R48" s="194">
        <f>'CBR Hist'!R51</f>
        <v>15684</v>
      </c>
      <c r="S48" s="194">
        <f>'CBR Hist'!S51</f>
        <v>10613</v>
      </c>
      <c r="T48" s="865">
        <f>'CBR Hist'!T51</f>
        <v>46085</v>
      </c>
      <c r="U48" s="873" t="s">
        <v>740</v>
      </c>
    </row>
    <row r="49" spans="1:22">
      <c r="A49" s="54">
        <v>29</v>
      </c>
      <c r="B49" s="40" t="s">
        <v>63</v>
      </c>
      <c r="F49" s="194">
        <f>'CBR Hist'!F52</f>
        <v>0</v>
      </c>
      <c r="G49" s="194">
        <f>'CBR Hist'!G52</f>
        <v>0</v>
      </c>
      <c r="H49" s="194">
        <f>'CBR Hist'!H52</f>
        <v>0</v>
      </c>
      <c r="I49" s="194">
        <f>'CBR Hist'!I52</f>
        <v>0</v>
      </c>
      <c r="J49" s="194">
        <f>'CBR Hist'!J52</f>
        <v>0</v>
      </c>
      <c r="K49" s="194">
        <f>'CBR Hist'!K52</f>
        <v>0</v>
      </c>
      <c r="L49" s="194">
        <f>'CBR Hist'!L52</f>
        <v>0</v>
      </c>
      <c r="M49" s="194">
        <f>'CBR Hist'!M52</f>
        <v>0</v>
      </c>
      <c r="N49" s="194">
        <f>'CBR Hist'!N52</f>
        <v>0</v>
      </c>
      <c r="O49" s="194">
        <f>'CBR Hist'!O52</f>
        <v>-58</v>
      </c>
      <c r="P49" s="194">
        <f>'CBR Hist'!P52</f>
        <v>-83</v>
      </c>
      <c r="Q49" s="194">
        <f>'CBR Hist'!Q52</f>
        <v>-99</v>
      </c>
      <c r="R49" s="194">
        <f>'CBR Hist'!R52</f>
        <v>-128</v>
      </c>
      <c r="S49" s="194">
        <f>'CBR Hist'!S52</f>
        <v>-130</v>
      </c>
      <c r="T49" s="194">
        <f>'CBR Hist'!T52</f>
        <v>-128</v>
      </c>
      <c r="U49" s="155"/>
    </row>
    <row r="50" spans="1:22" s="193" customFormat="1">
      <c r="A50" s="54">
        <v>30</v>
      </c>
      <c r="B50" s="193" t="s">
        <v>299</v>
      </c>
      <c r="F50" s="194">
        <f>'CBR Hist'!F53</f>
        <v>5683</v>
      </c>
      <c r="G50" s="194">
        <f>'CBR Hist'!G53</f>
        <v>5369</v>
      </c>
      <c r="H50" s="194">
        <f>'CBR Hist'!H53</f>
        <v>0</v>
      </c>
      <c r="I50" s="194">
        <f>'CBR Hist'!I53</f>
        <v>0</v>
      </c>
      <c r="J50" s="194">
        <f>'CBR Hist'!J53</f>
        <v>0</v>
      </c>
      <c r="K50" s="194">
        <f>'CBR Hist'!K53</f>
        <v>0</v>
      </c>
      <c r="L50" s="194">
        <f>'CBR Hist'!L53</f>
        <v>0</v>
      </c>
      <c r="M50" s="194">
        <f>'CBR Hist'!M53</f>
        <v>0</v>
      </c>
      <c r="N50" s="194">
        <f>'CBR Hist'!N53</f>
        <v>0</v>
      </c>
      <c r="O50" s="194">
        <f>'CBR Hist'!O53</f>
        <v>0</v>
      </c>
      <c r="P50" s="194">
        <f>'CBR Hist'!P53</f>
        <v>0</v>
      </c>
      <c r="Q50" s="194">
        <f>'CBR Hist'!Q53</f>
        <v>0</v>
      </c>
      <c r="R50" s="194">
        <f>'CBR Hist'!R53</f>
        <v>0</v>
      </c>
      <c r="S50" s="194">
        <f>'CBR Hist'!S53</f>
        <v>0</v>
      </c>
      <c r="T50" s="194">
        <f>'CBR Hist'!T53</f>
        <v>0</v>
      </c>
      <c r="U50" s="155"/>
      <c r="V50" s="40"/>
    </row>
    <row r="51" spans="1:22" ht="12.75" thickBot="1">
      <c r="A51" s="54">
        <v>31</v>
      </c>
      <c r="B51" s="40" t="s">
        <v>62</v>
      </c>
      <c r="F51" s="429">
        <f>F43-SUM(F46:F50)</f>
        <v>27317</v>
      </c>
      <c r="G51" s="429">
        <f t="shared" ref="G51:R51" si="14">G43-SUM(G46:G50)</f>
        <v>64507.354560008986</v>
      </c>
      <c r="H51" s="429">
        <f t="shared" si="14"/>
        <v>62115.506538557296</v>
      </c>
      <c r="I51" s="429">
        <f t="shared" si="14"/>
        <v>68288.619054480223</v>
      </c>
      <c r="J51" s="429">
        <f t="shared" si="14"/>
        <v>55448.254067891743</v>
      </c>
      <c r="K51" s="429">
        <f t="shared" si="14"/>
        <v>56107.523129622539</v>
      </c>
      <c r="L51" s="429">
        <f t="shared" si="14"/>
        <v>51307.480106379313</v>
      </c>
      <c r="M51" s="429">
        <f t="shared" si="14"/>
        <v>61693.483424999999</v>
      </c>
      <c r="N51" s="429">
        <f t="shared" si="14"/>
        <v>68967.120200000005</v>
      </c>
      <c r="O51" s="429">
        <f t="shared" si="14"/>
        <v>74509.549100000004</v>
      </c>
      <c r="P51" s="429">
        <f t="shared" si="14"/>
        <v>76864.970363199944</v>
      </c>
      <c r="Q51" s="429">
        <f t="shared" si="14"/>
        <v>74694.85639000003</v>
      </c>
      <c r="R51" s="429">
        <f t="shared" si="14"/>
        <v>82954.216226199962</v>
      </c>
      <c r="S51" s="429">
        <f t="shared" ref="S51:T51" si="15">S43-SUM(S46:S50)</f>
        <v>92777</v>
      </c>
      <c r="T51" s="429">
        <f t="shared" si="15"/>
        <v>101349</v>
      </c>
      <c r="U51" s="155"/>
    </row>
    <row r="52" spans="1:22" ht="12.75" thickTop="1">
      <c r="A52" s="54"/>
      <c r="F52" s="499"/>
      <c r="G52" s="499"/>
      <c r="H52" s="499"/>
      <c r="I52" s="499"/>
      <c r="J52" s="499"/>
      <c r="K52" s="499"/>
      <c r="L52" s="499"/>
      <c r="M52" s="499"/>
      <c r="N52" s="499"/>
      <c r="O52" s="499"/>
      <c r="P52" s="499"/>
      <c r="Q52" s="499"/>
      <c r="R52" s="499"/>
      <c r="S52" s="155"/>
      <c r="T52" s="155"/>
      <c r="U52" s="155"/>
    </row>
    <row r="53" spans="1:22">
      <c r="A53" s="54"/>
      <c r="C53" s="503" t="s">
        <v>469</v>
      </c>
      <c r="F53" s="192"/>
      <c r="G53" s="192"/>
      <c r="H53" s="192"/>
      <c r="I53" s="192"/>
      <c r="J53" s="192"/>
      <c r="K53" s="192"/>
      <c r="L53" s="192"/>
      <c r="M53" s="192"/>
      <c r="N53" s="192"/>
      <c r="O53" s="192"/>
      <c r="P53" s="192"/>
      <c r="Q53" s="192"/>
      <c r="R53" s="192"/>
      <c r="S53" s="155"/>
      <c r="T53" s="155"/>
      <c r="U53" s="155"/>
      <c r="V53" s="193"/>
    </row>
    <row r="54" spans="1:22" ht="13.5" customHeight="1">
      <c r="A54" s="941"/>
      <c r="B54" s="941"/>
      <c r="C54" s="941"/>
      <c r="D54" s="941"/>
      <c r="E54" s="941"/>
      <c r="F54" s="941"/>
      <c r="G54" s="941"/>
      <c r="H54" s="941"/>
      <c r="I54" s="941"/>
      <c r="J54" s="941"/>
      <c r="K54" s="941"/>
      <c r="L54" s="941"/>
      <c r="M54" s="941"/>
      <c r="N54" s="941"/>
      <c r="O54" s="941"/>
      <c r="P54" s="941"/>
      <c r="Q54" s="941"/>
      <c r="R54" s="941"/>
    </row>
    <row r="55" spans="1:22" ht="15.75">
      <c r="A55" s="496" t="str">
        <f>A4</f>
        <v xml:space="preserve">AVISTA UTILITIES  </v>
      </c>
      <c r="E55" s="942" t="str">
        <f>E4</f>
        <v>Commission Basis Results of Operations</v>
      </c>
      <c r="F55" s="942"/>
      <c r="G55" s="942"/>
      <c r="H55" s="942"/>
      <c r="I55" s="942"/>
      <c r="J55" s="942"/>
      <c r="K55" s="942"/>
      <c r="L55" s="942"/>
      <c r="M55" s="942"/>
      <c r="N55" s="942"/>
      <c r="O55" s="942"/>
      <c r="P55" s="942"/>
      <c r="Q55" s="942"/>
      <c r="R55" s="942"/>
      <c r="S55" s="155"/>
      <c r="T55" s="155"/>
      <c r="U55" s="155"/>
      <c r="V55" s="193"/>
    </row>
    <row r="56" spans="1:22">
      <c r="A56" s="496" t="str">
        <f>A5</f>
        <v>Twelve Months Ended December 31, 2013</v>
      </c>
      <c r="G56" s="192"/>
      <c r="H56" s="192"/>
      <c r="I56" s="192"/>
      <c r="J56" s="192"/>
      <c r="K56" s="192"/>
      <c r="L56" s="192"/>
      <c r="M56" s="192"/>
      <c r="N56" s="192"/>
      <c r="O56" s="192"/>
      <c r="P56" s="192"/>
      <c r="Q56" s="192"/>
      <c r="R56" s="192"/>
      <c r="S56" s="155"/>
      <c r="T56" s="155"/>
      <c r="U56" s="155"/>
      <c r="V56" s="193"/>
    </row>
    <row r="57" spans="1:22" ht="6" customHeight="1">
      <c r="A57" s="496"/>
      <c r="G57" s="192"/>
      <c r="H57" s="192"/>
      <c r="I57" s="192"/>
      <c r="J57" s="192"/>
      <c r="K57" s="192"/>
      <c r="L57" s="192"/>
      <c r="M57" s="192"/>
      <c r="N57" s="192"/>
      <c r="O57" s="192"/>
      <c r="P57" s="192"/>
      <c r="Q57" s="192"/>
      <c r="R57" s="192"/>
      <c r="S57" s="155"/>
      <c r="T57" s="155"/>
      <c r="U57" s="155"/>
      <c r="V57" s="193"/>
    </row>
    <row r="58" spans="1:22" ht="12.75">
      <c r="A58" s="496" t="str">
        <f>A7</f>
        <v xml:space="preserve">(000'S OF DOLLARS)  </v>
      </c>
      <c r="F58" s="192"/>
      <c r="G58" s="192"/>
      <c r="H58" s="192"/>
      <c r="I58" s="192"/>
      <c r="J58" s="192"/>
      <c r="K58" s="192"/>
      <c r="L58" s="192"/>
      <c r="M58" s="192"/>
      <c r="N58" s="192"/>
      <c r="O58" s="192"/>
      <c r="P58" s="192"/>
      <c r="Q58" s="192"/>
      <c r="R58" s="192"/>
      <c r="S58" s="155"/>
      <c r="T58" s="793" t="s">
        <v>712</v>
      </c>
      <c r="U58" s="155"/>
      <c r="V58" s="193"/>
    </row>
    <row r="59" spans="1:22">
      <c r="A59" s="54" t="s">
        <v>3</v>
      </c>
      <c r="F59" s="192">
        <f>F8</f>
        <v>2000</v>
      </c>
      <c r="G59" s="192">
        <f t="shared" ref="G59:R59" si="16">G8</f>
        <v>2001</v>
      </c>
      <c r="H59" s="192">
        <f t="shared" si="16"/>
        <v>2002</v>
      </c>
      <c r="I59" s="192">
        <f t="shared" si="16"/>
        <v>2003</v>
      </c>
      <c r="J59" s="192">
        <f t="shared" si="16"/>
        <v>2004</v>
      </c>
      <c r="K59" s="192">
        <f t="shared" si="16"/>
        <v>2005</v>
      </c>
      <c r="L59" s="192">
        <f t="shared" si="16"/>
        <v>2006</v>
      </c>
      <c r="M59" s="192">
        <f t="shared" si="16"/>
        <v>2007</v>
      </c>
      <c r="N59" s="192">
        <f t="shared" si="16"/>
        <v>2008</v>
      </c>
      <c r="O59" s="192">
        <f t="shared" si="16"/>
        <v>2009</v>
      </c>
      <c r="P59" s="192">
        <f t="shared" si="16"/>
        <v>2010</v>
      </c>
      <c r="Q59" s="192">
        <f t="shared" si="16"/>
        <v>2011</v>
      </c>
      <c r="R59" s="192">
        <f t="shared" si="16"/>
        <v>2012</v>
      </c>
      <c r="S59" s="192">
        <f t="shared" ref="S59:T59" si="17">S8</f>
        <v>2013</v>
      </c>
      <c r="T59" s="192">
        <f t="shared" si="17"/>
        <v>2014</v>
      </c>
      <c r="U59" s="155"/>
      <c r="V59" s="193"/>
    </row>
    <row r="60" spans="1:22">
      <c r="A60" s="54" t="s">
        <v>465</v>
      </c>
      <c r="B60" s="40" t="s">
        <v>61</v>
      </c>
      <c r="G60" s="41"/>
      <c r="H60" s="41"/>
      <c r="I60" s="41"/>
      <c r="J60" s="41"/>
      <c r="L60" s="41"/>
      <c r="M60" s="41"/>
      <c r="N60" s="41"/>
      <c r="O60" s="41"/>
      <c r="P60" s="41"/>
      <c r="Q60" s="41"/>
      <c r="R60" s="41"/>
      <c r="U60" s="155"/>
    </row>
    <row r="61" spans="1:22">
      <c r="A61" s="54"/>
      <c r="B61" s="40" t="s">
        <v>60</v>
      </c>
      <c r="G61" s="41"/>
      <c r="H61" s="41"/>
      <c r="I61" s="41"/>
      <c r="J61" s="41"/>
      <c r="L61" s="41"/>
      <c r="M61" s="41"/>
      <c r="N61" s="41"/>
      <c r="O61" s="41"/>
      <c r="P61" s="41"/>
      <c r="Q61" s="41"/>
      <c r="R61" s="41"/>
      <c r="U61" s="155"/>
    </row>
    <row r="62" spans="1:22">
      <c r="A62" s="54">
        <v>32</v>
      </c>
      <c r="C62" s="40" t="s">
        <v>59</v>
      </c>
      <c r="F62" s="195">
        <f>'Reg Amorts'!E52</f>
        <v>15127</v>
      </c>
      <c r="G62" s="195">
        <f>'Reg Amorts'!F52</f>
        <v>16340</v>
      </c>
      <c r="H62" s="195">
        <f>'Reg Amorts'!G52</f>
        <v>20910</v>
      </c>
      <c r="I62" s="195">
        <f>'Reg Amorts'!H52</f>
        <v>21299</v>
      </c>
      <c r="J62" s="195">
        <f>'Reg Amorts'!I52</f>
        <v>21374</v>
      </c>
      <c r="K62" s="195">
        <f>'Reg Amorts'!J52</f>
        <v>22459</v>
      </c>
      <c r="L62" s="195">
        <f>'Reg Amorts'!K52</f>
        <v>23458</v>
      </c>
      <c r="M62" s="195">
        <f>'Reg Amorts'!L52</f>
        <v>20632</v>
      </c>
      <c r="N62" s="195">
        <f>'Reg Amorts'!M52</f>
        <v>23321</v>
      </c>
      <c r="O62" s="195">
        <f>'Reg Amorts'!N52</f>
        <v>57116</v>
      </c>
      <c r="P62" s="195">
        <f>'Reg Amorts'!O52</f>
        <v>81955</v>
      </c>
      <c r="Q62" s="195">
        <f>'Reg Amorts'!P52</f>
        <v>84081</v>
      </c>
      <c r="R62" s="195">
        <f>'Reg Amorts'!Q52</f>
        <v>85247</v>
      </c>
      <c r="S62" s="195">
        <f>'Reg Amorts'!R52</f>
        <v>91466</v>
      </c>
      <c r="T62" s="195">
        <f>'Reg Amorts'!S52</f>
        <v>102620</v>
      </c>
      <c r="U62" s="155"/>
    </row>
    <row r="63" spans="1:22">
      <c r="A63" s="54">
        <v>33</v>
      </c>
      <c r="C63" s="40" t="s">
        <v>58</v>
      </c>
      <c r="F63" s="194">
        <f>'Reg Amorts'!E53-'Reg Amorts'!E103</f>
        <v>455498</v>
      </c>
      <c r="G63" s="194">
        <f>'Reg Amorts'!F53-'Reg Amorts'!F103</f>
        <v>460292</v>
      </c>
      <c r="H63" s="194">
        <f>'Reg Amorts'!G53-'Reg Amorts'!G103</f>
        <v>545002</v>
      </c>
      <c r="I63" s="194">
        <f>'Reg Amorts'!H53-'Reg Amorts'!H103</f>
        <v>556067</v>
      </c>
      <c r="J63" s="194">
        <f>'Reg Amorts'!I53-'Reg Amorts'!I103</f>
        <v>598268</v>
      </c>
      <c r="K63" s="194">
        <f>'Reg Amorts'!J53-'Reg Amorts'!J103</f>
        <v>615624</v>
      </c>
      <c r="L63" s="194">
        <f>'Reg Amorts'!K53-'Reg Amorts'!K103</f>
        <v>649965</v>
      </c>
      <c r="M63" s="194">
        <f>'Reg Amorts'!L53-'Reg Amorts'!L103</f>
        <v>645576</v>
      </c>
      <c r="N63" s="194">
        <f>'Reg Amorts'!M53-'Reg Amorts'!M103</f>
        <v>657099</v>
      </c>
      <c r="O63" s="194">
        <f>'Reg Amorts'!N53-'Reg Amorts'!N103</f>
        <v>677646</v>
      </c>
      <c r="P63" s="194">
        <f>'Reg Amorts'!O53-'Reg Amorts'!O103</f>
        <v>692689</v>
      </c>
      <c r="Q63" s="194">
        <f>'Reg Amorts'!P53</f>
        <v>706894</v>
      </c>
      <c r="R63" s="194">
        <f>'Reg Amorts'!Q53</f>
        <v>717448</v>
      </c>
      <c r="S63" s="194">
        <f>'Reg Amorts'!R53</f>
        <v>738315</v>
      </c>
      <c r="T63" s="194">
        <f>'Reg Amorts'!S53</f>
        <v>746101</v>
      </c>
      <c r="U63" s="155"/>
    </row>
    <row r="64" spans="1:22">
      <c r="A64" s="54">
        <v>34</v>
      </c>
      <c r="C64" s="40" t="s">
        <v>57</v>
      </c>
      <c r="F64" s="194">
        <f>'Reg Amorts'!E54</f>
        <v>181627</v>
      </c>
      <c r="G64" s="194">
        <f>'Reg Amorts'!F54</f>
        <v>191517</v>
      </c>
      <c r="H64" s="194">
        <f>'Reg Amorts'!G54</f>
        <v>186550</v>
      </c>
      <c r="I64" s="194">
        <f>'Reg Amorts'!H54</f>
        <v>196937</v>
      </c>
      <c r="J64" s="194">
        <f>'Reg Amorts'!I54</f>
        <v>213539</v>
      </c>
      <c r="K64" s="194">
        <f>'Reg Amorts'!J54</f>
        <v>224696</v>
      </c>
      <c r="L64" s="194">
        <f>'Reg Amorts'!K54</f>
        <v>244435</v>
      </c>
      <c r="M64" s="194">
        <f>'Reg Amorts'!L54</f>
        <v>259532</v>
      </c>
      <c r="N64" s="194">
        <f>'Reg Amorts'!M54</f>
        <v>289302</v>
      </c>
      <c r="O64" s="194">
        <f>'Reg Amorts'!N54</f>
        <v>301090</v>
      </c>
      <c r="P64" s="194">
        <f>'Reg Amorts'!O54</f>
        <v>312505</v>
      </c>
      <c r="Q64" s="194">
        <f>'Reg Amorts'!P54</f>
        <v>328012</v>
      </c>
      <c r="R64" s="194">
        <f>'Reg Amorts'!Q54</f>
        <v>342382</v>
      </c>
      <c r="S64" s="194">
        <f>'Reg Amorts'!R54</f>
        <v>359941</v>
      </c>
      <c r="T64" s="194">
        <f>'Reg Amorts'!S54</f>
        <v>371971</v>
      </c>
      <c r="U64" s="155"/>
    </row>
    <row r="65" spans="1:22">
      <c r="A65" s="54">
        <v>35</v>
      </c>
      <c r="C65" s="40" t="s">
        <v>56</v>
      </c>
      <c r="F65" s="194">
        <f>'Reg Amorts'!E55-'Reg Amorts'!E104</f>
        <v>398952</v>
      </c>
      <c r="G65" s="194">
        <f>'Reg Amorts'!F55-'Reg Amorts'!F104</f>
        <v>416914</v>
      </c>
      <c r="H65" s="194">
        <f>'Reg Amorts'!G55-'Reg Amorts'!G104</f>
        <v>429987</v>
      </c>
      <c r="I65" s="194">
        <f>'Reg Amorts'!H55-'Reg Amorts'!H104</f>
        <v>443649</v>
      </c>
      <c r="J65" s="194">
        <f>'Reg Amorts'!I55-'Reg Amorts'!I104</f>
        <v>459739</v>
      </c>
      <c r="K65" s="194">
        <f>'Reg Amorts'!J55-'Reg Amorts'!J104</f>
        <v>480886</v>
      </c>
      <c r="L65" s="194">
        <f>'Reg Amorts'!K55-'Reg Amorts'!K104</f>
        <v>502838</v>
      </c>
      <c r="M65" s="194">
        <f>'Reg Amorts'!L55-'Reg Amorts'!L104</f>
        <v>529067</v>
      </c>
      <c r="N65" s="194">
        <f>'Reg Amorts'!M55-'Reg Amorts'!M104</f>
        <v>561248</v>
      </c>
      <c r="O65" s="194">
        <f>'Reg Amorts'!N55-'Reg Amorts'!N104</f>
        <v>602201</v>
      </c>
      <c r="P65" s="194">
        <f>'Reg Amorts'!O55-'Reg Amorts'!O104</f>
        <v>642143</v>
      </c>
      <c r="Q65" s="194">
        <f>'Reg Amorts'!P55</f>
        <v>696082</v>
      </c>
      <c r="R65" s="194">
        <f>'Reg Amorts'!Q55</f>
        <v>743732</v>
      </c>
      <c r="S65" s="194">
        <f>'Reg Amorts'!R55</f>
        <v>796640</v>
      </c>
      <c r="T65" s="194">
        <f>'Reg Amorts'!S55</f>
        <v>842795</v>
      </c>
      <c r="U65" s="155"/>
    </row>
    <row r="66" spans="1:22">
      <c r="A66" s="54">
        <v>36</v>
      </c>
      <c r="C66" s="40" t="s">
        <v>55</v>
      </c>
      <c r="F66" s="194">
        <f>'Reg Amorts'!E56</f>
        <v>58402</v>
      </c>
      <c r="G66" s="194">
        <f>'Reg Amorts'!F56</f>
        <v>59846</v>
      </c>
      <c r="H66" s="194">
        <f>'Reg Amorts'!G56</f>
        <v>59771</v>
      </c>
      <c r="I66" s="194">
        <f>'Reg Amorts'!H56</f>
        <v>60444</v>
      </c>
      <c r="J66" s="194">
        <f>'Reg Amorts'!I56</f>
        <v>63155</v>
      </c>
      <c r="K66" s="194">
        <f>'Reg Amorts'!J56</f>
        <v>65299</v>
      </c>
      <c r="L66" s="194">
        <f>'Reg Amorts'!K56</f>
        <v>80110</v>
      </c>
      <c r="M66" s="194">
        <f>'Reg Amorts'!L56</f>
        <v>81368</v>
      </c>
      <c r="N66" s="194">
        <f>'Reg Amorts'!M56</f>
        <v>91205</v>
      </c>
      <c r="O66" s="194">
        <f>'Reg Amorts'!N56</f>
        <v>98727</v>
      </c>
      <c r="P66" s="194">
        <f>'Reg Amorts'!O56</f>
        <v>120996</v>
      </c>
      <c r="Q66" s="194">
        <f>'Reg Amorts'!P56</f>
        <v>140218</v>
      </c>
      <c r="R66" s="194">
        <f>'Reg Amorts'!Q56</f>
        <v>155104</v>
      </c>
      <c r="S66" s="194">
        <f>'Reg Amorts'!R56</f>
        <v>179134</v>
      </c>
      <c r="T66" s="194">
        <f>'Reg Amorts'!S56</f>
        <v>196867</v>
      </c>
    </row>
    <row r="67" spans="1:22">
      <c r="A67" s="54">
        <v>37</v>
      </c>
      <c r="B67" s="40" t="s">
        <v>54</v>
      </c>
      <c r="F67" s="428">
        <f>SUM(F62:F66)</f>
        <v>1109606</v>
      </c>
      <c r="G67" s="428">
        <f t="shared" ref="G67:R67" si="18">SUM(G62:G66)</f>
        <v>1144909</v>
      </c>
      <c r="H67" s="428">
        <f t="shared" si="18"/>
        <v>1242220</v>
      </c>
      <c r="I67" s="428">
        <f t="shared" si="18"/>
        <v>1278396</v>
      </c>
      <c r="J67" s="428">
        <f t="shared" si="18"/>
        <v>1356075</v>
      </c>
      <c r="K67" s="428">
        <f t="shared" si="18"/>
        <v>1408964</v>
      </c>
      <c r="L67" s="428">
        <f t="shared" si="18"/>
        <v>1500806</v>
      </c>
      <c r="M67" s="428">
        <f t="shared" si="18"/>
        <v>1536175</v>
      </c>
      <c r="N67" s="428">
        <f t="shared" si="18"/>
        <v>1622175</v>
      </c>
      <c r="O67" s="428">
        <f t="shared" si="18"/>
        <v>1736780</v>
      </c>
      <c r="P67" s="428">
        <f t="shared" si="18"/>
        <v>1850288</v>
      </c>
      <c r="Q67" s="428">
        <f t="shared" si="18"/>
        <v>1955287</v>
      </c>
      <c r="R67" s="428">
        <f t="shared" si="18"/>
        <v>2043913</v>
      </c>
      <c r="S67" s="428">
        <f t="shared" ref="S67:T67" si="19">SUM(S62:S66)</f>
        <v>2165496</v>
      </c>
      <c r="T67" s="428">
        <f t="shared" si="19"/>
        <v>2260354</v>
      </c>
    </row>
    <row r="68" spans="1:22">
      <c r="A68" s="54"/>
      <c r="B68" s="40" t="s">
        <v>142</v>
      </c>
      <c r="G68" s="41"/>
      <c r="H68" s="41"/>
      <c r="I68" s="41"/>
      <c r="J68" s="41"/>
      <c r="L68" s="41"/>
      <c r="M68" s="41"/>
      <c r="N68" s="41"/>
      <c r="O68" s="41"/>
      <c r="P68" s="41"/>
      <c r="Q68" s="41"/>
      <c r="R68" s="41"/>
    </row>
    <row r="69" spans="1:22">
      <c r="A69" s="54">
        <v>38</v>
      </c>
      <c r="C69" s="40" t="s">
        <v>59</v>
      </c>
      <c r="F69" s="196" t="s">
        <v>280</v>
      </c>
      <c r="G69" s="196" t="s">
        <v>280</v>
      </c>
      <c r="H69" s="196" t="s">
        <v>280</v>
      </c>
      <c r="I69" s="196" t="s">
        <v>280</v>
      </c>
      <c r="J69" s="196" t="s">
        <v>280</v>
      </c>
      <c r="K69" s="196" t="s">
        <v>280</v>
      </c>
      <c r="L69" s="196" t="s">
        <v>280</v>
      </c>
      <c r="M69" s="196" t="s">
        <v>280</v>
      </c>
      <c r="N69" s="196" t="s">
        <v>280</v>
      </c>
      <c r="O69" s="196" t="s">
        <v>280</v>
      </c>
      <c r="P69" s="196" t="s">
        <v>280</v>
      </c>
      <c r="Q69" s="194">
        <f>'Reg Amorts'!P59</f>
        <v>3744</v>
      </c>
      <c r="R69" s="194">
        <f>'Reg Amorts'!Q59</f>
        <v>4369</v>
      </c>
      <c r="S69" s="194">
        <f>'Reg Amorts'!R59</f>
        <v>17667</v>
      </c>
      <c r="T69" s="194">
        <f>'Reg Amorts'!S59</f>
        <v>20242</v>
      </c>
    </row>
    <row r="70" spans="1:22" ht="12.75" customHeight="1">
      <c r="A70" s="54">
        <v>39</v>
      </c>
      <c r="C70" s="40" t="s">
        <v>58</v>
      </c>
      <c r="F70" s="196" t="s">
        <v>280</v>
      </c>
      <c r="G70" s="196" t="s">
        <v>280</v>
      </c>
      <c r="H70" s="196" t="s">
        <v>280</v>
      </c>
      <c r="I70" s="196" t="s">
        <v>280</v>
      </c>
      <c r="J70" s="196" t="s">
        <v>280</v>
      </c>
      <c r="K70" s="196" t="s">
        <v>280</v>
      </c>
      <c r="L70" s="196" t="s">
        <v>280</v>
      </c>
      <c r="M70" s="196" t="s">
        <v>280</v>
      </c>
      <c r="N70" s="196" t="s">
        <v>280</v>
      </c>
      <c r="O70" s="196" t="s">
        <v>280</v>
      </c>
      <c r="P70" s="196" t="s">
        <v>280</v>
      </c>
      <c r="Q70" s="194">
        <f>'Reg Amorts'!P60</f>
        <v>286300</v>
      </c>
      <c r="R70" s="194">
        <f>'Reg Amorts'!Q60</f>
        <v>300170</v>
      </c>
      <c r="S70" s="194">
        <f>'Reg Amorts'!R60</f>
        <v>314599</v>
      </c>
      <c r="T70" s="194">
        <f>'Reg Amorts'!S60</f>
        <v>325531</v>
      </c>
    </row>
    <row r="71" spans="1:22" ht="12.75" customHeight="1">
      <c r="A71" s="54">
        <v>40</v>
      </c>
      <c r="C71" s="40" t="s">
        <v>57</v>
      </c>
      <c r="F71" s="196" t="s">
        <v>280</v>
      </c>
      <c r="G71" s="196" t="s">
        <v>280</v>
      </c>
      <c r="H71" s="196" t="s">
        <v>280</v>
      </c>
      <c r="I71" s="196" t="s">
        <v>280</v>
      </c>
      <c r="J71" s="196" t="s">
        <v>280</v>
      </c>
      <c r="K71" s="196" t="s">
        <v>280</v>
      </c>
      <c r="L71" s="196" t="s">
        <v>280</v>
      </c>
      <c r="M71" s="196" t="s">
        <v>280</v>
      </c>
      <c r="N71" s="196" t="s">
        <v>280</v>
      </c>
      <c r="O71" s="196" t="s">
        <v>280</v>
      </c>
      <c r="P71" s="196" t="s">
        <v>280</v>
      </c>
      <c r="Q71" s="194">
        <f>'Reg Amorts'!P61</f>
        <v>111144</v>
      </c>
      <c r="R71" s="194">
        <f>'Reg Amorts'!Q61</f>
        <v>116316</v>
      </c>
      <c r="S71" s="194">
        <f>'Reg Amorts'!R61</f>
        <v>122308</v>
      </c>
      <c r="T71" s="194">
        <f>'Reg Amorts'!S61</f>
        <v>123869</v>
      </c>
    </row>
    <row r="72" spans="1:22" ht="12.75" customHeight="1">
      <c r="A72" s="54">
        <v>41</v>
      </c>
      <c r="C72" s="40" t="s">
        <v>56</v>
      </c>
      <c r="F72" s="196" t="s">
        <v>280</v>
      </c>
      <c r="G72" s="196" t="s">
        <v>280</v>
      </c>
      <c r="H72" s="196" t="s">
        <v>280</v>
      </c>
      <c r="I72" s="196" t="s">
        <v>280</v>
      </c>
      <c r="J72" s="196" t="s">
        <v>280</v>
      </c>
      <c r="K72" s="196" t="s">
        <v>280</v>
      </c>
      <c r="L72" s="196" t="s">
        <v>280</v>
      </c>
      <c r="M72" s="196" t="s">
        <v>280</v>
      </c>
      <c r="N72" s="196" t="s">
        <v>280</v>
      </c>
      <c r="O72" s="196" t="s">
        <v>280</v>
      </c>
      <c r="P72" s="196" t="s">
        <v>280</v>
      </c>
      <c r="Q72" s="194">
        <f>'Reg Amorts'!P62</f>
        <v>209101</v>
      </c>
      <c r="R72" s="194">
        <f>'Reg Amorts'!Q62</f>
        <v>221408</v>
      </c>
      <c r="S72" s="194">
        <f>'Reg Amorts'!R62</f>
        <v>236201</v>
      </c>
      <c r="T72" s="194">
        <f>'Reg Amorts'!S62</f>
        <v>252722</v>
      </c>
    </row>
    <row r="73" spans="1:22" ht="12.75" customHeight="1">
      <c r="A73" s="54">
        <v>42</v>
      </c>
      <c r="C73" s="40" t="s">
        <v>55</v>
      </c>
      <c r="F73" s="196" t="s">
        <v>280</v>
      </c>
      <c r="G73" s="196" t="s">
        <v>280</v>
      </c>
      <c r="H73" s="196" t="s">
        <v>280</v>
      </c>
      <c r="I73" s="196" t="s">
        <v>280</v>
      </c>
      <c r="J73" s="196" t="s">
        <v>280</v>
      </c>
      <c r="K73" s="196" t="s">
        <v>280</v>
      </c>
      <c r="L73" s="196" t="s">
        <v>280</v>
      </c>
      <c r="M73" s="196" t="s">
        <v>280</v>
      </c>
      <c r="N73" s="196" t="s">
        <v>280</v>
      </c>
      <c r="O73" s="196" t="s">
        <v>280</v>
      </c>
      <c r="P73" s="196" t="s">
        <v>280</v>
      </c>
      <c r="Q73" s="194">
        <f>'Reg Amorts'!P63</f>
        <v>56694</v>
      </c>
      <c r="R73" s="194">
        <f>'Reg Amorts'!Q63</f>
        <v>61871</v>
      </c>
      <c r="S73" s="194">
        <f>'Reg Amorts'!R63</f>
        <v>58357</v>
      </c>
      <c r="T73" s="194">
        <f>'Reg Amorts'!S63</f>
        <v>65720</v>
      </c>
    </row>
    <row r="74" spans="1:22" ht="12.75" customHeight="1">
      <c r="A74" s="54">
        <v>43</v>
      </c>
      <c r="B74" s="40" t="s">
        <v>143</v>
      </c>
      <c r="F74" s="194">
        <f>'Reg Amorts'!E64--'Reg Amorts'!E105</f>
        <v>354682</v>
      </c>
      <c r="G74" s="194">
        <f>'Reg Amorts'!F64--'Reg Amorts'!F105</f>
        <v>373090</v>
      </c>
      <c r="H74" s="194">
        <f>'Reg Amorts'!G64--'Reg Amorts'!G105</f>
        <v>391351</v>
      </c>
      <c r="I74" s="194">
        <f>'Reg Amorts'!H64--'Reg Amorts'!H105</f>
        <v>422390</v>
      </c>
      <c r="J74" s="194">
        <f>'Reg Amorts'!I64--'Reg Amorts'!I105</f>
        <v>447359</v>
      </c>
      <c r="K74" s="194">
        <f>'Reg Amorts'!J64--'Reg Amorts'!J105</f>
        <v>474906</v>
      </c>
      <c r="L74" s="194">
        <f>'Reg Amorts'!K64--'Reg Amorts'!K105</f>
        <v>506599</v>
      </c>
      <c r="M74" s="194">
        <f>'Reg Amorts'!L64--'Reg Amorts'!L105</f>
        <v>526307</v>
      </c>
      <c r="N74" s="194">
        <f>'Reg Amorts'!M64--'Reg Amorts'!M105</f>
        <v>557426</v>
      </c>
      <c r="O74" s="194">
        <f>'Reg Amorts'!N64--'Reg Amorts'!N105</f>
        <v>585821</v>
      </c>
      <c r="P74" s="194">
        <f>'Reg Amorts'!O64--'Reg Amorts'!O105</f>
        <v>629399</v>
      </c>
      <c r="Q74" s="194">
        <f>SUM(Q69:Q73)</f>
        <v>666983</v>
      </c>
      <c r="R74" s="194">
        <f>SUM(R69:R73)</f>
        <v>704134</v>
      </c>
      <c r="S74" s="194">
        <f>SUM(S69:S73)</f>
        <v>749132</v>
      </c>
      <c r="T74" s="194">
        <f>SUM(T69:T73)</f>
        <v>788084</v>
      </c>
    </row>
    <row r="75" spans="1:22" ht="12.75" customHeight="1">
      <c r="A75" s="54">
        <v>44</v>
      </c>
      <c r="B75" s="40" t="s">
        <v>144</v>
      </c>
      <c r="F75" s="427">
        <f t="shared" ref="F75:R75" si="20">F67-F74</f>
        <v>754924</v>
      </c>
      <c r="G75" s="427">
        <f t="shared" si="20"/>
        <v>771819</v>
      </c>
      <c r="H75" s="427">
        <f t="shared" si="20"/>
        <v>850869</v>
      </c>
      <c r="I75" s="427">
        <f t="shared" si="20"/>
        <v>856006</v>
      </c>
      <c r="J75" s="427">
        <f t="shared" si="20"/>
        <v>908716</v>
      </c>
      <c r="K75" s="427">
        <f t="shared" si="20"/>
        <v>934058</v>
      </c>
      <c r="L75" s="427">
        <f t="shared" si="20"/>
        <v>994207</v>
      </c>
      <c r="M75" s="427">
        <f t="shared" si="20"/>
        <v>1009868</v>
      </c>
      <c r="N75" s="427">
        <f t="shared" si="20"/>
        <v>1064749</v>
      </c>
      <c r="O75" s="427">
        <f t="shared" si="20"/>
        <v>1150959</v>
      </c>
      <c r="P75" s="427">
        <f t="shared" si="20"/>
        <v>1220889</v>
      </c>
      <c r="Q75" s="427">
        <f>Q67-Q74</f>
        <v>1288304</v>
      </c>
      <c r="R75" s="427">
        <f t="shared" si="20"/>
        <v>1339779</v>
      </c>
      <c r="S75" s="427">
        <f t="shared" ref="S75:T75" si="21">S67-S74</f>
        <v>1416364</v>
      </c>
      <c r="T75" s="427">
        <f t="shared" si="21"/>
        <v>1472270</v>
      </c>
      <c r="V75" s="40" t="s">
        <v>503</v>
      </c>
    </row>
    <row r="76" spans="1:22">
      <c r="A76" s="54"/>
      <c r="F76" s="194"/>
      <c r="G76" s="194"/>
      <c r="H76" s="194"/>
      <c r="I76" s="194"/>
      <c r="J76" s="194"/>
      <c r="K76" s="194"/>
      <c r="L76" s="194"/>
      <c r="M76" s="194"/>
      <c r="N76" s="194"/>
      <c r="O76" s="194"/>
      <c r="P76" s="194"/>
      <c r="Q76" s="194"/>
      <c r="R76" s="194"/>
      <c r="S76" s="194"/>
      <c r="T76" s="194"/>
    </row>
    <row r="77" spans="1:22">
      <c r="A77" s="54">
        <v>45</v>
      </c>
      <c r="B77" s="40" t="s">
        <v>52</v>
      </c>
      <c r="F77" s="44">
        <f>'Reg Amorts'!E67-'Reg Amorts'!E106</f>
        <v>-105775</v>
      </c>
      <c r="G77" s="44">
        <f>'Reg Amorts'!F67-'Reg Amorts'!F106</f>
        <v>-109541</v>
      </c>
      <c r="H77" s="44">
        <f>'Reg Amorts'!G67-'Reg Amorts'!G106</f>
        <v>-111367</v>
      </c>
      <c r="I77" s="44">
        <f>'Reg Amorts'!H67-'Reg Amorts'!H106</f>
        <v>-135404</v>
      </c>
      <c r="J77" s="44">
        <f>'Reg Amorts'!I67-'Reg Amorts'!I106</f>
        <v>-150960</v>
      </c>
      <c r="K77" s="44">
        <f>'Reg Amorts'!J67-'Reg Amorts'!J106</f>
        <v>-134967</v>
      </c>
      <c r="L77" s="44">
        <f>'Reg Amorts'!K67-'Reg Amorts'!K106</f>
        <v>-138495</v>
      </c>
      <c r="M77" s="44">
        <f>'Reg Amorts'!L67-'Reg Amorts'!L106</f>
        <v>-139033</v>
      </c>
      <c r="N77" s="44">
        <f>'Reg Amorts'!M67-'Reg Amorts'!M106</f>
        <v>-147502</v>
      </c>
      <c r="O77" s="44">
        <f>'Reg Amorts'!N67-'Reg Amorts'!N106</f>
        <v>-163716</v>
      </c>
      <c r="P77" s="44">
        <f>'Reg Amorts'!O67-'Reg Amorts'!O106</f>
        <v>-184825</v>
      </c>
      <c r="Q77" s="44">
        <f>'Reg Amorts'!P67</f>
        <v>-201163</v>
      </c>
      <c r="R77" s="44">
        <f>'Reg Amorts'!Q67</f>
        <v>-208209</v>
      </c>
      <c r="S77" s="44">
        <f>'Reg Amorts'!R67</f>
        <v>-221354</v>
      </c>
      <c r="T77" s="44">
        <f>'Reg Amorts'!S67</f>
        <v>-257766</v>
      </c>
    </row>
    <row r="78" spans="1:22">
      <c r="A78" s="54">
        <v>46</v>
      </c>
      <c r="C78" s="364" t="s">
        <v>294</v>
      </c>
      <c r="D78" s="364"/>
      <c r="E78" s="364"/>
      <c r="F78" s="430">
        <f t="shared" ref="F78:P78" si="22">F75+F77</f>
        <v>649149</v>
      </c>
      <c r="G78" s="430">
        <f t="shared" si="22"/>
        <v>662278</v>
      </c>
      <c r="H78" s="430">
        <f t="shared" si="22"/>
        <v>739502</v>
      </c>
      <c r="I78" s="430">
        <f t="shared" si="22"/>
        <v>720602</v>
      </c>
      <c r="J78" s="430">
        <f t="shared" si="22"/>
        <v>757756</v>
      </c>
      <c r="K78" s="430">
        <f t="shared" si="22"/>
        <v>799091</v>
      </c>
      <c r="L78" s="430">
        <f t="shared" si="22"/>
        <v>855712</v>
      </c>
      <c r="M78" s="430">
        <f t="shared" si="22"/>
        <v>870835</v>
      </c>
      <c r="N78" s="430">
        <f t="shared" si="22"/>
        <v>917247</v>
      </c>
      <c r="O78" s="430">
        <f t="shared" si="22"/>
        <v>987243</v>
      </c>
      <c r="P78" s="430">
        <f t="shared" si="22"/>
        <v>1036064</v>
      </c>
      <c r="Q78" s="430">
        <f>Q75+Q77</f>
        <v>1087141</v>
      </c>
      <c r="R78" s="430">
        <f>R75+R77</f>
        <v>1131570</v>
      </c>
      <c r="S78" s="430">
        <f>S75+S77</f>
        <v>1195010</v>
      </c>
      <c r="T78" s="430">
        <f>T75+T77</f>
        <v>1214504</v>
      </c>
    </row>
    <row r="79" spans="1:22">
      <c r="A79" s="54">
        <v>47</v>
      </c>
      <c r="B79" s="40" t="s">
        <v>146</v>
      </c>
      <c r="F79" s="194">
        <f>'Reg Amorts'!E102</f>
        <v>-80657</v>
      </c>
      <c r="G79" s="194">
        <f>'Reg Amorts'!F102</f>
        <v>-64763</v>
      </c>
      <c r="H79" s="194">
        <f>'Reg Amorts'!G102</f>
        <v>22356</v>
      </c>
      <c r="I79" s="194">
        <f>'Reg Amorts'!H102</f>
        <v>21841</v>
      </c>
      <c r="J79" s="194">
        <f>'Reg Amorts'!I102</f>
        <v>20255</v>
      </c>
      <c r="K79" s="194">
        <f>'Reg Amorts'!J102</f>
        <v>20751</v>
      </c>
      <c r="L79" s="194">
        <f>'Reg Amorts'!K102</f>
        <v>18799</v>
      </c>
      <c r="M79" s="194">
        <f>'Reg Amorts'!L102</f>
        <v>21020</v>
      </c>
      <c r="N79" s="194">
        <f>'Reg Amorts'!M102</f>
        <v>19593</v>
      </c>
      <c r="O79" s="194">
        <f>'Reg Amorts'!N102</f>
        <v>17776</v>
      </c>
      <c r="P79" s="194">
        <f>'Reg Amorts'!O102</f>
        <v>17776</v>
      </c>
      <c r="Q79" s="194">
        <f>'Reg Amorts'!P102</f>
        <v>18845</v>
      </c>
      <c r="R79" s="194">
        <f>'Reg Amorts'!Q102</f>
        <v>16438</v>
      </c>
      <c r="S79" s="194">
        <f>'Reg Amorts'!R102</f>
        <v>14761</v>
      </c>
      <c r="T79" s="194">
        <f>'Reg Amorts'!S102</f>
        <v>10846</v>
      </c>
    </row>
    <row r="80" spans="1:22">
      <c r="A80" s="54">
        <v>48</v>
      </c>
      <c r="B80" s="40" t="s">
        <v>53</v>
      </c>
      <c r="F80" s="194">
        <f>'Reg Amorts'!E70</f>
        <v>0</v>
      </c>
      <c r="G80" s="194">
        <f>'Reg Amorts'!F70</f>
        <v>0</v>
      </c>
      <c r="H80" s="194">
        <f>'Reg Amorts'!G70</f>
        <v>0</v>
      </c>
      <c r="I80" s="194">
        <f>'Reg Amorts'!H70</f>
        <v>0</v>
      </c>
      <c r="J80" s="194">
        <f>'Reg Amorts'!I70</f>
        <v>0</v>
      </c>
      <c r="K80" s="194">
        <f>'Reg Amorts'!J70</f>
        <v>0</v>
      </c>
      <c r="L80" s="194">
        <f>'Reg Amorts'!K70</f>
        <v>0</v>
      </c>
      <c r="M80" s="194">
        <f>'Reg Amorts'!L70</f>
        <v>0</v>
      </c>
      <c r="N80" s="194">
        <f>'Reg Amorts'!M70</f>
        <v>0</v>
      </c>
      <c r="O80" s="194">
        <f>'Reg Amorts'!N70</f>
        <v>0</v>
      </c>
      <c r="P80" s="194">
        <f>'Reg Amorts'!O70</f>
        <v>18188</v>
      </c>
      <c r="Q80" s="194">
        <f>'Reg Amorts'!P70+'Reg Amorts'!P110</f>
        <v>31877</v>
      </c>
      <c r="R80" s="194">
        <f>'Reg Amorts'!Q70</f>
        <v>10967</v>
      </c>
      <c r="S80" s="194">
        <f>'Reg Amorts'!R70</f>
        <v>16281</v>
      </c>
      <c r="T80" s="194">
        <f>'Reg Amorts'!S70</f>
        <v>47807</v>
      </c>
    </row>
    <row r="81" spans="1:21">
      <c r="A81" s="54"/>
      <c r="G81" s="41"/>
      <c r="H81" s="41"/>
      <c r="I81" s="41"/>
      <c r="J81" s="41"/>
      <c r="L81" s="41"/>
      <c r="M81" s="41"/>
      <c r="N81" s="41"/>
      <c r="O81" s="41"/>
      <c r="P81" s="41"/>
      <c r="Q81" s="194"/>
      <c r="R81" s="194"/>
      <c r="S81" s="194"/>
      <c r="T81" s="194"/>
    </row>
    <row r="82" spans="1:21" ht="12.75" thickBot="1">
      <c r="A82" s="54">
        <v>49</v>
      </c>
      <c r="B82" s="40" t="s">
        <v>51</v>
      </c>
      <c r="F82" s="429">
        <f>'CBR Hist'!F78</f>
        <v>568492</v>
      </c>
      <c r="G82" s="429">
        <f>'CBR Hist'!G78</f>
        <v>597515</v>
      </c>
      <c r="H82" s="429">
        <f>'CBR Hist'!H78</f>
        <v>761858</v>
      </c>
      <c r="I82" s="429">
        <f>'CBR Hist'!I78</f>
        <v>742443</v>
      </c>
      <c r="J82" s="429">
        <f>'CBR Hist'!J78</f>
        <v>778011</v>
      </c>
      <c r="K82" s="429">
        <f>'CBR Hist'!K78</f>
        <v>819842</v>
      </c>
      <c r="L82" s="429">
        <f>'CBR Hist'!L78</f>
        <v>874511</v>
      </c>
      <c r="M82" s="429">
        <f>'CBR Hist'!M78</f>
        <v>891855</v>
      </c>
      <c r="N82" s="429">
        <f>'CBR Hist'!N78</f>
        <v>936840</v>
      </c>
      <c r="O82" s="429">
        <f>'CBR Hist'!O78</f>
        <v>1005019</v>
      </c>
      <c r="P82" s="429">
        <f>'CBR Hist'!P78</f>
        <v>1072028</v>
      </c>
      <c r="Q82" s="429">
        <f>'CBR Hist'!Q78</f>
        <v>1137863</v>
      </c>
      <c r="R82" s="429">
        <f>'CBR Hist'!R78</f>
        <v>1158975</v>
      </c>
      <c r="S82" s="429">
        <f>'CBR Hist'!S78</f>
        <v>1226052</v>
      </c>
      <c r="T82" s="429">
        <f>'CBR Hist'!T78</f>
        <v>1273157</v>
      </c>
    </row>
    <row r="83" spans="1:21" ht="12.75" thickTop="1">
      <c r="A83" s="54"/>
      <c r="F83" s="499">
        <f>F78+F79+F80-F82</f>
        <v>0</v>
      </c>
      <c r="G83" s="499">
        <f t="shared" ref="G83:P83" si="23">G78+G79+G80-G82</f>
        <v>0</v>
      </c>
      <c r="H83" s="499">
        <f t="shared" si="23"/>
        <v>0</v>
      </c>
      <c r="I83" s="499">
        <f t="shared" si="23"/>
        <v>0</v>
      </c>
      <c r="J83" s="499">
        <f t="shared" si="23"/>
        <v>0</v>
      </c>
      <c r="K83" s="499">
        <f t="shared" si="23"/>
        <v>0</v>
      </c>
      <c r="L83" s="499">
        <f t="shared" si="23"/>
        <v>0</v>
      </c>
      <c r="M83" s="499">
        <f t="shared" si="23"/>
        <v>0</v>
      </c>
      <c r="N83" s="499">
        <f t="shared" si="23"/>
        <v>0</v>
      </c>
      <c r="O83" s="499">
        <f t="shared" si="23"/>
        <v>0</v>
      </c>
      <c r="P83" s="499">
        <f t="shared" si="23"/>
        <v>0</v>
      </c>
      <c r="Q83" s="499">
        <f>Q78+Q79+Q80-Q82</f>
        <v>0</v>
      </c>
      <c r="R83" s="499">
        <f t="shared" ref="R83:S83" si="24">R78+R79+R80-R82</f>
        <v>0</v>
      </c>
      <c r="S83" s="499">
        <f t="shared" si="24"/>
        <v>0</v>
      </c>
      <c r="T83" s="499">
        <f t="shared" ref="T83" si="25">T78+T79+T80-T82</f>
        <v>0</v>
      </c>
    </row>
    <row r="84" spans="1:21">
      <c r="A84" s="54"/>
      <c r="C84" s="503" t="s">
        <v>468</v>
      </c>
      <c r="F84" s="499"/>
      <c r="G84" s="499"/>
      <c r="H84" s="499"/>
      <c r="I84" s="499"/>
      <c r="J84" s="499"/>
      <c r="K84" s="499"/>
      <c r="L84" s="499"/>
      <c r="M84" s="499"/>
      <c r="N84" s="499"/>
      <c r="O84" s="499"/>
      <c r="P84" s="499"/>
      <c r="Q84" s="499"/>
      <c r="R84" s="499"/>
      <c r="S84" s="155"/>
      <c r="T84" s="155"/>
    </row>
    <row r="85" spans="1:21">
      <c r="A85" s="513" t="s">
        <v>94</v>
      </c>
      <c r="B85" s="503"/>
      <c r="C85" s="503"/>
      <c r="F85" s="499"/>
      <c r="G85" s="499"/>
      <c r="H85" s="499"/>
      <c r="I85" s="499"/>
      <c r="J85" s="499"/>
      <c r="K85" s="499"/>
      <c r="L85" s="499"/>
      <c r="M85" s="499"/>
      <c r="N85" s="499"/>
      <c r="O85" s="499"/>
      <c r="P85" s="499"/>
      <c r="Q85" s="499"/>
      <c r="R85" s="499"/>
      <c r="S85" s="155"/>
      <c r="T85" s="155"/>
    </row>
    <row r="86" spans="1:21">
      <c r="A86" s="513" t="s">
        <v>134</v>
      </c>
      <c r="B86" s="503"/>
      <c r="C86" s="503"/>
      <c r="F86" s="499"/>
      <c r="G86" s="499"/>
      <c r="H86" s="499"/>
      <c r="I86" s="499"/>
      <c r="J86" s="499"/>
      <c r="K86" s="499"/>
      <c r="L86" s="499"/>
      <c r="M86" s="499"/>
      <c r="N86" s="499"/>
      <c r="O86" s="499"/>
      <c r="P86" s="499"/>
      <c r="Q86" s="499"/>
      <c r="R86" s="499"/>
      <c r="S86" s="155"/>
      <c r="T86" s="155"/>
    </row>
    <row r="87" spans="1:21" ht="4.5" customHeight="1">
      <c r="A87" s="54"/>
      <c r="C87" s="503"/>
      <c r="F87" s="499"/>
      <c r="G87" s="499"/>
      <c r="H87" s="499"/>
      <c r="I87" s="499"/>
      <c r="J87" s="499"/>
      <c r="K87" s="499"/>
      <c r="L87" s="499"/>
      <c r="M87" s="499"/>
      <c r="N87" s="499"/>
      <c r="O87" s="499"/>
      <c r="P87" s="499"/>
      <c r="Q87" s="499"/>
      <c r="R87" s="499"/>
      <c r="S87" s="155"/>
      <c r="T87" s="155"/>
    </row>
    <row r="88" spans="1:21" ht="15.75">
      <c r="A88" s="514" t="str">
        <f>A58</f>
        <v xml:space="preserve">(000'S OF DOLLARS)  </v>
      </c>
      <c r="E88" s="945" t="s">
        <v>494</v>
      </c>
      <c r="F88" s="945"/>
      <c r="G88" s="945"/>
      <c r="H88" s="945"/>
      <c r="I88" s="945"/>
      <c r="J88" s="945"/>
      <c r="K88" s="945"/>
      <c r="L88" s="945"/>
      <c r="M88" s="945"/>
      <c r="N88" s="945"/>
      <c r="O88" s="945"/>
      <c r="P88" s="945"/>
      <c r="Q88" s="945"/>
      <c r="R88" s="945"/>
      <c r="S88" s="155"/>
      <c r="T88" s="793" t="s">
        <v>712</v>
      </c>
    </row>
    <row r="89" spans="1:21" ht="3" customHeight="1">
      <c r="A89" s="54"/>
      <c r="F89" s="492"/>
      <c r="G89" s="492"/>
      <c r="H89" s="492"/>
      <c r="I89" s="492"/>
      <c r="J89" s="492"/>
      <c r="K89" s="492"/>
      <c r="L89" s="492"/>
      <c r="M89" s="492"/>
      <c r="N89" s="492"/>
      <c r="O89" s="492"/>
      <c r="P89" s="492"/>
      <c r="Q89" s="492"/>
      <c r="R89" s="492"/>
      <c r="S89" s="155"/>
      <c r="T89" s="155"/>
    </row>
    <row r="90" spans="1:21" ht="12" customHeight="1">
      <c r="A90" s="54"/>
      <c r="F90" s="192">
        <f>F8</f>
        <v>2000</v>
      </c>
      <c r="G90" s="192">
        <f t="shared" ref="G90:R90" si="26">G8</f>
        <v>2001</v>
      </c>
      <c r="H90" s="192">
        <f t="shared" si="26"/>
        <v>2002</v>
      </c>
      <c r="I90" s="192">
        <f t="shared" si="26"/>
        <v>2003</v>
      </c>
      <c r="J90" s="192">
        <f t="shared" si="26"/>
        <v>2004</v>
      </c>
      <c r="K90" s="192">
        <f t="shared" si="26"/>
        <v>2005</v>
      </c>
      <c r="L90" s="192">
        <f t="shared" si="26"/>
        <v>2006</v>
      </c>
      <c r="M90" s="192">
        <f t="shared" si="26"/>
        <v>2007</v>
      </c>
      <c r="N90" s="192">
        <f t="shared" si="26"/>
        <v>2008</v>
      </c>
      <c r="O90" s="192">
        <f t="shared" si="26"/>
        <v>2009</v>
      </c>
      <c r="P90" s="192">
        <f t="shared" si="26"/>
        <v>2010</v>
      </c>
      <c r="Q90" s="192">
        <f t="shared" si="26"/>
        <v>2011</v>
      </c>
      <c r="R90" s="192">
        <f t="shared" si="26"/>
        <v>2012</v>
      </c>
      <c r="S90" s="192">
        <f t="shared" ref="S90:T90" si="27">S8</f>
        <v>2013</v>
      </c>
      <c r="T90" s="192">
        <f t="shared" si="27"/>
        <v>2014</v>
      </c>
    </row>
    <row r="91" spans="1:21" ht="25.9" customHeight="1">
      <c r="A91" s="543" t="s">
        <v>496</v>
      </c>
      <c r="D91" s="40" t="s">
        <v>466</v>
      </c>
      <c r="F91" s="492"/>
      <c r="G91" s="492"/>
      <c r="H91" s="492"/>
      <c r="I91" s="492"/>
      <c r="J91" s="492"/>
      <c r="K91" s="492"/>
      <c r="L91" s="492"/>
      <c r="M91" s="492"/>
      <c r="N91" s="492"/>
      <c r="O91" s="492"/>
      <c r="P91" s="492"/>
      <c r="Q91" s="492"/>
      <c r="R91" s="492"/>
      <c r="S91" s="549"/>
      <c r="T91" s="737"/>
    </row>
    <row r="92" spans="1:21" ht="12" customHeight="1">
      <c r="A92" s="54">
        <v>1</v>
      </c>
      <c r="B92" s="40" t="s">
        <v>428</v>
      </c>
      <c r="E92" s="355" t="s">
        <v>444</v>
      </c>
      <c r="F92" s="194">
        <f>F19</f>
        <v>78721</v>
      </c>
      <c r="G92" s="194">
        <f t="shared" ref="G92:R92" si="28">G19</f>
        <v>47157</v>
      </c>
      <c r="H92" s="194">
        <f t="shared" si="28"/>
        <v>101475</v>
      </c>
      <c r="I92" s="194">
        <f t="shared" si="28"/>
        <v>132098</v>
      </c>
      <c r="J92" s="194">
        <f t="shared" si="28"/>
        <v>101545</v>
      </c>
      <c r="K92" s="194">
        <f t="shared" si="28"/>
        <v>105374</v>
      </c>
      <c r="L92" s="194">
        <f t="shared" si="28"/>
        <v>104260</v>
      </c>
      <c r="M92" s="194">
        <f t="shared" si="28"/>
        <v>102890</v>
      </c>
      <c r="N92" s="194">
        <f t="shared" si="28"/>
        <v>117123</v>
      </c>
      <c r="O92" s="194">
        <f t="shared" si="28"/>
        <v>87599</v>
      </c>
      <c r="P92" s="194">
        <f t="shared" si="28"/>
        <v>147107</v>
      </c>
      <c r="Q92" s="194">
        <f t="shared" si="28"/>
        <v>145634</v>
      </c>
      <c r="R92" s="194">
        <f t="shared" si="28"/>
        <v>131795</v>
      </c>
      <c r="S92" s="194">
        <f>S19</f>
        <v>143904</v>
      </c>
      <c r="T92" s="865">
        <f>T19</f>
        <v>120307</v>
      </c>
      <c r="U92" s="863" t="s">
        <v>738</v>
      </c>
    </row>
    <row r="93" spans="1:21" ht="12" customHeight="1">
      <c r="A93" s="54">
        <v>2</v>
      </c>
      <c r="B93" s="40" t="s">
        <v>429</v>
      </c>
      <c r="E93" s="355" t="s">
        <v>445</v>
      </c>
      <c r="F93" s="194">
        <f>F20</f>
        <v>181189</v>
      </c>
      <c r="G93" s="194">
        <f t="shared" ref="G93:R93" si="29">G20</f>
        <v>132159</v>
      </c>
      <c r="H93" s="194">
        <f t="shared" si="29"/>
        <v>50769</v>
      </c>
      <c r="I93" s="194">
        <f t="shared" si="29"/>
        <v>46591</v>
      </c>
      <c r="J93" s="194">
        <f t="shared" si="29"/>
        <v>51042</v>
      </c>
      <c r="K93" s="194">
        <f t="shared" si="29"/>
        <v>55046</v>
      </c>
      <c r="L93" s="194">
        <f t="shared" si="29"/>
        <v>79146</v>
      </c>
      <c r="M93" s="194">
        <f t="shared" si="29"/>
        <v>65640</v>
      </c>
      <c r="N93" s="194">
        <f t="shared" si="29"/>
        <v>72508</v>
      </c>
      <c r="O93" s="865">
        <f t="shared" si="29"/>
        <v>100437</v>
      </c>
      <c r="P93" s="194">
        <f t="shared" si="29"/>
        <v>142197</v>
      </c>
      <c r="Q93" s="194">
        <f t="shared" si="29"/>
        <v>91142</v>
      </c>
      <c r="R93" s="194">
        <f t="shared" si="29"/>
        <v>101283</v>
      </c>
      <c r="S93" s="194">
        <f t="shared" ref="S93:T93" si="30">S20</f>
        <v>109034</v>
      </c>
      <c r="T93" s="194">
        <f t="shared" si="30"/>
        <v>116643</v>
      </c>
      <c r="U93" s="863" t="s">
        <v>739</v>
      </c>
    </row>
    <row r="94" spans="1:21" ht="12" customHeight="1">
      <c r="A94" s="54">
        <v>3</v>
      </c>
      <c r="B94" s="40" t="s">
        <v>430</v>
      </c>
      <c r="E94" s="355" t="s">
        <v>446</v>
      </c>
      <c r="F94" s="194">
        <f>F27</f>
        <v>9418</v>
      </c>
      <c r="G94" s="194">
        <f t="shared" ref="G94:R94" si="31">G27</f>
        <v>10560</v>
      </c>
      <c r="H94" s="194">
        <f t="shared" si="31"/>
        <v>9631</v>
      </c>
      <c r="I94" s="194">
        <f t="shared" si="31"/>
        <v>10171</v>
      </c>
      <c r="J94" s="194">
        <f t="shared" si="31"/>
        <v>12016</v>
      </c>
      <c r="K94" s="194">
        <f t="shared" si="31"/>
        <v>14263</v>
      </c>
      <c r="L94" s="194">
        <f t="shared" si="31"/>
        <v>15485</v>
      </c>
      <c r="M94" s="194">
        <f t="shared" si="31"/>
        <v>14563</v>
      </c>
      <c r="N94" s="194">
        <f t="shared" si="31"/>
        <v>17329</v>
      </c>
      <c r="O94" s="194">
        <f t="shared" si="31"/>
        <v>17267</v>
      </c>
      <c r="P94" s="194">
        <f t="shared" si="31"/>
        <v>18354</v>
      </c>
      <c r="Q94" s="194">
        <f t="shared" si="31"/>
        <v>19081</v>
      </c>
      <c r="R94" s="194">
        <f t="shared" si="31"/>
        <v>21152</v>
      </c>
      <c r="S94" s="194">
        <f t="shared" ref="S94:T94" si="32">S27</f>
        <v>20878</v>
      </c>
      <c r="T94" s="194">
        <f t="shared" si="32"/>
        <v>21299</v>
      </c>
      <c r="U94" s="874" t="s">
        <v>741</v>
      </c>
    </row>
    <row r="95" spans="1:21" ht="12" customHeight="1">
      <c r="A95" s="54">
        <v>4</v>
      </c>
      <c r="B95" s="40" t="s">
        <v>431</v>
      </c>
      <c r="E95" s="355" t="s">
        <v>447</v>
      </c>
      <c r="F95" s="194">
        <f>F32</f>
        <v>5768</v>
      </c>
      <c r="G95" s="194">
        <f t="shared" ref="G95:R95" si="33">G32</f>
        <v>6196</v>
      </c>
      <c r="H95" s="194">
        <f t="shared" si="33"/>
        <v>7113</v>
      </c>
      <c r="I95" s="194">
        <f t="shared" si="33"/>
        <v>7129</v>
      </c>
      <c r="J95" s="194">
        <f t="shared" si="33"/>
        <v>7352</v>
      </c>
      <c r="K95" s="194">
        <f t="shared" si="33"/>
        <v>7156</v>
      </c>
      <c r="L95" s="194">
        <f t="shared" si="33"/>
        <v>7097</v>
      </c>
      <c r="M95" s="194">
        <f t="shared" si="33"/>
        <v>7514</v>
      </c>
      <c r="N95" s="194">
        <f t="shared" si="33"/>
        <v>7919</v>
      </c>
      <c r="O95" s="194">
        <f t="shared" si="33"/>
        <v>9646</v>
      </c>
      <c r="P95" s="194">
        <f t="shared" si="33"/>
        <v>9261</v>
      </c>
      <c r="Q95" s="194">
        <f t="shared" si="33"/>
        <v>10274.701588</v>
      </c>
      <c r="R95" s="194">
        <f t="shared" si="33"/>
        <v>10335.791302</v>
      </c>
      <c r="S95" s="194">
        <f t="shared" ref="S95:T95" si="34">S32</f>
        <v>11334</v>
      </c>
      <c r="T95" s="194">
        <f t="shared" si="34"/>
        <v>11166</v>
      </c>
    </row>
    <row r="96" spans="1:21" ht="12" customHeight="1">
      <c r="A96" s="54">
        <v>5</v>
      </c>
      <c r="B96" s="40" t="s">
        <v>432</v>
      </c>
      <c r="E96" s="355" t="s">
        <v>448</v>
      </c>
      <c r="F96" s="194">
        <f>F33</f>
        <v>5704</v>
      </c>
      <c r="G96" s="194">
        <f t="shared" ref="G96:R96" si="35">G33</f>
        <v>5381</v>
      </c>
      <c r="H96" s="194">
        <f t="shared" si="35"/>
        <v>6261</v>
      </c>
      <c r="I96" s="194">
        <f t="shared" si="35"/>
        <v>6620</v>
      </c>
      <c r="J96" s="194">
        <f t="shared" si="35"/>
        <v>266</v>
      </c>
      <c r="K96" s="194">
        <f t="shared" si="35"/>
        <v>7127</v>
      </c>
      <c r="L96" s="194">
        <f t="shared" si="35"/>
        <v>1159</v>
      </c>
      <c r="M96" s="194">
        <f t="shared" si="35"/>
        <v>7472</v>
      </c>
      <c r="N96" s="194">
        <f t="shared" si="35"/>
        <v>12847</v>
      </c>
      <c r="O96" s="194">
        <f t="shared" si="35"/>
        <v>19736</v>
      </c>
      <c r="P96" s="194">
        <f t="shared" si="35"/>
        <v>20832</v>
      </c>
      <c r="Q96" s="194">
        <f t="shared" si="35"/>
        <v>21292</v>
      </c>
      <c r="R96" s="194">
        <f t="shared" si="35"/>
        <v>18487</v>
      </c>
      <c r="S96" s="194">
        <f t="shared" ref="S96:T96" si="36">S33</f>
        <v>1516</v>
      </c>
      <c r="T96" s="194">
        <f t="shared" si="36"/>
        <v>1383</v>
      </c>
    </row>
    <row r="97" spans="1:22" ht="12" customHeight="1">
      <c r="A97" s="54">
        <v>6</v>
      </c>
      <c r="B97" s="40" t="s">
        <v>433</v>
      </c>
      <c r="E97" s="355" t="s">
        <v>449</v>
      </c>
      <c r="F97" s="194">
        <f>F34</f>
        <v>1071</v>
      </c>
      <c r="G97" s="194">
        <f t="shared" ref="G97:R97" si="37">G34</f>
        <v>734</v>
      </c>
      <c r="H97" s="194">
        <f t="shared" si="37"/>
        <v>628</v>
      </c>
      <c r="I97" s="194">
        <f t="shared" si="37"/>
        <v>734</v>
      </c>
      <c r="J97" s="194">
        <f t="shared" si="37"/>
        <v>686</v>
      </c>
      <c r="K97" s="194">
        <f t="shared" si="37"/>
        <v>430</v>
      </c>
      <c r="L97" s="194">
        <f t="shared" si="37"/>
        <v>657</v>
      </c>
      <c r="M97" s="194">
        <f t="shared" si="37"/>
        <v>682</v>
      </c>
      <c r="N97" s="194">
        <f t="shared" si="37"/>
        <v>571</v>
      </c>
      <c r="O97" s="194">
        <f t="shared" si="37"/>
        <v>660</v>
      </c>
      <c r="P97" s="194">
        <f t="shared" si="37"/>
        <v>176</v>
      </c>
      <c r="Q97" s="194">
        <f t="shared" si="37"/>
        <v>4</v>
      </c>
      <c r="R97" s="194">
        <f t="shared" si="37"/>
        <v>5</v>
      </c>
      <c r="S97" s="194">
        <f t="shared" ref="S97:T97" si="38">S34</f>
        <v>5</v>
      </c>
      <c r="T97" s="194">
        <f t="shared" si="38"/>
        <v>0</v>
      </c>
    </row>
    <row r="98" spans="1:22" ht="12" customHeight="1">
      <c r="A98" s="54">
        <v>7</v>
      </c>
      <c r="B98" s="40" t="s">
        <v>434</v>
      </c>
      <c r="E98" s="355" t="s">
        <v>450</v>
      </c>
      <c r="F98" s="194">
        <f>F37</f>
        <v>30350</v>
      </c>
      <c r="G98" s="194">
        <f t="shared" ref="G98:R98" si="39">G37</f>
        <v>25102</v>
      </c>
      <c r="H98" s="194">
        <f t="shared" si="39"/>
        <v>30304</v>
      </c>
      <c r="I98" s="194">
        <f t="shared" si="39"/>
        <v>30153</v>
      </c>
      <c r="J98" s="194">
        <f t="shared" si="39"/>
        <v>31927</v>
      </c>
      <c r="K98" s="194">
        <f t="shared" si="39"/>
        <v>33143</v>
      </c>
      <c r="L98" s="194">
        <f t="shared" si="39"/>
        <v>33148</v>
      </c>
      <c r="M98" s="194">
        <f t="shared" si="39"/>
        <v>35844</v>
      </c>
      <c r="N98" s="194">
        <f t="shared" si="39"/>
        <v>35982</v>
      </c>
      <c r="O98" s="194">
        <f t="shared" si="39"/>
        <v>38461</v>
      </c>
      <c r="P98" s="194">
        <f t="shared" si="39"/>
        <v>44662</v>
      </c>
      <c r="Q98" s="194">
        <f t="shared" si="39"/>
        <v>44779.252</v>
      </c>
      <c r="R98" s="194">
        <f t="shared" si="39"/>
        <v>49333.396000000001</v>
      </c>
      <c r="S98" s="194">
        <f t="shared" ref="S98:T98" si="40">S37</f>
        <v>43310</v>
      </c>
      <c r="T98" s="194">
        <f t="shared" si="40"/>
        <v>46210</v>
      </c>
    </row>
    <row r="99" spans="1:22" ht="12" customHeight="1">
      <c r="A99" s="54">
        <v>8</v>
      </c>
      <c r="B99" s="84" t="s">
        <v>435</v>
      </c>
      <c r="C99" s="54"/>
      <c r="D99" s="54"/>
      <c r="E99" s="54"/>
      <c r="F99" s="427">
        <f>SUM(F92:F98)</f>
        <v>312221</v>
      </c>
      <c r="G99" s="427">
        <f t="shared" ref="G99:R99" si="41">SUM(G92:G98)</f>
        <v>227289</v>
      </c>
      <c r="H99" s="427">
        <f t="shared" si="41"/>
        <v>206181</v>
      </c>
      <c r="I99" s="427">
        <f t="shared" si="41"/>
        <v>233496</v>
      </c>
      <c r="J99" s="427">
        <f t="shared" si="41"/>
        <v>204834</v>
      </c>
      <c r="K99" s="427">
        <f t="shared" si="41"/>
        <v>222539</v>
      </c>
      <c r="L99" s="427">
        <f t="shared" si="41"/>
        <v>240952</v>
      </c>
      <c r="M99" s="427">
        <f t="shared" si="41"/>
        <v>234605</v>
      </c>
      <c r="N99" s="427">
        <f t="shared" si="41"/>
        <v>264279</v>
      </c>
      <c r="O99" s="427">
        <f t="shared" si="41"/>
        <v>273806</v>
      </c>
      <c r="P99" s="427">
        <f t="shared" si="41"/>
        <v>382589</v>
      </c>
      <c r="Q99" s="427">
        <f t="shared" si="41"/>
        <v>332206.95358799997</v>
      </c>
      <c r="R99" s="427">
        <f t="shared" si="41"/>
        <v>332391.18730200001</v>
      </c>
      <c r="S99" s="427">
        <f t="shared" ref="S99:T99" si="42">SUM(S92:S98)</f>
        <v>329981</v>
      </c>
      <c r="T99" s="427">
        <f t="shared" si="42"/>
        <v>317008</v>
      </c>
    </row>
    <row r="100" spans="1:22">
      <c r="A100" s="54">
        <v>9</v>
      </c>
      <c r="B100" s="54"/>
      <c r="C100" s="84" t="s">
        <v>427</v>
      </c>
      <c r="D100" s="54"/>
      <c r="E100" s="54"/>
      <c r="F100" s="194">
        <f>-'PS Consolidated'!E29</f>
        <v>-234785.2591</v>
      </c>
      <c r="G100" s="194">
        <f>-'PS Consolidated'!F29</f>
        <v>-156185</v>
      </c>
      <c r="H100" s="194">
        <f>-'PS Consolidated'!G29</f>
        <v>-124379</v>
      </c>
      <c r="I100" s="194">
        <f>-'PS Consolidated'!H29</f>
        <v>-154282</v>
      </c>
      <c r="J100" s="194">
        <f>-'PS Consolidated'!I29</f>
        <v>-122799</v>
      </c>
      <c r="K100" s="194">
        <f>-'PS Consolidated'!J29</f>
        <v>-133120.12169999999</v>
      </c>
      <c r="L100" s="194">
        <f>-'PS Consolidated'!K29</f>
        <v>-152124</v>
      </c>
      <c r="M100" s="194">
        <f>-'PS Consolidated'!L29</f>
        <v>-135719</v>
      </c>
      <c r="N100" s="194">
        <f>-'PS Consolidated'!M29</f>
        <v>-152984</v>
      </c>
      <c r="O100" s="194">
        <f>-'PS Consolidated'!N29</f>
        <v>-146538.0865</v>
      </c>
      <c r="P100" s="194">
        <f>-'PS Consolidated'!O29</f>
        <v>-249368.62319999994</v>
      </c>
      <c r="Q100" s="194">
        <f>-'PS Consolidated'!P29</f>
        <v>-188583.39639999997</v>
      </c>
      <c r="R100" s="194">
        <f>-'PS Consolidated'!Q29</f>
        <v>-180833.76630000002</v>
      </c>
      <c r="S100" s="194">
        <f>-'PS Consolidated'!R29</f>
        <v>-201471</v>
      </c>
      <c r="T100" s="194">
        <f>-'PS Consolidated'!S29</f>
        <v>-186117</v>
      </c>
      <c r="V100" s="40" t="s">
        <v>708</v>
      </c>
    </row>
    <row r="101" spans="1:22">
      <c r="A101" s="54">
        <v>10</v>
      </c>
      <c r="B101" s="54"/>
      <c r="C101" s="84" t="s">
        <v>424</v>
      </c>
      <c r="D101" s="54"/>
      <c r="E101" s="54"/>
      <c r="F101" s="194">
        <f>SUM(DSM!I34:I39)</f>
        <v>-3469.5337473273798</v>
      </c>
      <c r="G101" s="194">
        <f>SUM(DSM!J34:J39)</f>
        <v>-5113.1031757011697</v>
      </c>
      <c r="H101" s="194">
        <f>SUM(DSM!K34:K39)</f>
        <v>-6110.7326877122377</v>
      </c>
      <c r="I101" s="194">
        <f>SUM(DSM!L34:L39)</f>
        <v>-6177.2413218463089</v>
      </c>
      <c r="J101" s="194">
        <v>0</v>
      </c>
      <c r="K101" s="194">
        <f>SUM(DSM!N34:N39)</f>
        <v>-6651.8503863469796</v>
      </c>
      <c r="L101" s="194">
        <v>0</v>
      </c>
      <c r="M101" s="194">
        <f>SUM(DSM!P34:P39)</f>
        <v>-6711.241907653648</v>
      </c>
      <c r="N101" s="194">
        <f>SUM(DSM!Q34:Q39)</f>
        <v>-12172.241960004189</v>
      </c>
      <c r="O101" s="194">
        <f>SUM(DSM!R34:R39)</f>
        <v>-19005.286818134227</v>
      </c>
      <c r="P101" s="194">
        <f>SUM(DSM!S34:S39)</f>
        <v>-19612.288298607476</v>
      </c>
      <c r="Q101" s="194">
        <f>SUM(DSM!T34:T39)</f>
        <v>-20235.39595435033</v>
      </c>
      <c r="R101" s="194">
        <f>SUM(DSM!U34:U39)</f>
        <v>-17018.187444246676</v>
      </c>
      <c r="S101" s="194">
        <f>SUM(DSM!V34:V39)</f>
        <v>0</v>
      </c>
      <c r="T101" s="194">
        <f>SUM(DSM!W34:W39)</f>
        <v>0</v>
      </c>
      <c r="V101" s="40" t="s">
        <v>709</v>
      </c>
    </row>
    <row r="102" spans="1:22">
      <c r="A102" s="54">
        <v>11</v>
      </c>
      <c r="B102" s="54"/>
      <c r="C102" s="84" t="s">
        <v>425</v>
      </c>
      <c r="D102" s="54"/>
      <c r="E102" s="54"/>
      <c r="F102" s="194">
        <f>SUM(ResX!I34:I39)</f>
        <v>128.26828071940636</v>
      </c>
      <c r="G102" s="194">
        <f>SUM(ResX!J34:J39)</f>
        <v>10.912514149163629</v>
      </c>
      <c r="H102" s="194">
        <f>SUM(ResX!K34:K39)</f>
        <v>57.891812350647719</v>
      </c>
      <c r="I102" s="194">
        <f>SUM(ResX!L34:L39)</f>
        <v>48.851996604200728</v>
      </c>
      <c r="J102" s="194">
        <v>0</v>
      </c>
      <c r="K102" s="194">
        <f>SUM(ResX!N34:N39)</f>
        <v>62.298339440896243</v>
      </c>
      <c r="L102" s="194">
        <v>0</v>
      </c>
      <c r="M102" s="194">
        <f>SUM(ResX!P34:P39)</f>
        <v>37.041897183540996</v>
      </c>
      <c r="N102" s="194">
        <f>SUM(ResX!Q34:Q39)</f>
        <v>23.730172756779396</v>
      </c>
      <c r="O102" s="194">
        <f>SUM(ResX!R34:R39)</f>
        <v>26.576997173070886</v>
      </c>
      <c r="P102" s="194">
        <f>SUM(ResX!S34:S39)</f>
        <v>41.434898963459318</v>
      </c>
      <c r="Q102" s="194">
        <f>SUM(ResX!T34:T39)</f>
        <v>30.591749555020414</v>
      </c>
      <c r="R102" s="194">
        <f>SUM(ResX!U34:U39)</f>
        <v>55.257591875196319</v>
      </c>
      <c r="S102" s="194">
        <f>SUM(ResX!V34:V39)</f>
        <v>0</v>
      </c>
      <c r="T102" s="194">
        <f>SUM(ResX!W34:W39)</f>
        <v>0</v>
      </c>
    </row>
    <row r="103" spans="1:22" ht="12.75" thickBot="1">
      <c r="A103" s="54">
        <v>12</v>
      </c>
      <c r="B103" s="496" t="s">
        <v>426</v>
      </c>
      <c r="C103" s="54"/>
      <c r="D103" s="54"/>
      <c r="E103" s="54"/>
      <c r="F103" s="494">
        <f>SUM(F99:F102)</f>
        <v>74094.475433392028</v>
      </c>
      <c r="G103" s="494">
        <f t="shared" ref="G103:R103" si="43">SUM(G99:G102)</f>
        <v>66001.809338448002</v>
      </c>
      <c r="H103" s="494">
        <f t="shared" si="43"/>
        <v>75749.159124638405</v>
      </c>
      <c r="I103" s="494">
        <f t="shared" si="43"/>
        <v>73085.610674757903</v>
      </c>
      <c r="J103" s="494">
        <f t="shared" si="43"/>
        <v>82035</v>
      </c>
      <c r="K103" s="494">
        <f t="shared" si="43"/>
        <v>82829.326253093925</v>
      </c>
      <c r="L103" s="494">
        <f t="shared" si="43"/>
        <v>88828</v>
      </c>
      <c r="M103" s="494">
        <f t="shared" si="43"/>
        <v>92211.7999895299</v>
      </c>
      <c r="N103" s="494">
        <f t="shared" si="43"/>
        <v>99146.488212752593</v>
      </c>
      <c r="O103" s="870">
        <f t="shared" si="43"/>
        <v>108289.20367903885</v>
      </c>
      <c r="P103" s="494">
        <f t="shared" si="43"/>
        <v>113649.52340035603</v>
      </c>
      <c r="Q103" s="494">
        <f t="shared" si="43"/>
        <v>123418.7529832047</v>
      </c>
      <c r="R103" s="494">
        <f t="shared" si="43"/>
        <v>134594.49114962851</v>
      </c>
      <c r="S103" s="494">
        <f t="shared" ref="S103:T103" si="44">SUM(S99:S102)</f>
        <v>128510</v>
      </c>
      <c r="T103" s="494">
        <f t="shared" si="44"/>
        <v>130891</v>
      </c>
      <c r="U103" s="863" t="s">
        <v>739</v>
      </c>
    </row>
    <row r="104" spans="1:22" ht="12.75" thickTop="1">
      <c r="A104" s="54"/>
      <c r="B104" s="54"/>
      <c r="C104" s="54"/>
      <c r="D104" s="54"/>
      <c r="E104" s="54"/>
      <c r="F104" s="194"/>
      <c r="G104" s="495">
        <f>(G103-F103)/F103</f>
        <v>-0.10922091083860914</v>
      </c>
      <c r="H104" s="495">
        <f t="shared" ref="H104:T104" si="45">(H103-G103)/G103</f>
        <v>0.14768306935658937</v>
      </c>
      <c r="I104" s="495">
        <f t="shared" si="45"/>
        <v>-3.516274610385936E-2</v>
      </c>
      <c r="J104" s="495">
        <f t="shared" si="45"/>
        <v>0.12245077030372288</v>
      </c>
      <c r="K104" s="495">
        <f t="shared" si="45"/>
        <v>9.6827726347769195E-3</v>
      </c>
      <c r="L104" s="495">
        <f t="shared" si="45"/>
        <v>7.242209997672179E-2</v>
      </c>
      <c r="M104" s="495">
        <f t="shared" si="45"/>
        <v>3.809384416546472E-2</v>
      </c>
      <c r="N104" s="495">
        <f t="shared" si="45"/>
        <v>7.5203913425506114E-2</v>
      </c>
      <c r="O104" s="871">
        <f t="shared" si="45"/>
        <v>9.2214213847569129E-2</v>
      </c>
      <c r="P104" s="871">
        <f t="shared" si="45"/>
        <v>4.9500038223614332E-2</v>
      </c>
      <c r="Q104" s="495">
        <f t="shared" si="45"/>
        <v>8.595926573694776E-2</v>
      </c>
      <c r="R104" s="495">
        <f t="shared" si="45"/>
        <v>9.0551378103331207E-2</v>
      </c>
      <c r="S104" s="495">
        <f t="shared" si="45"/>
        <v>-4.5206093486132248E-2</v>
      </c>
      <c r="T104" s="871">
        <f t="shared" si="45"/>
        <v>1.8527741031826316E-2</v>
      </c>
      <c r="U104" s="874" t="s">
        <v>741</v>
      </c>
    </row>
    <row r="105" spans="1:22" ht="5.25" customHeight="1">
      <c r="A105" s="54"/>
      <c r="B105" s="54"/>
      <c r="C105" s="54"/>
      <c r="D105" s="54"/>
      <c r="E105" s="54"/>
      <c r="F105" s="194"/>
      <c r="G105" s="194"/>
      <c r="H105" s="194"/>
      <c r="I105" s="194"/>
      <c r="J105" s="194"/>
      <c r="K105" s="194"/>
      <c r="L105" s="194"/>
      <c r="M105" s="194"/>
      <c r="N105" s="194"/>
      <c r="O105" s="194"/>
      <c r="P105" s="194"/>
      <c r="Q105" s="194"/>
      <c r="R105" s="194"/>
      <c r="S105" s="194"/>
      <c r="T105" s="194"/>
    </row>
    <row r="106" spans="1:22">
      <c r="A106" s="54"/>
      <c r="B106" s="54"/>
      <c r="C106" s="54"/>
      <c r="D106" s="84" t="s">
        <v>139</v>
      </c>
      <c r="E106" s="54"/>
      <c r="F106" s="194"/>
      <c r="G106" s="194"/>
      <c r="H106" s="194"/>
      <c r="I106" s="194"/>
      <c r="J106" s="194"/>
      <c r="K106" s="194"/>
      <c r="L106" s="194"/>
      <c r="M106" s="194"/>
      <c r="N106" s="194"/>
      <c r="O106" s="194"/>
      <c r="P106" s="194"/>
      <c r="Q106" s="194"/>
      <c r="R106" s="194"/>
      <c r="S106" s="194"/>
      <c r="T106" s="194"/>
    </row>
    <row r="107" spans="1:22">
      <c r="A107" s="54">
        <v>13</v>
      </c>
      <c r="B107" s="84" t="s">
        <v>428</v>
      </c>
      <c r="C107" s="54"/>
      <c r="D107" s="54"/>
      <c r="E107" s="355" t="s">
        <v>451</v>
      </c>
      <c r="F107" s="194">
        <f>F21</f>
        <v>14850</v>
      </c>
      <c r="G107" s="194">
        <f t="shared" ref="G107:R107" si="46">G21</f>
        <v>15202</v>
      </c>
      <c r="H107" s="194">
        <f t="shared" si="46"/>
        <v>20157</v>
      </c>
      <c r="I107" s="194">
        <f t="shared" si="46"/>
        <v>20523</v>
      </c>
      <c r="J107" s="194">
        <f t="shared" si="46"/>
        <v>22312</v>
      </c>
      <c r="K107" s="194">
        <f t="shared" si="46"/>
        <v>22629</v>
      </c>
      <c r="L107" s="194">
        <f t="shared" si="46"/>
        <v>24577</v>
      </c>
      <c r="M107" s="194">
        <f t="shared" si="46"/>
        <v>24877</v>
      </c>
      <c r="N107" s="194">
        <f t="shared" si="46"/>
        <v>23076</v>
      </c>
      <c r="O107" s="194">
        <f t="shared" si="46"/>
        <v>23969</v>
      </c>
      <c r="P107" s="194">
        <f t="shared" si="46"/>
        <v>25008</v>
      </c>
      <c r="Q107" s="194">
        <f t="shared" si="46"/>
        <v>25158</v>
      </c>
      <c r="R107" s="194">
        <f t="shared" si="46"/>
        <v>25680</v>
      </c>
      <c r="S107" s="194">
        <f t="shared" ref="S107:T107" si="47">S21</f>
        <v>23284</v>
      </c>
      <c r="T107" s="194">
        <f t="shared" si="47"/>
        <v>23715</v>
      </c>
    </row>
    <row r="108" spans="1:22">
      <c r="A108" s="54">
        <v>14</v>
      </c>
      <c r="B108" s="84" t="s">
        <v>430</v>
      </c>
      <c r="C108" s="54"/>
      <c r="D108" s="54"/>
      <c r="E108" s="355" t="s">
        <v>452</v>
      </c>
      <c r="F108" s="194">
        <f>F28</f>
        <v>9056</v>
      </c>
      <c r="G108" s="194">
        <f t="shared" ref="G108:R108" si="48">G28</f>
        <v>9178</v>
      </c>
      <c r="H108" s="194">
        <f t="shared" si="48"/>
        <v>9427</v>
      </c>
      <c r="I108" s="194">
        <f t="shared" si="48"/>
        <v>9752</v>
      </c>
      <c r="J108" s="194">
        <f t="shared" si="48"/>
        <v>10067</v>
      </c>
      <c r="K108" s="194">
        <f t="shared" si="48"/>
        <v>10399</v>
      </c>
      <c r="L108" s="194">
        <f t="shared" si="48"/>
        <v>10776</v>
      </c>
      <c r="M108" s="194">
        <f t="shared" si="48"/>
        <v>11333</v>
      </c>
      <c r="N108" s="194">
        <f t="shared" si="48"/>
        <v>15611</v>
      </c>
      <c r="O108" s="194">
        <f t="shared" si="48"/>
        <v>16809</v>
      </c>
      <c r="P108" s="194">
        <f t="shared" si="48"/>
        <v>17985</v>
      </c>
      <c r="Q108" s="194">
        <f t="shared" si="48"/>
        <v>19240</v>
      </c>
      <c r="R108" s="194">
        <f t="shared" si="48"/>
        <v>20749</v>
      </c>
      <c r="S108" s="194">
        <f t="shared" ref="S108:T108" si="49">S28</f>
        <v>22303</v>
      </c>
      <c r="T108" s="194">
        <f t="shared" si="49"/>
        <v>23794</v>
      </c>
    </row>
    <row r="109" spans="1:22">
      <c r="A109" s="54">
        <v>15</v>
      </c>
      <c r="B109" s="40" t="s">
        <v>434</v>
      </c>
      <c r="C109" s="54"/>
      <c r="D109" s="54"/>
      <c r="E109" s="355" t="s">
        <v>453</v>
      </c>
      <c r="F109" s="194">
        <f>F38</f>
        <v>3998</v>
      </c>
      <c r="G109" s="194">
        <f t="shared" ref="G109:R109" si="50">G38</f>
        <v>4414</v>
      </c>
      <c r="H109" s="194">
        <f t="shared" si="50"/>
        <v>6606</v>
      </c>
      <c r="I109" s="194">
        <f t="shared" si="50"/>
        <v>6659</v>
      </c>
      <c r="J109" s="194">
        <f t="shared" si="50"/>
        <v>6072</v>
      </c>
      <c r="K109" s="194">
        <f t="shared" si="50"/>
        <v>6537</v>
      </c>
      <c r="L109" s="194">
        <f t="shared" si="50"/>
        <v>6459</v>
      </c>
      <c r="M109" s="194">
        <f t="shared" si="50"/>
        <v>6739</v>
      </c>
      <c r="N109" s="194">
        <f t="shared" si="50"/>
        <v>7187</v>
      </c>
      <c r="O109" s="194">
        <f t="shared" si="50"/>
        <v>7688</v>
      </c>
      <c r="P109" s="194">
        <f t="shared" si="50"/>
        <v>9277</v>
      </c>
      <c r="Q109" s="194">
        <f t="shared" si="50"/>
        <v>10906</v>
      </c>
      <c r="R109" s="194">
        <f t="shared" si="50"/>
        <v>12517</v>
      </c>
      <c r="S109" s="194">
        <f t="shared" ref="S109:T109" si="51">S38</f>
        <v>14721</v>
      </c>
      <c r="T109" s="194">
        <f t="shared" si="51"/>
        <v>16947</v>
      </c>
    </row>
    <row r="110" spans="1:22" ht="12.75" thickBot="1">
      <c r="A110" s="54">
        <v>16</v>
      </c>
      <c r="B110" s="496" t="s">
        <v>436</v>
      </c>
      <c r="C110" s="54"/>
      <c r="D110" s="54"/>
      <c r="E110" s="54"/>
      <c r="F110" s="494">
        <f>SUM(F107:F109)</f>
        <v>27904</v>
      </c>
      <c r="G110" s="494">
        <f t="shared" ref="G110:R110" si="52">SUM(G107:G109)</f>
        <v>28794</v>
      </c>
      <c r="H110" s="494">
        <f t="shared" si="52"/>
        <v>36190</v>
      </c>
      <c r="I110" s="494">
        <f t="shared" si="52"/>
        <v>36934</v>
      </c>
      <c r="J110" s="494">
        <f t="shared" si="52"/>
        <v>38451</v>
      </c>
      <c r="K110" s="494">
        <f t="shared" si="52"/>
        <v>39565</v>
      </c>
      <c r="L110" s="494">
        <f t="shared" si="52"/>
        <v>41812</v>
      </c>
      <c r="M110" s="494">
        <f t="shared" si="52"/>
        <v>42949</v>
      </c>
      <c r="N110" s="494">
        <f t="shared" si="52"/>
        <v>45874</v>
      </c>
      <c r="O110" s="494">
        <f t="shared" si="52"/>
        <v>48466</v>
      </c>
      <c r="P110" s="494">
        <f t="shared" si="52"/>
        <v>52270</v>
      </c>
      <c r="Q110" s="494">
        <f t="shared" si="52"/>
        <v>55304</v>
      </c>
      <c r="R110" s="494">
        <f t="shared" si="52"/>
        <v>58946</v>
      </c>
      <c r="S110" s="494">
        <f t="shared" ref="S110:T110" si="53">SUM(S107:S109)</f>
        <v>60308</v>
      </c>
      <c r="T110" s="494">
        <f t="shared" si="53"/>
        <v>64456</v>
      </c>
    </row>
    <row r="111" spans="1:22" ht="12.75" thickTop="1">
      <c r="A111" s="54"/>
      <c r="B111" s="54"/>
      <c r="C111" s="54"/>
      <c r="D111" s="54"/>
      <c r="E111" s="54"/>
      <c r="F111" s="194"/>
      <c r="G111" s="495">
        <f>(G110-F110)/F110</f>
        <v>3.1895068807339451E-2</v>
      </c>
      <c r="H111" s="495">
        <f t="shared" ref="H111:T111" si="54">(H110-G110)/G110</f>
        <v>0.25685906786135998</v>
      </c>
      <c r="I111" s="495">
        <f t="shared" si="54"/>
        <v>2.0558165239016303E-2</v>
      </c>
      <c r="J111" s="495">
        <f t="shared" si="54"/>
        <v>4.1073265825526617E-2</v>
      </c>
      <c r="K111" s="495">
        <f t="shared" si="54"/>
        <v>2.8971938311097241E-2</v>
      </c>
      <c r="L111" s="495">
        <f t="shared" si="54"/>
        <v>5.6792619739668898E-2</v>
      </c>
      <c r="M111" s="495">
        <f t="shared" si="54"/>
        <v>2.7193150291782264E-2</v>
      </c>
      <c r="N111" s="495">
        <f t="shared" si="54"/>
        <v>6.8104030361591655E-2</v>
      </c>
      <c r="O111" s="495">
        <f t="shared" si="54"/>
        <v>5.6502594061995905E-2</v>
      </c>
      <c r="P111" s="495">
        <f t="shared" si="54"/>
        <v>7.8488012214748479E-2</v>
      </c>
      <c r="Q111" s="495">
        <f t="shared" si="54"/>
        <v>5.8044767553089724E-2</v>
      </c>
      <c r="R111" s="495">
        <f t="shared" si="54"/>
        <v>6.5854187762187183E-2</v>
      </c>
      <c r="S111" s="495">
        <f t="shared" si="54"/>
        <v>2.3105893529671226E-2</v>
      </c>
      <c r="T111" s="495">
        <f t="shared" si="54"/>
        <v>6.8780261325197323E-2</v>
      </c>
    </row>
    <row r="112" spans="1:22">
      <c r="A112" s="54"/>
      <c r="B112" s="54"/>
      <c r="C112" s="54"/>
      <c r="D112" s="54"/>
      <c r="E112" s="54"/>
      <c r="F112" s="194"/>
      <c r="G112" s="194"/>
      <c r="H112" s="194"/>
      <c r="I112" s="194"/>
      <c r="J112" s="194"/>
      <c r="K112" s="194"/>
      <c r="L112" s="194"/>
      <c r="M112" s="194"/>
      <c r="N112" s="194"/>
      <c r="O112" s="194"/>
      <c r="P112" s="194"/>
      <c r="Q112" s="194"/>
      <c r="R112" s="194"/>
      <c r="S112" s="194"/>
      <c r="T112" s="194"/>
    </row>
    <row r="113" spans="1:20">
      <c r="A113" s="54"/>
      <c r="B113" s="54"/>
      <c r="C113" s="54"/>
      <c r="D113" s="84" t="s">
        <v>467</v>
      </c>
      <c r="E113" s="54"/>
      <c r="F113" s="194"/>
      <c r="G113" s="194"/>
      <c r="H113" s="194"/>
      <c r="I113" s="194"/>
      <c r="J113" s="194"/>
      <c r="K113" s="194"/>
      <c r="L113" s="194"/>
      <c r="M113" s="194"/>
      <c r="N113" s="194"/>
      <c r="O113" s="194"/>
      <c r="P113" s="194"/>
      <c r="Q113" s="194"/>
      <c r="R113" s="194"/>
      <c r="S113" s="194"/>
      <c r="T113" s="194"/>
    </row>
    <row r="114" spans="1:20">
      <c r="A114" s="54">
        <v>17</v>
      </c>
      <c r="B114" s="84" t="s">
        <v>330</v>
      </c>
      <c r="C114" s="54"/>
      <c r="D114" s="54"/>
      <c r="E114" s="355" t="s">
        <v>454</v>
      </c>
      <c r="F114" s="194">
        <f>F22</f>
        <v>-17964</v>
      </c>
      <c r="G114" s="194">
        <f t="shared" ref="G114:R114" si="55">G22</f>
        <v>-6050</v>
      </c>
      <c r="H114" s="194">
        <f t="shared" si="55"/>
        <v>-6349</v>
      </c>
      <c r="I114" s="194">
        <f t="shared" si="55"/>
        <v>-5608</v>
      </c>
      <c r="J114" s="194">
        <f t="shared" si="55"/>
        <v>567</v>
      </c>
      <c r="K114" s="194">
        <f t="shared" si="55"/>
        <v>-8817</v>
      </c>
      <c r="L114" s="194">
        <f t="shared" si="55"/>
        <v>1168</v>
      </c>
      <c r="M114" s="194">
        <f t="shared" si="55"/>
        <v>-3082</v>
      </c>
      <c r="N114" s="194">
        <f t="shared" si="55"/>
        <v>-1076</v>
      </c>
      <c r="O114" s="194">
        <f t="shared" si="55"/>
        <v>-1703</v>
      </c>
      <c r="P114" s="194">
        <f t="shared" si="55"/>
        <v>-2879</v>
      </c>
      <c r="Q114" s="194">
        <f t="shared" si="55"/>
        <v>403</v>
      </c>
      <c r="R114" s="194">
        <f t="shared" si="55"/>
        <v>-7744</v>
      </c>
      <c r="S114" s="194">
        <f t="shared" ref="S114:T114" si="56">S22</f>
        <v>8629</v>
      </c>
      <c r="T114" s="194">
        <f t="shared" si="56"/>
        <v>8101</v>
      </c>
    </row>
    <row r="115" spans="1:20">
      <c r="A115" s="54">
        <v>18</v>
      </c>
      <c r="B115" s="54"/>
      <c r="C115" s="84" t="s">
        <v>470</v>
      </c>
      <c r="D115" s="54"/>
      <c r="E115" s="54"/>
      <c r="F115" s="194">
        <f>ResX!I24</f>
        <v>16644</v>
      </c>
      <c r="G115" s="194">
        <f>ResX!J24</f>
        <v>1416</v>
      </c>
      <c r="H115" s="194">
        <f>ResX!K24</f>
        <v>7512</v>
      </c>
      <c r="I115" s="194">
        <f>ResX!L24</f>
        <v>6339</v>
      </c>
      <c r="J115" s="194">
        <v>0</v>
      </c>
      <c r="K115" s="194">
        <f>ResX!N24</f>
        <v>9388</v>
      </c>
      <c r="L115" s="194">
        <v>0</v>
      </c>
      <c r="M115" s="194">
        <f>ResX!P24</f>
        <v>5582</v>
      </c>
      <c r="N115" s="194">
        <f>ResX!Q24</f>
        <v>3576</v>
      </c>
      <c r="O115" s="194">
        <f>ResX!R24</f>
        <v>4005</v>
      </c>
      <c r="P115" s="194">
        <f>ResX!S24</f>
        <v>6244</v>
      </c>
      <c r="Q115" s="194">
        <f>ResX!T24</f>
        <v>4610</v>
      </c>
      <c r="R115" s="194">
        <f>ResX!U24</f>
        <v>8327</v>
      </c>
      <c r="S115" s="194">
        <f>ResX!V24</f>
        <v>0</v>
      </c>
      <c r="T115" s="194">
        <f>ResX!W24</f>
        <v>0</v>
      </c>
    </row>
    <row r="116" spans="1:20" ht="12.75" thickBot="1">
      <c r="A116" s="54">
        <v>19</v>
      </c>
      <c r="B116" s="496" t="s">
        <v>331</v>
      </c>
      <c r="C116" s="54"/>
      <c r="D116" s="54"/>
      <c r="E116" s="54"/>
      <c r="F116" s="494">
        <f>SUM(F114:F115)</f>
        <v>-1320</v>
      </c>
      <c r="G116" s="494">
        <f t="shared" ref="G116:R116" si="57">SUM(G114:G115)</f>
        <v>-4634</v>
      </c>
      <c r="H116" s="494">
        <f t="shared" si="57"/>
        <v>1163</v>
      </c>
      <c r="I116" s="494">
        <f t="shared" si="57"/>
        <v>731</v>
      </c>
      <c r="J116" s="494">
        <f t="shared" si="57"/>
        <v>567</v>
      </c>
      <c r="K116" s="494">
        <f t="shared" si="57"/>
        <v>571</v>
      </c>
      <c r="L116" s="494">
        <f t="shared" si="57"/>
        <v>1168</v>
      </c>
      <c r="M116" s="494">
        <f t="shared" si="57"/>
        <v>2500</v>
      </c>
      <c r="N116" s="494">
        <f t="shared" si="57"/>
        <v>2500</v>
      </c>
      <c r="O116" s="494">
        <f t="shared" si="57"/>
        <v>2302</v>
      </c>
      <c r="P116" s="494">
        <f t="shared" si="57"/>
        <v>3365</v>
      </c>
      <c r="Q116" s="494">
        <f t="shared" si="57"/>
        <v>5013</v>
      </c>
      <c r="R116" s="494">
        <f t="shared" si="57"/>
        <v>583</v>
      </c>
      <c r="S116" s="494">
        <f t="shared" ref="S116:T116" si="58">SUM(S114:S115)</f>
        <v>8629</v>
      </c>
      <c r="T116" s="494">
        <f t="shared" si="58"/>
        <v>8101</v>
      </c>
    </row>
    <row r="117" spans="1:20" ht="6" customHeight="1" thickTop="1">
      <c r="A117" s="54"/>
      <c r="B117" s="54"/>
      <c r="C117" s="54"/>
      <c r="D117" s="54"/>
      <c r="E117" s="54"/>
      <c r="F117" s="194"/>
      <c r="G117" s="495"/>
      <c r="H117" s="495"/>
      <c r="I117" s="495"/>
      <c r="J117" s="495"/>
      <c r="K117" s="495"/>
      <c r="L117" s="495"/>
      <c r="M117" s="495"/>
      <c r="N117" s="495"/>
      <c r="O117" s="495"/>
      <c r="P117" s="495"/>
      <c r="Q117" s="495"/>
      <c r="R117" s="495"/>
      <c r="S117" s="495"/>
      <c r="T117" s="495"/>
    </row>
    <row r="118" spans="1:20" ht="5.25" customHeight="1">
      <c r="A118" s="54"/>
      <c r="B118" s="54"/>
      <c r="C118" s="54"/>
      <c r="D118" s="54"/>
      <c r="E118" s="54"/>
      <c r="F118" s="194"/>
      <c r="G118" s="194"/>
      <c r="H118" s="194"/>
      <c r="I118" s="194"/>
      <c r="J118" s="194"/>
      <c r="K118" s="194"/>
      <c r="L118" s="194"/>
      <c r="M118" s="194"/>
      <c r="N118" s="194"/>
      <c r="O118" s="194"/>
      <c r="P118" s="194"/>
      <c r="Q118" s="194"/>
      <c r="R118" s="194"/>
      <c r="S118" s="194"/>
      <c r="T118" s="194"/>
    </row>
    <row r="119" spans="1:20">
      <c r="A119" s="54"/>
      <c r="B119" s="84"/>
      <c r="C119" s="54"/>
      <c r="D119" s="84" t="s">
        <v>497</v>
      </c>
      <c r="E119" s="54"/>
      <c r="F119" s="194"/>
      <c r="G119" s="194"/>
      <c r="H119" s="194"/>
      <c r="I119" s="194"/>
      <c r="J119" s="194"/>
      <c r="K119" s="194"/>
      <c r="L119" s="194"/>
      <c r="M119" s="194"/>
      <c r="N119" s="194"/>
      <c r="O119" s="194"/>
      <c r="P119" s="194"/>
      <c r="Q119" s="194"/>
      <c r="R119" s="194"/>
      <c r="S119" s="194"/>
      <c r="T119" s="194"/>
    </row>
    <row r="120" spans="1:20">
      <c r="A120" s="54">
        <v>20</v>
      </c>
      <c r="B120" s="84" t="s">
        <v>428</v>
      </c>
      <c r="C120" s="54"/>
      <c r="D120" s="54"/>
      <c r="E120" s="355" t="s">
        <v>455</v>
      </c>
      <c r="F120" s="194">
        <f>F23</f>
        <v>9346</v>
      </c>
      <c r="G120" s="194">
        <f t="shared" ref="G120:M120" si="59">G23</f>
        <v>5139</v>
      </c>
      <c r="H120" s="194">
        <f t="shared" si="59"/>
        <v>7164</v>
      </c>
      <c r="I120" s="194">
        <f t="shared" si="59"/>
        <v>6722</v>
      </c>
      <c r="J120" s="194">
        <f t="shared" si="59"/>
        <v>7283</v>
      </c>
      <c r="K120" s="194">
        <f t="shared" si="59"/>
        <v>9900</v>
      </c>
      <c r="L120" s="194">
        <f t="shared" si="59"/>
        <v>9115</v>
      </c>
      <c r="M120" s="194">
        <f t="shared" si="59"/>
        <v>8319</v>
      </c>
      <c r="N120" s="194">
        <f>N23</f>
        <v>8146</v>
      </c>
      <c r="O120" s="194">
        <f t="shared" ref="O120:R120" si="60">O23</f>
        <v>9014</v>
      </c>
      <c r="P120" s="194">
        <f t="shared" si="60"/>
        <v>9955</v>
      </c>
      <c r="Q120" s="194">
        <f t="shared" si="60"/>
        <v>10846</v>
      </c>
      <c r="R120" s="194">
        <f t="shared" si="60"/>
        <v>11456</v>
      </c>
      <c r="S120" s="194">
        <f t="shared" ref="S120" si="61">S23</f>
        <v>12913</v>
      </c>
      <c r="T120" s="194">
        <f>T23</f>
        <v>12828</v>
      </c>
    </row>
    <row r="121" spans="1:20">
      <c r="A121" s="54">
        <v>21</v>
      </c>
      <c r="B121" s="84" t="s">
        <v>430</v>
      </c>
      <c r="C121" s="54"/>
      <c r="D121" s="54"/>
      <c r="E121" s="355" t="s">
        <v>456</v>
      </c>
      <c r="F121" s="194">
        <f>F29</f>
        <v>11693</v>
      </c>
      <c r="G121" s="194">
        <f t="shared" ref="G121:M121" si="62">G29</f>
        <v>15462</v>
      </c>
      <c r="H121" s="194">
        <f t="shared" si="62"/>
        <v>16996</v>
      </c>
      <c r="I121" s="194">
        <f t="shared" si="62"/>
        <v>17286</v>
      </c>
      <c r="J121" s="194">
        <f t="shared" si="62"/>
        <v>17401</v>
      </c>
      <c r="K121" s="194">
        <f t="shared" si="62"/>
        <v>14988</v>
      </c>
      <c r="L121" s="194">
        <f t="shared" si="62"/>
        <v>16307</v>
      </c>
      <c r="M121" s="194">
        <f t="shared" si="62"/>
        <v>16156</v>
      </c>
      <c r="N121" s="194">
        <f>N29</f>
        <v>17416</v>
      </c>
      <c r="O121" s="194">
        <f t="shared" ref="O121:R121" si="63">O29</f>
        <v>18207</v>
      </c>
      <c r="P121" s="194">
        <f t="shared" si="63"/>
        <v>19990</v>
      </c>
      <c r="Q121" s="194">
        <f t="shared" si="63"/>
        <v>22393.453812</v>
      </c>
      <c r="R121" s="194">
        <f t="shared" si="63"/>
        <v>22594.925350000001</v>
      </c>
      <c r="S121" s="194">
        <f t="shared" ref="S121:T121" si="64">S29</f>
        <v>23288</v>
      </c>
      <c r="T121" s="194">
        <f t="shared" si="64"/>
        <v>25575</v>
      </c>
    </row>
    <row r="122" spans="1:20">
      <c r="A122" s="54">
        <v>22</v>
      </c>
      <c r="B122" s="40" t="s">
        <v>434</v>
      </c>
      <c r="C122" s="54"/>
      <c r="D122" s="54"/>
      <c r="E122" s="355" t="s">
        <v>457</v>
      </c>
      <c r="F122" s="194">
        <f>F39</f>
        <v>5</v>
      </c>
      <c r="G122" s="194">
        <f t="shared" ref="G122:M122" si="65">G39</f>
        <v>2</v>
      </c>
      <c r="H122" s="194">
        <f t="shared" si="65"/>
        <v>1</v>
      </c>
      <c r="I122" s="194">
        <f t="shared" si="65"/>
        <v>2</v>
      </c>
      <c r="J122" s="194">
        <f t="shared" si="65"/>
        <v>3</v>
      </c>
      <c r="K122" s="194">
        <f t="shared" si="65"/>
        <v>-4</v>
      </c>
      <c r="L122" s="194">
        <f t="shared" si="65"/>
        <v>0</v>
      </c>
      <c r="M122" s="194">
        <f t="shared" si="65"/>
        <v>-9</v>
      </c>
      <c r="N122" s="194">
        <f>N39</f>
        <v>-3</v>
      </c>
      <c r="O122" s="194">
        <f t="shared" ref="O122:R122" si="66">O39</f>
        <v>-3</v>
      </c>
      <c r="P122" s="194">
        <f t="shared" si="66"/>
        <v>2</v>
      </c>
      <c r="Q122" s="194">
        <f t="shared" si="66"/>
        <v>0</v>
      </c>
      <c r="R122" s="194">
        <f t="shared" si="66"/>
        <v>-4</v>
      </c>
      <c r="S122" s="194">
        <f t="shared" ref="S122:T122" si="67">S39</f>
        <v>0</v>
      </c>
      <c r="T122" s="194">
        <f t="shared" si="67"/>
        <v>0</v>
      </c>
    </row>
    <row r="123" spans="1:20">
      <c r="A123" s="54">
        <v>23</v>
      </c>
      <c r="B123" s="84" t="s">
        <v>437</v>
      </c>
      <c r="C123" s="54"/>
      <c r="D123" s="54"/>
      <c r="E123" s="54"/>
      <c r="F123" s="427">
        <f>SUM(F120:F122)</f>
        <v>21044</v>
      </c>
      <c r="G123" s="427">
        <f t="shared" ref="G123:M123" si="68">SUM(G120:G122)</f>
        <v>20603</v>
      </c>
      <c r="H123" s="427">
        <f t="shared" si="68"/>
        <v>24161</v>
      </c>
      <c r="I123" s="427">
        <f t="shared" si="68"/>
        <v>24010</v>
      </c>
      <c r="J123" s="427">
        <f t="shared" si="68"/>
        <v>24687</v>
      </c>
      <c r="K123" s="427">
        <f t="shared" si="68"/>
        <v>24884</v>
      </c>
      <c r="L123" s="427">
        <f t="shared" si="68"/>
        <v>25422</v>
      </c>
      <c r="M123" s="427">
        <f t="shared" si="68"/>
        <v>24466</v>
      </c>
      <c r="N123" s="427">
        <f>SUM(N120:N122)</f>
        <v>25559</v>
      </c>
      <c r="O123" s="427">
        <f t="shared" ref="O123" si="69">SUM(O120:O122)</f>
        <v>27218</v>
      </c>
      <c r="P123" s="427">
        <f t="shared" ref="P123" si="70">SUM(P120:P122)</f>
        <v>29947</v>
      </c>
      <c r="Q123" s="427">
        <f t="shared" ref="Q123" si="71">SUM(Q120:Q122)</f>
        <v>33239.453812</v>
      </c>
      <c r="R123" s="427">
        <f t="shared" ref="R123:S123" si="72">SUM(R120:R122)</f>
        <v>34046.925350000005</v>
      </c>
      <c r="S123" s="427">
        <f t="shared" si="72"/>
        <v>36201</v>
      </c>
      <c r="T123" s="427">
        <f t="shared" ref="T123" si="73">SUM(T120:T122)</f>
        <v>38403</v>
      </c>
    </row>
    <row r="124" spans="1:20">
      <c r="A124" s="54">
        <v>24</v>
      </c>
      <c r="B124" s="54"/>
      <c r="C124" s="84" t="s">
        <v>438</v>
      </c>
      <c r="D124" s="54"/>
      <c r="E124" s="54"/>
      <c r="F124" s="194">
        <f>DSM!I31</f>
        <v>-139.02702071018319</v>
      </c>
      <c r="G124" s="194">
        <f>DSM!J31</f>
        <v>-204.8861757430931</v>
      </c>
      <c r="H124" s="194">
        <f>DSM!K31</f>
        <v>-244.86199639458349</v>
      </c>
      <c r="I124" s="194">
        <f>DSM!L31</f>
        <v>-247.52705110468284</v>
      </c>
      <c r="J124" s="194">
        <v>0</v>
      </c>
      <c r="K124" s="194">
        <f>DSM!N31</f>
        <v>-266.79687571981992</v>
      </c>
      <c r="L124" s="194">
        <v>0</v>
      </c>
      <c r="M124" s="194">
        <f>DSM!P31</f>
        <v>-269.17899068160403</v>
      </c>
      <c r="N124" s="194">
        <f>DSM!Q31</f>
        <v>-488.21244267615958</v>
      </c>
      <c r="O124" s="194">
        <f>DSM!R31</f>
        <v>-762.2767877709141</v>
      </c>
      <c r="P124" s="194">
        <f>DSM!S31</f>
        <v>-786.62281017694488</v>
      </c>
      <c r="Q124" s="194">
        <f>DSM!T31</f>
        <v>-811.61482986074759</v>
      </c>
      <c r="R124" s="194">
        <f>DSM!U31</f>
        <v>-682.57687362579838</v>
      </c>
      <c r="S124" s="194">
        <f>DSM!V31</f>
        <v>0</v>
      </c>
      <c r="T124" s="194">
        <f>DSM!W31</f>
        <v>0</v>
      </c>
    </row>
    <row r="125" spans="1:20">
      <c r="A125" s="54">
        <v>25</v>
      </c>
      <c r="B125" s="54"/>
      <c r="C125" s="84" t="s">
        <v>439</v>
      </c>
      <c r="D125" s="54"/>
      <c r="E125" s="54"/>
      <c r="F125" s="194">
        <f>ResX!I31</f>
        <v>672.07834234687459</v>
      </c>
      <c r="G125" s="194">
        <f>ResX!J31</f>
        <v>57.177537416677147</v>
      </c>
      <c r="H125" s="194">
        <f>ResX!K31</f>
        <v>303.33168154949061</v>
      </c>
      <c r="I125" s="194">
        <f>ResX!L31</f>
        <v>255.96639101999747</v>
      </c>
      <c r="J125" s="194">
        <v>0</v>
      </c>
      <c r="K125" s="194">
        <f>ResX!N31</f>
        <v>379.03890273269815</v>
      </c>
      <c r="L125" s="194">
        <v>0</v>
      </c>
      <c r="M125" s="194">
        <f>ResX!P31</f>
        <v>225.37230028269292</v>
      </c>
      <c r="N125" s="194">
        <f>ResX!Q31</f>
        <v>144.3803915820333</v>
      </c>
      <c r="O125" s="194">
        <f>ResX!R31</f>
        <v>161.701193592294</v>
      </c>
      <c r="P125" s="194">
        <f>ResX!S31</f>
        <v>252.10043765050779</v>
      </c>
      <c r="Q125" s="194">
        <f>ResX!T31</f>
        <v>186.12796565804626</v>
      </c>
      <c r="R125" s="194">
        <f>ResX!U31</f>
        <v>336.20120825044501</v>
      </c>
      <c r="S125" s="194">
        <f>ResX!V31</f>
        <v>0</v>
      </c>
      <c r="T125" s="194">
        <f>ResX!W31</f>
        <v>0</v>
      </c>
    </row>
    <row r="126" spans="1:20" ht="12.75" thickBot="1">
      <c r="A126" s="54">
        <v>26</v>
      </c>
      <c r="B126" s="496" t="s">
        <v>440</v>
      </c>
      <c r="C126" s="54"/>
      <c r="D126" s="54"/>
      <c r="E126" s="54"/>
      <c r="F126" s="494">
        <f>SUM(F123:F125)</f>
        <v>21577.051321636693</v>
      </c>
      <c r="G126" s="494">
        <f t="shared" ref="G126:R126" si="74">SUM(G123:G125)</f>
        <v>20455.291361673582</v>
      </c>
      <c r="H126" s="494">
        <f t="shared" si="74"/>
        <v>24219.469685154909</v>
      </c>
      <c r="I126" s="494">
        <f t="shared" si="74"/>
        <v>24018.439339915312</v>
      </c>
      <c r="J126" s="494">
        <f t="shared" si="74"/>
        <v>24687</v>
      </c>
      <c r="K126" s="494">
        <f t="shared" si="74"/>
        <v>24996.242027012875</v>
      </c>
      <c r="L126" s="494">
        <f t="shared" si="74"/>
        <v>25422</v>
      </c>
      <c r="M126" s="494">
        <f t="shared" si="74"/>
        <v>24422.193309601087</v>
      </c>
      <c r="N126" s="494">
        <f t="shared" si="74"/>
        <v>25215.167948905873</v>
      </c>
      <c r="O126" s="494">
        <f t="shared" si="74"/>
        <v>26617.424405821377</v>
      </c>
      <c r="P126" s="494">
        <f t="shared" si="74"/>
        <v>29412.477627473563</v>
      </c>
      <c r="Q126" s="494">
        <f t="shared" si="74"/>
        <v>32613.966947797297</v>
      </c>
      <c r="R126" s="494">
        <f t="shared" si="74"/>
        <v>33700.549684624653</v>
      </c>
      <c r="S126" s="494">
        <f t="shared" ref="S126:T126" si="75">SUM(S123:S125)</f>
        <v>36201</v>
      </c>
      <c r="T126" s="494">
        <f t="shared" si="75"/>
        <v>38403</v>
      </c>
    </row>
    <row r="127" spans="1:20" ht="12.75" thickTop="1">
      <c r="A127" s="54"/>
      <c r="B127" s="54"/>
      <c r="C127" s="54"/>
      <c r="D127" s="54"/>
      <c r="E127" s="54"/>
      <c r="F127" s="194"/>
      <c r="G127" s="495">
        <f>(G126-F126)/F126</f>
        <v>-5.1988566150289947E-2</v>
      </c>
      <c r="H127" s="495">
        <f t="shared" ref="H127:T127" si="76">(H126-G126)/G126</f>
        <v>0.18401978524413226</v>
      </c>
      <c r="I127" s="495">
        <f t="shared" si="76"/>
        <v>-8.3003611496421867E-3</v>
      </c>
      <c r="J127" s="495">
        <f t="shared" si="76"/>
        <v>2.7835308140676428E-2</v>
      </c>
      <c r="K127" s="495">
        <f t="shared" si="76"/>
        <v>1.2526513023570099E-2</v>
      </c>
      <c r="L127" s="495">
        <f t="shared" si="76"/>
        <v>1.7032879283494611E-2</v>
      </c>
      <c r="M127" s="495">
        <f t="shared" si="76"/>
        <v>-3.9328404153839702E-2</v>
      </c>
      <c r="N127" s="495">
        <f t="shared" si="76"/>
        <v>3.2469427673928221E-2</v>
      </c>
      <c r="O127" s="495">
        <f t="shared" si="76"/>
        <v>5.5611624707673224E-2</v>
      </c>
      <c r="P127" s="495">
        <f t="shared" si="76"/>
        <v>0.10500840273038936</v>
      </c>
      <c r="Q127" s="495">
        <f t="shared" si="76"/>
        <v>0.10884799848800535</v>
      </c>
      <c r="R127" s="495">
        <f t="shared" si="76"/>
        <v>3.3316484884116281E-2</v>
      </c>
      <c r="S127" s="495">
        <f t="shared" si="76"/>
        <v>7.4196128513480536E-2</v>
      </c>
      <c r="T127" s="495">
        <f t="shared" si="76"/>
        <v>6.0827048976547608E-2</v>
      </c>
    </row>
    <row r="128" spans="1:20">
      <c r="A128" s="54"/>
      <c r="B128" s="84"/>
      <c r="C128" s="54"/>
      <c r="D128" s="54"/>
      <c r="E128" s="54"/>
      <c r="F128" s="194"/>
      <c r="G128" s="194"/>
      <c r="H128" s="194"/>
      <c r="I128" s="194"/>
      <c r="J128" s="194"/>
      <c r="K128" s="194"/>
      <c r="L128" s="194"/>
      <c r="M128" s="194"/>
      <c r="N128" s="194"/>
      <c r="O128" s="194"/>
      <c r="P128" s="194"/>
      <c r="Q128" s="194"/>
      <c r="R128" s="194"/>
      <c r="S128" s="194"/>
      <c r="T128" s="194"/>
    </row>
    <row r="129" spans="1:21" ht="12.75" thickBot="1">
      <c r="A129" s="54">
        <v>27</v>
      </c>
      <c r="B129" s="496" t="s">
        <v>441</v>
      </c>
      <c r="C129" s="54"/>
      <c r="D129" s="54"/>
      <c r="E129" s="355" t="s">
        <v>458</v>
      </c>
      <c r="F129" s="494">
        <f>F78</f>
        <v>649149</v>
      </c>
      <c r="G129" s="494">
        <f t="shared" ref="G129:R129" si="77">G78</f>
        <v>662278</v>
      </c>
      <c r="H129" s="494">
        <f t="shared" si="77"/>
        <v>739502</v>
      </c>
      <c r="I129" s="494">
        <f t="shared" si="77"/>
        <v>720602</v>
      </c>
      <c r="J129" s="494">
        <f t="shared" si="77"/>
        <v>757756</v>
      </c>
      <c r="K129" s="494">
        <f t="shared" si="77"/>
        <v>799091</v>
      </c>
      <c r="L129" s="494">
        <f t="shared" si="77"/>
        <v>855712</v>
      </c>
      <c r="M129" s="494">
        <f t="shared" si="77"/>
        <v>870835</v>
      </c>
      <c r="N129" s="494">
        <f t="shared" si="77"/>
        <v>917247</v>
      </c>
      <c r="O129" s="494">
        <f t="shared" si="77"/>
        <v>987243</v>
      </c>
      <c r="P129" s="494">
        <f t="shared" si="77"/>
        <v>1036064</v>
      </c>
      <c r="Q129" s="494">
        <f t="shared" si="77"/>
        <v>1087141</v>
      </c>
      <c r="R129" s="494">
        <f t="shared" si="77"/>
        <v>1131570</v>
      </c>
      <c r="S129" s="494">
        <f t="shared" ref="S129:T129" si="78">S78</f>
        <v>1195010</v>
      </c>
      <c r="T129" s="494">
        <f t="shared" si="78"/>
        <v>1214504</v>
      </c>
    </row>
    <row r="130" spans="1:21" ht="12.75" thickTop="1">
      <c r="A130" s="54"/>
      <c r="B130" s="54"/>
      <c r="C130" s="54"/>
      <c r="D130" s="54"/>
      <c r="E130" s="54"/>
      <c r="F130" s="194"/>
      <c r="G130" s="495">
        <f>(G129-F129)/F129</f>
        <v>2.0224940653070404E-2</v>
      </c>
      <c r="H130" s="495">
        <f t="shared" ref="H130:T130" si="79">(H129-G129)/G129</f>
        <v>0.11660360150873199</v>
      </c>
      <c r="I130" s="495">
        <f t="shared" si="79"/>
        <v>-2.5557740208951428E-2</v>
      </c>
      <c r="J130" s="495">
        <f t="shared" si="79"/>
        <v>5.1559668166338703E-2</v>
      </c>
      <c r="K130" s="495">
        <f t="shared" si="79"/>
        <v>5.4549221649185228E-2</v>
      </c>
      <c r="L130" s="495">
        <f t="shared" si="79"/>
        <v>7.0856760994680204E-2</v>
      </c>
      <c r="M130" s="495">
        <f t="shared" si="79"/>
        <v>1.7673002131558282E-2</v>
      </c>
      <c r="N130" s="495">
        <f t="shared" si="79"/>
        <v>5.3295974553158751E-2</v>
      </c>
      <c r="O130" s="495">
        <f t="shared" si="79"/>
        <v>7.6310960951630258E-2</v>
      </c>
      <c r="P130" s="495">
        <f t="shared" si="79"/>
        <v>4.9451857344139184E-2</v>
      </c>
      <c r="Q130" s="495">
        <f t="shared" si="79"/>
        <v>4.9299078049232482E-2</v>
      </c>
      <c r="R130" s="495">
        <f t="shared" si="79"/>
        <v>4.0867743926500798E-2</v>
      </c>
      <c r="S130" s="495">
        <f t="shared" si="79"/>
        <v>5.6063699108318529E-2</v>
      </c>
      <c r="T130" s="495">
        <f t="shared" si="79"/>
        <v>1.631283420222425E-2</v>
      </c>
    </row>
    <row r="131" spans="1:21">
      <c r="A131" s="54"/>
      <c r="B131" s="496"/>
      <c r="C131" s="54"/>
      <c r="D131" s="54"/>
      <c r="E131" s="355"/>
      <c r="F131" s="194"/>
      <c r="G131" s="194"/>
      <c r="H131" s="194"/>
      <c r="I131" s="194"/>
      <c r="J131" s="194"/>
      <c r="K131" s="194"/>
      <c r="L131" s="194"/>
      <c r="M131" s="194"/>
      <c r="N131" s="194"/>
      <c r="O131" s="194"/>
      <c r="P131" s="194"/>
      <c r="Q131" s="194"/>
      <c r="R131" s="194"/>
      <c r="S131" s="194"/>
      <c r="T131" s="194"/>
    </row>
    <row r="132" spans="1:21" ht="12.75" thickBot="1">
      <c r="A132" s="54">
        <v>28</v>
      </c>
      <c r="B132" s="496" t="s">
        <v>442</v>
      </c>
      <c r="C132" s="54"/>
      <c r="D132" s="54"/>
      <c r="E132" s="355" t="s">
        <v>459</v>
      </c>
      <c r="F132" s="494">
        <f>F82</f>
        <v>568492</v>
      </c>
      <c r="G132" s="494">
        <f t="shared" ref="G132:R132" si="80">G82</f>
        <v>597515</v>
      </c>
      <c r="H132" s="494">
        <f t="shared" si="80"/>
        <v>761858</v>
      </c>
      <c r="I132" s="494">
        <f t="shared" si="80"/>
        <v>742443</v>
      </c>
      <c r="J132" s="494">
        <f t="shared" si="80"/>
        <v>778011</v>
      </c>
      <c r="K132" s="494">
        <f t="shared" si="80"/>
        <v>819842</v>
      </c>
      <c r="L132" s="494">
        <f t="shared" si="80"/>
        <v>874511</v>
      </c>
      <c r="M132" s="494">
        <f t="shared" si="80"/>
        <v>891855</v>
      </c>
      <c r="N132" s="494">
        <f t="shared" si="80"/>
        <v>936840</v>
      </c>
      <c r="O132" s="494">
        <f t="shared" si="80"/>
        <v>1005019</v>
      </c>
      <c r="P132" s="494">
        <f t="shared" si="80"/>
        <v>1072028</v>
      </c>
      <c r="Q132" s="494">
        <f t="shared" si="80"/>
        <v>1137863</v>
      </c>
      <c r="R132" s="494">
        <f t="shared" si="80"/>
        <v>1158975</v>
      </c>
      <c r="S132" s="494">
        <f t="shared" ref="S132:T132" si="81">S82</f>
        <v>1226052</v>
      </c>
      <c r="T132" s="494">
        <f t="shared" si="81"/>
        <v>1273157</v>
      </c>
    </row>
    <row r="133" spans="1:21" ht="12.75" thickTop="1">
      <c r="A133" s="54"/>
      <c r="B133" s="54"/>
      <c r="C133" s="54"/>
      <c r="D133" s="54"/>
      <c r="E133" s="54"/>
      <c r="F133" s="194"/>
      <c r="G133" s="495">
        <f>(G132-F132)/F132</f>
        <v>5.1052609359498465E-2</v>
      </c>
      <c r="H133" s="495">
        <f t="shared" ref="H133:T133" si="82">(H132-G132)/G132</f>
        <v>0.27504414115126818</v>
      </c>
      <c r="I133" s="495">
        <f t="shared" si="82"/>
        <v>-2.5483751565252316E-2</v>
      </c>
      <c r="J133" s="495">
        <f t="shared" si="82"/>
        <v>4.7906707989704263E-2</v>
      </c>
      <c r="K133" s="495">
        <f t="shared" si="82"/>
        <v>5.3766591989059281E-2</v>
      </c>
      <c r="L133" s="495">
        <f t="shared" si="82"/>
        <v>6.6682360747558678E-2</v>
      </c>
      <c r="M133" s="495">
        <f t="shared" si="82"/>
        <v>1.9832797986531901E-2</v>
      </c>
      <c r="N133" s="495">
        <f t="shared" si="82"/>
        <v>5.0439813646837209E-2</v>
      </c>
      <c r="O133" s="495">
        <f t="shared" si="82"/>
        <v>7.2775500619102512E-2</v>
      </c>
      <c r="P133" s="495">
        <f t="shared" si="82"/>
        <v>6.6674361380232611E-2</v>
      </c>
      <c r="Q133" s="495">
        <f t="shared" si="82"/>
        <v>6.1411642233225254E-2</v>
      </c>
      <c r="R133" s="495">
        <f t="shared" si="82"/>
        <v>1.855407900599633E-2</v>
      </c>
      <c r="S133" s="495">
        <f t="shared" si="82"/>
        <v>5.7876140555231992E-2</v>
      </c>
      <c r="T133" s="495">
        <f t="shared" si="82"/>
        <v>3.8420067011839629E-2</v>
      </c>
    </row>
    <row r="134" spans="1:21" ht="8.25" customHeight="1">
      <c r="A134" s="54"/>
      <c r="B134" s="54"/>
      <c r="C134" s="54"/>
      <c r="D134" s="54"/>
      <c r="E134" s="54"/>
      <c r="F134" s="194"/>
      <c r="G134" s="194"/>
      <c r="H134" s="194"/>
      <c r="I134" s="194"/>
      <c r="J134" s="194"/>
      <c r="K134" s="194"/>
      <c r="L134" s="194"/>
      <c r="M134" s="194"/>
      <c r="N134" s="194"/>
      <c r="O134" s="194"/>
      <c r="P134" s="194"/>
      <c r="Q134" s="194"/>
      <c r="R134" s="194"/>
      <c r="S134" s="194"/>
      <c r="T134" s="194"/>
    </row>
    <row r="135" spans="1:21">
      <c r="A135" s="54"/>
      <c r="B135" s="84" t="s">
        <v>443</v>
      </c>
      <c r="C135" s="54"/>
      <c r="D135" s="54"/>
      <c r="E135" s="54"/>
      <c r="F135" s="194"/>
      <c r="G135" s="194"/>
      <c r="H135" s="194"/>
      <c r="I135" s="194"/>
      <c r="J135" s="194"/>
      <c r="K135" s="194"/>
      <c r="L135" s="194"/>
      <c r="M135" s="194"/>
      <c r="N135" s="194"/>
      <c r="O135" s="194"/>
      <c r="P135" s="194"/>
      <c r="Q135" s="194"/>
      <c r="R135" s="194"/>
      <c r="S135" s="194"/>
      <c r="T135" s="194"/>
    </row>
    <row r="136" spans="1:21">
      <c r="A136" s="54">
        <v>29</v>
      </c>
      <c r="B136" s="84" t="s">
        <v>460</v>
      </c>
      <c r="C136" s="54"/>
      <c r="D136" s="54"/>
      <c r="E136" s="355" t="s">
        <v>461</v>
      </c>
      <c r="F136" s="194">
        <f>F14</f>
        <v>13062</v>
      </c>
      <c r="G136" s="194">
        <f t="shared" ref="G136:R136" si="83">G14</f>
        <v>14305</v>
      </c>
      <c r="H136" s="194">
        <f t="shared" si="83"/>
        <v>34274</v>
      </c>
      <c r="I136" s="194">
        <f t="shared" si="83"/>
        <v>57244</v>
      </c>
      <c r="J136" s="194">
        <f t="shared" si="83"/>
        <v>8587</v>
      </c>
      <c r="K136" s="194">
        <f t="shared" si="83"/>
        <v>10259</v>
      </c>
      <c r="L136" s="194">
        <f t="shared" si="83"/>
        <v>10178</v>
      </c>
      <c r="M136" s="194">
        <f t="shared" si="83"/>
        <v>10170</v>
      </c>
      <c r="N136" s="194">
        <f t="shared" si="83"/>
        <v>10927</v>
      </c>
      <c r="O136" s="194">
        <f t="shared" si="83"/>
        <v>9395</v>
      </c>
      <c r="P136" s="194">
        <f t="shared" si="83"/>
        <v>11786</v>
      </c>
      <c r="Q136" s="194">
        <f t="shared" si="83"/>
        <v>13666</v>
      </c>
      <c r="R136" s="194">
        <f t="shared" si="83"/>
        <v>13089</v>
      </c>
      <c r="S136" s="194">
        <f t="shared" ref="S136:T136" si="84">S14</f>
        <v>13408</v>
      </c>
      <c r="T136" s="194">
        <f t="shared" si="84"/>
        <v>17163</v>
      </c>
    </row>
    <row r="137" spans="1:21">
      <c r="A137" s="54">
        <v>30</v>
      </c>
      <c r="B137" s="84"/>
      <c r="C137" s="84" t="s">
        <v>462</v>
      </c>
      <c r="D137" s="54"/>
      <c r="E137" s="54"/>
      <c r="F137" s="194">
        <f>-'Other Rev'!E16</f>
        <v>-7824</v>
      </c>
      <c r="G137" s="194">
        <f>-'Other Rev'!F19</f>
        <v>-2251</v>
      </c>
      <c r="H137" s="194">
        <f>-'Other Rev'!G19</f>
        <v>-25293</v>
      </c>
      <c r="I137" s="194">
        <f>-'Other Rev'!H19</f>
        <v>-47139</v>
      </c>
      <c r="J137" s="194">
        <f>-'Other Rev'!I19</f>
        <v>-285</v>
      </c>
      <c r="K137" s="194">
        <f>-'Other Rev'!J19</f>
        <v>-179.11379999999997</v>
      </c>
      <c r="L137" s="194">
        <f>-'Other Rev'!K19</f>
        <v>-198</v>
      </c>
      <c r="M137" s="194">
        <f>-'Other Rev'!L19</f>
        <v>-221</v>
      </c>
      <c r="N137" s="194">
        <f>-'Other Rev'!M19</f>
        <v>-1839</v>
      </c>
      <c r="O137" s="194">
        <f>-'Other Rev'!N19</f>
        <v>-448.37979999999999</v>
      </c>
      <c r="P137" s="194">
        <f>-'Other Rev'!O19</f>
        <v>-639.87119999999993</v>
      </c>
      <c r="Q137" s="194">
        <f>-'Other Rev'!P19</f>
        <v>-1751.694</v>
      </c>
      <c r="R137" s="194">
        <f>-'Other Rev'!Q19</f>
        <v>-1489.3194000000001</v>
      </c>
      <c r="S137" s="194">
        <f>-'Other Rev'!R19</f>
        <v>-282</v>
      </c>
      <c r="T137" s="194">
        <f>-'Other Rev'!S19</f>
        <v>-3062.3724999999999</v>
      </c>
      <c r="U137" s="40" t="s">
        <v>96</v>
      </c>
    </row>
    <row r="138" spans="1:21">
      <c r="A138" s="54">
        <v>31</v>
      </c>
      <c r="B138" s="84"/>
      <c r="C138" s="84" t="s">
        <v>463</v>
      </c>
      <c r="D138" s="54"/>
      <c r="E138" s="54"/>
      <c r="F138" s="194">
        <f>-'Other Rev'!E19</f>
        <v>-3487.7256000000007</v>
      </c>
      <c r="G138" s="194">
        <f>-'Other Rev'!F16</f>
        <v>-9892</v>
      </c>
      <c r="H138" s="194">
        <f>-'Other Rev'!G16</f>
        <v>-7115</v>
      </c>
      <c r="I138" s="194">
        <f>-'Other Rev'!H16</f>
        <v>-7569</v>
      </c>
      <c r="J138" s="194">
        <f>-'Other Rev'!I16</f>
        <v>-5523</v>
      </c>
      <c r="K138" s="194">
        <f>-'Other Rev'!J16</f>
        <v>-6637</v>
      </c>
      <c r="L138" s="194">
        <f>-'Other Rev'!K16</f>
        <v>-7024</v>
      </c>
      <c r="M138" s="194">
        <f>-'Other Rev'!L16</f>
        <v>-6876</v>
      </c>
      <c r="N138" s="194">
        <f>-'Other Rev'!M16</f>
        <v>-6213</v>
      </c>
      <c r="O138" s="194">
        <f>-'Other Rev'!N16</f>
        <v>-6133</v>
      </c>
      <c r="P138" s="194">
        <f>-'Other Rev'!O16</f>
        <v>-8333</v>
      </c>
      <c r="Q138" s="194">
        <f>-'Other Rev'!P16</f>
        <v>-9102</v>
      </c>
      <c r="R138" s="194">
        <f>-'Other Rev'!Q16</f>
        <v>-8285</v>
      </c>
      <c r="S138" s="194">
        <f>-'Other Rev'!R16</f>
        <v>-9662</v>
      </c>
      <c r="T138" s="194">
        <f>-'Other Rev'!S16</f>
        <v>-10622.4344</v>
      </c>
    </row>
    <row r="139" spans="1:21" ht="12.75" thickBot="1">
      <c r="A139" s="54">
        <v>32</v>
      </c>
      <c r="B139" s="496" t="s">
        <v>378</v>
      </c>
      <c r="C139" s="84"/>
      <c r="D139" s="54"/>
      <c r="E139" s="54"/>
      <c r="F139" s="494">
        <f>SUM(F136:F138)</f>
        <v>1750.2743999999993</v>
      </c>
      <c r="G139" s="494">
        <f t="shared" ref="G139:R139" si="85">SUM(G136:G138)</f>
        <v>2162</v>
      </c>
      <c r="H139" s="494">
        <f t="shared" si="85"/>
        <v>1866</v>
      </c>
      <c r="I139" s="494">
        <f t="shared" si="85"/>
        <v>2536</v>
      </c>
      <c r="J139" s="494">
        <f t="shared" si="85"/>
        <v>2779</v>
      </c>
      <c r="K139" s="494">
        <f t="shared" si="85"/>
        <v>3442.8862000000008</v>
      </c>
      <c r="L139" s="494">
        <f t="shared" si="85"/>
        <v>2956</v>
      </c>
      <c r="M139" s="494">
        <f t="shared" si="85"/>
        <v>3073</v>
      </c>
      <c r="N139" s="494">
        <f t="shared" si="85"/>
        <v>2875</v>
      </c>
      <c r="O139" s="494">
        <f t="shared" si="85"/>
        <v>2813.6201999999994</v>
      </c>
      <c r="P139" s="494">
        <f t="shared" si="85"/>
        <v>2813.1288000000004</v>
      </c>
      <c r="Q139" s="494">
        <f t="shared" si="85"/>
        <v>2812.3060000000005</v>
      </c>
      <c r="R139" s="494">
        <f t="shared" si="85"/>
        <v>3314.6805999999997</v>
      </c>
      <c r="S139" s="494">
        <f t="shared" ref="S139:T139" si="86">SUM(S136:S138)</f>
        <v>3464</v>
      </c>
      <c r="T139" s="494">
        <f t="shared" si="86"/>
        <v>3478.1931000000004</v>
      </c>
    </row>
    <row r="140" spans="1:21" ht="12.75" thickTop="1">
      <c r="A140" s="54"/>
      <c r="F140" s="71"/>
      <c r="G140" s="495">
        <f>(G139-F139)/F139</f>
        <v>0.23523488659835329</v>
      </c>
      <c r="H140" s="495">
        <f t="shared" ref="H140:T140" si="87">(H139-G139)/G139</f>
        <v>-0.13691026827012026</v>
      </c>
      <c r="I140" s="495">
        <f t="shared" si="87"/>
        <v>0.35905680600214362</v>
      </c>
      <c r="J140" s="495">
        <f t="shared" si="87"/>
        <v>9.5820189274447951E-2</v>
      </c>
      <c r="K140" s="495">
        <f t="shared" si="87"/>
        <v>0.23889391867578294</v>
      </c>
      <c r="L140" s="495">
        <f t="shared" si="87"/>
        <v>-0.14141803467102709</v>
      </c>
      <c r="M140" s="495">
        <f t="shared" si="87"/>
        <v>3.9580514208389712E-2</v>
      </c>
      <c r="N140" s="495">
        <f t="shared" si="87"/>
        <v>-6.4432150992515452E-2</v>
      </c>
      <c r="O140" s="495">
        <f t="shared" si="87"/>
        <v>-2.1349495652174127E-2</v>
      </c>
      <c r="P140" s="495">
        <f t="shared" si="87"/>
        <v>-1.7465043789455863E-4</v>
      </c>
      <c r="Q140" s="495">
        <f t="shared" si="87"/>
        <v>-2.9248571910390862E-4</v>
      </c>
      <c r="R140" s="495">
        <f t="shared" si="87"/>
        <v>0.17863440180407078</v>
      </c>
      <c r="S140" s="495">
        <f t="shared" si="87"/>
        <v>4.5047899939439209E-2</v>
      </c>
      <c r="T140" s="495">
        <f t="shared" si="87"/>
        <v>4.0973152424943456E-3</v>
      </c>
    </row>
    <row r="141" spans="1:21" ht="4.5" hidden="1" customHeight="1">
      <c r="A141" s="54"/>
      <c r="F141" s="71"/>
      <c r="G141" s="495"/>
      <c r="H141" s="495"/>
      <c r="I141" s="495"/>
      <c r="J141" s="495"/>
      <c r="K141" s="495"/>
      <c r="L141" s="495"/>
      <c r="M141" s="495"/>
      <c r="N141" s="495"/>
      <c r="O141" s="495"/>
      <c r="P141" s="495"/>
      <c r="Q141" s="495"/>
      <c r="R141" s="495"/>
      <c r="S141" s="155"/>
      <c r="T141" s="155"/>
    </row>
    <row r="142" spans="1:21" ht="4.9000000000000004" customHeight="1">
      <c r="A142" s="54"/>
      <c r="F142" s="71"/>
      <c r="G142" s="495"/>
      <c r="H142" s="495"/>
      <c r="I142" s="495"/>
      <c r="J142" s="495"/>
      <c r="K142" s="495"/>
      <c r="L142" s="495"/>
      <c r="M142" s="495"/>
      <c r="N142" s="495"/>
      <c r="O142" s="495"/>
      <c r="P142" s="495"/>
      <c r="Q142" s="495"/>
      <c r="R142" s="495"/>
      <c r="S142" s="155"/>
      <c r="T142" s="155"/>
    </row>
    <row r="143" spans="1:21">
      <c r="A143" s="542" t="s">
        <v>117</v>
      </c>
      <c r="F143" s="71"/>
      <c r="G143" s="495"/>
      <c r="H143" s="495"/>
      <c r="I143" s="495"/>
      <c r="J143" s="495"/>
      <c r="K143" s="495"/>
      <c r="L143" s="495"/>
      <c r="M143" s="495"/>
      <c r="N143" s="495"/>
      <c r="O143" s="495"/>
      <c r="P143" s="495"/>
      <c r="Q143" s="495"/>
      <c r="R143" s="495"/>
      <c r="S143" s="155"/>
      <c r="T143" s="155"/>
    </row>
    <row r="144" spans="1:21">
      <c r="A144" s="542" t="s">
        <v>472</v>
      </c>
      <c r="F144" s="71"/>
      <c r="G144" s="495"/>
      <c r="H144" s="495"/>
      <c r="I144" s="495"/>
      <c r="J144" s="495"/>
      <c r="K144" s="495"/>
      <c r="L144" s="495"/>
      <c r="M144" s="495"/>
      <c r="N144" s="495"/>
      <c r="O144" s="495"/>
      <c r="P144" s="495"/>
      <c r="Q144" s="495"/>
      <c r="R144" s="495"/>
      <c r="S144" s="155"/>
      <c r="T144" s="155"/>
    </row>
    <row r="145" spans="1:21">
      <c r="A145" s="542" t="s">
        <v>471</v>
      </c>
      <c r="F145" s="71"/>
      <c r="G145" s="495"/>
      <c r="H145" s="495"/>
      <c r="I145" s="495"/>
      <c r="J145" s="495"/>
      <c r="K145" s="495"/>
      <c r="L145" s="495"/>
      <c r="M145" s="495"/>
      <c r="N145" s="495"/>
      <c r="O145" s="495"/>
      <c r="P145" s="495"/>
      <c r="Q145" s="495"/>
      <c r="R145" s="495"/>
      <c r="S145" s="155"/>
    </row>
    <row r="146" spans="1:21" ht="0.6" customHeight="1">
      <c r="A146" s="54"/>
      <c r="G146" s="41"/>
      <c r="H146" s="41"/>
      <c r="I146" s="41"/>
      <c r="J146" s="41"/>
      <c r="L146" s="41"/>
      <c r="M146" s="41"/>
      <c r="N146" s="41"/>
      <c r="O146" s="41"/>
      <c r="P146" s="41"/>
      <c r="Q146" s="41"/>
      <c r="R146" s="41"/>
    </row>
    <row r="147" spans="1:21" ht="15.75">
      <c r="A147" s="393" t="s">
        <v>3</v>
      </c>
      <c r="E147" s="945" t="s">
        <v>491</v>
      </c>
      <c r="F147" s="945"/>
      <c r="G147" s="945"/>
      <c r="H147" s="945"/>
      <c r="I147" s="945"/>
      <c r="J147" s="945"/>
      <c r="K147" s="945"/>
      <c r="L147" s="945"/>
      <c r="M147" s="945"/>
      <c r="N147" s="945"/>
      <c r="O147" s="945"/>
      <c r="P147" s="945"/>
      <c r="Q147" s="945"/>
      <c r="R147" s="945"/>
      <c r="T147" s="794" t="s">
        <v>660</v>
      </c>
    </row>
    <row r="148" spans="1:21" ht="12.75">
      <c r="A148" s="395" t="s">
        <v>90</v>
      </c>
      <c r="B148" s="396" t="s">
        <v>365</v>
      </c>
      <c r="C148" s="396"/>
      <c r="D148" s="397"/>
      <c r="E148" s="398"/>
      <c r="F148" s="398"/>
      <c r="G148" s="544"/>
      <c r="H148" s="544" t="s">
        <v>366</v>
      </c>
      <c r="I148" s="544" t="s">
        <v>367</v>
      </c>
      <c r="J148" s="544" t="s">
        <v>368</v>
      </c>
      <c r="K148" s="544" t="s">
        <v>369</v>
      </c>
      <c r="L148" s="544" t="s">
        <v>370</v>
      </c>
      <c r="M148" s="544" t="s">
        <v>371</v>
      </c>
      <c r="N148" s="544" t="s">
        <v>372</v>
      </c>
      <c r="O148" s="544" t="s">
        <v>373</v>
      </c>
      <c r="P148" s="544" t="s">
        <v>374</v>
      </c>
      <c r="Q148" s="544" t="s">
        <v>375</v>
      </c>
      <c r="R148" s="544" t="s">
        <v>376</v>
      </c>
      <c r="S148" s="544" t="s">
        <v>504</v>
      </c>
      <c r="T148" s="785" t="s">
        <v>646</v>
      </c>
      <c r="U148" s="84"/>
    </row>
    <row r="149" spans="1:21" ht="12.75">
      <c r="A149" s="399"/>
      <c r="B149"/>
      <c r="C149"/>
      <c r="D149"/>
      <c r="E149"/>
      <c r="F149"/>
      <c r="G149" s="506"/>
      <c r="H149" s="506"/>
      <c r="I149" s="506"/>
      <c r="J149" s="506"/>
      <c r="K149" s="506"/>
      <c r="L149" s="506"/>
      <c r="M149" s="506"/>
      <c r="N149" s="506"/>
      <c r="O149" s="506"/>
      <c r="P149" s="394"/>
      <c r="Q149" s="394"/>
      <c r="R149" s="394"/>
      <c r="S149" s="394"/>
      <c r="T149" s="786"/>
      <c r="U149" s="84"/>
    </row>
    <row r="150" spans="1:21" ht="12.75">
      <c r="A150" s="399">
        <v>1</v>
      </c>
      <c r="B150" s="733" t="s">
        <v>426</v>
      </c>
      <c r="C150"/>
      <c r="D150"/>
      <c r="E150"/>
      <c r="F150"/>
      <c r="G150" s="507"/>
      <c r="H150" s="507">
        <f t="shared" ref="H150:Q150" si="88">(H103-G103)/G103</f>
        <v>0.14768306935658937</v>
      </c>
      <c r="I150" s="507">
        <f t="shared" si="88"/>
        <v>-3.516274610385936E-2</v>
      </c>
      <c r="J150" s="507">
        <f t="shared" si="88"/>
        <v>0.12245077030372288</v>
      </c>
      <c r="K150" s="507">
        <f t="shared" si="88"/>
        <v>9.6827726347769195E-3</v>
      </c>
      <c r="L150" s="507">
        <f t="shared" si="88"/>
        <v>7.242209997672179E-2</v>
      </c>
      <c r="M150" s="507">
        <f t="shared" si="88"/>
        <v>3.809384416546472E-2</v>
      </c>
      <c r="N150" s="507">
        <f t="shared" si="88"/>
        <v>7.5203913425506114E-2</v>
      </c>
      <c r="O150" s="866">
        <f t="shared" si="88"/>
        <v>9.2214213847569129E-2</v>
      </c>
      <c r="P150" s="866">
        <f t="shared" si="88"/>
        <v>4.9500038223614332E-2</v>
      </c>
      <c r="Q150" s="507">
        <f t="shared" si="88"/>
        <v>8.595926573694776E-2</v>
      </c>
      <c r="R150" s="507">
        <f>(R103-Q103)/Q103</f>
        <v>9.0551378103331207E-2</v>
      </c>
      <c r="S150" s="507">
        <f>(S103-R103)/R103</f>
        <v>-4.5206093486132248E-2</v>
      </c>
      <c r="T150" s="866">
        <f>(T103-S103)/S103</f>
        <v>1.8527741031826316E-2</v>
      </c>
      <c r="U150" s="874" t="s">
        <v>741</v>
      </c>
    </row>
    <row r="151" spans="1:21" ht="12.75">
      <c r="A151" s="399"/>
      <c r="B151" s="650"/>
      <c r="C151"/>
      <c r="D151"/>
      <c r="E151"/>
      <c r="F151"/>
      <c r="G151" s="506"/>
      <c r="H151" s="506"/>
      <c r="I151" s="506"/>
      <c r="J151" s="506"/>
      <c r="K151" s="506"/>
      <c r="L151" s="506"/>
      <c r="M151" s="506"/>
      <c r="N151" s="506"/>
      <c r="O151" s="506"/>
      <c r="P151" s="506"/>
      <c r="Q151" s="506"/>
      <c r="R151" s="506"/>
      <c r="S151" s="506"/>
      <c r="T151" s="788"/>
      <c r="U151" s="84"/>
    </row>
    <row r="152" spans="1:21" ht="12.75">
      <c r="A152" s="399">
        <v>2</v>
      </c>
      <c r="B152" s="733" t="s">
        <v>436</v>
      </c>
      <c r="C152"/>
      <c r="D152"/>
      <c r="E152"/>
      <c r="F152"/>
      <c r="G152" s="507"/>
      <c r="H152" s="507">
        <f t="shared" ref="H152:R152" si="89">(H110-G110)/G110</f>
        <v>0.25685906786135998</v>
      </c>
      <c r="I152" s="507">
        <f t="shared" si="89"/>
        <v>2.0558165239016303E-2</v>
      </c>
      <c r="J152" s="507">
        <f t="shared" si="89"/>
        <v>4.1073265825526617E-2</v>
      </c>
      <c r="K152" s="507">
        <f t="shared" si="89"/>
        <v>2.8971938311097241E-2</v>
      </c>
      <c r="L152" s="507">
        <f t="shared" si="89"/>
        <v>5.6792619739668898E-2</v>
      </c>
      <c r="M152" s="507">
        <f t="shared" si="89"/>
        <v>2.7193150291782264E-2</v>
      </c>
      <c r="N152" s="507">
        <f t="shared" si="89"/>
        <v>6.8104030361591655E-2</v>
      </c>
      <c r="O152" s="507">
        <f t="shared" si="89"/>
        <v>5.6502594061995905E-2</v>
      </c>
      <c r="P152" s="507">
        <f t="shared" si="89"/>
        <v>7.8488012214748479E-2</v>
      </c>
      <c r="Q152" s="507">
        <f t="shared" si="89"/>
        <v>5.8044767553089724E-2</v>
      </c>
      <c r="R152" s="507">
        <f t="shared" si="89"/>
        <v>6.5854187762187183E-2</v>
      </c>
      <c r="S152" s="507">
        <f>(S110-R110)/R110</f>
        <v>2.3105893529671226E-2</v>
      </c>
      <c r="T152" s="787">
        <f>(T110-S110)/S110</f>
        <v>6.8780261325197323E-2</v>
      </c>
      <c r="U152" s="84"/>
    </row>
    <row r="153" spans="1:21" ht="12.75">
      <c r="A153" s="399"/>
      <c r="B153" s="650"/>
      <c r="C153"/>
      <c r="D153"/>
      <c r="E153"/>
      <c r="F153"/>
      <c r="G153" s="506"/>
      <c r="H153" s="506"/>
      <c r="I153" s="506"/>
      <c r="J153" s="506"/>
      <c r="K153" s="506"/>
      <c r="L153" s="506"/>
      <c r="M153" s="506"/>
      <c r="N153" s="506"/>
      <c r="O153" s="506"/>
      <c r="P153" s="394"/>
      <c r="Q153" s="394"/>
      <c r="R153" s="394"/>
      <c r="S153" s="394"/>
      <c r="T153" s="786"/>
      <c r="U153" s="84"/>
    </row>
    <row r="154" spans="1:21" ht="12.75">
      <c r="A154" s="399">
        <v>3</v>
      </c>
      <c r="B154" s="403" t="s">
        <v>611</v>
      </c>
      <c r="C154"/>
      <c r="D154"/>
      <c r="E154"/>
      <c r="F154"/>
      <c r="G154" s="507"/>
      <c r="H154" s="507">
        <f t="shared" ref="H154:T154" si="90">(H126-G126)/G126</f>
        <v>0.18401978524413226</v>
      </c>
      <c r="I154" s="507">
        <f t="shared" si="90"/>
        <v>-8.3003611496421867E-3</v>
      </c>
      <c r="J154" s="507">
        <f t="shared" si="90"/>
        <v>2.7835308140676428E-2</v>
      </c>
      <c r="K154" s="507">
        <f t="shared" si="90"/>
        <v>1.2526513023570099E-2</v>
      </c>
      <c r="L154" s="507">
        <f>(L126-K126)/K126</f>
        <v>1.7032879283494611E-2</v>
      </c>
      <c r="M154" s="507">
        <f t="shared" si="90"/>
        <v>-3.9328404153839702E-2</v>
      </c>
      <c r="N154" s="507">
        <f t="shared" si="90"/>
        <v>3.2469427673928221E-2</v>
      </c>
      <c r="O154" s="507">
        <f t="shared" si="90"/>
        <v>5.5611624707673224E-2</v>
      </c>
      <c r="P154" s="507">
        <f t="shared" si="90"/>
        <v>0.10500840273038936</v>
      </c>
      <c r="Q154" s="507">
        <f t="shared" si="90"/>
        <v>0.10884799848800535</v>
      </c>
      <c r="R154" s="507">
        <f t="shared" si="90"/>
        <v>3.3316484884116281E-2</v>
      </c>
      <c r="S154" s="507">
        <f t="shared" si="90"/>
        <v>7.4196128513480536E-2</v>
      </c>
      <c r="T154" s="787">
        <f t="shared" si="90"/>
        <v>6.0827048976547608E-2</v>
      </c>
      <c r="U154" s="84"/>
    </row>
    <row r="155" spans="1:21" ht="12.75">
      <c r="A155" s="399"/>
      <c r="B155" s="650"/>
      <c r="C155"/>
      <c r="D155"/>
      <c r="E155"/>
      <c r="F155"/>
      <c r="G155" s="506"/>
      <c r="H155" s="506"/>
      <c r="I155" s="506"/>
      <c r="J155" s="506"/>
      <c r="K155" s="506"/>
      <c r="L155" s="506"/>
      <c r="M155" s="506"/>
      <c r="N155" s="506"/>
      <c r="O155" s="506"/>
      <c r="P155" s="394"/>
      <c r="Q155" s="394"/>
      <c r="R155" s="394"/>
      <c r="S155" s="394"/>
      <c r="T155" s="786"/>
      <c r="U155" s="84"/>
    </row>
    <row r="156" spans="1:21" ht="12.75">
      <c r="A156" s="399">
        <v>4</v>
      </c>
      <c r="B156" s="506" t="s">
        <v>294</v>
      </c>
      <c r="C156"/>
      <c r="D156"/>
      <c r="E156"/>
      <c r="F156"/>
      <c r="G156" s="507"/>
      <c r="H156" s="507">
        <f t="shared" ref="H156:T156" si="91">(H129-G129)/G129</f>
        <v>0.11660360150873199</v>
      </c>
      <c r="I156" s="507">
        <f t="shared" si="91"/>
        <v>-2.5557740208951428E-2</v>
      </c>
      <c r="J156" s="507">
        <f t="shared" si="91"/>
        <v>5.1559668166338703E-2</v>
      </c>
      <c r="K156" s="507">
        <f t="shared" si="91"/>
        <v>5.4549221649185228E-2</v>
      </c>
      <c r="L156" s="507">
        <f t="shared" si="91"/>
        <v>7.0856760994680204E-2</v>
      </c>
      <c r="M156" s="507">
        <f t="shared" si="91"/>
        <v>1.7673002131558282E-2</v>
      </c>
      <c r="N156" s="507">
        <f t="shared" si="91"/>
        <v>5.3295974553158751E-2</v>
      </c>
      <c r="O156" s="507">
        <f t="shared" si="91"/>
        <v>7.6310960951630258E-2</v>
      </c>
      <c r="P156" s="507">
        <f t="shared" si="91"/>
        <v>4.9451857344139184E-2</v>
      </c>
      <c r="Q156" s="507">
        <f t="shared" si="91"/>
        <v>4.9299078049232482E-2</v>
      </c>
      <c r="R156" s="507">
        <f t="shared" si="91"/>
        <v>4.0867743926500798E-2</v>
      </c>
      <c r="S156" s="507">
        <f t="shared" si="91"/>
        <v>5.6063699108318529E-2</v>
      </c>
      <c r="T156" s="787">
        <f t="shared" si="91"/>
        <v>1.631283420222425E-2</v>
      </c>
      <c r="U156" s="84"/>
    </row>
    <row r="157" spans="1:21" ht="12.75">
      <c r="A157" s="399"/>
      <c r="B157" s="650"/>
      <c r="C157"/>
      <c r="D157"/>
      <c r="E157"/>
      <c r="F157"/>
      <c r="G157" s="506"/>
      <c r="H157" s="506"/>
      <c r="I157" s="506"/>
      <c r="J157" s="506"/>
      <c r="K157" s="506"/>
      <c r="L157" s="506"/>
      <c r="M157" s="506"/>
      <c r="N157" s="506"/>
      <c r="O157" s="506"/>
      <c r="P157" s="506"/>
      <c r="Q157" s="506"/>
      <c r="R157" s="506"/>
      <c r="S157" s="506"/>
      <c r="T157" s="788"/>
      <c r="U157" s="84"/>
    </row>
    <row r="158" spans="1:21" ht="12.75">
      <c r="A158" s="399">
        <v>5</v>
      </c>
      <c r="B158" s="506" t="s">
        <v>442</v>
      </c>
      <c r="C158"/>
      <c r="D158"/>
      <c r="E158"/>
      <c r="F158"/>
      <c r="G158" s="507"/>
      <c r="H158" s="507">
        <f t="shared" ref="H158:T158" si="92">(H132-G132)/G132</f>
        <v>0.27504414115126818</v>
      </c>
      <c r="I158" s="507">
        <f t="shared" si="92"/>
        <v>-2.5483751565252316E-2</v>
      </c>
      <c r="J158" s="507">
        <f t="shared" si="92"/>
        <v>4.7906707989704263E-2</v>
      </c>
      <c r="K158" s="507">
        <f t="shared" si="92"/>
        <v>5.3766591989059281E-2</v>
      </c>
      <c r="L158" s="507">
        <f t="shared" si="92"/>
        <v>6.6682360747558678E-2</v>
      </c>
      <c r="M158" s="507">
        <f t="shared" si="92"/>
        <v>1.9832797986531901E-2</v>
      </c>
      <c r="N158" s="507">
        <f t="shared" si="92"/>
        <v>5.0439813646837209E-2</v>
      </c>
      <c r="O158" s="507">
        <f t="shared" si="92"/>
        <v>7.2775500619102512E-2</v>
      </c>
      <c r="P158" s="507">
        <f t="shared" si="92"/>
        <v>6.6674361380232611E-2</v>
      </c>
      <c r="Q158" s="507">
        <f t="shared" si="92"/>
        <v>6.1411642233225254E-2</v>
      </c>
      <c r="R158" s="507">
        <f t="shared" si="92"/>
        <v>1.855407900599633E-2</v>
      </c>
      <c r="S158" s="507">
        <f t="shared" si="92"/>
        <v>5.7876140555231992E-2</v>
      </c>
      <c r="T158" s="787">
        <f t="shared" si="92"/>
        <v>3.8420067011839629E-2</v>
      </c>
      <c r="U158" s="84"/>
    </row>
    <row r="159" spans="1:21" ht="12.75">
      <c r="A159" s="399"/>
      <c r="B159" s="506"/>
      <c r="C159"/>
      <c r="D159"/>
      <c r="E159"/>
      <c r="F159"/>
      <c r="G159" s="507"/>
      <c r="H159" s="507"/>
      <c r="I159" s="507"/>
      <c r="J159" s="507"/>
      <c r="K159" s="507"/>
      <c r="L159" s="507"/>
      <c r="M159" s="507"/>
      <c r="N159" s="507"/>
      <c r="O159" s="507"/>
      <c r="P159" s="507"/>
      <c r="Q159" s="507"/>
      <c r="R159" s="507"/>
      <c r="S159" s="507"/>
      <c r="T159" s="787"/>
      <c r="U159" s="84"/>
    </row>
    <row r="160" spans="1:21" ht="12.75">
      <c r="A160" s="399">
        <v>6</v>
      </c>
      <c r="B160" s="506" t="s">
        <v>378</v>
      </c>
      <c r="C160"/>
      <c r="D160"/>
      <c r="E160"/>
      <c r="F160"/>
      <c r="G160" s="507"/>
      <c r="H160" s="507">
        <f t="shared" ref="H160:T160" si="93">(H139-G139)/G139</f>
        <v>-0.13691026827012026</v>
      </c>
      <c r="I160" s="507">
        <f t="shared" si="93"/>
        <v>0.35905680600214362</v>
      </c>
      <c r="J160" s="507">
        <f t="shared" si="93"/>
        <v>9.5820189274447951E-2</v>
      </c>
      <c r="K160" s="507">
        <f t="shared" si="93"/>
        <v>0.23889391867578294</v>
      </c>
      <c r="L160" s="507">
        <f t="shared" si="93"/>
        <v>-0.14141803467102709</v>
      </c>
      <c r="M160" s="507">
        <f t="shared" si="93"/>
        <v>3.9580514208389712E-2</v>
      </c>
      <c r="N160" s="507">
        <f t="shared" si="93"/>
        <v>-6.4432150992515452E-2</v>
      </c>
      <c r="O160" s="507">
        <f t="shared" si="93"/>
        <v>-2.1349495652174127E-2</v>
      </c>
      <c r="P160" s="507">
        <f t="shared" si="93"/>
        <v>-1.7465043789455863E-4</v>
      </c>
      <c r="Q160" s="507">
        <f t="shared" si="93"/>
        <v>-2.9248571910390862E-4</v>
      </c>
      <c r="R160" s="507">
        <f t="shared" si="93"/>
        <v>0.17863440180407078</v>
      </c>
      <c r="S160" s="507">
        <f t="shared" si="93"/>
        <v>4.5047899939439209E-2</v>
      </c>
      <c r="T160" s="787">
        <f t="shared" si="93"/>
        <v>4.0973152424943456E-3</v>
      </c>
      <c r="U160" s="84"/>
    </row>
    <row r="161" spans="1:25" ht="12.75">
      <c r="A161" s="399"/>
      <c r="B161"/>
      <c r="C161"/>
      <c r="D161"/>
      <c r="E161"/>
      <c r="F161"/>
      <c r="G161"/>
      <c r="H161"/>
      <c r="I161"/>
      <c r="J161"/>
      <c r="K161"/>
      <c r="L161" s="498"/>
      <c r="M161"/>
      <c r="N161" s="498"/>
      <c r="O161"/>
      <c r="P161" s="498"/>
      <c r="Q161" s="394"/>
      <c r="R161" s="394"/>
      <c r="S161" s="40"/>
      <c r="T161" s="40"/>
      <c r="U161" s="84"/>
    </row>
    <row r="162" spans="1:25" ht="12.75">
      <c r="A162" s="399"/>
      <c r="B162" s="396" t="s">
        <v>505</v>
      </c>
      <c r="C162" s="396"/>
      <c r="D162" s="397"/>
      <c r="E162" s="398"/>
      <c r="F162" s="398"/>
      <c r="G162" s="544"/>
      <c r="H162" s="544" t="s">
        <v>647</v>
      </c>
      <c r="I162" s="544" t="s">
        <v>658</v>
      </c>
      <c r="J162" s="544" t="s">
        <v>648</v>
      </c>
      <c r="K162" s="544" t="s">
        <v>649</v>
      </c>
      <c r="L162" s="544" t="s">
        <v>650</v>
      </c>
      <c r="M162" s="544" t="s">
        <v>651</v>
      </c>
      <c r="N162" s="544" t="s">
        <v>652</v>
      </c>
      <c r="O162" s="544" t="s">
        <v>653</v>
      </c>
      <c r="P162" s="544" t="s">
        <v>654</v>
      </c>
      <c r="Q162" s="544" t="s">
        <v>655</v>
      </c>
      <c r="R162" s="544" t="s">
        <v>656</v>
      </c>
      <c r="S162" s="544" t="s">
        <v>657</v>
      </c>
      <c r="T162" s="785" t="s">
        <v>646</v>
      </c>
      <c r="U162" s="84"/>
      <c r="W162" s="48"/>
      <c r="X162" s="41"/>
      <c r="Y162" s="41"/>
    </row>
    <row r="163" spans="1:25" ht="13.5" thickBot="1">
      <c r="A163" s="399"/>
      <c r="B163"/>
      <c r="C163"/>
      <c r="D163"/>
      <c r="E163"/>
      <c r="F163"/>
      <c r="G163" s="508"/>
      <c r="H163" s="508"/>
      <c r="I163" s="508"/>
      <c r="J163" s="508"/>
      <c r="K163" s="508"/>
      <c r="L163" s="508"/>
      <c r="M163" s="508"/>
      <c r="N163" s="702"/>
      <c r="O163" s="508"/>
      <c r="P163" s="394"/>
      <c r="Q163" s="394"/>
      <c r="R163" s="394"/>
      <c r="S163" s="54"/>
      <c r="T163" s="54"/>
      <c r="U163" s="84"/>
      <c r="W163" s="685"/>
      <c r="X163" s="685"/>
      <c r="Y163" s="41"/>
    </row>
    <row r="164" spans="1:25" ht="12.75">
      <c r="A164" s="399">
        <v>7</v>
      </c>
      <c r="B164" s="733" t="s">
        <v>426</v>
      </c>
      <c r="C164"/>
      <c r="D164"/>
      <c r="E164"/>
      <c r="F164"/>
      <c r="G164" s="509"/>
      <c r="H164" s="509">
        <f>RATE(13,,-G103,$T103)</f>
        <v>5.4079532032045394E-2</v>
      </c>
      <c r="I164" s="509">
        <f>RATE(12,,-H103,$T103)</f>
        <v>4.6632775894920944E-2</v>
      </c>
      <c r="J164" s="509">
        <f>RATE(11,,-I103,$T103)</f>
        <v>5.4404091114978043E-2</v>
      </c>
      <c r="K164" s="509">
        <f>RATE(10,,-J103,$T103)</f>
        <v>4.7830559573585583E-2</v>
      </c>
      <c r="L164" s="509">
        <f>RATE(9,,-K103,$T103)</f>
        <v>5.2157192986189232E-2</v>
      </c>
      <c r="M164" s="509">
        <f>RATE(8,,-L103,$T103)</f>
        <v>4.965115435583739E-2</v>
      </c>
      <c r="N164" s="867">
        <f>RATE(7,,-M103,$T103)</f>
        <v>5.131266909343251E-2</v>
      </c>
      <c r="O164" s="868">
        <f>RATE(6,,-N103,$T103)</f>
        <v>4.7382729073762501E-2</v>
      </c>
      <c r="P164" s="868">
        <f>RATE(5,,-O103,$T103)</f>
        <v>3.8639715498140159E-2</v>
      </c>
      <c r="Q164" s="868">
        <f>RATE(4,,-P103,$T103)</f>
        <v>3.5942240391659691E-2</v>
      </c>
      <c r="R164" s="868">
        <f>RATE(3,,-Q103,$T103)</f>
        <v>1.9787170271239638E-2</v>
      </c>
      <c r="S164" s="868">
        <f>RATE(2,,-R103,$T103)</f>
        <v>-1.385392524610095E-2</v>
      </c>
      <c r="T164" s="868">
        <f>RATE(1,,-S103,$T103)</f>
        <v>1.8527741031826372E-2</v>
      </c>
      <c r="U164" s="874" t="s">
        <v>741</v>
      </c>
      <c r="V164" s="45"/>
    </row>
    <row r="165" spans="1:25" ht="9" customHeight="1">
      <c r="A165" s="399"/>
      <c r="B165" s="733"/>
      <c r="C165"/>
      <c r="D165"/>
      <c r="E165"/>
      <c r="F165"/>
      <c r="G165" s="509"/>
      <c r="H165" s="509"/>
      <c r="I165" s="509"/>
      <c r="J165" s="509"/>
      <c r="K165" s="509"/>
      <c r="L165" s="509"/>
      <c r="M165" s="509"/>
      <c r="N165" s="574"/>
      <c r="O165" s="509"/>
      <c r="P165" s="509"/>
      <c r="Q165" s="509"/>
      <c r="R165" s="509"/>
      <c r="S165" s="509"/>
      <c r="T165" s="688"/>
      <c r="U165" s="405"/>
      <c r="V165" s="45"/>
    </row>
    <row r="166" spans="1:25" ht="12.75">
      <c r="A166" s="703" t="s">
        <v>492</v>
      </c>
      <c r="B166" s="733" t="s">
        <v>612</v>
      </c>
      <c r="C166"/>
      <c r="D166"/>
      <c r="E166"/>
      <c r="F166"/>
      <c r="G166" s="509"/>
      <c r="H166" s="509"/>
      <c r="I166" s="509"/>
      <c r="J166" s="509"/>
      <c r="K166" s="509"/>
      <c r="L166" s="509"/>
      <c r="M166" s="509"/>
      <c r="N166" s="699">
        <v>0.03</v>
      </c>
      <c r="O166" s="509"/>
      <c r="P166" s="509"/>
      <c r="Q166" s="509"/>
      <c r="R166" s="509"/>
      <c r="S166" s="509"/>
      <c r="T166" s="688"/>
      <c r="U166" s="405"/>
      <c r="V166" s="45"/>
    </row>
    <row r="167" spans="1:25" ht="8.25" customHeight="1">
      <c r="A167" s="393"/>
      <c r="B167" s="733"/>
      <c r="C167"/>
      <c r="D167"/>
      <c r="E167"/>
      <c r="F167"/>
      <c r="G167" s="509"/>
      <c r="H167" s="509"/>
      <c r="I167" s="509"/>
      <c r="J167" s="509"/>
      <c r="K167" s="509"/>
      <c r="L167" s="509"/>
      <c r="M167" s="509"/>
      <c r="N167" s="574"/>
      <c r="O167" s="509"/>
      <c r="P167" s="509"/>
      <c r="Q167" s="509"/>
      <c r="R167" s="509"/>
      <c r="S167" s="509"/>
      <c r="T167" s="688"/>
      <c r="U167" s="405"/>
      <c r="V167" s="45"/>
    </row>
    <row r="168" spans="1:25" ht="12.75">
      <c r="A168" s="393">
        <v>8</v>
      </c>
      <c r="B168" s="733" t="s">
        <v>436</v>
      </c>
      <c r="C168"/>
      <c r="D168"/>
      <c r="E168"/>
      <c r="F168"/>
      <c r="G168" s="509"/>
      <c r="H168" s="509">
        <f>RATE(13,,-G110,$T110)</f>
        <v>6.394726835508166E-2</v>
      </c>
      <c r="I168" s="509">
        <f t="shared" ref="I168" si="94">RATE(12,,-H110,$T110)</f>
        <v>4.9275576140767163E-2</v>
      </c>
      <c r="J168" s="509">
        <f>RATE(11,,-I110,$T110)</f>
        <v>5.1925982638870098E-2</v>
      </c>
      <c r="K168" s="509">
        <f>RATE(10,,-J110,$T110)</f>
        <v>5.3017457362145651E-2</v>
      </c>
      <c r="L168" s="509">
        <f>RATE(9,,-K110,$T110)</f>
        <v>5.5723629797216304E-2</v>
      </c>
      <c r="M168" s="509">
        <f>RATE(8,,-L110,$T110)</f>
        <v>5.5590082107730233E-2</v>
      </c>
      <c r="N168" s="574">
        <f>RATE(7,,-M110,$T110)</f>
        <v>5.971037160911416E-2</v>
      </c>
      <c r="O168" s="509">
        <f>RATE(6,,-N110,$T110)</f>
        <v>5.8317855435061468E-2</v>
      </c>
      <c r="P168" s="509">
        <f>RATE(5,,-O110,$T110)</f>
        <v>5.8681281811738033E-2</v>
      </c>
      <c r="Q168" s="509">
        <f>RATE(4,,-P110,$T110)</f>
        <v>5.3786699172580985E-2</v>
      </c>
      <c r="R168" s="509">
        <f>RATE(3,,-Q110,$T110)</f>
        <v>5.2371154560321452E-2</v>
      </c>
      <c r="S168" s="509">
        <f>RATE(2,,-R110,$T110)</f>
        <v>4.5693733485477332E-2</v>
      </c>
      <c r="T168" s="688">
        <f>RATE(1,,-S110,$T110)</f>
        <v>6.8780261325197378E-2</v>
      </c>
      <c r="U168" s="405"/>
      <c r="V168" s="45"/>
    </row>
    <row r="169" spans="1:25" ht="9.75" customHeight="1">
      <c r="A169" s="393"/>
      <c r="B169" s="733"/>
      <c r="C169"/>
      <c r="D169" s="12"/>
      <c r="E169"/>
      <c r="F169"/>
      <c r="G169" s="402"/>
      <c r="H169" s="402"/>
      <c r="I169" s="402"/>
      <c r="J169" s="402"/>
      <c r="K169" s="402"/>
      <c r="L169" s="402"/>
      <c r="M169" s="402"/>
      <c r="N169" s="574"/>
      <c r="O169" s="402"/>
      <c r="P169" s="402"/>
      <c r="Q169" s="402"/>
      <c r="R169" s="402"/>
      <c r="S169" s="402"/>
      <c r="T169" s="789"/>
      <c r="U169" s="84"/>
    </row>
    <row r="170" spans="1:25" ht="12.75">
      <c r="A170" s="703" t="s">
        <v>596</v>
      </c>
      <c r="B170" s="733" t="s">
        <v>634</v>
      </c>
      <c r="C170" s="644"/>
      <c r="D170" s="650"/>
      <c r="E170" s="644"/>
      <c r="F170" s="644"/>
      <c r="G170" s="402"/>
      <c r="H170" s="402"/>
      <c r="I170" s="402"/>
      <c r="J170" s="402"/>
      <c r="K170" s="402"/>
      <c r="L170" s="402"/>
      <c r="M170" s="402"/>
      <c r="N170" s="699">
        <f>G214</f>
        <v>0.10544647772026131</v>
      </c>
      <c r="O170" s="402" t="s">
        <v>633</v>
      </c>
      <c r="P170" s="402"/>
      <c r="Q170" s="402"/>
      <c r="R170" s="402"/>
      <c r="S170" s="402"/>
      <c r="T170" s="789"/>
      <c r="U170" s="84"/>
    </row>
    <row r="171" spans="1:25" ht="9" customHeight="1">
      <c r="A171" s="393"/>
      <c r="B171" s="733"/>
      <c r="C171" s="644"/>
      <c r="D171" s="650"/>
      <c r="E171" s="644"/>
      <c r="F171" s="644"/>
      <c r="G171" s="402"/>
      <c r="H171" s="402"/>
      <c r="I171" s="402"/>
      <c r="J171" s="402"/>
      <c r="K171" s="402"/>
      <c r="L171" s="402"/>
      <c r="M171" s="402"/>
      <c r="N171" s="574"/>
      <c r="O171" s="402"/>
      <c r="P171" s="402"/>
      <c r="Q171" s="402"/>
      <c r="R171" s="402"/>
      <c r="S171" s="402"/>
      <c r="T171" s="789"/>
      <c r="U171" s="84"/>
    </row>
    <row r="172" spans="1:25" ht="12.75">
      <c r="A172" s="703">
        <v>9</v>
      </c>
      <c r="B172" s="403" t="s">
        <v>611</v>
      </c>
      <c r="C172"/>
      <c r="D172"/>
      <c r="E172"/>
      <c r="F172"/>
      <c r="G172" s="509"/>
      <c r="H172" s="509">
        <f>RATE(13,,-G126,$T126)</f>
        <v>4.9646439895592559E-2</v>
      </c>
      <c r="I172" s="509">
        <f t="shared" ref="I172" si="95">RATE(12,,-H126,$T126)</f>
        <v>3.916228663606372E-2</v>
      </c>
      <c r="J172" s="509">
        <f>RATE(11,,-I126,$T126)</f>
        <v>4.358811472317773E-2</v>
      </c>
      <c r="K172" s="509">
        <f>RATE(10,,-J126,$T126)</f>
        <v>4.5176613452509444E-2</v>
      </c>
      <c r="L172" s="509">
        <f>RATE(9,,-K126,$T126)</f>
        <v>4.8868780891212514E-2</v>
      </c>
      <c r="M172" s="509">
        <f>RATE(8,,-L126,$T126)</f>
        <v>5.2917708034977591E-2</v>
      </c>
      <c r="N172" s="574">
        <f>RATE(7,,-M126,$T126)</f>
        <v>6.6799803022223256E-2</v>
      </c>
      <c r="O172" s="509">
        <f>RATE(6,,-N126,$T126)</f>
        <v>7.2631502717645791E-2</v>
      </c>
      <c r="P172" s="509">
        <f>RATE(5,,-O126,$T126)</f>
        <v>7.606826762107971E-2</v>
      </c>
      <c r="Q172" s="509">
        <f>RATE(4,,-P126,$T126)</f>
        <v>6.8952446583131599E-2</v>
      </c>
      <c r="R172" s="509">
        <f>RATE(3,,-Q126,$T126)</f>
        <v>5.5975499354969351E-2</v>
      </c>
      <c r="S172" s="509">
        <f>RATE(2,,-R126,$T126)</f>
        <v>6.749065992775849E-2</v>
      </c>
      <c r="T172" s="688">
        <f>RATE(1,,-S126,$T126)</f>
        <v>6.0827048976547587E-2</v>
      </c>
      <c r="U172" s="405"/>
      <c r="V172" s="45"/>
    </row>
    <row r="173" spans="1:25" ht="9" customHeight="1">
      <c r="A173" s="393"/>
      <c r="B173" s="650"/>
      <c r="C173"/>
      <c r="D173" s="12"/>
      <c r="E173"/>
      <c r="F173"/>
      <c r="G173" s="402"/>
      <c r="H173" s="402"/>
      <c r="I173" s="402"/>
      <c r="J173" s="402"/>
      <c r="K173" s="402"/>
      <c r="L173" s="402"/>
      <c r="M173" s="402"/>
      <c r="N173" s="574"/>
      <c r="O173" s="402"/>
      <c r="P173" s="402"/>
      <c r="Q173" s="402"/>
      <c r="R173" s="402"/>
      <c r="S173" s="402"/>
      <c r="T173" s="789"/>
      <c r="U173" s="84"/>
    </row>
    <row r="174" spans="1:25" ht="12.75">
      <c r="A174" s="393">
        <v>10</v>
      </c>
      <c r="B174" s="506" t="s">
        <v>294</v>
      </c>
      <c r="C174"/>
      <c r="D174"/>
      <c r="E174" s="394"/>
      <c r="F174" s="394"/>
      <c r="G174" s="510"/>
      <c r="H174" s="510">
        <f>RATE(13,,-G129,$T129)</f>
        <v>4.7751654874845346E-2</v>
      </c>
      <c r="I174" s="510">
        <f t="shared" ref="I174" si="96">RATE(12,,-H129,$T129)</f>
        <v>4.2209353212042514E-2</v>
      </c>
      <c r="J174" s="510">
        <f>RATE(11,,-I129,$T129)</f>
        <v>4.8598924277941435E-2</v>
      </c>
      <c r="K174" s="510">
        <f>RATE(10,,-J129,$T129)</f>
        <v>4.830330876750677E-2</v>
      </c>
      <c r="L174" s="510">
        <f>RATE(9,,-K129,$T129)</f>
        <v>4.7611606013095532E-2</v>
      </c>
      <c r="M174" s="510">
        <f>RATE(8,,-L129,$T129)</f>
        <v>4.4741667143021031E-2</v>
      </c>
      <c r="N174" s="574">
        <f>RATE(7,,-M129,$T129)</f>
        <v>4.866695261094222E-2</v>
      </c>
      <c r="O174" s="510">
        <f>RATE(6,,-N129,$T129)</f>
        <v>4.7897429224418503E-2</v>
      </c>
      <c r="P174" s="510">
        <f>RATE(5,,-O129,$T129)</f>
        <v>4.2305374825289573E-2</v>
      </c>
      <c r="Q174" s="510">
        <f>RATE(4,,-P129,$T129)</f>
        <v>4.0526371180795211E-2</v>
      </c>
      <c r="R174" s="510">
        <f>RATE(3,,-Q129,$T129)</f>
        <v>3.7618464737937111E-2</v>
      </c>
      <c r="S174" s="510">
        <f>RATE(2,,-R129,$T129)</f>
        <v>3.599763085581429E-2</v>
      </c>
      <c r="T174" s="790">
        <f>RATE(1,,-S129,$T129)</f>
        <v>1.6312834202224444E-2</v>
      </c>
      <c r="U174" s="84"/>
    </row>
    <row r="175" spans="1:25" ht="8.25" customHeight="1">
      <c r="A175" s="393"/>
      <c r="B175" s="506"/>
      <c r="C175" s="644"/>
      <c r="D175" s="644"/>
      <c r="E175" s="394"/>
      <c r="F175" s="394"/>
      <c r="G175" s="510"/>
      <c r="H175" s="510"/>
      <c r="I175" s="510"/>
      <c r="J175" s="510"/>
      <c r="K175" s="510"/>
      <c r="L175" s="510"/>
      <c r="M175" s="510"/>
      <c r="N175" s="574"/>
      <c r="O175" s="510"/>
      <c r="P175" s="510"/>
      <c r="Q175" s="510"/>
      <c r="R175" s="510"/>
      <c r="S175" s="510"/>
      <c r="T175" s="790"/>
      <c r="U175" s="84"/>
    </row>
    <row r="176" spans="1:25" ht="12.75">
      <c r="A176" s="703" t="s">
        <v>597</v>
      </c>
      <c r="B176" s="506" t="s">
        <v>608</v>
      </c>
      <c r="C176" s="644"/>
      <c r="D176" s="644"/>
      <c r="E176" s="394"/>
      <c r="F176" s="394"/>
      <c r="G176" s="510"/>
      <c r="H176" s="510"/>
      <c r="I176" s="510"/>
      <c r="J176" s="510"/>
      <c r="K176" s="510"/>
      <c r="L176" s="510"/>
      <c r="M176" s="510"/>
      <c r="N176" s="699">
        <f>G220</f>
        <v>6.0364363497597731E-2</v>
      </c>
      <c r="O176" s="402" t="s">
        <v>633</v>
      </c>
      <c r="P176" s="510"/>
      <c r="Q176" s="510"/>
      <c r="R176" s="510"/>
      <c r="S176" s="510"/>
      <c r="T176" s="790"/>
      <c r="U176" s="84"/>
    </row>
    <row r="177" spans="1:26" ht="9" customHeight="1">
      <c r="A177" s="393"/>
      <c r="B177" s="650"/>
      <c r="C177"/>
      <c r="D177" s="12"/>
      <c r="E177"/>
      <c r="F177"/>
      <c r="G177" s="402"/>
      <c r="H177" s="402"/>
      <c r="I177" s="402"/>
      <c r="J177" s="402"/>
      <c r="K177" s="402"/>
      <c r="L177" s="402"/>
      <c r="M177" s="402"/>
      <c r="N177" s="574"/>
      <c r="O177" s="402"/>
      <c r="P177" s="402"/>
      <c r="Q177" s="402"/>
      <c r="R177" s="402"/>
      <c r="S177" s="402"/>
      <c r="T177" s="789"/>
      <c r="U177" s="84"/>
    </row>
    <row r="178" spans="1:26" ht="12.75">
      <c r="A178" s="393">
        <v>11</v>
      </c>
      <c r="B178" s="506" t="s">
        <v>377</v>
      </c>
      <c r="C178"/>
      <c r="D178"/>
      <c r="E178"/>
      <c r="F178"/>
      <c r="G178" s="510"/>
      <c r="H178" s="510">
        <f>RATE(13,,-G132,$T132)</f>
        <v>5.9916811852193413E-2</v>
      </c>
      <c r="I178" s="510">
        <f t="shared" ref="I178" si="97">RATE(12,,-H132,$T132)</f>
        <v>4.3719972514857285E-2</v>
      </c>
      <c r="J178" s="510">
        <f>RATE(11,,-I132,$T132)</f>
        <v>5.0249835767023479E-2</v>
      </c>
      <c r="K178" s="510">
        <f>RATE(10,,-J132,$T132)</f>
        <v>5.0484436510544822E-2</v>
      </c>
      <c r="L178" s="510">
        <f>RATE(9,,-K132,$T132)</f>
        <v>5.01203841945803E-2</v>
      </c>
      <c r="M178" s="510">
        <f>RATE(8,,-L132,$T132)</f>
        <v>4.8068300579560262E-2</v>
      </c>
      <c r="N178" s="574">
        <f>RATE(7,,-M132,$T132)</f>
        <v>5.2165260860669999E-2</v>
      </c>
      <c r="O178" s="510">
        <f>RATE(6,,-N132,$T132)</f>
        <v>5.2453110818970111E-2</v>
      </c>
      <c r="P178" s="510">
        <f>RATE(5,,-O132,$T132)</f>
        <v>4.8435066116128689E-2</v>
      </c>
      <c r="Q178" s="510">
        <f>RATE(4,,-P132,$T132)</f>
        <v>4.3924183070881924E-2</v>
      </c>
      <c r="R178" s="510">
        <f>RATE(3,,-Q132,$T132)</f>
        <v>3.8159292158925127E-2</v>
      </c>
      <c r="S178" s="510">
        <f>RATE(2,,-R132,$T132)</f>
        <v>4.8102959048198828E-2</v>
      </c>
      <c r="T178" s="790">
        <f>RATE(1,,-S132,$T132)</f>
        <v>3.8420067011839663E-2</v>
      </c>
      <c r="U178" s="405"/>
      <c r="V178" s="45"/>
    </row>
    <row r="179" spans="1:26" ht="12.75">
      <c r="A179" s="393"/>
      <c r="B179" s="403"/>
      <c r="C179" s="403"/>
      <c r="D179" s="12"/>
      <c r="E179" s="394"/>
      <c r="F179" s="394"/>
      <c r="G179" s="402"/>
      <c r="H179" s="402"/>
      <c r="I179" s="402"/>
      <c r="J179" s="402"/>
      <c r="K179" s="402"/>
      <c r="L179" s="402"/>
      <c r="M179" s="402"/>
      <c r="N179" s="574"/>
      <c r="O179" s="402"/>
      <c r="P179" s="402"/>
      <c r="Q179" s="402"/>
      <c r="R179" s="402"/>
      <c r="S179" s="402"/>
      <c r="T179" s="789"/>
    </row>
    <row r="180" spans="1:26" ht="13.5" thickBot="1">
      <c r="A180" s="703">
        <v>12</v>
      </c>
      <c r="B180" s="506" t="s">
        <v>378</v>
      </c>
      <c r="C180"/>
      <c r="D180"/>
      <c r="E180" s="394"/>
      <c r="F180" s="394"/>
      <c r="G180" s="510"/>
      <c r="H180" s="510">
        <f>RATE(13,,-G139,$T139)</f>
        <v>3.7252431363684092E-2</v>
      </c>
      <c r="I180" s="510">
        <f t="shared" ref="I180" si="98">RATE(12,,-H139,$T139)</f>
        <v>5.326302262640506E-2</v>
      </c>
      <c r="J180" s="510">
        <f>RATE(11,,-I139,$T139)</f>
        <v>2.913685420849425E-2</v>
      </c>
      <c r="K180" s="510">
        <f>RATE(10,,-J139,$T139)</f>
        <v>2.2695898547999329E-2</v>
      </c>
      <c r="L180" s="510">
        <f>RATE(9,,-K139,$T139)</f>
        <v>1.1342876587779784E-3</v>
      </c>
      <c r="M180" s="510">
        <f>RATE(8,,-L139,$T139)</f>
        <v>2.0542645746224081E-2</v>
      </c>
      <c r="N180" s="743">
        <f>RATE(7,,-M139,$T139)</f>
        <v>1.7851560938176823E-2</v>
      </c>
      <c r="O180" s="510">
        <f>RATE(6,,-N139,$T139)</f>
        <v>3.2252571312358196E-2</v>
      </c>
      <c r="P180" s="510">
        <f>RATE(5,,-O139,$T139)</f>
        <v>4.3320265418828434E-2</v>
      </c>
      <c r="Q180" s="510">
        <f>RATE(4,,-P139,$T139)</f>
        <v>5.4486485399241037E-2</v>
      </c>
      <c r="R180" s="510">
        <f>RATE(3,,-Q139,$T139)</f>
        <v>7.3405225735358168E-2</v>
      </c>
      <c r="S180" s="510">
        <f>RATE(2,,-R139,$T139)</f>
        <v>2.4367995707108125E-2</v>
      </c>
      <c r="T180" s="790">
        <f>RATE(1,,-S139,$T139)</f>
        <v>4.0973152424944653E-3</v>
      </c>
      <c r="U180" s="405"/>
      <c r="V180" s="45"/>
    </row>
    <row r="181" spans="1:26">
      <c r="A181" s="399"/>
      <c r="B181" s="403"/>
      <c r="C181" s="403"/>
      <c r="D181" s="403"/>
      <c r="E181" s="404"/>
      <c r="F181" s="404"/>
      <c r="G181" s="394"/>
      <c r="H181" s="394"/>
      <c r="I181" s="394"/>
      <c r="J181" s="394"/>
      <c r="K181" s="394"/>
      <c r="L181" s="394"/>
      <c r="M181" s="394"/>
      <c r="N181" s="498"/>
      <c r="O181" s="394"/>
      <c r="P181" s="394"/>
      <c r="Q181" s="394"/>
      <c r="R181" s="403"/>
      <c r="S181" s="40"/>
      <c r="T181" s="40"/>
      <c r="U181" s="84"/>
      <c r="W181" s="686"/>
      <c r="X181" s="687"/>
      <c r="Y181" s="43"/>
      <c r="Z181" s="43"/>
    </row>
    <row r="182" spans="1:26" ht="12.75">
      <c r="A182" s="399"/>
      <c r="B182" s="396" t="s">
        <v>422</v>
      </c>
      <c r="C182" s="396"/>
      <c r="D182" s="397"/>
      <c r="E182" s="398"/>
      <c r="F182" s="398"/>
      <c r="G182" s="544"/>
      <c r="H182" s="544" t="s">
        <v>647</v>
      </c>
      <c r="I182" s="544" t="s">
        <v>658</v>
      </c>
      <c r="J182" s="544" t="s">
        <v>648</v>
      </c>
      <c r="K182" s="544" t="s">
        <v>649</v>
      </c>
      <c r="L182" s="544" t="s">
        <v>650</v>
      </c>
      <c r="M182" s="544" t="s">
        <v>651</v>
      </c>
      <c r="N182" s="544" t="s">
        <v>652</v>
      </c>
      <c r="O182" s="544" t="s">
        <v>653</v>
      </c>
      <c r="P182" s="544" t="s">
        <v>654</v>
      </c>
      <c r="Q182" s="544" t="s">
        <v>655</v>
      </c>
      <c r="R182" s="544" t="s">
        <v>656</v>
      </c>
      <c r="S182" s="544" t="s">
        <v>657</v>
      </c>
      <c r="T182" s="785" t="s">
        <v>646</v>
      </c>
      <c r="U182" s="84"/>
      <c r="W182" s="41"/>
      <c r="X182" s="41"/>
      <c r="Y182" s="41"/>
      <c r="Z182" s="41"/>
    </row>
    <row r="183" spans="1:26" ht="6.75" customHeight="1" thickBot="1">
      <c r="A183" s="399"/>
      <c r="B183" s="403"/>
      <c r="C183" s="403"/>
      <c r="D183" s="403"/>
      <c r="E183" s="404"/>
      <c r="F183" s="404"/>
      <c r="G183" s="511"/>
      <c r="H183" s="511"/>
      <c r="I183" s="511"/>
      <c r="J183" s="511"/>
      <c r="K183" s="511"/>
      <c r="L183" s="511"/>
      <c r="M183" s="511"/>
      <c r="N183" s="511"/>
      <c r="O183" s="511"/>
      <c r="P183" s="511"/>
      <c r="Q183" s="511"/>
      <c r="R183" s="403"/>
      <c r="S183" s="54"/>
      <c r="T183" s="54"/>
      <c r="U183" s="84"/>
      <c r="W183" s="41"/>
      <c r="X183" s="688"/>
      <c r="Y183" s="41"/>
      <c r="Z183" s="41"/>
    </row>
    <row r="184" spans="1:26">
      <c r="A184" s="399">
        <v>13</v>
      </c>
      <c r="B184" s="733" t="s">
        <v>426</v>
      </c>
      <c r="C184" s="403"/>
      <c r="D184" s="403"/>
      <c r="G184" s="404" t="s">
        <v>659</v>
      </c>
      <c r="H184" s="512">
        <f t="shared" ref="H184:T184" si="99">(1+H164)^2-1</f>
        <v>0.11108365984889557</v>
      </c>
      <c r="I184" s="512">
        <f t="shared" si="99"/>
        <v>9.544016757750784E-2</v>
      </c>
      <c r="J184" s="512">
        <f t="shared" si="99"/>
        <v>0.11176798736000304</v>
      </c>
      <c r="K184" s="512">
        <f t="shared" si="99"/>
        <v>9.7948881576293223E-2</v>
      </c>
      <c r="L184" s="512">
        <f t="shared" si="99"/>
        <v>0.10703475875257706</v>
      </c>
      <c r="M184" s="512">
        <f t="shared" si="99"/>
        <v>0.10176754584054182</v>
      </c>
      <c r="N184" s="877">
        <f t="shared" si="99"/>
        <v>0.10525832819635705</v>
      </c>
      <c r="O184" s="878">
        <f t="shared" si="99"/>
        <v>9.7010581162002563E-2</v>
      </c>
      <c r="P184" s="878">
        <f t="shared" si="99"/>
        <v>7.877245861005755E-2</v>
      </c>
      <c r="Q184" s="878">
        <f t="shared" si="99"/>
        <v>7.3176325427691147E-2</v>
      </c>
      <c r="R184" s="878">
        <f t="shared" si="99"/>
        <v>3.9965872649822209E-2</v>
      </c>
      <c r="S184" s="878">
        <f t="shared" si="99"/>
        <v>-2.7515919247477316E-2</v>
      </c>
      <c r="T184" s="878">
        <f t="shared" si="99"/>
        <v>3.7398759251395131E-2</v>
      </c>
      <c r="U184" s="874" t="s">
        <v>741</v>
      </c>
      <c r="V184" s="45"/>
      <c r="W184" s="41"/>
      <c r="X184" s="41"/>
      <c r="Y184" s="41"/>
      <c r="Z184" s="41"/>
    </row>
    <row r="185" spans="1:26">
      <c r="A185" s="399"/>
      <c r="B185" s="400"/>
      <c r="C185" s="403"/>
      <c r="D185" s="403"/>
      <c r="G185" s="404"/>
      <c r="H185" s="512"/>
      <c r="I185" s="512"/>
      <c r="J185" s="512"/>
      <c r="K185" s="512"/>
      <c r="L185" s="512"/>
      <c r="M185" s="512"/>
      <c r="N185" s="574"/>
      <c r="O185" s="512"/>
      <c r="P185" s="512"/>
      <c r="Q185" s="512"/>
      <c r="R185" s="512"/>
      <c r="S185" s="45"/>
      <c r="T185" s="670"/>
      <c r="U185" s="405"/>
      <c r="V185" s="45"/>
    </row>
    <row r="186" spans="1:26">
      <c r="A186" s="701" t="s">
        <v>493</v>
      </c>
      <c r="B186" s="400" t="s">
        <v>612</v>
      </c>
      <c r="C186" s="403"/>
      <c r="D186" s="403"/>
      <c r="G186" s="836" t="s">
        <v>659</v>
      </c>
      <c r="H186" s="512"/>
      <c r="I186" s="512"/>
      <c r="J186" s="512"/>
      <c r="K186" s="512"/>
      <c r="L186" s="512"/>
      <c r="M186" s="512"/>
      <c r="N186" s="700">
        <f>(1+N166)^2-1</f>
        <v>6.0899999999999954E-2</v>
      </c>
      <c r="O186" s="512"/>
      <c r="P186" s="512"/>
      <c r="Q186" s="512"/>
      <c r="R186" s="512"/>
      <c r="S186" s="45"/>
      <c r="T186" s="670"/>
      <c r="U186" s="405"/>
      <c r="V186" s="45"/>
    </row>
    <row r="187" spans="1:26">
      <c r="A187" s="399"/>
      <c r="B187" s="400"/>
      <c r="C187" s="403"/>
      <c r="D187" s="403"/>
      <c r="G187" s="404"/>
      <c r="H187" s="512"/>
      <c r="I187" s="512"/>
      <c r="J187" s="512"/>
      <c r="K187" s="512"/>
      <c r="L187" s="512"/>
      <c r="M187" s="512"/>
      <c r="N187" s="574"/>
      <c r="O187" s="512"/>
      <c r="P187" s="512"/>
      <c r="Q187" s="512"/>
      <c r="R187" s="512"/>
      <c r="S187" s="45"/>
      <c r="T187" s="670"/>
      <c r="U187" s="405"/>
      <c r="V187" s="45"/>
    </row>
    <row r="188" spans="1:26">
      <c r="A188" s="399">
        <v>14</v>
      </c>
      <c r="B188" s="733" t="s">
        <v>610</v>
      </c>
      <c r="C188" s="403"/>
      <c r="D188" s="403"/>
      <c r="G188" s="837" t="s">
        <v>659</v>
      </c>
      <c r="H188" s="512">
        <f>(1+H168)^2-1</f>
        <v>0.13198378984024028</v>
      </c>
      <c r="I188" s="512">
        <f t="shared" ref="I188:T188" si="100">(1+I168)^2-1</f>
        <v>0.10097923468553915</v>
      </c>
      <c r="J188" s="512">
        <f t="shared" si="100"/>
        <v>0.10654827295075231</v>
      </c>
      <c r="K188" s="512">
        <f t="shared" si="100"/>
        <v>0.10884576550943814</v>
      </c>
      <c r="L188" s="512">
        <f t="shared" si="100"/>
        <v>0.11455238251220989</v>
      </c>
      <c r="M188" s="512">
        <f t="shared" si="100"/>
        <v>0.11427042144420452</v>
      </c>
      <c r="N188" s="574">
        <f>(1+N168)^2-1</f>
        <v>0.12298607169592657</v>
      </c>
      <c r="O188" s="512">
        <f t="shared" si="100"/>
        <v>0.12003668313266758</v>
      </c>
      <c r="P188" s="512">
        <f t="shared" si="100"/>
        <v>0.12080605645854448</v>
      </c>
      <c r="Q188" s="512">
        <f t="shared" si="100"/>
        <v>0.11046640735304392</v>
      </c>
      <c r="R188" s="512">
        <f t="shared" si="100"/>
        <v>0.10748504695062389</v>
      </c>
      <c r="S188" s="512">
        <f t="shared" si="100"/>
        <v>9.3475384250796267E-2</v>
      </c>
      <c r="T188" s="512">
        <f t="shared" si="100"/>
        <v>0.14229124699835705</v>
      </c>
      <c r="U188" s="405"/>
      <c r="V188" s="45"/>
    </row>
    <row r="189" spans="1:26">
      <c r="A189" s="399"/>
      <c r="B189" s="400"/>
      <c r="C189" s="403"/>
      <c r="D189" s="403"/>
      <c r="G189" s="404"/>
      <c r="H189" s="512"/>
      <c r="I189" s="512"/>
      <c r="J189" s="512"/>
      <c r="K189" s="512"/>
      <c r="L189" s="512"/>
      <c r="M189" s="512"/>
      <c r="N189" s="574"/>
      <c r="O189" s="512"/>
      <c r="P189" s="512"/>
      <c r="Q189" s="512"/>
      <c r="R189" s="512"/>
      <c r="S189" s="512"/>
      <c r="T189" s="791"/>
      <c r="U189" s="405"/>
      <c r="V189" s="670"/>
    </row>
    <row r="190" spans="1:26">
      <c r="A190" s="701" t="s">
        <v>598</v>
      </c>
      <c r="B190" s="400" t="s">
        <v>634</v>
      </c>
      <c r="C190" s="403"/>
      <c r="D190" s="403"/>
      <c r="G190" s="836" t="s">
        <v>659</v>
      </c>
      <c r="H190" s="512"/>
      <c r="I190" s="512"/>
      <c r="J190" s="512"/>
      <c r="K190" s="512"/>
      <c r="L190" s="512"/>
      <c r="M190" s="512"/>
      <c r="N190" s="700">
        <f>(1+N170)^2-1</f>
        <v>0.22201191510413221</v>
      </c>
      <c r="O190" s="402" t="s">
        <v>633</v>
      </c>
      <c r="P190" s="512"/>
      <c r="Q190" s="512"/>
      <c r="R190" s="512"/>
      <c r="S190" s="512"/>
      <c r="T190" s="791"/>
      <c r="U190" s="405"/>
      <c r="V190" s="670"/>
    </row>
    <row r="191" spans="1:26">
      <c r="A191" s="399"/>
      <c r="B191" s="400"/>
      <c r="C191" s="403"/>
      <c r="D191" s="403"/>
      <c r="G191" s="404"/>
      <c r="H191" s="511"/>
      <c r="I191" s="511"/>
      <c r="J191" s="511"/>
      <c r="K191" s="511"/>
      <c r="L191" s="511"/>
      <c r="M191" s="511"/>
      <c r="N191" s="574"/>
      <c r="O191" s="511"/>
      <c r="P191" s="511"/>
      <c r="Q191" s="511"/>
      <c r="R191" s="511"/>
      <c r="S191" s="511"/>
      <c r="T191" s="792"/>
      <c r="U191" s="84"/>
    </row>
    <row r="192" spans="1:26">
      <c r="A192" s="701">
        <v>15</v>
      </c>
      <c r="B192" s="400" t="s">
        <v>611</v>
      </c>
      <c r="C192" s="403"/>
      <c r="D192" s="403"/>
      <c r="G192" s="836" t="s">
        <v>659</v>
      </c>
      <c r="H192" s="512">
        <f>(1+H172)^2-1</f>
        <v>0.10175764878549165</v>
      </c>
      <c r="I192" s="512">
        <f t="shared" ref="I192:T192" si="101">(1+I172)^2-1</f>
        <v>7.9858257966692658E-2</v>
      </c>
      <c r="J192" s="512">
        <f t="shared" si="101"/>
        <v>8.9076153191476548E-2</v>
      </c>
      <c r="K192" s="512">
        <f t="shared" si="101"/>
        <v>9.2394153308056115E-2</v>
      </c>
      <c r="L192" s="512">
        <f t="shared" si="101"/>
        <v>0.10012571952821836</v>
      </c>
      <c r="M192" s="512">
        <f t="shared" si="101"/>
        <v>0.10863569989363042</v>
      </c>
      <c r="N192" s="700">
        <f t="shared" si="101"/>
        <v>0.13806181972825415</v>
      </c>
      <c r="O192" s="512">
        <f t="shared" si="101"/>
        <v>0.15053834062231508</v>
      </c>
      <c r="P192" s="512">
        <f t="shared" si="101"/>
        <v>0.15792291658103164</v>
      </c>
      <c r="Q192" s="512">
        <f t="shared" si="101"/>
        <v>0.14265933305606304</v>
      </c>
      <c r="R192" s="512">
        <f t="shared" si="101"/>
        <v>0.11508425523797672</v>
      </c>
      <c r="S192" s="512">
        <f t="shared" si="101"/>
        <v>0.13953630903300129</v>
      </c>
      <c r="T192" s="791">
        <f t="shared" si="101"/>
        <v>0.1253540278402907</v>
      </c>
      <c r="U192" s="405"/>
      <c r="V192" s="45"/>
    </row>
    <row r="193" spans="1:22" ht="12.75">
      <c r="A193" s="399"/>
      <c r="B193"/>
      <c r="C193" s="403"/>
      <c r="D193" s="403"/>
      <c r="G193" s="404"/>
      <c r="H193" s="511"/>
      <c r="I193" s="511"/>
      <c r="J193" s="511"/>
      <c r="K193" s="511"/>
      <c r="L193" s="511"/>
      <c r="M193" s="511"/>
      <c r="N193" s="575"/>
      <c r="O193" s="511"/>
      <c r="P193" s="511"/>
      <c r="Q193" s="511"/>
      <c r="R193" s="511"/>
      <c r="S193" s="511"/>
      <c r="T193" s="792"/>
      <c r="U193" s="84"/>
    </row>
    <row r="194" spans="1:22">
      <c r="A194" s="399">
        <v>16</v>
      </c>
      <c r="B194" s="506" t="s">
        <v>294</v>
      </c>
      <c r="C194" s="403"/>
      <c r="D194" s="403"/>
      <c r="G194" s="837" t="s">
        <v>659</v>
      </c>
      <c r="H194" s="512">
        <f>(1+H174)^2-1</f>
        <v>9.7783530292977039E-2</v>
      </c>
      <c r="I194" s="512">
        <f t="shared" ref="I194:M194" si="102">(1+I174)^2-1</f>
        <v>8.620033592266374E-2</v>
      </c>
      <c r="J194" s="512">
        <f t="shared" si="102"/>
        <v>9.9559703996855875E-2</v>
      </c>
      <c r="K194" s="512">
        <f t="shared" si="102"/>
        <v>9.893982717290295E-2</v>
      </c>
      <c r="L194" s="512">
        <f t="shared" si="102"/>
        <v>9.7490077053337343E-2</v>
      </c>
      <c r="M194" s="512">
        <f t="shared" si="102"/>
        <v>9.1485151064778725E-2</v>
      </c>
      <c r="N194" s="574">
        <f>(1+N174)^2-1</f>
        <v>9.9702377498320116E-2</v>
      </c>
      <c r="O194" s="512">
        <f t="shared" ref="O194:T194" si="103">(1+O174)^2-1</f>
        <v>9.8089022175145146E-2</v>
      </c>
      <c r="P194" s="512">
        <f t="shared" si="103"/>
        <v>8.6400494389687221E-2</v>
      </c>
      <c r="Q194" s="512">
        <f t="shared" si="103"/>
        <v>8.2695129122674071E-2</v>
      </c>
      <c r="R194" s="512">
        <f t="shared" si="103"/>
        <v>7.6652078365113674E-2</v>
      </c>
      <c r="S194" s="512">
        <f t="shared" si="103"/>
        <v>7.3291091138860009E-2</v>
      </c>
      <c r="T194" s="512">
        <f t="shared" si="103"/>
        <v>3.2891776964158348E-2</v>
      </c>
      <c r="U194" s="811" t="s">
        <v>715</v>
      </c>
      <c r="V194" s="45"/>
    </row>
    <row r="195" spans="1:22">
      <c r="A195" s="399"/>
      <c r="B195" s="401"/>
      <c r="C195" s="403"/>
      <c r="D195" s="403"/>
      <c r="G195" s="404"/>
      <c r="H195" s="512"/>
      <c r="I195" s="512"/>
      <c r="J195" s="512"/>
      <c r="K195" s="512"/>
      <c r="L195" s="512"/>
      <c r="M195" s="512"/>
      <c r="N195" s="574"/>
      <c r="O195" s="512"/>
      <c r="P195" s="512"/>
      <c r="Q195" s="512"/>
      <c r="R195" s="512"/>
      <c r="S195" s="512"/>
      <c r="T195" s="791"/>
      <c r="U195" s="405"/>
      <c r="V195" s="670"/>
    </row>
    <row r="196" spans="1:22">
      <c r="A196" s="701" t="s">
        <v>599</v>
      </c>
      <c r="B196" s="401" t="s">
        <v>608</v>
      </c>
      <c r="C196" s="403"/>
      <c r="D196" s="403"/>
      <c r="G196" s="836" t="s">
        <v>659</v>
      </c>
      <c r="H196" s="512"/>
      <c r="I196" s="512"/>
      <c r="J196" s="512"/>
      <c r="K196" s="512"/>
      <c r="L196" s="512"/>
      <c r="M196" s="512"/>
      <c r="N196" s="700">
        <f>(1+N176)^2-1</f>
        <v>0.12437258337566548</v>
      </c>
      <c r="O196" s="402" t="s">
        <v>633</v>
      </c>
      <c r="P196" s="512"/>
      <c r="Q196" s="512"/>
      <c r="R196" s="512"/>
      <c r="S196" s="512"/>
      <c r="T196" s="791"/>
      <c r="U196" s="405"/>
      <c r="V196" s="670"/>
    </row>
    <row r="197" spans="1:22" ht="12.75">
      <c r="B197"/>
      <c r="G197" s="41"/>
      <c r="H197" s="40"/>
      <c r="I197" s="40"/>
      <c r="J197" s="40"/>
      <c r="K197" s="40"/>
      <c r="L197" s="40"/>
      <c r="M197" s="40"/>
      <c r="N197" s="574"/>
      <c r="O197" s="40"/>
      <c r="P197" s="40"/>
      <c r="Q197" s="40"/>
      <c r="S197" s="40"/>
      <c r="T197" s="40"/>
    </row>
    <row r="198" spans="1:22">
      <c r="A198" s="399">
        <v>17</v>
      </c>
      <c r="B198" s="506" t="s">
        <v>377</v>
      </c>
      <c r="G198" s="837" t="s">
        <v>659</v>
      </c>
      <c r="H198" s="512">
        <f>(1+H178)^2-1</f>
        <v>0.12342364804691774</v>
      </c>
      <c r="I198" s="512">
        <f t="shared" ref="I198:T198" si="104">(1+I178)^2-1</f>
        <v>8.93513810264146E-2</v>
      </c>
      <c r="J198" s="512">
        <f t="shared" si="104"/>
        <v>0.10302471752866005</v>
      </c>
      <c r="K198" s="512">
        <f t="shared" si="104"/>
        <v>0.10351755135087681</v>
      </c>
      <c r="L198" s="512">
        <f t="shared" si="104"/>
        <v>0.10275282130097296</v>
      </c>
      <c r="M198" s="512">
        <f t="shared" si="104"/>
        <v>9.844716267972764E-2</v>
      </c>
      <c r="N198" s="574">
        <f>(1+N178)^2-1</f>
        <v>0.10705173616200159</v>
      </c>
      <c r="O198" s="512">
        <f t="shared" si="104"/>
        <v>0.10765755047252723</v>
      </c>
      <c r="P198" s="512">
        <f t="shared" si="104"/>
        <v>9.9216087861930813E-2</v>
      </c>
      <c r="Q198" s="512">
        <f t="shared" si="104"/>
        <v>8.9777700000208016E-2</v>
      </c>
      <c r="R198" s="512">
        <f t="shared" si="104"/>
        <v>7.7774715895920332E-2</v>
      </c>
      <c r="S198" s="512">
        <f t="shared" si="104"/>
        <v>9.8519812765590187E-2</v>
      </c>
      <c r="T198" s="512">
        <f t="shared" si="104"/>
        <v>7.8316235572873705E-2</v>
      </c>
      <c r="U198" s="405"/>
      <c r="V198" s="45"/>
    </row>
    <row r="199" spans="1:22" ht="12.75">
      <c r="A199" s="399"/>
      <c r="B199"/>
      <c r="G199" s="41"/>
      <c r="H199" s="40"/>
      <c r="I199" s="40"/>
      <c r="J199" s="40"/>
      <c r="K199" s="40"/>
      <c r="L199" s="40"/>
      <c r="M199" s="40"/>
      <c r="N199" s="575"/>
      <c r="O199" s="40"/>
      <c r="P199" s="40"/>
      <c r="Q199" s="40"/>
      <c r="S199" s="40"/>
      <c r="T199" s="40"/>
    </row>
    <row r="200" spans="1:22" ht="12.75" thickBot="1">
      <c r="A200" s="701">
        <v>18</v>
      </c>
      <c r="B200" s="401" t="s">
        <v>378</v>
      </c>
      <c r="G200" s="836" t="s">
        <v>659</v>
      </c>
      <c r="H200" s="512">
        <f t="shared" ref="H200:T200" si="105">(1+H180)^2-1</f>
        <v>7.5892606369874382E-2</v>
      </c>
      <c r="I200" s="512">
        <f t="shared" si="105"/>
        <v>0.10936299483211109</v>
      </c>
      <c r="J200" s="512">
        <f t="shared" si="105"/>
        <v>5.912266469015548E-2</v>
      </c>
      <c r="K200" s="512">
        <f t="shared" si="105"/>
        <v>4.5906900906899528E-2</v>
      </c>
      <c r="L200" s="512">
        <f t="shared" si="105"/>
        <v>2.2698619260486108E-3</v>
      </c>
      <c r="M200" s="512">
        <f t="shared" si="105"/>
        <v>4.1507291786702982E-2</v>
      </c>
      <c r="N200" s="744">
        <f t="shared" si="105"/>
        <v>3.602180010428313E-2</v>
      </c>
      <c r="O200" s="512">
        <f t="shared" si="105"/>
        <v>6.5545370980975237E-2</v>
      </c>
      <c r="P200" s="512">
        <f t="shared" si="105"/>
        <v>8.8517176233614769E-2</v>
      </c>
      <c r="Q200" s="512">
        <f t="shared" si="105"/>
        <v>0.11194174788964384</v>
      </c>
      <c r="R200" s="512">
        <f t="shared" si="105"/>
        <v>0.15219877863597508</v>
      </c>
      <c r="S200" s="512">
        <f t="shared" si="105"/>
        <v>4.9329790628997783E-2</v>
      </c>
      <c r="T200" s="791">
        <f t="shared" si="105"/>
        <v>8.2114184771855392E-3</v>
      </c>
      <c r="U200" s="405"/>
      <c r="V200" s="45"/>
    </row>
    <row r="201" spans="1:22" ht="6" customHeight="1">
      <c r="A201" s="399"/>
      <c r="B201" s="401"/>
      <c r="E201" s="404"/>
      <c r="G201" s="512"/>
      <c r="H201" s="512"/>
      <c r="I201" s="512"/>
      <c r="J201" s="512"/>
      <c r="K201" s="512"/>
      <c r="L201" s="512"/>
      <c r="M201" s="512"/>
      <c r="N201" s="509"/>
      <c r="O201" s="512"/>
      <c r="P201" s="512"/>
      <c r="Q201" s="512"/>
      <c r="R201" s="512"/>
      <c r="S201" s="512"/>
      <c r="T201" s="512"/>
      <c r="U201" s="405"/>
      <c r="V201" s="670"/>
    </row>
    <row r="202" spans="1:22" ht="15.75">
      <c r="A202" s="542" t="s">
        <v>117</v>
      </c>
      <c r="E202" s="945" t="s">
        <v>491</v>
      </c>
      <c r="F202" s="945"/>
      <c r="G202" s="945"/>
      <c r="H202" s="945"/>
      <c r="I202" s="945"/>
      <c r="J202" s="945"/>
      <c r="K202" s="945"/>
      <c r="L202" s="945"/>
      <c r="M202" s="945"/>
      <c r="N202" s="945"/>
      <c r="O202" s="945"/>
      <c r="P202" s="945"/>
      <c r="Q202" s="945"/>
      <c r="R202" s="945"/>
      <c r="S202" s="155"/>
      <c r="T202" s="155"/>
    </row>
    <row r="203" spans="1:22" ht="15.75">
      <c r="A203" s="542" t="s">
        <v>472</v>
      </c>
      <c r="E203" s="698"/>
      <c r="F203" s="698"/>
      <c r="G203" s="698"/>
      <c r="H203" s="698"/>
      <c r="I203" s="698"/>
      <c r="J203" s="698"/>
      <c r="K203" s="698"/>
      <c r="L203" s="698"/>
      <c r="M203" s="698"/>
      <c r="N203" s="698"/>
      <c r="O203" s="698"/>
      <c r="P203" s="698"/>
      <c r="Q203" s="698"/>
      <c r="R203" s="698"/>
      <c r="S203" s="155"/>
      <c r="T203" s="155"/>
    </row>
    <row r="204" spans="1:22" ht="12.75" customHeight="1">
      <c r="A204" s="542" t="s">
        <v>471</v>
      </c>
      <c r="F204" s="71"/>
      <c r="G204" s="495"/>
      <c r="H204" s="41"/>
      <c r="I204" s="720"/>
      <c r="J204" s="720"/>
      <c r="K204" s="720"/>
      <c r="L204" s="40"/>
      <c r="M204" s="40"/>
      <c r="N204" s="495"/>
      <c r="O204" s="720"/>
      <c r="P204" s="720"/>
      <c r="Q204" s="720"/>
      <c r="R204" s="720"/>
      <c r="S204" s="155"/>
      <c r="T204" s="155"/>
    </row>
    <row r="205" spans="1:22" ht="12.75" customHeight="1">
      <c r="F205" s="71"/>
      <c r="G205" s="495"/>
      <c r="H205" s="735" t="s">
        <v>735</v>
      </c>
      <c r="I205" s="736"/>
      <c r="J205" s="736"/>
      <c r="K205" s="736"/>
      <c r="L205" s="725"/>
      <c r="M205" s="725"/>
      <c r="N205" s="495"/>
      <c r="O205" s="720"/>
      <c r="P205" s="720"/>
      <c r="Q205" s="720"/>
      <c r="R205" s="720"/>
      <c r="S205" s="155"/>
      <c r="T205" s="155"/>
    </row>
    <row r="206" spans="1:22">
      <c r="F206" s="40"/>
      <c r="G206" s="40"/>
      <c r="H206" s="40"/>
      <c r="I206" s="719" t="s">
        <v>602</v>
      </c>
      <c r="J206" s="40"/>
      <c r="K206" s="718"/>
      <c r="L206" s="719"/>
      <c r="M206" s="718"/>
      <c r="N206" s="40"/>
      <c r="O206" s="712"/>
      <c r="P206" s="711"/>
      <c r="Q206" s="712"/>
      <c r="R206" s="711"/>
    </row>
    <row r="207" spans="1:22" ht="5.25" customHeight="1">
      <c r="E207" s="698"/>
      <c r="F207" s="698"/>
      <c r="G207" s="698"/>
      <c r="H207" s="698"/>
      <c r="I207" s="40"/>
      <c r="J207" s="40"/>
      <c r="K207" s="40"/>
      <c r="L207" s="40"/>
      <c r="M207" s="718"/>
      <c r="N207" s="698"/>
      <c r="O207" s="710"/>
      <c r="P207" s="711"/>
      <c r="Q207" s="712"/>
      <c r="R207" s="711"/>
    </row>
    <row r="208" spans="1:22">
      <c r="D208" s="726" t="s">
        <v>600</v>
      </c>
      <c r="E208" s="944" t="s">
        <v>660</v>
      </c>
      <c r="F208" s="944"/>
      <c r="G208" s="944"/>
      <c r="H208" s="40"/>
      <c r="I208" s="717">
        <v>2007</v>
      </c>
      <c r="J208" s="718">
        <v>870835</v>
      </c>
      <c r="K208" s="721" t="s">
        <v>604</v>
      </c>
      <c r="L208" s="719"/>
      <c r="M208" s="718"/>
      <c r="N208" s="40"/>
      <c r="O208" s="709"/>
      <c r="P208" s="711"/>
      <c r="Q208" s="711"/>
      <c r="R208" s="711"/>
    </row>
    <row r="209" spans="4:18">
      <c r="E209" s="684">
        <v>42004</v>
      </c>
      <c r="G209" s="684">
        <v>42735</v>
      </c>
      <c r="H209" s="40"/>
      <c r="I209" s="716">
        <v>2008</v>
      </c>
      <c r="J209" s="718">
        <v>917247</v>
      </c>
      <c r="K209" s="718">
        <f t="shared" ref="K209:K216" si="106">J209-J208</f>
        <v>46412</v>
      </c>
      <c r="L209" s="40"/>
      <c r="M209" s="718"/>
      <c r="N209" s="40"/>
      <c r="O209" s="709"/>
      <c r="P209" s="711"/>
      <c r="Q209" s="711"/>
      <c r="R209" s="711"/>
    </row>
    <row r="210" spans="4:18">
      <c r="E210" s="184">
        <f>'Attrition 09.2014 to 2016'!I18</f>
        <v>23715</v>
      </c>
      <c r="G210" s="40">
        <f>18186+7526</f>
        <v>25712</v>
      </c>
      <c r="H210" s="40"/>
      <c r="I210" s="716">
        <v>2009</v>
      </c>
      <c r="J210" s="718">
        <v>987243</v>
      </c>
      <c r="K210" s="718">
        <f t="shared" si="106"/>
        <v>69996</v>
      </c>
      <c r="L210" s="40"/>
      <c r="M210" s="718"/>
      <c r="N210" s="40"/>
      <c r="O210" s="709"/>
      <c r="P210" s="711"/>
      <c r="Q210" s="711"/>
      <c r="R210" s="711"/>
    </row>
    <row r="211" spans="4:18">
      <c r="E211" s="184">
        <f>'Attrition 09.2014 to 2016'!I25</f>
        <v>23794</v>
      </c>
      <c r="G211" s="40">
        <v>25940</v>
      </c>
      <c r="H211" s="40"/>
      <c r="I211" s="716">
        <v>2010</v>
      </c>
      <c r="J211" s="718">
        <v>1036064</v>
      </c>
      <c r="K211" s="718">
        <f t="shared" si="106"/>
        <v>48821</v>
      </c>
      <c r="L211" s="40"/>
      <c r="M211" s="718"/>
      <c r="N211" s="40"/>
      <c r="O211" s="709"/>
      <c r="P211" s="711"/>
      <c r="Q211" s="711"/>
      <c r="R211" s="711"/>
    </row>
    <row r="212" spans="4:18">
      <c r="E212" s="681">
        <f>'Attrition 09.2014 to 2016'!I36</f>
        <v>16947</v>
      </c>
      <c r="G212" s="681">
        <f>15466+11648</f>
        <v>27114</v>
      </c>
      <c r="H212" s="40"/>
      <c r="I212" s="716">
        <v>2011</v>
      </c>
      <c r="J212" s="718">
        <v>1087141</v>
      </c>
      <c r="K212" s="718">
        <f t="shared" si="106"/>
        <v>51077</v>
      </c>
      <c r="L212" s="40"/>
      <c r="M212" s="718"/>
      <c r="N212" s="40"/>
      <c r="O212" s="709"/>
      <c r="P212" s="711"/>
      <c r="Q212" s="711"/>
      <c r="R212" s="711"/>
    </row>
    <row r="213" spans="4:18">
      <c r="E213" s="184">
        <f>SUM(E210:E212)</f>
        <v>64456</v>
      </c>
      <c r="G213" s="184">
        <f>SUM(G210:G212)</f>
        <v>78766</v>
      </c>
      <c r="H213" s="40"/>
      <c r="I213" s="716">
        <v>2012</v>
      </c>
      <c r="J213" s="718">
        <v>1131570</v>
      </c>
      <c r="K213" s="718">
        <f t="shared" si="106"/>
        <v>44429</v>
      </c>
      <c r="L213" s="40"/>
      <c r="M213" s="718"/>
      <c r="N213" s="40"/>
      <c r="O213" s="709"/>
      <c r="P213" s="711"/>
      <c r="Q213" s="711"/>
      <c r="R213" s="711"/>
    </row>
    <row r="214" spans="4:18">
      <c r="D214" s="355" t="s">
        <v>635</v>
      </c>
      <c r="G214" s="705">
        <f>RATE(2,,-E213,$G213)</f>
        <v>0.10544647772026131</v>
      </c>
      <c r="H214" s="40"/>
      <c r="I214" s="716">
        <v>2013</v>
      </c>
      <c r="J214" s="718">
        <v>1195010</v>
      </c>
      <c r="K214" s="718">
        <f t="shared" si="106"/>
        <v>63440</v>
      </c>
      <c r="L214" s="725" t="s">
        <v>603</v>
      </c>
      <c r="M214" s="40"/>
      <c r="N214" s="40"/>
      <c r="O214" s="708"/>
      <c r="P214" s="711"/>
      <c r="Q214" s="711"/>
      <c r="R214" s="707"/>
    </row>
    <row r="215" spans="4:18">
      <c r="D215" s="355" t="s">
        <v>636</v>
      </c>
      <c r="G215" s="704">
        <f>(G213-E213)/E213</f>
        <v>0.22201191510487775</v>
      </c>
      <c r="H215" s="40"/>
      <c r="I215" s="741">
        <v>2014</v>
      </c>
      <c r="J215" s="718">
        <f>E219</f>
        <v>1214504</v>
      </c>
      <c r="K215" s="718">
        <f t="shared" si="106"/>
        <v>19494</v>
      </c>
      <c r="L215" s="715">
        <f>SUM(K209:K215)/7</f>
        <v>49095.571428571428</v>
      </c>
      <c r="M215" s="718"/>
      <c r="N215" s="40"/>
      <c r="O215" s="706"/>
      <c r="P215" s="711"/>
      <c r="Q215" s="711"/>
      <c r="R215" s="711"/>
    </row>
    <row r="216" spans="4:18">
      <c r="G216" s="40"/>
      <c r="H216" s="40"/>
      <c r="I216" s="714">
        <v>2016</v>
      </c>
      <c r="J216" s="718">
        <f>G219</f>
        <v>1365555</v>
      </c>
      <c r="K216" s="718">
        <f t="shared" si="106"/>
        <v>151051</v>
      </c>
      <c r="L216" s="40"/>
      <c r="M216" s="40"/>
      <c r="N216" s="40"/>
      <c r="O216" s="40"/>
      <c r="P216" s="40"/>
      <c r="Q216" s="40"/>
    </row>
    <row r="217" spans="4:18">
      <c r="D217" s="724" t="s">
        <v>601</v>
      </c>
      <c r="E217" s="723"/>
      <c r="F217" s="722"/>
      <c r="G217" s="723"/>
      <c r="H217" s="40"/>
      <c r="I217" s="40"/>
      <c r="J217" s="40"/>
      <c r="K217" s="40"/>
      <c r="L217" s="40"/>
      <c r="M217" s="40"/>
      <c r="N217" s="40"/>
      <c r="O217" s="40"/>
      <c r="P217" s="40"/>
      <c r="Q217" s="40"/>
    </row>
    <row r="218" spans="4:18">
      <c r="E218" s="684">
        <v>42004</v>
      </c>
      <c r="G218" s="684">
        <v>42735</v>
      </c>
      <c r="H218" s="40"/>
      <c r="I218" s="40"/>
      <c r="J218" s="40"/>
      <c r="K218" s="40"/>
      <c r="L218" s="40"/>
      <c r="M218" s="40"/>
      <c r="N218" s="40"/>
      <c r="O218" s="40"/>
      <c r="P218" s="40"/>
      <c r="Q218" s="40"/>
    </row>
    <row r="219" spans="4:18">
      <c r="E219" s="838">
        <f>1214504+'Attrition 09.2014 to 2016'!G74</f>
        <v>1214504</v>
      </c>
      <c r="F219" s="746"/>
      <c r="G219" s="745">
        <f>1365555</f>
        <v>1365555</v>
      </c>
      <c r="H219" s="40"/>
      <c r="I219" s="40"/>
      <c r="J219" s="40"/>
      <c r="K219" s="40"/>
      <c r="L219" s="40"/>
      <c r="M219" s="40"/>
      <c r="N219" s="40"/>
      <c r="O219" s="40"/>
      <c r="P219" s="40"/>
      <c r="Q219" s="40"/>
    </row>
    <row r="220" spans="4:18">
      <c r="D220" s="355" t="s">
        <v>635</v>
      </c>
      <c r="G220" s="705">
        <f>RATE(2,,-E219,$G219)</f>
        <v>6.0364363497597731E-2</v>
      </c>
      <c r="H220" s="40"/>
      <c r="I220" s="40"/>
      <c r="J220" s="40"/>
      <c r="K220" s="40"/>
      <c r="L220" s="40"/>
      <c r="M220" s="40"/>
      <c r="N220" s="40"/>
      <c r="O220" s="40"/>
      <c r="P220" s="40"/>
      <c r="Q220" s="40"/>
    </row>
    <row r="221" spans="4:18">
      <c r="D221" s="355" t="s">
        <v>636</v>
      </c>
      <c r="G221" s="704">
        <f>(G219-E219)/E219</f>
        <v>0.12437258337560024</v>
      </c>
      <c r="H221" s="40"/>
      <c r="I221" s="40"/>
      <c r="J221" s="40"/>
      <c r="K221" s="40"/>
      <c r="L221" s="40"/>
      <c r="M221" s="40"/>
      <c r="N221" s="40"/>
      <c r="O221" s="40"/>
      <c r="P221" s="40"/>
      <c r="Q221" s="40"/>
    </row>
    <row r="222" spans="4:18">
      <c r="D222" s="40" t="s">
        <v>605</v>
      </c>
      <c r="G222" s="40"/>
      <c r="H222" s="40"/>
      <c r="I222" s="40"/>
      <c r="J222" s="40"/>
      <c r="K222" s="40"/>
      <c r="L222" s="40"/>
      <c r="M222" s="40"/>
      <c r="N222" s="40"/>
      <c r="O222" s="40"/>
      <c r="P222" s="40"/>
      <c r="Q222" s="40"/>
    </row>
    <row r="223" spans="4:18">
      <c r="G223" s="40"/>
      <c r="H223" s="40"/>
      <c r="I223" s="40"/>
      <c r="J223" s="40"/>
      <c r="K223" s="40"/>
      <c r="L223" s="40"/>
      <c r="M223" s="40"/>
      <c r="N223" s="40"/>
      <c r="O223" s="40"/>
      <c r="P223" s="40"/>
      <c r="Q223" s="40"/>
    </row>
    <row r="224" spans="4:18">
      <c r="G224" s="40"/>
      <c r="H224" s="40"/>
      <c r="I224" s="40"/>
      <c r="J224" s="40"/>
      <c r="K224" s="40"/>
      <c r="L224" s="40"/>
      <c r="M224" s="40"/>
      <c r="N224" s="40"/>
      <c r="O224" s="40"/>
      <c r="P224" s="40"/>
      <c r="Q224" s="40"/>
    </row>
    <row r="225" spans="7:17">
      <c r="G225" s="40"/>
      <c r="H225" s="40"/>
      <c r="I225" s="40"/>
      <c r="J225" s="40"/>
      <c r="K225" s="40"/>
      <c r="L225" s="40"/>
      <c r="M225" s="40"/>
      <c r="N225" s="40"/>
      <c r="O225" s="40"/>
      <c r="P225" s="40"/>
      <c r="Q225" s="40"/>
    </row>
    <row r="226" spans="7:17">
      <c r="G226" s="40"/>
      <c r="H226" s="40"/>
      <c r="I226" s="40"/>
      <c r="J226" s="40"/>
      <c r="K226" s="40"/>
      <c r="L226" s="40"/>
      <c r="M226" s="40"/>
      <c r="N226" s="40"/>
      <c r="O226" s="40"/>
      <c r="P226" s="40"/>
      <c r="Q226" s="40"/>
    </row>
    <row r="227" spans="7:17">
      <c r="G227" s="40"/>
      <c r="H227" s="40"/>
      <c r="I227" s="40"/>
      <c r="J227" s="40"/>
      <c r="K227" s="40"/>
      <c r="L227" s="40"/>
      <c r="M227" s="40"/>
      <c r="N227" s="40"/>
      <c r="O227" s="40"/>
      <c r="P227" s="40"/>
      <c r="Q227" s="40"/>
    </row>
    <row r="228" spans="7:17">
      <c r="G228" s="40"/>
      <c r="H228" s="40"/>
      <c r="I228" s="40"/>
      <c r="J228" s="40"/>
      <c r="K228" s="40"/>
      <c r="L228" s="40"/>
      <c r="M228" s="40"/>
      <c r="N228" s="40"/>
      <c r="O228" s="40"/>
      <c r="P228" s="40"/>
      <c r="Q228" s="40"/>
    </row>
    <row r="229" spans="7:17">
      <c r="G229" s="40"/>
      <c r="H229" s="40"/>
      <c r="I229" s="40"/>
      <c r="J229" s="40"/>
      <c r="K229" s="40"/>
      <c r="L229" s="40"/>
      <c r="M229" s="40"/>
      <c r="N229" s="40"/>
      <c r="O229" s="40"/>
      <c r="P229" s="40"/>
      <c r="Q229" s="40"/>
    </row>
    <row r="230" spans="7:17">
      <c r="G230" s="40"/>
      <c r="H230" s="40"/>
      <c r="I230" s="40"/>
      <c r="J230" s="40"/>
      <c r="K230" s="40"/>
      <c r="L230" s="40"/>
      <c r="M230" s="40"/>
      <c r="N230" s="40"/>
      <c r="O230" s="40"/>
      <c r="P230" s="40"/>
      <c r="Q230" s="40"/>
    </row>
    <row r="231" spans="7:17">
      <c r="G231" s="40"/>
      <c r="H231" s="40"/>
      <c r="I231" s="40"/>
      <c r="J231" s="40"/>
      <c r="K231" s="40"/>
      <c r="L231" s="40"/>
      <c r="M231" s="40"/>
      <c r="N231" s="40"/>
      <c r="O231" s="40"/>
      <c r="P231" s="40"/>
      <c r="Q231" s="40"/>
    </row>
    <row r="232" spans="7:17">
      <c r="G232" s="40"/>
      <c r="H232" s="40"/>
      <c r="I232" s="40"/>
      <c r="J232" s="40"/>
      <c r="K232" s="40"/>
      <c r="L232" s="40"/>
      <c r="M232" s="40"/>
      <c r="N232" s="40"/>
      <c r="O232" s="40"/>
      <c r="P232" s="40"/>
      <c r="Q232" s="40"/>
    </row>
    <row r="233" spans="7:17">
      <c r="G233" s="40"/>
      <c r="H233" s="40"/>
      <c r="I233" s="40"/>
      <c r="J233" s="40"/>
      <c r="K233" s="40"/>
      <c r="L233" s="40"/>
      <c r="M233" s="40"/>
      <c r="N233" s="40"/>
      <c r="O233" s="40"/>
      <c r="P233" s="40"/>
      <c r="Q233" s="40"/>
    </row>
    <row r="234" spans="7:17">
      <c r="G234" s="40"/>
      <c r="H234" s="40"/>
      <c r="I234" s="40"/>
      <c r="J234" s="40"/>
      <c r="K234" s="40"/>
      <c r="L234" s="40"/>
      <c r="M234" s="40"/>
      <c r="N234" s="40"/>
      <c r="O234" s="40"/>
      <c r="P234" s="40"/>
      <c r="Q234" s="40"/>
    </row>
    <row r="235" spans="7:17">
      <c r="G235" s="40"/>
      <c r="H235" s="40"/>
      <c r="I235" s="40"/>
      <c r="J235" s="40"/>
      <c r="K235" s="40"/>
      <c r="L235" s="40"/>
      <c r="M235" s="40"/>
      <c r="N235" s="40"/>
      <c r="O235" s="40"/>
      <c r="P235" s="40"/>
      <c r="Q235" s="40"/>
    </row>
    <row r="236" spans="7:17">
      <c r="G236" s="40"/>
      <c r="H236" s="40"/>
      <c r="I236" s="40"/>
      <c r="J236" s="40"/>
      <c r="K236" s="40"/>
      <c r="L236" s="40"/>
      <c r="M236" s="40"/>
      <c r="N236" s="40"/>
      <c r="O236" s="40"/>
      <c r="P236" s="40"/>
      <c r="Q236" s="40"/>
    </row>
    <row r="237" spans="7:17">
      <c r="G237" s="40"/>
      <c r="H237" s="40"/>
      <c r="I237" s="40"/>
      <c r="J237" s="40"/>
      <c r="K237" s="40"/>
      <c r="L237" s="40"/>
      <c r="M237" s="40"/>
      <c r="N237" s="40"/>
      <c r="O237" s="40"/>
      <c r="P237" s="40"/>
      <c r="Q237" s="40"/>
    </row>
    <row r="238" spans="7:17">
      <c r="G238" s="40"/>
      <c r="H238" s="40"/>
      <c r="I238" s="40"/>
      <c r="J238" s="40"/>
      <c r="K238" s="40"/>
      <c r="L238" s="40"/>
      <c r="M238" s="40"/>
      <c r="N238" s="40"/>
      <c r="O238" s="40"/>
      <c r="P238" s="40"/>
      <c r="Q238" s="40"/>
    </row>
    <row r="239" spans="7:17">
      <c r="G239" s="40"/>
      <c r="H239" s="40"/>
      <c r="I239" s="40"/>
      <c r="J239" s="40"/>
      <c r="K239" s="40"/>
      <c r="L239" s="40"/>
      <c r="M239" s="40"/>
      <c r="N239" s="40"/>
      <c r="O239" s="40"/>
      <c r="P239" s="40"/>
      <c r="Q239" s="40"/>
    </row>
    <row r="240" spans="7:17">
      <c r="G240" s="40"/>
      <c r="H240" s="40"/>
      <c r="I240" s="40"/>
      <c r="J240" s="40"/>
      <c r="K240" s="40"/>
      <c r="L240" s="40"/>
      <c r="M240" s="40"/>
      <c r="N240" s="40"/>
      <c r="O240" s="40"/>
      <c r="P240" s="40"/>
      <c r="Q240" s="40"/>
    </row>
    <row r="241" spans="7:17">
      <c r="G241" s="40"/>
      <c r="H241" s="40"/>
      <c r="I241" s="40"/>
      <c r="J241" s="40"/>
      <c r="K241" s="40"/>
      <c r="L241" s="40"/>
      <c r="M241" s="40"/>
      <c r="N241" s="40"/>
      <c r="O241" s="40"/>
      <c r="P241" s="40"/>
      <c r="Q241" s="40"/>
    </row>
    <row r="242" spans="7:17">
      <c r="G242" s="40"/>
      <c r="H242" s="40"/>
      <c r="I242" s="727" t="s">
        <v>661</v>
      </c>
      <c r="J242" s="40"/>
      <c r="K242" s="40"/>
      <c r="L242" s="40"/>
      <c r="M242" s="40"/>
      <c r="N242" s="40"/>
      <c r="O242" s="40"/>
      <c r="P242" s="40"/>
      <c r="Q242" s="40"/>
    </row>
    <row r="243" spans="7:17">
      <c r="G243" s="40"/>
      <c r="H243" s="40"/>
      <c r="I243" s="727"/>
      <c r="J243" s="40"/>
      <c r="K243" s="40"/>
      <c r="L243" s="40"/>
      <c r="M243" s="40"/>
      <c r="N243" s="40"/>
      <c r="O243" s="40"/>
      <c r="P243" s="40"/>
      <c r="Q243" s="40"/>
    </row>
    <row r="244" spans="7:17">
      <c r="G244" s="40"/>
      <c r="H244" s="40"/>
      <c r="I244" s="40"/>
      <c r="J244" s="40"/>
      <c r="K244" s="40"/>
      <c r="L244" s="40"/>
      <c r="M244" s="40"/>
      <c r="N244" s="40"/>
      <c r="O244" s="40"/>
      <c r="P244" s="40"/>
      <c r="Q244" s="40"/>
    </row>
    <row r="245" spans="7:17">
      <c r="G245" s="40"/>
      <c r="H245" s="40"/>
      <c r="I245" s="40"/>
      <c r="J245" s="40"/>
      <c r="K245" s="40"/>
      <c r="L245" s="40"/>
      <c r="M245" s="40"/>
      <c r="N245" s="40"/>
      <c r="O245" s="40"/>
      <c r="P245" s="40"/>
      <c r="Q245" s="40"/>
    </row>
    <row r="246" spans="7:17">
      <c r="G246" s="40"/>
      <c r="H246" s="40"/>
      <c r="I246" s="40"/>
      <c r="J246" s="40"/>
      <c r="K246" s="40"/>
      <c r="L246" s="40"/>
      <c r="M246" s="40"/>
      <c r="N246" s="40"/>
      <c r="O246" s="40"/>
      <c r="P246" s="40"/>
      <c r="Q246" s="40"/>
    </row>
    <row r="247" spans="7:17">
      <c r="G247" s="40"/>
      <c r="H247" s="40"/>
      <c r="I247" s="40"/>
      <c r="J247" s="40"/>
      <c r="K247" s="40"/>
      <c r="L247" s="40"/>
      <c r="M247" s="40"/>
      <c r="N247" s="40"/>
      <c r="O247" s="40"/>
      <c r="P247" s="40"/>
      <c r="Q247" s="40"/>
    </row>
    <row r="248" spans="7:17">
      <c r="G248" s="40"/>
      <c r="H248" s="40"/>
      <c r="I248" s="40"/>
      <c r="J248" s="40"/>
      <c r="K248" s="40"/>
      <c r="L248" s="40"/>
      <c r="M248" s="40"/>
      <c r="N248" s="40"/>
      <c r="O248" s="40"/>
      <c r="P248" s="40"/>
      <c r="Q248" s="40"/>
    </row>
    <row r="249" spans="7:17">
      <c r="G249" s="40"/>
      <c r="H249" s="40"/>
      <c r="I249" s="40"/>
      <c r="J249" s="40"/>
      <c r="K249" s="40"/>
      <c r="L249" s="40"/>
      <c r="M249" s="40"/>
      <c r="N249" s="40"/>
      <c r="O249" s="40"/>
      <c r="P249" s="40"/>
      <c r="Q249" s="40"/>
    </row>
    <row r="250" spans="7:17">
      <c r="G250" s="40"/>
      <c r="H250" s="40"/>
      <c r="I250" s="40"/>
      <c r="J250" s="40"/>
      <c r="K250" s="40"/>
      <c r="L250" s="40"/>
      <c r="M250" s="40"/>
      <c r="N250" s="40"/>
      <c r="O250" s="40"/>
      <c r="P250" s="40"/>
      <c r="Q250" s="40"/>
    </row>
    <row r="251" spans="7:17">
      <c r="G251" s="40"/>
      <c r="H251" s="40"/>
      <c r="I251" s="40"/>
      <c r="J251" s="40"/>
      <c r="K251" s="40"/>
      <c r="L251" s="40"/>
      <c r="M251" s="40"/>
      <c r="N251" s="40"/>
      <c r="O251" s="40"/>
      <c r="P251" s="40"/>
      <c r="Q251" s="40"/>
    </row>
    <row r="252" spans="7:17">
      <c r="G252" s="40"/>
      <c r="H252" s="40"/>
      <c r="I252" s="40"/>
      <c r="J252" s="40"/>
      <c r="K252" s="40"/>
      <c r="L252" s="40"/>
      <c r="M252" s="40"/>
      <c r="N252" s="40"/>
      <c r="O252" s="40"/>
      <c r="P252" s="40"/>
      <c r="Q252" s="40"/>
    </row>
    <row r="253" spans="7:17">
      <c r="G253" s="40"/>
      <c r="H253" s="40"/>
      <c r="I253" s="40"/>
      <c r="J253" s="40"/>
      <c r="K253" s="40"/>
      <c r="L253" s="40"/>
      <c r="M253" s="40"/>
      <c r="N253" s="40"/>
      <c r="O253" s="40"/>
      <c r="P253" s="40"/>
      <c r="Q253" s="40"/>
    </row>
    <row r="254" spans="7:17">
      <c r="G254" s="40"/>
      <c r="H254" s="40"/>
      <c r="I254" s="40"/>
      <c r="J254" s="40"/>
      <c r="K254" s="40"/>
      <c r="L254" s="40"/>
      <c r="M254" s="40"/>
      <c r="N254" s="40"/>
      <c r="O254" s="40"/>
      <c r="P254" s="40"/>
      <c r="Q254" s="40"/>
    </row>
    <row r="255" spans="7:17">
      <c r="G255" s="40"/>
      <c r="H255" s="40"/>
      <c r="I255" s="40"/>
      <c r="J255" s="40"/>
      <c r="K255" s="40"/>
      <c r="L255" s="40"/>
      <c r="M255" s="40"/>
      <c r="N255" s="40"/>
      <c r="O255" s="40"/>
      <c r="P255" s="40"/>
      <c r="Q255" s="40"/>
    </row>
    <row r="256" spans="7:17">
      <c r="G256" s="40"/>
      <c r="H256" s="40"/>
      <c r="I256" s="40"/>
      <c r="J256" s="40"/>
      <c r="K256" s="40"/>
      <c r="L256" s="40"/>
      <c r="M256" s="40"/>
      <c r="N256" s="40"/>
      <c r="O256" s="40"/>
      <c r="P256" s="40"/>
      <c r="Q256" s="40"/>
    </row>
    <row r="257" spans="7:17">
      <c r="G257" s="40"/>
      <c r="H257" s="40"/>
      <c r="I257" s="40"/>
      <c r="J257" s="40"/>
      <c r="K257" s="40"/>
      <c r="L257" s="40"/>
      <c r="M257" s="40"/>
      <c r="N257" s="40"/>
      <c r="O257" s="40"/>
      <c r="P257" s="40"/>
      <c r="Q257" s="40"/>
    </row>
    <row r="258" spans="7:17">
      <c r="G258" s="40"/>
      <c r="H258" s="40"/>
      <c r="I258" s="40"/>
      <c r="J258" s="40"/>
      <c r="K258" s="40"/>
      <c r="L258" s="40"/>
      <c r="M258" s="40"/>
      <c r="N258" s="40"/>
      <c r="O258" s="40"/>
      <c r="P258" s="40"/>
      <c r="Q258" s="40"/>
    </row>
    <row r="259" spans="7:17">
      <c r="G259" s="40"/>
      <c r="H259" s="40"/>
      <c r="I259" s="40"/>
      <c r="J259" s="40"/>
      <c r="K259" s="40"/>
      <c r="L259" s="40"/>
      <c r="M259" s="40"/>
      <c r="N259" s="40"/>
      <c r="O259" s="40"/>
      <c r="P259" s="40"/>
      <c r="Q259" s="40"/>
    </row>
    <row r="260" spans="7:17">
      <c r="G260" s="40"/>
      <c r="H260" s="40"/>
      <c r="I260" s="40"/>
      <c r="J260" s="40"/>
      <c r="K260" s="40"/>
      <c r="L260" s="40"/>
      <c r="M260" s="40"/>
      <c r="N260" s="40"/>
      <c r="O260" s="40"/>
      <c r="P260" s="40"/>
      <c r="Q260" s="40"/>
    </row>
    <row r="261" spans="7:17">
      <c r="G261" s="40"/>
      <c r="H261" s="40"/>
      <c r="I261" s="40"/>
      <c r="J261" s="40"/>
      <c r="K261" s="40"/>
      <c r="L261" s="40"/>
      <c r="M261" s="40"/>
      <c r="N261" s="40"/>
      <c r="O261" s="40"/>
      <c r="P261" s="40"/>
      <c r="Q261" s="40"/>
    </row>
    <row r="262" spans="7:17">
      <c r="G262" s="40"/>
      <c r="H262" s="40"/>
      <c r="I262" s="40"/>
      <c r="J262" s="40"/>
      <c r="K262" s="40"/>
      <c r="L262" s="40"/>
      <c r="M262" s="40"/>
      <c r="N262" s="40"/>
      <c r="O262" s="40"/>
      <c r="P262" s="40"/>
      <c r="Q262" s="40"/>
    </row>
    <row r="263" spans="7:17">
      <c r="G263" s="40"/>
      <c r="H263" s="40"/>
      <c r="I263" s="40"/>
      <c r="J263" s="40"/>
      <c r="K263" s="40"/>
      <c r="L263" s="40"/>
      <c r="M263" s="40"/>
      <c r="N263" s="40"/>
      <c r="O263" s="40"/>
      <c r="P263" s="40"/>
      <c r="Q263" s="40"/>
    </row>
    <row r="264" spans="7:17">
      <c r="G264" s="40"/>
      <c r="H264" s="40"/>
      <c r="I264" s="40"/>
      <c r="J264" s="40"/>
      <c r="K264" s="40"/>
      <c r="L264" s="40"/>
      <c r="M264" s="40"/>
      <c r="N264" s="40"/>
      <c r="O264" s="40"/>
      <c r="P264" s="40"/>
      <c r="Q264" s="40"/>
    </row>
    <row r="265" spans="7:17">
      <c r="G265" s="40"/>
      <c r="H265" s="40"/>
      <c r="I265" s="40"/>
      <c r="J265" s="40"/>
      <c r="K265" s="40"/>
      <c r="L265" s="40"/>
      <c r="M265" s="40"/>
      <c r="N265" s="40"/>
      <c r="O265" s="40"/>
      <c r="P265" s="40"/>
      <c r="Q265" s="40"/>
    </row>
    <row r="266" spans="7:17">
      <c r="G266" s="40"/>
      <c r="H266" s="40"/>
      <c r="I266" s="40"/>
      <c r="J266" s="40"/>
      <c r="K266" s="40"/>
      <c r="L266" s="40"/>
      <c r="M266" s="40"/>
      <c r="N266" s="40"/>
      <c r="O266" s="40"/>
      <c r="P266" s="40"/>
      <c r="Q266" s="40"/>
    </row>
    <row r="267" spans="7:17">
      <c r="G267" s="40"/>
      <c r="H267" s="40"/>
      <c r="I267" s="40"/>
      <c r="J267" s="40"/>
      <c r="K267" s="40"/>
      <c r="L267" s="40"/>
      <c r="M267" s="40"/>
      <c r="N267" s="40"/>
      <c r="O267" s="40"/>
      <c r="P267" s="40"/>
      <c r="Q267" s="40"/>
    </row>
    <row r="268" spans="7:17">
      <c r="G268" s="40"/>
      <c r="H268" s="40"/>
      <c r="I268" s="40"/>
      <c r="J268" s="40"/>
      <c r="K268" s="40"/>
      <c r="L268" s="40"/>
      <c r="M268" s="40"/>
      <c r="N268" s="40"/>
      <c r="O268" s="40"/>
      <c r="P268" s="40"/>
      <c r="Q268" s="40"/>
    </row>
    <row r="269" spans="7:17">
      <c r="G269" s="40"/>
      <c r="H269" s="40"/>
      <c r="I269" s="40"/>
      <c r="J269" s="40"/>
      <c r="K269" s="40"/>
      <c r="L269" s="40"/>
      <c r="M269" s="40"/>
      <c r="N269" s="40"/>
      <c r="O269" s="40"/>
      <c r="P269" s="40"/>
      <c r="Q269" s="40"/>
    </row>
    <row r="270" spans="7:17">
      <c r="G270" s="40"/>
      <c r="H270" s="40"/>
      <c r="I270" s="40"/>
      <c r="J270" s="40"/>
      <c r="K270" s="40"/>
      <c r="L270" s="40"/>
      <c r="M270" s="40"/>
      <c r="N270" s="40"/>
      <c r="O270" s="40"/>
      <c r="P270" s="40"/>
      <c r="Q270" s="40"/>
    </row>
    <row r="271" spans="7:17">
      <c r="G271" s="40"/>
      <c r="H271" s="40"/>
      <c r="I271" s="40"/>
      <c r="J271" s="40"/>
      <c r="K271" s="40"/>
      <c r="L271" s="40"/>
      <c r="M271" s="40"/>
      <c r="N271" s="40"/>
      <c r="O271" s="40"/>
      <c r="P271" s="40"/>
      <c r="Q271" s="40"/>
    </row>
    <row r="272" spans="7:17">
      <c r="G272" s="40"/>
      <c r="H272" s="40"/>
      <c r="I272" s="40"/>
      <c r="J272" s="40"/>
      <c r="K272" s="40"/>
      <c r="L272" s="40"/>
      <c r="M272" s="40"/>
      <c r="N272" s="40"/>
      <c r="O272" s="40"/>
      <c r="P272" s="40"/>
      <c r="Q272" s="40"/>
    </row>
    <row r="273" spans="7:17">
      <c r="G273" s="40"/>
      <c r="H273" s="40"/>
      <c r="I273" s="40"/>
      <c r="J273" s="40"/>
      <c r="K273" s="40"/>
      <c r="L273" s="40"/>
      <c r="M273" s="40"/>
      <c r="N273" s="40"/>
      <c r="O273" s="40"/>
      <c r="P273" s="40"/>
      <c r="Q273" s="40"/>
    </row>
    <row r="274" spans="7:17">
      <c r="G274" s="40"/>
      <c r="H274" s="40"/>
      <c r="I274" s="40"/>
      <c r="J274" s="40"/>
      <c r="K274" s="40"/>
      <c r="L274" s="40"/>
      <c r="M274" s="40"/>
      <c r="N274" s="40"/>
      <c r="O274" s="40"/>
      <c r="P274" s="40"/>
      <c r="Q274" s="40"/>
    </row>
    <row r="275" spans="7:17">
      <c r="G275" s="40"/>
      <c r="H275" s="40"/>
      <c r="I275" s="40"/>
      <c r="J275" s="40"/>
      <c r="K275" s="40"/>
      <c r="L275" s="40"/>
      <c r="M275" s="40"/>
      <c r="N275" s="40"/>
      <c r="O275" s="40"/>
      <c r="P275" s="40"/>
      <c r="Q275" s="40"/>
    </row>
    <row r="276" spans="7:17">
      <c r="G276" s="40"/>
      <c r="H276" s="40"/>
      <c r="I276" s="40"/>
      <c r="J276" s="40"/>
      <c r="K276" s="40"/>
      <c r="L276" s="40"/>
      <c r="M276" s="40"/>
      <c r="N276" s="40"/>
      <c r="O276" s="40"/>
      <c r="P276" s="40"/>
      <c r="Q276" s="40"/>
    </row>
    <row r="277" spans="7:17">
      <c r="G277" s="40"/>
      <c r="H277" s="40"/>
      <c r="I277" s="40"/>
      <c r="J277" s="40"/>
      <c r="K277" s="40"/>
      <c r="L277" s="40"/>
      <c r="M277" s="40"/>
      <c r="N277" s="40"/>
      <c r="O277" s="40"/>
      <c r="P277" s="40"/>
      <c r="Q277" s="40"/>
    </row>
    <row r="278" spans="7:17">
      <c r="G278" s="40"/>
      <c r="H278" s="40"/>
      <c r="I278" s="40"/>
      <c r="J278" s="40"/>
      <c r="K278" s="40"/>
      <c r="L278" s="40"/>
      <c r="M278" s="40"/>
      <c r="N278" s="40"/>
      <c r="O278" s="40"/>
      <c r="P278" s="40"/>
      <c r="Q278" s="40"/>
    </row>
    <row r="279" spans="7:17">
      <c r="G279" s="40"/>
      <c r="H279" s="40"/>
      <c r="I279" s="40"/>
      <c r="J279" s="40"/>
      <c r="K279" s="40"/>
      <c r="L279" s="40"/>
      <c r="M279" s="40"/>
      <c r="N279" s="40"/>
      <c r="O279" s="40"/>
      <c r="P279" s="40"/>
      <c r="Q279" s="40"/>
    </row>
    <row r="280" spans="7:17">
      <c r="G280" s="40"/>
      <c r="H280" s="40"/>
      <c r="I280" s="40"/>
      <c r="J280" s="40"/>
      <c r="K280" s="40"/>
      <c r="L280" s="40"/>
      <c r="M280" s="40"/>
      <c r="N280" s="40"/>
      <c r="O280" s="40"/>
      <c r="P280" s="40"/>
      <c r="Q280" s="40"/>
    </row>
    <row r="281" spans="7:17">
      <c r="G281" s="40"/>
      <c r="H281" s="40"/>
      <c r="I281" s="40"/>
      <c r="J281" s="40"/>
      <c r="K281" s="40"/>
      <c r="L281" s="40"/>
      <c r="M281" s="40"/>
      <c r="N281" s="40"/>
      <c r="O281" s="40"/>
      <c r="P281" s="40"/>
      <c r="Q281" s="40"/>
    </row>
    <row r="282" spans="7:17">
      <c r="G282" s="40"/>
      <c r="H282" s="40"/>
      <c r="I282" s="40"/>
      <c r="J282" s="40"/>
      <c r="K282" s="40"/>
      <c r="L282" s="40"/>
      <c r="M282" s="40"/>
      <c r="N282" s="40"/>
      <c r="O282" s="40"/>
      <c r="P282" s="40"/>
      <c r="Q282" s="40"/>
    </row>
    <row r="283" spans="7:17">
      <c r="G283" s="40"/>
      <c r="H283" s="40"/>
      <c r="I283" s="40"/>
      <c r="J283" s="40"/>
      <c r="K283" s="40"/>
      <c r="L283" s="40"/>
      <c r="M283" s="40"/>
      <c r="N283" s="40"/>
      <c r="O283" s="40"/>
      <c r="P283" s="40"/>
      <c r="Q283" s="40"/>
    </row>
    <row r="284" spans="7:17">
      <c r="G284" s="40"/>
      <c r="H284" s="40"/>
      <c r="I284" s="40"/>
      <c r="J284" s="40"/>
      <c r="K284" s="40"/>
      <c r="L284" s="40"/>
      <c r="M284" s="40"/>
      <c r="N284" s="40"/>
      <c r="O284" s="40"/>
      <c r="P284" s="40"/>
      <c r="Q284" s="40"/>
    </row>
    <row r="285" spans="7:17">
      <c r="G285" s="40"/>
      <c r="H285" s="40"/>
      <c r="I285" s="40"/>
      <c r="J285" s="40"/>
      <c r="K285" s="40"/>
      <c r="L285" s="40"/>
      <c r="M285" s="40"/>
      <c r="N285" s="40"/>
      <c r="O285" s="40"/>
      <c r="P285" s="40"/>
      <c r="Q285" s="40"/>
    </row>
    <row r="286" spans="7:17">
      <c r="G286" s="40"/>
      <c r="H286" s="40"/>
      <c r="I286" s="40"/>
      <c r="J286" s="40"/>
      <c r="K286" s="40"/>
      <c r="L286" s="40"/>
      <c r="M286" s="40"/>
      <c r="N286" s="40"/>
      <c r="O286" s="40"/>
      <c r="P286" s="40"/>
      <c r="Q286" s="40"/>
    </row>
    <row r="287" spans="7:17">
      <c r="G287" s="40"/>
      <c r="H287" s="40"/>
      <c r="I287" s="40"/>
      <c r="J287" s="40"/>
      <c r="K287" s="40"/>
      <c r="L287" s="40"/>
      <c r="M287" s="40"/>
      <c r="N287" s="40"/>
      <c r="O287" s="40"/>
      <c r="P287" s="40"/>
      <c r="Q287" s="40"/>
    </row>
    <row r="288" spans="7:17">
      <c r="G288" s="40"/>
      <c r="H288" s="40"/>
      <c r="I288" s="40"/>
      <c r="J288" s="40"/>
      <c r="K288" s="40"/>
      <c r="L288" s="40"/>
      <c r="M288" s="40"/>
      <c r="N288" s="40"/>
      <c r="O288" s="40"/>
      <c r="P288" s="40"/>
      <c r="Q288" s="40"/>
    </row>
    <row r="289" spans="7:17">
      <c r="G289" s="40"/>
      <c r="H289" s="40"/>
      <c r="I289" s="40"/>
      <c r="J289" s="40"/>
      <c r="K289" s="40"/>
      <c r="L289" s="40"/>
      <c r="M289" s="40"/>
      <c r="N289" s="40"/>
      <c r="O289" s="40"/>
      <c r="P289" s="40"/>
      <c r="Q289" s="40"/>
    </row>
    <row r="290" spans="7:17">
      <c r="G290" s="40"/>
      <c r="H290" s="40"/>
      <c r="I290" s="40"/>
      <c r="J290" s="40"/>
      <c r="K290" s="40"/>
      <c r="L290" s="40"/>
      <c r="M290" s="40"/>
      <c r="N290" s="40"/>
      <c r="O290" s="40"/>
      <c r="P290" s="40"/>
      <c r="Q290" s="40"/>
    </row>
    <row r="291" spans="7:17">
      <c r="G291" s="40"/>
      <c r="H291" s="40"/>
      <c r="I291" s="40"/>
      <c r="J291" s="40"/>
      <c r="K291" s="40"/>
      <c r="L291" s="40"/>
      <c r="M291" s="40"/>
      <c r="N291" s="40"/>
      <c r="O291" s="40"/>
      <c r="P291" s="40"/>
      <c r="Q291" s="40"/>
    </row>
    <row r="292" spans="7:17">
      <c r="G292" s="40"/>
      <c r="H292" s="40"/>
      <c r="I292" s="40"/>
      <c r="J292" s="40"/>
      <c r="K292" s="40"/>
      <c r="L292" s="40"/>
      <c r="M292" s="40"/>
      <c r="N292" s="40"/>
      <c r="O292" s="40"/>
      <c r="P292" s="40"/>
      <c r="Q292" s="40"/>
    </row>
    <row r="293" spans="7:17">
      <c r="G293" s="40"/>
      <c r="H293" s="40"/>
      <c r="I293" s="40"/>
      <c r="J293" s="40"/>
      <c r="K293" s="40"/>
      <c r="L293" s="40"/>
      <c r="M293" s="40"/>
      <c r="N293" s="40"/>
      <c r="O293" s="40"/>
      <c r="P293" s="40"/>
      <c r="Q293" s="40"/>
    </row>
    <row r="294" spans="7:17">
      <c r="G294" s="40"/>
      <c r="H294" s="40"/>
      <c r="I294" s="40"/>
      <c r="J294" s="40"/>
      <c r="K294" s="40"/>
      <c r="L294" s="40"/>
      <c r="M294" s="40"/>
      <c r="N294" s="40"/>
      <c r="O294" s="40"/>
      <c r="P294" s="40"/>
      <c r="Q294" s="40"/>
    </row>
    <row r="295" spans="7:17">
      <c r="G295" s="40"/>
      <c r="H295" s="40"/>
      <c r="I295" s="40"/>
      <c r="J295" s="40"/>
      <c r="K295" s="40"/>
      <c r="L295" s="40"/>
      <c r="M295" s="40"/>
      <c r="N295" s="40"/>
      <c r="O295" s="40"/>
      <c r="P295" s="40"/>
      <c r="Q295" s="40"/>
    </row>
    <row r="296" spans="7:17">
      <c r="G296" s="40"/>
      <c r="H296" s="40"/>
      <c r="I296" s="40"/>
      <c r="J296" s="40"/>
      <c r="K296" s="40"/>
      <c r="L296" s="40"/>
      <c r="M296" s="40"/>
      <c r="N296" s="40"/>
      <c r="O296" s="40"/>
      <c r="P296" s="40"/>
      <c r="Q296" s="40"/>
    </row>
    <row r="297" spans="7:17">
      <c r="G297" s="40"/>
      <c r="H297" s="40"/>
      <c r="I297" s="40"/>
      <c r="J297" s="40"/>
      <c r="K297" s="40"/>
      <c r="L297" s="40"/>
      <c r="M297" s="40"/>
      <c r="N297" s="40"/>
      <c r="O297" s="40"/>
      <c r="P297" s="40"/>
      <c r="Q297" s="40"/>
    </row>
    <row r="298" spans="7:17">
      <c r="G298" s="40"/>
      <c r="H298" s="40"/>
      <c r="I298" s="40"/>
      <c r="J298" s="40"/>
      <c r="K298" s="40"/>
      <c r="L298" s="40"/>
      <c r="M298" s="40"/>
      <c r="N298" s="40"/>
      <c r="O298" s="40"/>
      <c r="P298" s="40"/>
      <c r="Q298" s="40"/>
    </row>
    <row r="299" spans="7:17">
      <c r="G299" s="40"/>
      <c r="H299" s="40"/>
      <c r="I299" s="40"/>
      <c r="J299" s="40"/>
      <c r="K299" s="40"/>
      <c r="L299" s="40"/>
      <c r="M299" s="40"/>
      <c r="N299" s="40"/>
      <c r="O299" s="40"/>
      <c r="P299" s="40"/>
      <c r="Q299" s="40"/>
    </row>
    <row r="300" spans="7:17">
      <c r="G300" s="40"/>
      <c r="H300" s="40"/>
      <c r="I300" s="40"/>
      <c r="J300" s="40"/>
      <c r="K300" s="40"/>
      <c r="L300" s="40"/>
      <c r="M300" s="40"/>
      <c r="N300" s="40"/>
      <c r="O300" s="40"/>
      <c r="P300" s="40"/>
      <c r="Q300" s="40"/>
    </row>
    <row r="301" spans="7:17">
      <c r="G301" s="40"/>
      <c r="H301" s="40"/>
      <c r="I301" s="40"/>
      <c r="J301" s="40"/>
      <c r="K301" s="40"/>
      <c r="L301" s="40"/>
      <c r="M301" s="40"/>
      <c r="N301" s="40"/>
      <c r="O301" s="40"/>
      <c r="P301" s="40"/>
      <c r="Q301" s="40"/>
    </row>
    <row r="302" spans="7:17">
      <c r="G302" s="40"/>
      <c r="H302" s="40"/>
      <c r="I302" s="40"/>
      <c r="J302" s="40"/>
      <c r="K302" s="40"/>
      <c r="L302" s="40"/>
      <c r="M302" s="40"/>
      <c r="N302" s="40"/>
      <c r="O302" s="40"/>
      <c r="P302" s="40"/>
      <c r="Q302" s="40"/>
    </row>
    <row r="303" spans="7:17">
      <c r="G303" s="40"/>
      <c r="H303" s="40"/>
      <c r="I303" s="40"/>
      <c r="J303" s="40"/>
      <c r="K303" s="40"/>
      <c r="L303" s="40"/>
      <c r="M303" s="40"/>
      <c r="N303" s="40"/>
      <c r="O303" s="40"/>
      <c r="P303" s="40"/>
      <c r="Q303" s="40"/>
    </row>
    <row r="304" spans="7:17">
      <c r="G304" s="40"/>
      <c r="H304" s="40"/>
      <c r="I304" s="40"/>
      <c r="J304" s="40"/>
      <c r="K304" s="40"/>
      <c r="L304" s="40"/>
      <c r="M304" s="40"/>
      <c r="N304" s="40"/>
      <c r="O304" s="40"/>
      <c r="P304" s="40"/>
      <c r="Q304" s="40"/>
    </row>
    <row r="305" spans="7:17">
      <c r="G305" s="40"/>
      <c r="H305" s="40"/>
      <c r="I305" s="40"/>
      <c r="J305" s="40"/>
      <c r="K305" s="40"/>
      <c r="L305" s="40"/>
      <c r="M305" s="40"/>
      <c r="N305" s="40"/>
      <c r="O305" s="40"/>
      <c r="P305" s="40"/>
      <c r="Q305" s="40"/>
    </row>
    <row r="306" spans="7:17">
      <c r="G306" s="40"/>
      <c r="H306" s="40"/>
      <c r="I306" s="40"/>
      <c r="J306" s="40"/>
      <c r="K306" s="40"/>
      <c r="L306" s="40"/>
      <c r="M306" s="40"/>
      <c r="N306" s="40"/>
      <c r="O306" s="40"/>
      <c r="P306" s="40"/>
      <c r="Q306" s="40"/>
    </row>
    <row r="307" spans="7:17">
      <c r="G307" s="40"/>
      <c r="H307" s="40"/>
      <c r="I307" s="40"/>
      <c r="J307" s="40"/>
      <c r="K307" s="40"/>
      <c r="L307" s="40"/>
      <c r="M307" s="40"/>
      <c r="N307" s="40"/>
      <c r="O307" s="40"/>
      <c r="P307" s="40"/>
      <c r="Q307" s="40"/>
    </row>
    <row r="308" spans="7:17">
      <c r="G308" s="40"/>
      <c r="H308" s="40"/>
      <c r="I308" s="40"/>
      <c r="J308" s="40"/>
      <c r="K308" s="40"/>
      <c r="L308" s="40"/>
      <c r="M308" s="40"/>
      <c r="N308" s="40"/>
      <c r="O308" s="40"/>
      <c r="P308" s="40"/>
      <c r="Q308" s="40"/>
    </row>
    <row r="309" spans="7:17">
      <c r="G309" s="40"/>
      <c r="H309" s="40"/>
      <c r="I309" s="40"/>
      <c r="J309" s="40"/>
      <c r="K309" s="40"/>
      <c r="L309" s="40"/>
      <c r="M309" s="40"/>
      <c r="N309" s="40"/>
      <c r="O309" s="40"/>
      <c r="P309" s="40"/>
      <c r="Q309" s="40"/>
    </row>
    <row r="310" spans="7:17">
      <c r="G310" s="40"/>
      <c r="H310" s="40"/>
      <c r="I310" s="40"/>
      <c r="J310" s="40"/>
      <c r="K310" s="40"/>
      <c r="L310" s="40"/>
      <c r="M310" s="40"/>
      <c r="N310" s="40"/>
      <c r="O310" s="40"/>
      <c r="P310" s="40"/>
      <c r="Q310" s="40"/>
    </row>
    <row r="311" spans="7:17">
      <c r="G311" s="40"/>
      <c r="H311" s="40"/>
      <c r="I311" s="40"/>
      <c r="J311" s="40"/>
      <c r="K311" s="40"/>
      <c r="L311" s="40"/>
      <c r="M311" s="40"/>
      <c r="N311" s="40"/>
      <c r="O311" s="40"/>
      <c r="P311" s="40"/>
      <c r="Q311" s="40"/>
    </row>
    <row r="312" spans="7:17">
      <c r="G312" s="40"/>
      <c r="H312" s="40"/>
      <c r="I312" s="40"/>
      <c r="J312" s="40"/>
      <c r="K312" s="40"/>
      <c r="L312" s="40"/>
      <c r="M312" s="40"/>
      <c r="N312" s="40"/>
      <c r="O312" s="40"/>
      <c r="P312" s="40"/>
      <c r="Q312" s="40"/>
    </row>
    <row r="313" spans="7:17">
      <c r="G313" s="40"/>
      <c r="H313" s="40"/>
      <c r="I313" s="40"/>
      <c r="J313" s="40"/>
      <c r="K313" s="40"/>
      <c r="L313" s="40"/>
      <c r="M313" s="40"/>
      <c r="N313" s="40"/>
      <c r="O313" s="40"/>
      <c r="P313" s="40"/>
      <c r="Q313" s="40"/>
    </row>
    <row r="314" spans="7:17">
      <c r="G314" s="40"/>
      <c r="H314" s="40"/>
      <c r="I314" s="40"/>
      <c r="J314" s="40"/>
      <c r="K314" s="40"/>
      <c r="L314" s="40"/>
      <c r="M314" s="40"/>
      <c r="N314" s="40"/>
      <c r="O314" s="40"/>
      <c r="P314" s="40"/>
      <c r="Q314" s="40"/>
    </row>
    <row r="315" spans="7:17">
      <c r="G315" s="40"/>
      <c r="H315" s="40"/>
      <c r="I315" s="40"/>
      <c r="J315" s="40"/>
      <c r="K315" s="40"/>
      <c r="L315" s="40"/>
      <c r="M315" s="40"/>
      <c r="N315" s="40"/>
      <c r="O315" s="40"/>
      <c r="P315" s="40"/>
      <c r="Q315" s="40"/>
    </row>
    <row r="316" spans="7:17">
      <c r="G316" s="40"/>
      <c r="H316" s="40"/>
      <c r="I316" s="40"/>
      <c r="J316" s="40"/>
      <c r="K316" s="40"/>
      <c r="L316" s="40"/>
      <c r="M316" s="40"/>
      <c r="N316" s="40"/>
      <c r="O316" s="40"/>
      <c r="P316" s="40"/>
      <c r="Q316" s="40"/>
    </row>
    <row r="317" spans="7:17">
      <c r="G317" s="40"/>
      <c r="H317" s="40"/>
      <c r="I317" s="40"/>
      <c r="J317" s="40"/>
      <c r="K317" s="40"/>
      <c r="L317" s="40"/>
      <c r="M317" s="40"/>
      <c r="N317" s="40"/>
      <c r="O317" s="40"/>
      <c r="P317" s="40"/>
      <c r="Q317" s="40"/>
    </row>
    <row r="318" spans="7:17">
      <c r="G318" s="40"/>
      <c r="H318" s="40"/>
      <c r="I318" s="40"/>
      <c r="J318" s="40"/>
      <c r="K318" s="40"/>
      <c r="L318" s="40"/>
      <c r="M318" s="40"/>
      <c r="N318" s="40"/>
      <c r="O318" s="40"/>
      <c r="P318" s="40"/>
      <c r="Q318" s="40"/>
    </row>
    <row r="319" spans="7:17">
      <c r="G319" s="40"/>
      <c r="H319" s="40"/>
      <c r="I319" s="40"/>
      <c r="J319" s="40"/>
      <c r="K319" s="40"/>
      <c r="L319" s="40"/>
      <c r="M319" s="40"/>
      <c r="N319" s="40"/>
      <c r="O319" s="40"/>
      <c r="P319" s="40"/>
      <c r="Q319" s="40"/>
    </row>
    <row r="320" spans="7:17">
      <c r="G320" s="40"/>
      <c r="H320" s="40"/>
      <c r="I320" s="40"/>
      <c r="J320" s="40"/>
      <c r="K320" s="40"/>
      <c r="L320" s="40"/>
      <c r="M320" s="40"/>
      <c r="N320" s="40"/>
      <c r="O320" s="40"/>
      <c r="P320" s="40"/>
      <c r="Q320" s="40"/>
    </row>
    <row r="321" spans="7:17">
      <c r="G321" s="40"/>
      <c r="H321" s="40"/>
      <c r="I321" s="40"/>
      <c r="J321" s="40"/>
      <c r="K321" s="40"/>
      <c r="L321" s="40"/>
      <c r="M321" s="40"/>
      <c r="N321" s="40"/>
      <c r="O321" s="40"/>
      <c r="P321" s="40"/>
      <c r="Q321" s="40"/>
    </row>
    <row r="322" spans="7:17">
      <c r="G322" s="40"/>
      <c r="H322" s="40"/>
      <c r="I322" s="40"/>
      <c r="J322" s="40"/>
      <c r="K322" s="40"/>
      <c r="L322" s="40"/>
      <c r="M322" s="40"/>
      <c r="N322" s="40"/>
      <c r="O322" s="40"/>
      <c r="P322" s="40"/>
      <c r="Q322" s="40"/>
    </row>
    <row r="323" spans="7:17">
      <c r="G323" s="40"/>
      <c r="H323" s="40"/>
      <c r="I323" s="40"/>
      <c r="J323" s="40"/>
      <c r="K323" s="40"/>
      <c r="L323" s="40"/>
      <c r="M323" s="40"/>
      <c r="N323" s="40"/>
      <c r="O323" s="40"/>
      <c r="P323" s="40"/>
      <c r="Q323" s="40"/>
    </row>
    <row r="324" spans="7:17">
      <c r="G324" s="40"/>
      <c r="H324" s="40"/>
      <c r="I324" s="40"/>
      <c r="J324" s="40"/>
      <c r="K324" s="40"/>
      <c r="L324" s="40"/>
      <c r="M324" s="40"/>
      <c r="N324" s="40"/>
      <c r="O324" s="40"/>
      <c r="P324" s="40"/>
      <c r="Q324" s="40"/>
    </row>
    <row r="325" spans="7:17">
      <c r="G325" s="40"/>
      <c r="H325" s="40"/>
      <c r="I325" s="40"/>
      <c r="J325" s="40"/>
      <c r="K325" s="40"/>
      <c r="L325" s="40"/>
      <c r="M325" s="40"/>
      <c r="N325" s="40"/>
      <c r="O325" s="40"/>
      <c r="P325" s="40"/>
      <c r="Q325" s="40"/>
    </row>
    <row r="326" spans="7:17">
      <c r="G326" s="40"/>
      <c r="H326" s="40"/>
      <c r="I326" s="40"/>
      <c r="J326" s="40"/>
      <c r="K326" s="40"/>
      <c r="L326" s="40"/>
      <c r="M326" s="40"/>
      <c r="N326" s="40"/>
      <c r="O326" s="40"/>
      <c r="P326" s="40"/>
      <c r="Q326" s="40"/>
    </row>
    <row r="327" spans="7:17">
      <c r="G327" s="40"/>
      <c r="H327" s="40"/>
      <c r="I327" s="40"/>
      <c r="J327" s="40"/>
      <c r="K327" s="40"/>
      <c r="L327" s="40"/>
      <c r="M327" s="40"/>
      <c r="N327" s="40"/>
      <c r="O327" s="40"/>
      <c r="P327" s="40"/>
      <c r="Q327" s="40"/>
    </row>
    <row r="328" spans="7:17">
      <c r="G328" s="40"/>
      <c r="H328" s="40"/>
      <c r="I328" s="40"/>
      <c r="J328" s="40"/>
      <c r="K328" s="40"/>
      <c r="L328" s="40"/>
      <c r="M328" s="40"/>
      <c r="N328" s="40"/>
      <c r="O328" s="40"/>
      <c r="P328" s="40"/>
      <c r="Q328" s="40"/>
    </row>
    <row r="329" spans="7:17">
      <c r="G329" s="40"/>
      <c r="H329" s="40"/>
      <c r="I329" s="40"/>
      <c r="J329" s="40"/>
      <c r="K329" s="40"/>
      <c r="L329" s="40"/>
      <c r="M329" s="40"/>
      <c r="N329" s="40"/>
      <c r="O329" s="40"/>
      <c r="P329" s="40"/>
      <c r="Q329" s="40"/>
    </row>
    <row r="330" spans="7:17">
      <c r="G330" s="40"/>
      <c r="H330" s="40"/>
      <c r="I330" s="40"/>
      <c r="J330" s="40"/>
      <c r="K330" s="40"/>
      <c r="L330" s="40"/>
      <c r="M330" s="40"/>
      <c r="N330" s="40"/>
      <c r="O330" s="40"/>
      <c r="P330" s="40"/>
      <c r="Q330" s="40"/>
    </row>
    <row r="331" spans="7:17">
      <c r="G331" s="40"/>
      <c r="H331" s="40"/>
      <c r="I331" s="40"/>
      <c r="J331" s="40"/>
      <c r="K331" s="40"/>
      <c r="L331" s="40"/>
      <c r="M331" s="40"/>
      <c r="N331" s="40"/>
      <c r="O331" s="40"/>
      <c r="P331" s="40"/>
      <c r="Q331" s="40"/>
    </row>
    <row r="332" spans="7:17">
      <c r="G332" s="40"/>
      <c r="H332" s="40"/>
      <c r="I332" s="40"/>
      <c r="J332" s="40"/>
      <c r="K332" s="40"/>
      <c r="L332" s="40"/>
      <c r="M332" s="40"/>
      <c r="N332" s="40"/>
      <c r="O332" s="40"/>
      <c r="P332" s="40"/>
      <c r="Q332" s="40"/>
    </row>
    <row r="333" spans="7:17">
      <c r="G333" s="40"/>
      <c r="H333" s="40"/>
      <c r="I333" s="40"/>
      <c r="J333" s="40"/>
      <c r="K333" s="40"/>
      <c r="L333" s="40"/>
      <c r="M333" s="40"/>
      <c r="N333" s="40"/>
      <c r="O333" s="40"/>
      <c r="P333" s="40"/>
      <c r="Q333" s="40"/>
    </row>
    <row r="334" spans="7:17">
      <c r="G334" s="40"/>
      <c r="H334" s="40"/>
      <c r="I334" s="40"/>
      <c r="J334" s="40"/>
      <c r="K334" s="40"/>
      <c r="L334" s="40"/>
      <c r="M334" s="40"/>
      <c r="N334" s="40"/>
      <c r="O334" s="40"/>
      <c r="P334" s="40"/>
      <c r="Q334" s="40"/>
    </row>
    <row r="335" spans="7:17">
      <c r="G335" s="40"/>
      <c r="H335" s="40"/>
      <c r="I335" s="40"/>
      <c r="J335" s="40"/>
      <c r="K335" s="40"/>
      <c r="L335" s="40"/>
      <c r="M335" s="40"/>
      <c r="N335" s="40"/>
      <c r="O335" s="40"/>
      <c r="P335" s="40"/>
      <c r="Q335" s="40"/>
    </row>
    <row r="336" spans="7:17">
      <c r="G336" s="40"/>
      <c r="H336" s="40"/>
      <c r="I336" s="40"/>
      <c r="J336" s="40"/>
      <c r="K336" s="40"/>
      <c r="L336" s="40"/>
      <c r="M336" s="40"/>
      <c r="N336" s="40"/>
      <c r="O336" s="40"/>
      <c r="P336" s="40"/>
      <c r="Q336" s="40"/>
    </row>
    <row r="337" spans="7:17">
      <c r="G337" s="40"/>
      <c r="H337" s="40"/>
      <c r="I337" s="40"/>
      <c r="J337" s="40"/>
      <c r="K337" s="40"/>
      <c r="L337" s="40"/>
      <c r="M337" s="40"/>
      <c r="N337" s="40"/>
      <c r="O337" s="40"/>
      <c r="P337" s="40"/>
      <c r="Q337" s="40"/>
    </row>
    <row r="338" spans="7:17">
      <c r="G338" s="40"/>
      <c r="H338" s="40"/>
      <c r="I338" s="40"/>
      <c r="J338" s="40"/>
      <c r="K338" s="40"/>
      <c r="L338" s="40"/>
      <c r="M338" s="40"/>
      <c r="N338" s="40"/>
      <c r="O338" s="40"/>
      <c r="P338" s="40"/>
      <c r="Q338" s="40"/>
    </row>
    <row r="339" spans="7:17">
      <c r="G339" s="40"/>
      <c r="H339" s="40"/>
      <c r="I339" s="40"/>
      <c r="J339" s="40"/>
      <c r="K339" s="40"/>
      <c r="L339" s="40"/>
      <c r="M339" s="40"/>
      <c r="N339" s="40"/>
      <c r="O339" s="40"/>
      <c r="P339" s="40"/>
      <c r="Q339" s="40"/>
    </row>
    <row r="340" spans="7:17">
      <c r="G340" s="40"/>
      <c r="H340" s="40"/>
      <c r="I340" s="40"/>
      <c r="J340" s="40"/>
      <c r="K340" s="40"/>
      <c r="L340" s="40"/>
      <c r="M340" s="40"/>
      <c r="N340" s="40"/>
      <c r="O340" s="40"/>
      <c r="P340" s="40"/>
      <c r="Q340" s="40"/>
    </row>
    <row r="341" spans="7:17">
      <c r="G341" s="40"/>
      <c r="H341" s="40"/>
      <c r="I341" s="40"/>
      <c r="J341" s="40"/>
      <c r="K341" s="40"/>
      <c r="L341" s="40"/>
      <c r="M341" s="40"/>
      <c r="N341" s="40"/>
      <c r="O341" s="40"/>
      <c r="P341" s="40"/>
      <c r="Q341" s="40"/>
    </row>
    <row r="342" spans="7:17">
      <c r="G342" s="40"/>
      <c r="H342" s="40"/>
      <c r="I342" s="40"/>
      <c r="J342" s="40"/>
      <c r="K342" s="40"/>
      <c r="L342" s="40"/>
      <c r="M342" s="40"/>
      <c r="N342" s="40"/>
      <c r="O342" s="40"/>
      <c r="P342" s="40"/>
      <c r="Q342" s="40"/>
    </row>
    <row r="343" spans="7:17">
      <c r="G343" s="40"/>
      <c r="H343" s="40"/>
      <c r="I343" s="40"/>
      <c r="J343" s="40"/>
      <c r="K343" s="40"/>
      <c r="L343" s="40"/>
      <c r="M343" s="40"/>
      <c r="N343" s="40"/>
      <c r="O343" s="40"/>
      <c r="P343" s="40"/>
      <c r="Q343" s="40"/>
    </row>
    <row r="344" spans="7:17">
      <c r="G344" s="40"/>
      <c r="H344" s="40"/>
      <c r="I344" s="40"/>
      <c r="J344" s="40"/>
      <c r="K344" s="40"/>
      <c r="L344" s="40"/>
      <c r="M344" s="40"/>
      <c r="N344" s="40"/>
      <c r="O344" s="40"/>
      <c r="P344" s="40"/>
      <c r="Q344" s="40"/>
    </row>
    <row r="345" spans="7:17">
      <c r="G345" s="40"/>
      <c r="H345" s="40"/>
      <c r="I345" s="40"/>
      <c r="J345" s="40"/>
      <c r="K345" s="40"/>
      <c r="L345" s="40"/>
      <c r="M345" s="40"/>
      <c r="N345" s="40"/>
      <c r="O345" s="40"/>
      <c r="P345" s="40"/>
      <c r="Q345" s="40"/>
    </row>
    <row r="346" spans="7:17">
      <c r="G346" s="40"/>
      <c r="H346" s="40"/>
      <c r="I346" s="40"/>
      <c r="J346" s="40"/>
      <c r="K346" s="40"/>
      <c r="L346" s="40"/>
      <c r="M346" s="40"/>
      <c r="N346" s="40"/>
      <c r="O346" s="40"/>
      <c r="P346" s="40"/>
      <c r="Q346" s="40"/>
    </row>
    <row r="347" spans="7:17">
      <c r="G347" s="40"/>
      <c r="H347" s="40"/>
      <c r="I347" s="40"/>
      <c r="J347" s="40"/>
      <c r="K347" s="40"/>
      <c r="L347" s="40"/>
      <c r="M347" s="40"/>
      <c r="N347" s="40"/>
      <c r="O347" s="40"/>
      <c r="P347" s="40"/>
      <c r="Q347" s="40"/>
    </row>
    <row r="348" spans="7:17">
      <c r="G348" s="40"/>
      <c r="H348" s="40"/>
      <c r="I348" s="40"/>
      <c r="J348" s="40"/>
      <c r="K348" s="40"/>
      <c r="L348" s="40"/>
      <c r="M348" s="40"/>
      <c r="N348" s="40"/>
      <c r="O348" s="40"/>
      <c r="P348" s="40"/>
      <c r="Q348" s="40"/>
    </row>
    <row r="349" spans="7:17">
      <c r="G349" s="40"/>
      <c r="H349" s="40"/>
      <c r="I349" s="40"/>
      <c r="J349" s="40"/>
      <c r="K349" s="40"/>
      <c r="L349" s="40"/>
      <c r="M349" s="40"/>
      <c r="N349" s="40"/>
      <c r="O349" s="40"/>
      <c r="P349" s="40"/>
      <c r="Q349" s="40"/>
    </row>
    <row r="350" spans="7:17">
      <c r="G350" s="40"/>
      <c r="H350" s="40"/>
      <c r="I350" s="40"/>
      <c r="J350" s="40"/>
      <c r="K350" s="40"/>
      <c r="L350" s="40"/>
      <c r="M350" s="40"/>
      <c r="N350" s="40"/>
      <c r="O350" s="40"/>
      <c r="P350" s="40"/>
      <c r="Q350" s="40"/>
    </row>
    <row r="351" spans="7:17">
      <c r="G351" s="40"/>
      <c r="H351" s="40"/>
      <c r="I351" s="40"/>
      <c r="J351" s="40"/>
      <c r="K351" s="40"/>
      <c r="L351" s="40"/>
      <c r="M351" s="40"/>
      <c r="N351" s="40"/>
      <c r="O351" s="40"/>
      <c r="P351" s="40"/>
      <c r="Q351" s="40"/>
    </row>
    <row r="352" spans="7:17">
      <c r="G352" s="40"/>
      <c r="H352" s="40"/>
      <c r="I352" s="40"/>
      <c r="J352" s="40"/>
      <c r="K352" s="40"/>
      <c r="L352" s="40"/>
      <c r="M352" s="40"/>
      <c r="N352" s="40"/>
      <c r="O352" s="40"/>
      <c r="P352" s="40"/>
      <c r="Q352" s="40"/>
    </row>
    <row r="353" spans="7:17">
      <c r="G353" s="40"/>
      <c r="H353" s="40"/>
      <c r="I353" s="40"/>
      <c r="J353" s="40"/>
      <c r="K353" s="40"/>
      <c r="L353" s="40"/>
      <c r="M353" s="40"/>
      <c r="N353" s="40"/>
      <c r="O353" s="40"/>
      <c r="P353" s="40"/>
      <c r="Q353" s="40"/>
    </row>
    <row r="354" spans="7:17">
      <c r="G354" s="40"/>
      <c r="H354" s="40"/>
      <c r="I354" s="40"/>
      <c r="J354" s="40"/>
      <c r="K354" s="40"/>
      <c r="L354" s="40"/>
      <c r="M354" s="40"/>
      <c r="N354" s="40"/>
      <c r="O354" s="40"/>
      <c r="P354" s="40"/>
      <c r="Q354" s="40"/>
    </row>
    <row r="355" spans="7:17">
      <c r="G355" s="40"/>
      <c r="H355" s="40"/>
      <c r="I355" s="40"/>
      <c r="J355" s="40"/>
      <c r="K355" s="40"/>
      <c r="L355" s="40"/>
      <c r="M355" s="40"/>
      <c r="N355" s="40"/>
      <c r="O355" s="40"/>
      <c r="P355" s="40"/>
      <c r="Q355" s="40"/>
    </row>
    <row r="356" spans="7:17">
      <c r="G356" s="40"/>
      <c r="H356" s="40"/>
      <c r="I356" s="40"/>
      <c r="J356" s="40"/>
      <c r="K356" s="40"/>
      <c r="L356" s="40"/>
      <c r="M356" s="40"/>
      <c r="N356" s="40"/>
      <c r="O356" s="40"/>
      <c r="P356" s="40"/>
      <c r="Q356" s="40"/>
    </row>
    <row r="357" spans="7:17">
      <c r="G357" s="40"/>
      <c r="H357" s="40"/>
      <c r="I357" s="40"/>
      <c r="J357" s="40"/>
      <c r="K357" s="40"/>
      <c r="L357" s="40"/>
      <c r="M357" s="40"/>
      <c r="N357" s="40"/>
      <c r="O357" s="40"/>
      <c r="P357" s="40"/>
      <c r="Q357" s="40"/>
    </row>
    <row r="358" spans="7:17">
      <c r="G358" s="40"/>
      <c r="H358" s="40"/>
      <c r="I358" s="40"/>
      <c r="J358" s="40"/>
      <c r="K358" s="40"/>
      <c r="L358" s="40"/>
      <c r="M358" s="40"/>
      <c r="N358" s="40"/>
      <c r="O358" s="40"/>
      <c r="P358" s="40"/>
      <c r="Q358" s="40"/>
    </row>
    <row r="359" spans="7:17">
      <c r="G359" s="40"/>
      <c r="H359" s="40"/>
      <c r="I359" s="40"/>
      <c r="J359" s="40"/>
      <c r="K359" s="40"/>
      <c r="L359" s="40"/>
      <c r="M359" s="40"/>
      <c r="N359" s="40"/>
      <c r="O359" s="40"/>
      <c r="P359" s="40"/>
      <c r="Q359" s="40"/>
    </row>
    <row r="360" spans="7:17">
      <c r="G360" s="40"/>
      <c r="H360" s="40"/>
      <c r="I360" s="40"/>
      <c r="J360" s="40"/>
      <c r="K360" s="40"/>
      <c r="L360" s="40"/>
      <c r="M360" s="40"/>
      <c r="N360" s="40"/>
      <c r="O360" s="40"/>
      <c r="P360" s="40"/>
      <c r="Q360" s="40"/>
    </row>
    <row r="361" spans="7:17">
      <c r="G361" s="40"/>
      <c r="H361" s="40"/>
      <c r="I361" s="40"/>
      <c r="J361" s="40"/>
      <c r="K361" s="40"/>
      <c r="L361" s="40"/>
      <c r="M361" s="40"/>
      <c r="N361" s="40"/>
      <c r="O361" s="40"/>
      <c r="P361" s="40"/>
      <c r="Q361" s="40"/>
    </row>
    <row r="362" spans="7:17">
      <c r="G362" s="40"/>
      <c r="H362" s="40"/>
      <c r="I362" s="40"/>
      <c r="J362" s="40"/>
      <c r="K362" s="40"/>
      <c r="L362" s="40"/>
      <c r="M362" s="40"/>
      <c r="N362" s="40"/>
      <c r="O362" s="40"/>
      <c r="P362" s="40"/>
      <c r="Q362" s="40"/>
    </row>
    <row r="363" spans="7:17">
      <c r="G363" s="40"/>
      <c r="H363" s="40"/>
      <c r="I363" s="40"/>
      <c r="J363" s="40"/>
      <c r="K363" s="40"/>
      <c r="L363" s="40"/>
      <c r="M363" s="40"/>
      <c r="N363" s="40"/>
      <c r="O363" s="40"/>
      <c r="P363" s="40"/>
      <c r="Q363" s="40"/>
    </row>
    <row r="364" spans="7:17">
      <c r="G364" s="40"/>
      <c r="H364" s="40"/>
      <c r="I364" s="40"/>
      <c r="J364" s="40"/>
      <c r="K364" s="40"/>
      <c r="L364" s="40"/>
      <c r="M364" s="40"/>
      <c r="N364" s="40"/>
      <c r="O364" s="40"/>
      <c r="P364" s="40"/>
      <c r="Q364" s="40"/>
    </row>
    <row r="365" spans="7:17">
      <c r="G365" s="40"/>
      <c r="H365" s="40"/>
      <c r="I365" s="40"/>
      <c r="J365" s="40"/>
      <c r="K365" s="40"/>
      <c r="L365" s="40"/>
      <c r="M365" s="40"/>
      <c r="N365" s="40"/>
      <c r="O365" s="40"/>
      <c r="P365" s="40"/>
      <c r="Q365" s="40"/>
    </row>
    <row r="366" spans="7:17">
      <c r="G366" s="40"/>
      <c r="H366" s="40"/>
      <c r="I366" s="40"/>
      <c r="J366" s="40"/>
      <c r="K366" s="40"/>
      <c r="L366" s="40"/>
      <c r="M366" s="40"/>
      <c r="N366" s="40"/>
      <c r="O366" s="40"/>
      <c r="P366" s="40"/>
      <c r="Q366" s="40"/>
    </row>
    <row r="367" spans="7:17">
      <c r="G367" s="40"/>
      <c r="H367" s="40"/>
      <c r="I367" s="40"/>
      <c r="J367" s="40"/>
      <c r="K367" s="40"/>
      <c r="L367" s="40"/>
      <c r="M367" s="40"/>
      <c r="N367" s="40"/>
      <c r="O367" s="40"/>
      <c r="P367" s="40"/>
      <c r="Q367" s="40"/>
    </row>
    <row r="368" spans="7:17">
      <c r="G368" s="40"/>
      <c r="H368" s="40"/>
      <c r="I368" s="40"/>
      <c r="J368" s="40"/>
      <c r="K368" s="40"/>
      <c r="L368" s="40"/>
      <c r="M368" s="40"/>
      <c r="N368" s="40"/>
      <c r="O368" s="40"/>
      <c r="P368" s="40"/>
      <c r="Q368" s="40"/>
    </row>
    <row r="369" spans="7:17">
      <c r="G369" s="40"/>
      <c r="H369" s="40"/>
      <c r="I369" s="40"/>
      <c r="J369" s="40"/>
      <c r="K369" s="40"/>
      <c r="L369" s="40"/>
      <c r="M369" s="40"/>
      <c r="N369" s="40"/>
      <c r="O369" s="40"/>
      <c r="P369" s="40"/>
      <c r="Q369" s="40"/>
    </row>
    <row r="370" spans="7:17">
      <c r="G370" s="40"/>
      <c r="H370" s="40"/>
      <c r="I370" s="40"/>
      <c r="J370" s="40"/>
      <c r="K370" s="40"/>
      <c r="L370" s="40"/>
      <c r="M370" s="40"/>
      <c r="N370" s="40"/>
      <c r="O370" s="40"/>
      <c r="P370" s="40"/>
      <c r="Q370" s="40"/>
    </row>
    <row r="371" spans="7:17">
      <c r="G371" s="40"/>
      <c r="H371" s="40"/>
      <c r="I371" s="40"/>
      <c r="J371" s="40"/>
      <c r="K371" s="40"/>
      <c r="L371" s="40"/>
      <c r="M371" s="40"/>
      <c r="N371" s="40"/>
      <c r="O371" s="40"/>
      <c r="P371" s="40"/>
      <c r="Q371" s="40"/>
    </row>
    <row r="372" spans="7:17">
      <c r="G372" s="40"/>
      <c r="H372" s="40"/>
      <c r="I372" s="40"/>
      <c r="J372" s="40"/>
      <c r="K372" s="40"/>
      <c r="L372" s="40"/>
      <c r="M372" s="40"/>
      <c r="N372" s="40"/>
      <c r="O372" s="40"/>
      <c r="P372" s="40"/>
      <c r="Q372" s="40"/>
    </row>
    <row r="373" spans="7:17">
      <c r="G373" s="40"/>
      <c r="H373" s="40"/>
      <c r="I373" s="40"/>
      <c r="J373" s="40"/>
      <c r="K373" s="40"/>
      <c r="L373" s="40"/>
      <c r="M373" s="40"/>
      <c r="N373" s="40"/>
      <c r="O373" s="40"/>
      <c r="P373" s="40"/>
      <c r="Q373" s="40"/>
    </row>
    <row r="374" spans="7:17">
      <c r="G374" s="40"/>
      <c r="H374" s="40"/>
      <c r="I374" s="40"/>
      <c r="J374" s="40"/>
      <c r="K374" s="40"/>
      <c r="L374" s="40"/>
      <c r="M374" s="40"/>
      <c r="N374" s="40"/>
      <c r="O374" s="40"/>
      <c r="P374" s="40"/>
      <c r="Q374" s="40"/>
    </row>
    <row r="375" spans="7:17">
      <c r="G375" s="40"/>
      <c r="H375" s="40"/>
      <c r="I375" s="40"/>
      <c r="J375" s="40"/>
      <c r="K375" s="40"/>
      <c r="L375" s="40"/>
      <c r="M375" s="40"/>
      <c r="N375" s="40"/>
      <c r="O375" s="40"/>
      <c r="P375" s="40"/>
      <c r="Q375" s="40"/>
    </row>
    <row r="376" spans="7:17">
      <c r="G376" s="40"/>
      <c r="H376" s="40"/>
      <c r="I376" s="40"/>
      <c r="J376" s="40"/>
      <c r="K376" s="40"/>
      <c r="L376" s="40"/>
      <c r="M376" s="40"/>
      <c r="N376" s="40"/>
      <c r="O376" s="40"/>
      <c r="P376" s="40"/>
      <c r="Q376" s="40"/>
    </row>
    <row r="377" spans="7:17">
      <c r="G377" s="40"/>
      <c r="H377" s="40"/>
      <c r="I377" s="40"/>
      <c r="J377" s="40"/>
      <c r="K377" s="40"/>
      <c r="L377" s="40"/>
      <c r="M377" s="40"/>
      <c r="N377" s="40"/>
      <c r="O377" s="40"/>
      <c r="P377" s="40"/>
      <c r="Q377" s="40"/>
    </row>
    <row r="378" spans="7:17">
      <c r="G378" s="40"/>
      <c r="H378" s="40"/>
      <c r="I378" s="40"/>
      <c r="J378" s="40"/>
      <c r="K378" s="40"/>
      <c r="L378" s="40"/>
      <c r="M378" s="40"/>
      <c r="N378" s="40"/>
      <c r="O378" s="40"/>
      <c r="P378" s="40"/>
      <c r="Q378" s="40"/>
    </row>
    <row r="379" spans="7:17">
      <c r="G379" s="40"/>
      <c r="H379" s="40"/>
      <c r="I379" s="40"/>
      <c r="J379" s="40"/>
      <c r="K379" s="40"/>
      <c r="L379" s="40"/>
      <c r="M379" s="40"/>
      <c r="N379" s="40"/>
      <c r="O379" s="40"/>
      <c r="P379" s="40"/>
      <c r="Q379" s="40"/>
    </row>
    <row r="380" spans="7:17">
      <c r="G380" s="40"/>
      <c r="H380" s="40"/>
      <c r="I380" s="40"/>
      <c r="J380" s="40"/>
      <c r="K380" s="40"/>
      <c r="L380" s="40"/>
      <c r="M380" s="40"/>
      <c r="N380" s="40"/>
      <c r="O380" s="40"/>
      <c r="P380" s="40"/>
      <c r="Q380" s="40"/>
    </row>
    <row r="381" spans="7:17">
      <c r="G381" s="40"/>
      <c r="H381" s="40"/>
      <c r="I381" s="40"/>
      <c r="J381" s="40"/>
      <c r="K381" s="40"/>
      <c r="L381" s="40"/>
      <c r="M381" s="40"/>
      <c r="N381" s="40"/>
      <c r="O381" s="40"/>
      <c r="P381" s="40"/>
      <c r="Q381" s="40"/>
    </row>
    <row r="382" spans="7:17">
      <c r="G382" s="40"/>
      <c r="H382" s="40"/>
      <c r="I382" s="40"/>
      <c r="J382" s="40"/>
      <c r="K382" s="40"/>
      <c r="L382" s="40"/>
      <c r="M382" s="40"/>
      <c r="N382" s="40"/>
      <c r="O382" s="40"/>
      <c r="P382" s="40"/>
      <c r="Q382" s="40"/>
    </row>
    <row r="383" spans="7:17">
      <c r="G383" s="40"/>
      <c r="H383" s="40"/>
      <c r="I383" s="40"/>
      <c r="J383" s="40"/>
      <c r="K383" s="40"/>
      <c r="L383" s="40"/>
      <c r="M383" s="40"/>
      <c r="N383" s="40"/>
      <c r="O383" s="40"/>
      <c r="P383" s="40"/>
      <c r="Q383" s="40"/>
    </row>
    <row r="384" spans="7:17">
      <c r="G384" s="40"/>
      <c r="H384" s="40"/>
      <c r="I384" s="40"/>
      <c r="J384" s="40"/>
      <c r="K384" s="40"/>
      <c r="L384" s="40"/>
      <c r="M384" s="40"/>
      <c r="N384" s="40"/>
      <c r="O384" s="40"/>
      <c r="P384" s="40"/>
      <c r="Q384" s="40"/>
    </row>
    <row r="385" spans="7:17">
      <c r="G385" s="40"/>
      <c r="H385" s="40"/>
      <c r="I385" s="40"/>
      <c r="J385" s="40"/>
      <c r="K385" s="40"/>
      <c r="L385" s="40"/>
      <c r="M385" s="40"/>
      <c r="N385" s="40"/>
      <c r="O385" s="40"/>
      <c r="P385" s="40"/>
      <c r="Q385" s="40"/>
    </row>
    <row r="386" spans="7:17">
      <c r="G386" s="40"/>
      <c r="H386" s="40"/>
      <c r="I386" s="40"/>
      <c r="J386" s="40"/>
      <c r="K386" s="40"/>
      <c r="L386" s="40"/>
      <c r="M386" s="40"/>
      <c r="N386" s="40"/>
      <c r="O386" s="40"/>
      <c r="P386" s="40"/>
      <c r="Q386" s="40"/>
    </row>
    <row r="387" spans="7:17">
      <c r="G387" s="40"/>
      <c r="H387" s="40"/>
      <c r="I387" s="40"/>
      <c r="J387" s="40"/>
      <c r="K387" s="40"/>
      <c r="L387" s="40"/>
      <c r="M387" s="40"/>
      <c r="N387" s="40"/>
      <c r="O387" s="40"/>
      <c r="P387" s="40"/>
      <c r="Q387" s="40"/>
    </row>
    <row r="388" spans="7:17">
      <c r="G388" s="40"/>
      <c r="H388" s="40"/>
      <c r="I388" s="40"/>
      <c r="J388" s="40"/>
      <c r="K388" s="40"/>
      <c r="L388" s="40"/>
      <c r="M388" s="40"/>
      <c r="N388" s="40"/>
      <c r="O388" s="40"/>
      <c r="P388" s="40"/>
      <c r="Q388" s="40"/>
    </row>
    <row r="389" spans="7:17">
      <c r="G389" s="40"/>
      <c r="H389" s="40"/>
      <c r="I389" s="40"/>
      <c r="J389" s="40"/>
      <c r="K389" s="40"/>
      <c r="L389" s="40"/>
      <c r="M389" s="40"/>
      <c r="N389" s="40"/>
      <c r="O389" s="40"/>
      <c r="P389" s="40"/>
      <c r="Q389" s="40"/>
    </row>
    <row r="390" spans="7:17">
      <c r="G390" s="40"/>
      <c r="H390" s="40"/>
      <c r="I390" s="40"/>
      <c r="J390" s="40"/>
      <c r="K390" s="40"/>
      <c r="L390" s="40"/>
      <c r="M390" s="40"/>
      <c r="N390" s="40"/>
      <c r="O390" s="40"/>
      <c r="P390" s="40"/>
      <c r="Q390" s="40"/>
    </row>
    <row r="391" spans="7:17">
      <c r="G391" s="40"/>
      <c r="H391" s="40"/>
      <c r="I391" s="40"/>
      <c r="J391" s="40"/>
      <c r="K391" s="40"/>
      <c r="L391" s="40"/>
      <c r="M391" s="40"/>
      <c r="N391" s="40"/>
      <c r="O391" s="40"/>
      <c r="P391" s="40"/>
      <c r="Q391" s="40"/>
    </row>
    <row r="392" spans="7:17">
      <c r="G392" s="40"/>
      <c r="H392" s="40"/>
      <c r="I392" s="40"/>
      <c r="J392" s="40"/>
      <c r="K392" s="40"/>
      <c r="L392" s="40"/>
      <c r="M392" s="40"/>
      <c r="N392" s="40"/>
      <c r="O392" s="40"/>
      <c r="P392" s="40"/>
      <c r="Q392" s="40"/>
    </row>
    <row r="393" spans="7:17">
      <c r="G393" s="40"/>
      <c r="H393" s="40"/>
      <c r="I393" s="40"/>
      <c r="J393" s="40"/>
      <c r="K393" s="40"/>
      <c r="L393" s="40"/>
      <c r="M393" s="40"/>
      <c r="N393" s="40"/>
      <c r="O393" s="40"/>
      <c r="P393" s="40"/>
      <c r="Q393" s="40"/>
    </row>
    <row r="394" spans="7:17">
      <c r="G394" s="40"/>
      <c r="H394" s="40"/>
      <c r="I394" s="40"/>
      <c r="J394" s="40"/>
      <c r="K394" s="40"/>
      <c r="L394" s="40"/>
      <c r="M394" s="40"/>
      <c r="N394" s="40"/>
      <c r="O394" s="40"/>
      <c r="P394" s="40"/>
      <c r="Q394" s="40"/>
    </row>
    <row r="395" spans="7:17">
      <c r="G395" s="40"/>
      <c r="H395" s="40"/>
      <c r="I395" s="40"/>
      <c r="J395" s="40"/>
      <c r="K395" s="40"/>
      <c r="L395" s="40"/>
      <c r="M395" s="40"/>
      <c r="N395" s="40"/>
      <c r="O395" s="40"/>
      <c r="P395" s="40"/>
      <c r="Q395" s="40"/>
    </row>
    <row r="396" spans="7:17">
      <c r="G396" s="40"/>
      <c r="H396" s="40"/>
      <c r="I396" s="40"/>
      <c r="J396" s="40"/>
      <c r="K396" s="40"/>
      <c r="L396" s="40"/>
      <c r="M396" s="40"/>
      <c r="N396" s="40"/>
      <c r="O396" s="40"/>
      <c r="P396" s="40"/>
      <c r="Q396" s="40"/>
    </row>
    <row r="397" spans="7:17">
      <c r="G397" s="40"/>
      <c r="H397" s="40"/>
      <c r="I397" s="40"/>
      <c r="J397" s="40"/>
      <c r="K397" s="40"/>
      <c r="L397" s="40"/>
      <c r="M397" s="40"/>
      <c r="N397" s="40"/>
      <c r="O397" s="40"/>
      <c r="P397" s="40"/>
      <c r="Q397" s="40"/>
    </row>
    <row r="398" spans="7:17">
      <c r="G398" s="40"/>
      <c r="H398" s="40"/>
      <c r="I398" s="40"/>
      <c r="J398" s="40"/>
      <c r="K398" s="40"/>
      <c r="L398" s="40"/>
      <c r="M398" s="40"/>
      <c r="N398" s="40"/>
      <c r="O398" s="40"/>
      <c r="P398" s="40"/>
      <c r="Q398" s="40"/>
    </row>
    <row r="399" spans="7:17">
      <c r="G399" s="40"/>
      <c r="H399" s="40"/>
      <c r="I399" s="40"/>
      <c r="J399" s="40"/>
      <c r="K399" s="40"/>
      <c r="L399" s="40"/>
      <c r="M399" s="40"/>
      <c r="N399" s="40"/>
      <c r="O399" s="40"/>
      <c r="P399" s="40"/>
      <c r="Q399" s="40"/>
    </row>
    <row r="400" spans="7:17">
      <c r="G400" s="40"/>
      <c r="H400" s="40"/>
      <c r="I400" s="40"/>
      <c r="J400" s="40"/>
      <c r="K400" s="40"/>
      <c r="L400" s="40"/>
      <c r="M400" s="40"/>
      <c r="N400" s="40"/>
      <c r="O400" s="40"/>
      <c r="P400" s="40"/>
      <c r="Q400" s="40"/>
    </row>
    <row r="401" spans="7:17">
      <c r="G401" s="40"/>
      <c r="H401" s="40"/>
      <c r="I401" s="40"/>
      <c r="J401" s="40"/>
      <c r="K401" s="40"/>
      <c r="L401" s="40"/>
      <c r="M401" s="40"/>
      <c r="N401" s="40"/>
      <c r="O401" s="40"/>
      <c r="P401" s="40"/>
      <c r="Q401" s="40"/>
    </row>
    <row r="402" spans="7:17">
      <c r="G402" s="40"/>
      <c r="H402" s="40"/>
      <c r="I402" s="40"/>
      <c r="J402" s="40"/>
      <c r="K402" s="40"/>
      <c r="L402" s="40"/>
      <c r="M402" s="40"/>
      <c r="N402" s="40"/>
      <c r="O402" s="40"/>
      <c r="P402" s="40"/>
      <c r="Q402" s="40"/>
    </row>
    <row r="403" spans="7:17">
      <c r="G403" s="40"/>
      <c r="H403" s="40"/>
      <c r="I403" s="40"/>
      <c r="J403" s="40"/>
      <c r="K403" s="40"/>
      <c r="L403" s="40"/>
      <c r="M403" s="40"/>
      <c r="N403" s="40"/>
      <c r="O403" s="40"/>
      <c r="P403" s="40"/>
      <c r="Q403" s="40"/>
    </row>
    <row r="404" spans="7:17">
      <c r="G404" s="40"/>
      <c r="H404" s="40"/>
      <c r="I404" s="40"/>
      <c r="J404" s="40"/>
      <c r="K404" s="40"/>
      <c r="L404" s="40"/>
      <c r="M404" s="40"/>
      <c r="N404" s="40"/>
      <c r="O404" s="40"/>
      <c r="P404" s="40"/>
      <c r="Q404" s="40"/>
    </row>
    <row r="405" spans="7:17">
      <c r="G405" s="40"/>
      <c r="H405" s="40"/>
      <c r="I405" s="40"/>
      <c r="J405" s="40"/>
      <c r="K405" s="40"/>
      <c r="L405" s="40"/>
      <c r="M405" s="40"/>
      <c r="N405" s="40"/>
      <c r="O405" s="40"/>
      <c r="P405" s="40"/>
      <c r="Q405" s="40"/>
    </row>
    <row r="406" spans="7:17">
      <c r="G406" s="40"/>
      <c r="H406" s="40"/>
      <c r="I406" s="40"/>
      <c r="J406" s="40"/>
      <c r="K406" s="40"/>
      <c r="L406" s="40"/>
      <c r="M406" s="40"/>
      <c r="N406" s="40"/>
      <c r="O406" s="40"/>
      <c r="P406" s="40"/>
      <c r="Q406" s="40"/>
    </row>
    <row r="407" spans="7:17">
      <c r="G407" s="40"/>
      <c r="H407" s="40"/>
      <c r="I407" s="40"/>
      <c r="J407" s="40"/>
      <c r="K407" s="40"/>
      <c r="L407" s="40"/>
      <c r="M407" s="40"/>
      <c r="N407" s="40"/>
      <c r="O407" s="40"/>
      <c r="P407" s="40"/>
      <c r="Q407" s="40"/>
    </row>
    <row r="408" spans="7:17">
      <c r="G408" s="40"/>
      <c r="H408" s="40"/>
      <c r="I408" s="40"/>
      <c r="J408" s="40"/>
      <c r="K408" s="40"/>
      <c r="L408" s="40"/>
      <c r="M408" s="40"/>
      <c r="N408" s="40"/>
      <c r="O408" s="40"/>
      <c r="P408" s="40"/>
      <c r="Q408" s="40"/>
    </row>
    <row r="409" spans="7:17">
      <c r="G409" s="40"/>
      <c r="H409" s="40"/>
      <c r="I409" s="40"/>
      <c r="J409" s="40"/>
      <c r="K409" s="40"/>
      <c r="L409" s="40"/>
      <c r="M409" s="40"/>
      <c r="N409" s="40"/>
      <c r="O409" s="40"/>
      <c r="P409" s="40"/>
      <c r="Q409" s="40"/>
    </row>
    <row r="410" spans="7:17">
      <c r="G410" s="40"/>
      <c r="H410" s="40"/>
      <c r="I410" s="40"/>
      <c r="J410" s="40"/>
      <c r="K410" s="40"/>
      <c r="L410" s="40"/>
      <c r="M410" s="40"/>
      <c r="N410" s="40"/>
      <c r="O410" s="40"/>
      <c r="P410" s="40"/>
      <c r="Q410" s="40"/>
    </row>
    <row r="411" spans="7:17">
      <c r="G411" s="40"/>
      <c r="H411" s="40"/>
      <c r="I411" s="40"/>
      <c r="J411" s="40"/>
      <c r="K411" s="40"/>
      <c r="L411" s="40"/>
      <c r="M411" s="40"/>
      <c r="N411" s="40"/>
      <c r="O411" s="40"/>
      <c r="P411" s="40"/>
      <c r="Q411" s="40"/>
    </row>
    <row r="412" spans="7:17">
      <c r="G412" s="40"/>
      <c r="H412" s="40"/>
      <c r="I412" s="40"/>
      <c r="J412" s="40"/>
      <c r="K412" s="40"/>
      <c r="L412" s="40"/>
      <c r="M412" s="40"/>
      <c r="N412" s="40"/>
      <c r="O412" s="40"/>
      <c r="P412" s="40"/>
      <c r="Q412" s="40"/>
    </row>
    <row r="413" spans="7:17">
      <c r="G413" s="40"/>
      <c r="H413" s="40"/>
      <c r="I413" s="40"/>
      <c r="J413" s="40"/>
      <c r="K413" s="40"/>
      <c r="L413" s="40"/>
      <c r="M413" s="40"/>
      <c r="N413" s="40"/>
      <c r="O413" s="40"/>
      <c r="P413" s="40"/>
      <c r="Q413" s="40"/>
    </row>
    <row r="414" spans="7:17">
      <c r="G414" s="40"/>
      <c r="H414" s="40"/>
      <c r="I414" s="40"/>
      <c r="J414" s="40"/>
      <c r="K414" s="40"/>
      <c r="L414" s="40"/>
      <c r="M414" s="40"/>
      <c r="N414" s="40"/>
      <c r="O414" s="40"/>
      <c r="P414" s="40"/>
      <c r="Q414" s="40"/>
    </row>
    <row r="415" spans="7:17">
      <c r="G415" s="40"/>
      <c r="H415" s="40"/>
      <c r="I415" s="40"/>
      <c r="J415" s="40"/>
      <c r="K415" s="40"/>
      <c r="L415" s="40"/>
      <c r="M415" s="40"/>
      <c r="N415" s="40"/>
      <c r="O415" s="40"/>
      <c r="P415" s="40"/>
      <c r="Q415" s="40"/>
    </row>
    <row r="416" spans="7:17">
      <c r="G416" s="40"/>
      <c r="H416" s="40"/>
      <c r="I416" s="40"/>
      <c r="J416" s="40"/>
      <c r="K416" s="40"/>
      <c r="L416" s="40"/>
      <c r="M416" s="40"/>
      <c r="N416" s="40"/>
      <c r="O416" s="40"/>
      <c r="P416" s="40"/>
      <c r="Q416" s="40"/>
    </row>
    <row r="417" spans="7:17">
      <c r="G417" s="40"/>
      <c r="H417" s="40"/>
      <c r="I417" s="40"/>
      <c r="J417" s="40"/>
      <c r="K417" s="40"/>
      <c r="L417" s="40"/>
      <c r="M417" s="40"/>
      <c r="N417" s="40"/>
      <c r="O417" s="40"/>
      <c r="P417" s="40"/>
      <c r="Q417" s="40"/>
    </row>
    <row r="418" spans="7:17">
      <c r="G418" s="40"/>
      <c r="H418" s="40"/>
      <c r="I418" s="40"/>
      <c r="J418" s="40"/>
      <c r="K418" s="40"/>
      <c r="L418" s="40"/>
      <c r="M418" s="40"/>
      <c r="N418" s="40"/>
      <c r="O418" s="40"/>
      <c r="P418" s="40"/>
      <c r="Q418" s="40"/>
    </row>
    <row r="419" spans="7:17">
      <c r="G419" s="40"/>
      <c r="H419" s="40"/>
      <c r="I419" s="40"/>
      <c r="J419" s="40"/>
      <c r="K419" s="40"/>
      <c r="L419" s="40"/>
      <c r="M419" s="40"/>
      <c r="N419" s="40"/>
      <c r="O419" s="40"/>
      <c r="P419" s="40"/>
      <c r="Q419" s="40"/>
    </row>
    <row r="420" spans="7:17">
      <c r="G420" s="40"/>
      <c r="H420" s="40"/>
      <c r="I420" s="40"/>
      <c r="J420" s="40"/>
      <c r="K420" s="40"/>
      <c r="L420" s="40"/>
      <c r="M420" s="40"/>
      <c r="N420" s="40"/>
      <c r="O420" s="40"/>
      <c r="P420" s="40"/>
      <c r="Q420" s="40"/>
    </row>
    <row r="421" spans="7:17">
      <c r="G421" s="40"/>
      <c r="H421" s="40"/>
      <c r="I421" s="40"/>
      <c r="J421" s="40"/>
      <c r="K421" s="40"/>
      <c r="L421" s="40"/>
      <c r="M421" s="40"/>
      <c r="N421" s="40"/>
      <c r="O421" s="40"/>
      <c r="P421" s="40"/>
      <c r="Q421" s="40"/>
    </row>
    <row r="422" spans="7:17">
      <c r="G422" s="40"/>
      <c r="H422" s="40"/>
      <c r="I422" s="40"/>
      <c r="J422" s="40"/>
      <c r="K422" s="40"/>
      <c r="L422" s="40"/>
      <c r="M422" s="40"/>
      <c r="N422" s="40"/>
      <c r="O422" s="40"/>
      <c r="P422" s="40"/>
      <c r="Q422" s="40"/>
    </row>
    <row r="423" spans="7:17">
      <c r="G423" s="40"/>
      <c r="H423" s="40"/>
      <c r="I423" s="40"/>
      <c r="J423" s="40"/>
      <c r="K423" s="40"/>
      <c r="L423" s="40"/>
      <c r="M423" s="40"/>
      <c r="N423" s="40"/>
      <c r="O423" s="40"/>
      <c r="P423" s="40"/>
      <c r="Q423" s="40"/>
    </row>
    <row r="424" spans="7:17">
      <c r="G424" s="40"/>
      <c r="H424" s="40"/>
      <c r="I424" s="40"/>
      <c r="J424" s="40"/>
      <c r="K424" s="40"/>
      <c r="L424" s="40"/>
      <c r="M424" s="40"/>
      <c r="N424" s="40"/>
      <c r="O424" s="40"/>
      <c r="P424" s="40"/>
      <c r="Q424" s="40"/>
    </row>
    <row r="425" spans="7:17">
      <c r="G425" s="40"/>
      <c r="H425" s="40"/>
      <c r="I425" s="40"/>
      <c r="J425" s="40"/>
      <c r="K425" s="40"/>
      <c r="L425" s="40"/>
      <c r="M425" s="40"/>
      <c r="N425" s="40"/>
      <c r="O425" s="40"/>
      <c r="P425" s="40"/>
      <c r="Q425" s="40"/>
    </row>
    <row r="426" spans="7:17">
      <c r="G426" s="40"/>
      <c r="H426" s="40"/>
      <c r="I426" s="40"/>
      <c r="J426" s="40"/>
      <c r="K426" s="40"/>
      <c r="L426" s="40"/>
      <c r="M426" s="40"/>
      <c r="N426" s="40"/>
      <c r="O426" s="40"/>
      <c r="P426" s="40"/>
      <c r="Q426" s="40"/>
    </row>
    <row r="427" spans="7:17">
      <c r="G427" s="40"/>
      <c r="H427" s="40"/>
      <c r="I427" s="40"/>
      <c r="J427" s="40"/>
      <c r="K427" s="40"/>
      <c r="L427" s="40"/>
      <c r="M427" s="40"/>
      <c r="N427" s="40"/>
      <c r="O427" s="40"/>
      <c r="P427" s="40"/>
      <c r="Q427" s="40"/>
    </row>
    <row r="428" spans="7:17">
      <c r="G428" s="40"/>
      <c r="H428" s="40"/>
      <c r="I428" s="40"/>
      <c r="J428" s="40"/>
      <c r="K428" s="40"/>
      <c r="L428" s="40"/>
      <c r="M428" s="40"/>
      <c r="N428" s="40"/>
      <c r="O428" s="40"/>
      <c r="P428" s="40"/>
      <c r="Q428" s="40"/>
    </row>
    <row r="429" spans="7:17">
      <c r="G429" s="40"/>
      <c r="H429" s="40"/>
      <c r="I429" s="40"/>
      <c r="J429" s="40"/>
      <c r="K429" s="40"/>
      <c r="L429" s="40"/>
      <c r="M429" s="40"/>
      <c r="N429" s="40"/>
      <c r="O429" s="40"/>
      <c r="P429" s="40"/>
      <c r="Q429" s="40"/>
    </row>
    <row r="430" spans="7:17">
      <c r="G430" s="40"/>
      <c r="H430" s="40"/>
      <c r="I430" s="40"/>
      <c r="J430" s="40"/>
      <c r="K430" s="40"/>
      <c r="L430" s="40"/>
      <c r="M430" s="40"/>
      <c r="N430" s="40"/>
      <c r="O430" s="40"/>
      <c r="P430" s="40"/>
      <c r="Q430" s="40"/>
    </row>
    <row r="431" spans="7:17">
      <c r="G431" s="40"/>
      <c r="H431" s="40"/>
      <c r="I431" s="40"/>
      <c r="J431" s="40"/>
      <c r="K431" s="40"/>
      <c r="L431" s="40"/>
      <c r="M431" s="40"/>
      <c r="N431" s="40"/>
      <c r="O431" s="40"/>
      <c r="P431" s="40"/>
      <c r="Q431" s="40"/>
    </row>
    <row r="432" spans="7:17">
      <c r="G432" s="40"/>
      <c r="H432" s="40"/>
      <c r="I432" s="40"/>
      <c r="J432" s="40"/>
      <c r="K432" s="40"/>
      <c r="L432" s="40"/>
      <c r="M432" s="40"/>
      <c r="N432" s="40"/>
      <c r="O432" s="40"/>
      <c r="P432" s="40"/>
      <c r="Q432" s="40"/>
    </row>
    <row r="433" spans="7:17">
      <c r="G433" s="40"/>
      <c r="H433" s="40"/>
      <c r="I433" s="40"/>
      <c r="J433" s="40"/>
      <c r="K433" s="40"/>
      <c r="L433" s="40"/>
      <c r="M433" s="40"/>
      <c r="N433" s="40"/>
      <c r="O433" s="40"/>
      <c r="P433" s="40"/>
      <c r="Q433" s="40"/>
    </row>
    <row r="434" spans="7:17">
      <c r="G434" s="40"/>
      <c r="H434" s="40"/>
      <c r="I434" s="40"/>
      <c r="J434" s="40"/>
      <c r="K434" s="40"/>
      <c r="L434" s="40"/>
      <c r="M434" s="40"/>
      <c r="N434" s="40"/>
      <c r="O434" s="40"/>
      <c r="P434" s="40"/>
      <c r="Q434" s="40"/>
    </row>
    <row r="435" spans="7:17">
      <c r="G435" s="40"/>
      <c r="H435" s="40"/>
      <c r="I435" s="40"/>
      <c r="J435" s="40"/>
      <c r="K435" s="40"/>
      <c r="L435" s="40"/>
      <c r="M435" s="40"/>
      <c r="N435" s="40"/>
      <c r="O435" s="40"/>
      <c r="P435" s="40"/>
      <c r="Q435" s="40"/>
    </row>
    <row r="436" spans="7:17">
      <c r="G436" s="40"/>
      <c r="H436" s="40"/>
      <c r="I436" s="40"/>
      <c r="J436" s="40"/>
      <c r="K436" s="40"/>
      <c r="L436" s="40"/>
      <c r="M436" s="40"/>
      <c r="N436" s="40"/>
      <c r="O436" s="40"/>
      <c r="P436" s="40"/>
      <c r="Q436" s="40"/>
    </row>
    <row r="437" spans="7:17">
      <c r="G437" s="40"/>
      <c r="H437" s="40"/>
      <c r="I437" s="40"/>
      <c r="J437" s="40"/>
      <c r="K437" s="40"/>
      <c r="L437" s="40"/>
      <c r="M437" s="40"/>
      <c r="N437" s="40"/>
      <c r="O437" s="40"/>
      <c r="P437" s="40"/>
      <c r="Q437" s="40"/>
    </row>
    <row r="438" spans="7:17">
      <c r="G438" s="40"/>
      <c r="H438" s="40"/>
      <c r="I438" s="40"/>
      <c r="J438" s="40"/>
      <c r="K438" s="40"/>
      <c r="L438" s="40"/>
      <c r="M438" s="40"/>
      <c r="N438" s="40"/>
      <c r="O438" s="40"/>
      <c r="P438" s="40"/>
      <c r="Q438" s="40"/>
    </row>
    <row r="439" spans="7:17">
      <c r="G439" s="40"/>
      <c r="H439" s="40"/>
      <c r="I439" s="40"/>
      <c r="J439" s="40"/>
      <c r="K439" s="40"/>
      <c r="L439" s="40"/>
      <c r="M439" s="40"/>
      <c r="N439" s="40"/>
      <c r="O439" s="40"/>
      <c r="P439" s="40"/>
      <c r="Q439" s="40"/>
    </row>
    <row r="440" spans="7:17">
      <c r="G440" s="40"/>
      <c r="H440" s="40"/>
      <c r="I440" s="40"/>
      <c r="J440" s="40"/>
      <c r="K440" s="40"/>
      <c r="L440" s="40"/>
      <c r="M440" s="40"/>
      <c r="N440" s="40"/>
      <c r="O440" s="40"/>
      <c r="P440" s="40"/>
      <c r="Q440" s="40"/>
    </row>
    <row r="441" spans="7:17">
      <c r="G441" s="40"/>
      <c r="H441" s="40"/>
      <c r="I441" s="40"/>
      <c r="J441" s="40"/>
      <c r="K441" s="40"/>
      <c r="L441" s="40"/>
      <c r="M441" s="40"/>
      <c r="N441" s="40"/>
      <c r="O441" s="40"/>
      <c r="P441" s="40"/>
      <c r="Q441" s="40"/>
    </row>
    <row r="442" spans="7:17">
      <c r="G442" s="40"/>
      <c r="H442" s="40"/>
      <c r="I442" s="40"/>
      <c r="J442" s="40"/>
      <c r="K442" s="40"/>
      <c r="L442" s="40"/>
      <c r="M442" s="40"/>
      <c r="N442" s="40"/>
      <c r="O442" s="40"/>
      <c r="P442" s="40"/>
      <c r="Q442" s="40"/>
    </row>
    <row r="443" spans="7:17">
      <c r="G443" s="40"/>
      <c r="H443" s="40"/>
      <c r="I443" s="40"/>
      <c r="J443" s="40"/>
      <c r="K443" s="40"/>
      <c r="L443" s="40"/>
      <c r="M443" s="40"/>
      <c r="N443" s="40"/>
      <c r="O443" s="40"/>
      <c r="P443" s="40"/>
      <c r="Q443" s="40"/>
    </row>
    <row r="444" spans="7:17">
      <c r="G444" s="40"/>
      <c r="H444" s="40"/>
      <c r="I444" s="40"/>
      <c r="J444" s="40"/>
      <c r="K444" s="40"/>
      <c r="L444" s="40"/>
      <c r="M444" s="40"/>
      <c r="N444" s="40"/>
      <c r="O444" s="40"/>
      <c r="P444" s="40"/>
      <c r="Q444" s="40"/>
    </row>
    <row r="445" spans="7:17">
      <c r="G445" s="40"/>
      <c r="H445" s="40"/>
      <c r="I445" s="40"/>
      <c r="J445" s="40"/>
      <c r="K445" s="40"/>
      <c r="L445" s="40"/>
      <c r="M445" s="40"/>
      <c r="N445" s="40"/>
      <c r="O445" s="40"/>
      <c r="P445" s="40"/>
      <c r="Q445" s="40"/>
    </row>
    <row r="446" spans="7:17">
      <c r="G446" s="40"/>
      <c r="H446" s="40"/>
      <c r="I446" s="40"/>
      <c r="J446" s="40"/>
      <c r="K446" s="40"/>
      <c r="L446" s="40"/>
      <c r="M446" s="40"/>
      <c r="N446" s="40"/>
      <c r="O446" s="40"/>
      <c r="P446" s="40"/>
      <c r="Q446" s="40"/>
    </row>
    <row r="447" spans="7:17">
      <c r="G447" s="40"/>
      <c r="H447" s="40"/>
      <c r="I447" s="40"/>
      <c r="J447" s="40"/>
      <c r="K447" s="40"/>
      <c r="L447" s="40"/>
      <c r="M447" s="40"/>
      <c r="N447" s="40"/>
      <c r="O447" s="40"/>
      <c r="P447" s="40"/>
      <c r="Q447" s="40"/>
    </row>
    <row r="448" spans="7:17">
      <c r="G448" s="40"/>
      <c r="H448" s="40"/>
      <c r="I448" s="40"/>
      <c r="J448" s="40"/>
      <c r="K448" s="40"/>
      <c r="L448" s="40"/>
      <c r="M448" s="40"/>
      <c r="N448" s="40"/>
      <c r="O448" s="40"/>
      <c r="P448" s="40"/>
      <c r="Q448" s="40"/>
    </row>
    <row r="449" spans="7:17">
      <c r="G449" s="40"/>
      <c r="H449" s="40"/>
      <c r="I449" s="40"/>
      <c r="J449" s="40"/>
      <c r="K449" s="40"/>
      <c r="L449" s="40"/>
      <c r="M449" s="40"/>
      <c r="N449" s="40"/>
      <c r="O449" s="40"/>
      <c r="P449" s="40"/>
      <c r="Q449" s="40"/>
    </row>
    <row r="450" spans="7:17">
      <c r="G450" s="40"/>
      <c r="H450" s="40"/>
      <c r="I450" s="40"/>
      <c r="J450" s="40"/>
      <c r="K450" s="40"/>
      <c r="L450" s="40"/>
      <c r="M450" s="40"/>
      <c r="N450" s="40"/>
      <c r="O450" s="40"/>
      <c r="P450" s="40"/>
      <c r="Q450" s="40"/>
    </row>
    <row r="451" spans="7:17">
      <c r="G451" s="40"/>
      <c r="H451" s="40"/>
      <c r="I451" s="40"/>
      <c r="J451" s="40"/>
      <c r="K451" s="40"/>
      <c r="L451" s="40"/>
      <c r="M451" s="40"/>
      <c r="N451" s="40"/>
      <c r="O451" s="40"/>
      <c r="P451" s="40"/>
      <c r="Q451" s="40"/>
    </row>
    <row r="452" spans="7:17">
      <c r="G452" s="40"/>
      <c r="H452" s="40"/>
      <c r="I452" s="40"/>
      <c r="J452" s="40"/>
      <c r="K452" s="40"/>
      <c r="L452" s="40"/>
      <c r="M452" s="40"/>
      <c r="N452" s="40"/>
      <c r="O452" s="40"/>
      <c r="P452" s="40"/>
      <c r="Q452" s="40"/>
    </row>
    <row r="453" spans="7:17">
      <c r="G453" s="40"/>
      <c r="H453" s="40"/>
      <c r="I453" s="40"/>
      <c r="J453" s="40"/>
      <c r="K453" s="40"/>
      <c r="L453" s="40"/>
      <c r="M453" s="40"/>
      <c r="N453" s="40"/>
      <c r="O453" s="40"/>
      <c r="P453" s="40"/>
      <c r="Q453" s="40"/>
    </row>
    <row r="454" spans="7:17">
      <c r="G454" s="40"/>
      <c r="H454" s="40"/>
      <c r="I454" s="40"/>
      <c r="J454" s="40"/>
      <c r="K454" s="40"/>
      <c r="L454" s="40"/>
      <c r="M454" s="40"/>
      <c r="N454" s="40"/>
      <c r="O454" s="40"/>
      <c r="P454" s="40"/>
      <c r="Q454" s="40"/>
    </row>
    <row r="455" spans="7:17">
      <c r="G455" s="40"/>
      <c r="H455" s="40"/>
      <c r="I455" s="40"/>
      <c r="J455" s="40"/>
      <c r="K455" s="40"/>
      <c r="L455" s="40"/>
      <c r="M455" s="40"/>
      <c r="N455" s="40"/>
      <c r="O455" s="40"/>
      <c r="P455" s="40"/>
      <c r="Q455" s="40"/>
    </row>
    <row r="456" spans="7:17">
      <c r="G456" s="40"/>
      <c r="H456" s="40"/>
      <c r="I456" s="40"/>
      <c r="J456" s="40"/>
      <c r="K456" s="40"/>
      <c r="L456" s="40"/>
      <c r="M456" s="40"/>
      <c r="N456" s="40"/>
      <c r="O456" s="40"/>
      <c r="P456" s="40"/>
      <c r="Q456" s="40"/>
    </row>
    <row r="457" spans="7:17">
      <c r="G457" s="40"/>
      <c r="H457" s="40"/>
      <c r="I457" s="40"/>
      <c r="J457" s="40"/>
      <c r="K457" s="40"/>
      <c r="L457" s="40"/>
      <c r="M457" s="40"/>
      <c r="N457" s="40"/>
      <c r="O457" s="40"/>
      <c r="P457" s="40"/>
      <c r="Q457" s="40"/>
    </row>
    <row r="458" spans="7:17">
      <c r="G458" s="40"/>
      <c r="H458" s="40"/>
      <c r="I458" s="40"/>
      <c r="J458" s="40"/>
      <c r="K458" s="40"/>
      <c r="L458" s="40"/>
      <c r="M458" s="40"/>
      <c r="N458" s="40"/>
      <c r="O458" s="40"/>
      <c r="P458" s="40"/>
      <c r="Q458" s="40"/>
    </row>
    <row r="459" spans="7:17">
      <c r="G459" s="40"/>
      <c r="H459" s="40"/>
      <c r="I459" s="40"/>
      <c r="J459" s="40"/>
      <c r="K459" s="40"/>
      <c r="L459" s="40"/>
      <c r="M459" s="40"/>
      <c r="N459" s="40"/>
      <c r="O459" s="40"/>
      <c r="P459" s="40"/>
      <c r="Q459" s="40"/>
    </row>
    <row r="460" spans="7:17">
      <c r="G460" s="40"/>
      <c r="H460" s="40"/>
      <c r="I460" s="40"/>
      <c r="J460" s="40"/>
      <c r="K460" s="40"/>
      <c r="L460" s="40"/>
      <c r="M460" s="40"/>
      <c r="N460" s="40"/>
      <c r="O460" s="40"/>
      <c r="P460" s="40"/>
      <c r="Q460" s="40"/>
    </row>
    <row r="461" spans="7:17">
      <c r="G461" s="40"/>
      <c r="H461" s="40"/>
      <c r="I461" s="40"/>
      <c r="J461" s="40"/>
      <c r="K461" s="40"/>
      <c r="L461" s="40"/>
      <c r="M461" s="40"/>
      <c r="N461" s="40"/>
      <c r="O461" s="40"/>
      <c r="P461" s="40"/>
      <c r="Q461" s="40"/>
    </row>
    <row r="462" spans="7:17">
      <c r="G462" s="40"/>
      <c r="H462" s="40"/>
      <c r="I462" s="40"/>
      <c r="J462" s="40"/>
      <c r="K462" s="40"/>
      <c r="L462" s="40"/>
      <c r="M462" s="40"/>
      <c r="N462" s="40"/>
      <c r="O462" s="40"/>
      <c r="P462" s="40"/>
      <c r="Q462" s="40"/>
    </row>
    <row r="463" spans="7:17">
      <c r="G463" s="40"/>
      <c r="H463" s="40"/>
      <c r="I463" s="40"/>
      <c r="J463" s="40"/>
      <c r="K463" s="40"/>
      <c r="L463" s="40"/>
      <c r="M463" s="40"/>
      <c r="N463" s="40"/>
      <c r="O463" s="40"/>
      <c r="P463" s="40"/>
      <c r="Q463" s="40"/>
    </row>
    <row r="464" spans="7:17">
      <c r="G464" s="40"/>
      <c r="H464" s="40"/>
      <c r="I464" s="40"/>
      <c r="J464" s="40"/>
      <c r="K464" s="40"/>
      <c r="L464" s="40"/>
      <c r="M464" s="40"/>
      <c r="N464" s="40"/>
      <c r="O464" s="40"/>
      <c r="P464" s="40"/>
      <c r="Q464" s="40"/>
    </row>
    <row r="465" spans="7:17">
      <c r="G465" s="40"/>
      <c r="H465" s="40"/>
      <c r="I465" s="40"/>
      <c r="J465" s="40"/>
      <c r="K465" s="40"/>
      <c r="L465" s="40"/>
      <c r="M465" s="40"/>
      <c r="N465" s="40"/>
      <c r="O465" s="40"/>
      <c r="P465" s="40"/>
      <c r="Q465" s="40"/>
    </row>
    <row r="466" spans="7:17">
      <c r="G466" s="40"/>
      <c r="H466" s="40"/>
      <c r="I466" s="40"/>
      <c r="J466" s="40"/>
      <c r="K466" s="40"/>
      <c r="L466" s="40"/>
      <c r="M466" s="40"/>
      <c r="N466" s="40"/>
      <c r="O466" s="40"/>
      <c r="P466" s="40"/>
      <c r="Q466" s="40"/>
    </row>
    <row r="467" spans="7:17">
      <c r="G467" s="40"/>
      <c r="H467" s="40"/>
      <c r="I467" s="40"/>
      <c r="J467" s="40"/>
      <c r="K467" s="40"/>
      <c r="L467" s="40"/>
      <c r="M467" s="40"/>
      <c r="N467" s="40"/>
      <c r="O467" s="40"/>
      <c r="P467" s="40"/>
      <c r="Q467" s="40"/>
    </row>
    <row r="468" spans="7:17">
      <c r="G468" s="40"/>
      <c r="H468" s="40"/>
      <c r="I468" s="40"/>
      <c r="J468" s="40"/>
      <c r="K468" s="40"/>
      <c r="L468" s="40"/>
      <c r="M468" s="40"/>
      <c r="N468" s="40"/>
      <c r="O468" s="40"/>
      <c r="P468" s="40"/>
      <c r="Q468" s="40"/>
    </row>
    <row r="469" spans="7:17">
      <c r="G469" s="40"/>
      <c r="H469" s="40"/>
      <c r="I469" s="40"/>
      <c r="J469" s="40"/>
      <c r="K469" s="40"/>
      <c r="L469" s="40"/>
      <c r="M469" s="40"/>
      <c r="N469" s="40"/>
      <c r="O469" s="40"/>
      <c r="P469" s="40"/>
      <c r="Q469" s="40"/>
    </row>
    <row r="470" spans="7:17">
      <c r="G470" s="40"/>
      <c r="H470" s="40"/>
      <c r="I470" s="40"/>
      <c r="J470" s="40"/>
      <c r="K470" s="40"/>
      <c r="L470" s="40"/>
      <c r="M470" s="40"/>
      <c r="N470" s="40"/>
      <c r="O470" s="40"/>
      <c r="P470" s="40"/>
      <c r="Q470" s="40"/>
    </row>
    <row r="471" spans="7:17">
      <c r="G471" s="40"/>
      <c r="H471" s="40"/>
      <c r="I471" s="40"/>
      <c r="J471" s="40"/>
      <c r="K471" s="40"/>
      <c r="L471" s="40"/>
      <c r="M471" s="40"/>
      <c r="N471" s="40"/>
      <c r="O471" s="40"/>
      <c r="P471" s="40"/>
      <c r="Q471" s="40"/>
    </row>
    <row r="472" spans="7:17">
      <c r="G472" s="40"/>
      <c r="H472" s="40"/>
      <c r="I472" s="40"/>
      <c r="J472" s="40"/>
      <c r="K472" s="40"/>
      <c r="L472" s="40"/>
      <c r="M472" s="40"/>
      <c r="N472" s="40"/>
      <c r="O472" s="40"/>
      <c r="P472" s="40"/>
      <c r="Q472" s="40"/>
    </row>
    <row r="473" spans="7:17">
      <c r="G473" s="40"/>
      <c r="H473" s="40"/>
      <c r="I473" s="40"/>
      <c r="J473" s="40"/>
      <c r="K473" s="40"/>
      <c r="L473" s="40"/>
      <c r="M473" s="40"/>
      <c r="N473" s="40"/>
      <c r="O473" s="40"/>
      <c r="P473" s="40"/>
      <c r="Q473" s="40"/>
    </row>
    <row r="474" spans="7:17">
      <c r="G474" s="40"/>
      <c r="H474" s="40"/>
      <c r="I474" s="40"/>
      <c r="J474" s="40"/>
      <c r="K474" s="40"/>
      <c r="L474" s="40"/>
      <c r="M474" s="40"/>
      <c r="N474" s="40"/>
      <c r="O474" s="40"/>
      <c r="P474" s="40"/>
      <c r="Q474" s="40"/>
    </row>
    <row r="475" spans="7:17">
      <c r="G475" s="40"/>
      <c r="H475" s="40"/>
      <c r="I475" s="40"/>
      <c r="J475" s="40"/>
      <c r="K475" s="40"/>
      <c r="L475" s="40"/>
      <c r="M475" s="40"/>
      <c r="N475" s="40"/>
      <c r="O475" s="40"/>
      <c r="P475" s="40"/>
      <c r="Q475" s="40"/>
    </row>
    <row r="476" spans="7:17">
      <c r="G476" s="40"/>
      <c r="H476" s="40"/>
      <c r="I476" s="40"/>
      <c r="J476" s="40"/>
      <c r="K476" s="40"/>
      <c r="L476" s="40"/>
      <c r="M476" s="40"/>
      <c r="N476" s="40"/>
      <c r="O476" s="40"/>
      <c r="P476" s="40"/>
      <c r="Q476" s="40"/>
    </row>
    <row r="477" spans="7:17">
      <c r="G477" s="40"/>
      <c r="H477" s="40"/>
      <c r="I477" s="40"/>
      <c r="J477" s="40"/>
      <c r="K477" s="40"/>
      <c r="L477" s="40"/>
      <c r="M477" s="40"/>
      <c r="N477" s="40"/>
      <c r="O477" s="40"/>
      <c r="P477" s="40"/>
      <c r="Q477" s="40"/>
    </row>
    <row r="478" spans="7:17">
      <c r="G478" s="40"/>
      <c r="H478" s="40"/>
      <c r="I478" s="40"/>
      <c r="J478" s="40"/>
      <c r="K478" s="40"/>
      <c r="L478" s="40"/>
      <c r="M478" s="40"/>
      <c r="N478" s="40"/>
      <c r="O478" s="40"/>
      <c r="P478" s="40"/>
      <c r="Q478" s="40"/>
    </row>
    <row r="479" spans="7:17">
      <c r="G479" s="40"/>
      <c r="H479" s="40"/>
      <c r="I479" s="40"/>
      <c r="J479" s="40"/>
      <c r="K479" s="40"/>
      <c r="L479" s="40"/>
      <c r="M479" s="40"/>
      <c r="N479" s="40"/>
      <c r="O479" s="40"/>
      <c r="P479" s="40"/>
      <c r="Q479" s="40"/>
    </row>
    <row r="480" spans="7:17">
      <c r="G480" s="40"/>
      <c r="H480" s="40"/>
      <c r="I480" s="40"/>
      <c r="J480" s="40"/>
      <c r="K480" s="40"/>
      <c r="L480" s="40"/>
      <c r="M480" s="40"/>
      <c r="N480" s="40"/>
      <c r="O480" s="40"/>
      <c r="P480" s="40"/>
      <c r="Q480" s="40"/>
    </row>
    <row r="481" spans="7:17">
      <c r="G481" s="40"/>
      <c r="H481" s="40"/>
      <c r="I481" s="40"/>
      <c r="J481" s="40"/>
      <c r="K481" s="40"/>
      <c r="L481" s="40"/>
      <c r="M481" s="40"/>
      <c r="N481" s="40"/>
      <c r="O481" s="40"/>
      <c r="P481" s="40"/>
      <c r="Q481" s="40"/>
    </row>
    <row r="482" spans="7:17">
      <c r="G482" s="40"/>
      <c r="H482" s="40"/>
      <c r="I482" s="40"/>
      <c r="J482" s="40"/>
      <c r="K482" s="40"/>
      <c r="L482" s="40"/>
      <c r="M482" s="40"/>
      <c r="N482" s="40"/>
      <c r="O482" s="40"/>
      <c r="P482" s="40"/>
      <c r="Q482" s="40"/>
    </row>
    <row r="483" spans="7:17">
      <c r="G483" s="40"/>
      <c r="H483" s="40"/>
      <c r="I483" s="40"/>
      <c r="J483" s="40"/>
      <c r="K483" s="40"/>
      <c r="L483" s="40"/>
      <c r="M483" s="40"/>
      <c r="N483" s="40"/>
      <c r="O483" s="40"/>
      <c r="P483" s="40"/>
      <c r="Q483" s="40"/>
    </row>
    <row r="484" spans="7:17">
      <c r="G484" s="40"/>
      <c r="H484" s="40"/>
      <c r="I484" s="40"/>
      <c r="J484" s="40"/>
      <c r="K484" s="40"/>
      <c r="L484" s="40"/>
      <c r="M484" s="40"/>
      <c r="N484" s="40"/>
      <c r="O484" s="40"/>
      <c r="P484" s="40"/>
      <c r="Q484" s="40"/>
    </row>
    <row r="485" spans="7:17">
      <c r="G485" s="40"/>
      <c r="H485" s="40"/>
      <c r="I485" s="40"/>
      <c r="J485" s="40"/>
      <c r="K485" s="40"/>
      <c r="L485" s="40"/>
      <c r="M485" s="40"/>
      <c r="N485" s="40"/>
      <c r="O485" s="40"/>
      <c r="P485" s="40"/>
      <c r="Q485" s="40"/>
    </row>
    <row r="486" spans="7:17">
      <c r="G486" s="40"/>
      <c r="H486" s="40"/>
      <c r="I486" s="40"/>
      <c r="J486" s="40"/>
      <c r="K486" s="40"/>
      <c r="L486" s="40"/>
      <c r="M486" s="40"/>
      <c r="N486" s="40"/>
      <c r="O486" s="40"/>
      <c r="P486" s="40"/>
      <c r="Q486" s="40"/>
    </row>
    <row r="487" spans="7:17">
      <c r="G487" s="40"/>
      <c r="H487" s="40"/>
      <c r="I487" s="40"/>
      <c r="J487" s="40"/>
      <c r="K487" s="40"/>
      <c r="L487" s="40"/>
      <c r="M487" s="40"/>
      <c r="N487" s="40"/>
      <c r="O487" s="40"/>
      <c r="P487" s="40"/>
      <c r="Q487" s="40"/>
    </row>
    <row r="488" spans="7:17">
      <c r="G488" s="40"/>
      <c r="H488" s="40"/>
      <c r="I488" s="40"/>
      <c r="J488" s="40"/>
      <c r="K488" s="40"/>
      <c r="L488" s="40"/>
      <c r="M488" s="40"/>
      <c r="N488" s="40"/>
      <c r="O488" s="40"/>
      <c r="P488" s="40"/>
      <c r="Q488" s="40"/>
    </row>
    <row r="489" spans="7:17">
      <c r="G489" s="40"/>
      <c r="H489" s="40"/>
      <c r="I489" s="40"/>
      <c r="J489" s="40"/>
      <c r="K489" s="40"/>
      <c r="L489" s="40"/>
      <c r="M489" s="40"/>
      <c r="N489" s="40"/>
      <c r="O489" s="40"/>
      <c r="P489" s="40"/>
      <c r="Q489" s="40"/>
    </row>
    <row r="490" spans="7:17">
      <c r="G490" s="40"/>
      <c r="H490" s="40"/>
      <c r="I490" s="40"/>
      <c r="J490" s="40"/>
      <c r="K490" s="40"/>
      <c r="L490" s="40"/>
      <c r="M490" s="40"/>
      <c r="N490" s="40"/>
      <c r="O490" s="40"/>
      <c r="P490" s="40"/>
      <c r="Q490" s="40"/>
    </row>
    <row r="491" spans="7:17">
      <c r="G491" s="40"/>
      <c r="H491" s="40"/>
      <c r="I491" s="40"/>
      <c r="J491" s="40"/>
      <c r="K491" s="40"/>
      <c r="L491" s="40"/>
      <c r="M491" s="40"/>
      <c r="N491" s="40"/>
      <c r="O491" s="40"/>
      <c r="P491" s="40"/>
      <c r="Q491" s="40"/>
    </row>
    <row r="492" spans="7:17">
      <c r="G492" s="40"/>
      <c r="H492" s="40"/>
      <c r="I492" s="40"/>
      <c r="J492" s="40"/>
      <c r="K492" s="40"/>
      <c r="L492" s="40"/>
      <c r="M492" s="40"/>
      <c r="N492" s="40"/>
      <c r="O492" s="40"/>
      <c r="P492" s="40"/>
      <c r="Q492" s="40"/>
    </row>
    <row r="493" spans="7:17">
      <c r="G493" s="40"/>
      <c r="H493" s="40"/>
      <c r="I493" s="40"/>
      <c r="J493" s="40"/>
      <c r="K493" s="40"/>
      <c r="L493" s="40"/>
      <c r="M493" s="40"/>
      <c r="N493" s="40"/>
      <c r="O493" s="40"/>
      <c r="P493" s="40"/>
      <c r="Q493" s="40"/>
    </row>
    <row r="494" spans="7:17">
      <c r="G494" s="40"/>
      <c r="H494" s="40"/>
      <c r="I494" s="40"/>
      <c r="J494" s="40"/>
      <c r="K494" s="40"/>
      <c r="L494" s="40"/>
      <c r="M494" s="40"/>
      <c r="N494" s="40"/>
      <c r="O494" s="40"/>
      <c r="P494" s="40"/>
      <c r="Q494" s="40"/>
    </row>
    <row r="495" spans="7:17">
      <c r="G495" s="40"/>
      <c r="H495" s="40"/>
      <c r="I495" s="40"/>
      <c r="J495" s="40"/>
      <c r="K495" s="40"/>
      <c r="L495" s="40"/>
      <c r="M495" s="40"/>
      <c r="N495" s="40"/>
      <c r="O495" s="40"/>
      <c r="P495" s="40"/>
      <c r="Q495" s="40"/>
    </row>
    <row r="496" spans="7:17">
      <c r="G496" s="40"/>
      <c r="H496" s="40"/>
      <c r="I496" s="40"/>
      <c r="J496" s="40"/>
      <c r="K496" s="40"/>
      <c r="L496" s="40"/>
      <c r="M496" s="40"/>
      <c r="N496" s="40"/>
      <c r="O496" s="40"/>
      <c r="P496" s="40"/>
      <c r="Q496" s="40"/>
    </row>
    <row r="497" spans="7:17">
      <c r="G497" s="40"/>
      <c r="H497" s="40"/>
      <c r="I497" s="40"/>
      <c r="J497" s="40"/>
      <c r="K497" s="40"/>
      <c r="L497" s="40"/>
      <c r="M497" s="40"/>
      <c r="N497" s="40"/>
      <c r="O497" s="40"/>
      <c r="P497" s="40"/>
      <c r="Q497" s="40"/>
    </row>
    <row r="498" spans="7:17">
      <c r="G498" s="40"/>
      <c r="H498" s="40"/>
      <c r="I498" s="40"/>
      <c r="J498" s="40"/>
      <c r="K498" s="40"/>
      <c r="L498" s="40"/>
      <c r="M498" s="40"/>
      <c r="N498" s="40"/>
      <c r="O498" s="40"/>
      <c r="P498" s="40"/>
      <c r="Q498" s="40"/>
    </row>
    <row r="499" spans="7:17">
      <c r="G499" s="40"/>
      <c r="H499" s="40"/>
      <c r="I499" s="40"/>
      <c r="J499" s="40"/>
      <c r="K499" s="40"/>
      <c r="L499" s="40"/>
      <c r="M499" s="40"/>
      <c r="N499" s="40"/>
      <c r="O499" s="40"/>
      <c r="P499" s="40"/>
      <c r="Q499" s="40"/>
    </row>
    <row r="500" spans="7:17">
      <c r="G500" s="40"/>
      <c r="H500" s="40"/>
      <c r="I500" s="40"/>
      <c r="J500" s="40"/>
      <c r="K500" s="40"/>
      <c r="L500" s="40"/>
      <c r="M500" s="40"/>
      <c r="N500" s="40"/>
      <c r="O500" s="40"/>
      <c r="P500" s="40"/>
      <c r="Q500" s="40"/>
    </row>
    <row r="501" spans="7:17">
      <c r="G501" s="40"/>
      <c r="H501" s="40"/>
      <c r="I501" s="40"/>
      <c r="J501" s="40"/>
      <c r="K501" s="40"/>
      <c r="L501" s="40"/>
      <c r="M501" s="40"/>
      <c r="N501" s="40"/>
      <c r="O501" s="40"/>
      <c r="P501" s="40"/>
      <c r="Q501" s="40"/>
    </row>
    <row r="502" spans="7:17">
      <c r="G502" s="40"/>
      <c r="H502" s="40"/>
      <c r="I502" s="40"/>
      <c r="J502" s="40"/>
      <c r="K502" s="40"/>
      <c r="L502" s="40"/>
      <c r="M502" s="40"/>
      <c r="N502" s="40"/>
      <c r="O502" s="40"/>
      <c r="P502" s="40"/>
      <c r="Q502" s="40"/>
    </row>
    <row r="503" spans="7:17">
      <c r="G503" s="40"/>
      <c r="H503" s="40"/>
      <c r="I503" s="40"/>
      <c r="J503" s="40"/>
      <c r="K503" s="40"/>
      <c r="L503" s="40"/>
      <c r="M503" s="40"/>
      <c r="N503" s="40"/>
      <c r="O503" s="40"/>
      <c r="P503" s="40"/>
      <c r="Q503" s="40"/>
    </row>
    <row r="504" spans="7:17">
      <c r="G504" s="40"/>
      <c r="H504" s="40"/>
      <c r="I504" s="40"/>
      <c r="J504" s="40"/>
      <c r="K504" s="40"/>
      <c r="L504" s="40"/>
      <c r="M504" s="40"/>
      <c r="N504" s="40"/>
      <c r="O504" s="40"/>
      <c r="P504" s="40"/>
      <c r="Q504" s="40"/>
    </row>
    <row r="505" spans="7:17">
      <c r="G505" s="40"/>
      <c r="H505" s="40"/>
      <c r="I505" s="40"/>
      <c r="J505" s="40"/>
      <c r="K505" s="40"/>
      <c r="L505" s="40"/>
      <c r="M505" s="40"/>
      <c r="N505" s="40"/>
      <c r="O505" s="40"/>
      <c r="P505" s="40"/>
      <c r="Q505" s="40"/>
    </row>
    <row r="506" spans="7:17">
      <c r="G506" s="40"/>
      <c r="H506" s="40"/>
      <c r="I506" s="40"/>
      <c r="J506" s="40"/>
      <c r="K506" s="40"/>
      <c r="L506" s="40"/>
      <c r="M506" s="40"/>
      <c r="N506" s="40"/>
      <c r="O506" s="40"/>
      <c r="P506" s="40"/>
      <c r="Q506" s="40"/>
    </row>
    <row r="507" spans="7:17">
      <c r="G507" s="40"/>
      <c r="H507" s="40"/>
      <c r="I507" s="40"/>
      <c r="J507" s="40"/>
      <c r="K507" s="40"/>
      <c r="L507" s="40"/>
      <c r="M507" s="40"/>
      <c r="N507" s="40"/>
      <c r="O507" s="40"/>
      <c r="P507" s="40"/>
      <c r="Q507" s="40"/>
    </row>
    <row r="508" spans="7:17">
      <c r="G508" s="40"/>
      <c r="H508" s="40"/>
      <c r="I508" s="40"/>
      <c r="J508" s="40"/>
      <c r="K508" s="40"/>
      <c r="L508" s="40"/>
      <c r="M508" s="40"/>
      <c r="N508" s="40"/>
      <c r="O508" s="40"/>
      <c r="P508" s="40"/>
      <c r="Q508" s="40"/>
    </row>
    <row r="509" spans="7:17">
      <c r="G509" s="40"/>
      <c r="H509" s="40"/>
      <c r="I509" s="40"/>
      <c r="J509" s="40"/>
      <c r="K509" s="40"/>
      <c r="L509" s="40"/>
      <c r="M509" s="40"/>
      <c r="N509" s="40"/>
      <c r="O509" s="40"/>
      <c r="P509" s="40"/>
      <c r="Q509" s="40"/>
    </row>
    <row r="510" spans="7:17">
      <c r="G510" s="40"/>
      <c r="H510" s="40"/>
      <c r="I510" s="40"/>
      <c r="J510" s="40"/>
      <c r="K510" s="40"/>
      <c r="L510" s="40"/>
      <c r="M510" s="40"/>
      <c r="N510" s="40"/>
      <c r="O510" s="40"/>
      <c r="P510" s="40"/>
      <c r="Q510" s="40"/>
    </row>
    <row r="511" spans="7:17">
      <c r="G511" s="40"/>
      <c r="H511" s="40"/>
      <c r="I511" s="40"/>
      <c r="J511" s="40"/>
      <c r="K511" s="40"/>
      <c r="L511" s="40"/>
      <c r="M511" s="40"/>
      <c r="N511" s="40"/>
      <c r="O511" s="40"/>
      <c r="P511" s="40"/>
      <c r="Q511" s="40"/>
    </row>
    <row r="512" spans="7:17">
      <c r="G512" s="40"/>
      <c r="H512" s="40"/>
      <c r="I512" s="40"/>
      <c r="J512" s="40"/>
      <c r="K512" s="40"/>
      <c r="L512" s="40"/>
      <c r="M512" s="40"/>
      <c r="N512" s="40"/>
      <c r="O512" s="40"/>
      <c r="P512" s="40"/>
      <c r="Q512" s="40"/>
    </row>
    <row r="513" spans="7:17">
      <c r="G513" s="40"/>
      <c r="H513" s="40"/>
      <c r="I513" s="40"/>
      <c r="J513" s="40"/>
      <c r="K513" s="40"/>
      <c r="L513" s="40"/>
      <c r="M513" s="40"/>
      <c r="N513" s="40"/>
      <c r="O513" s="40"/>
      <c r="P513" s="40"/>
      <c r="Q513" s="40"/>
    </row>
    <row r="514" spans="7:17">
      <c r="G514" s="40"/>
      <c r="H514" s="40"/>
      <c r="I514" s="40"/>
      <c r="J514" s="40"/>
      <c r="K514" s="40"/>
      <c r="L514" s="40"/>
      <c r="M514" s="40"/>
      <c r="N514" s="40"/>
      <c r="O514" s="40"/>
      <c r="P514" s="40"/>
      <c r="Q514" s="40"/>
    </row>
    <row r="515" spans="7:17">
      <c r="G515" s="40"/>
      <c r="H515" s="40"/>
      <c r="I515" s="40"/>
      <c r="J515" s="40"/>
      <c r="K515" s="40"/>
      <c r="L515" s="40"/>
      <c r="M515" s="40"/>
      <c r="N515" s="40"/>
      <c r="O515" s="40"/>
      <c r="P515" s="40"/>
      <c r="Q515" s="40"/>
    </row>
    <row r="516" spans="7:17">
      <c r="G516" s="40"/>
      <c r="H516" s="40"/>
      <c r="I516" s="40"/>
      <c r="J516" s="40"/>
      <c r="K516" s="40"/>
      <c r="L516" s="40"/>
      <c r="M516" s="40"/>
      <c r="N516" s="40"/>
      <c r="O516" s="40"/>
      <c r="P516" s="40"/>
      <c r="Q516" s="40"/>
    </row>
    <row r="517" spans="7:17">
      <c r="G517" s="40"/>
      <c r="H517" s="40"/>
      <c r="I517" s="40"/>
      <c r="J517" s="40"/>
      <c r="K517" s="40"/>
      <c r="L517" s="40"/>
      <c r="M517" s="40"/>
      <c r="N517" s="40"/>
      <c r="O517" s="40"/>
      <c r="P517" s="40"/>
      <c r="Q517" s="40"/>
    </row>
    <row r="518" spans="7:17">
      <c r="G518" s="40"/>
      <c r="H518" s="40"/>
      <c r="I518" s="40"/>
      <c r="J518" s="40"/>
      <c r="K518" s="40"/>
      <c r="L518" s="40"/>
      <c r="M518" s="40"/>
      <c r="N518" s="40"/>
      <c r="O518" s="40"/>
      <c r="P518" s="40"/>
      <c r="Q518" s="40"/>
    </row>
    <row r="519" spans="7:17">
      <c r="G519" s="40"/>
      <c r="H519" s="40"/>
      <c r="I519" s="40"/>
      <c r="J519" s="40"/>
      <c r="K519" s="40"/>
      <c r="L519" s="40"/>
      <c r="M519" s="40"/>
      <c r="N519" s="40"/>
      <c r="O519" s="40"/>
      <c r="P519" s="40"/>
      <c r="Q519" s="40"/>
    </row>
    <row r="520" spans="7:17">
      <c r="G520" s="40"/>
      <c r="H520" s="40"/>
      <c r="I520" s="40"/>
      <c r="J520" s="40"/>
      <c r="K520" s="40"/>
      <c r="L520" s="40"/>
      <c r="M520" s="40"/>
      <c r="N520" s="40"/>
      <c r="O520" s="40"/>
      <c r="P520" s="40"/>
      <c r="Q520" s="40"/>
    </row>
    <row r="521" spans="7:17">
      <c r="G521" s="40"/>
      <c r="H521" s="40"/>
      <c r="I521" s="40"/>
      <c r="J521" s="40"/>
      <c r="K521" s="40"/>
      <c r="L521" s="40"/>
      <c r="M521" s="40"/>
      <c r="N521" s="40"/>
      <c r="O521" s="40"/>
      <c r="P521" s="40"/>
      <c r="Q521" s="40"/>
    </row>
    <row r="522" spans="7:17">
      <c r="G522" s="40"/>
      <c r="H522" s="40"/>
      <c r="I522" s="40"/>
      <c r="J522" s="40"/>
      <c r="K522" s="40"/>
      <c r="L522" s="40"/>
      <c r="M522" s="40"/>
      <c r="N522" s="40"/>
      <c r="O522" s="40"/>
      <c r="P522" s="40"/>
      <c r="Q522" s="40"/>
    </row>
    <row r="523" spans="7:17">
      <c r="G523" s="40"/>
      <c r="H523" s="40"/>
      <c r="I523" s="40"/>
      <c r="J523" s="40"/>
      <c r="K523" s="40"/>
      <c r="L523" s="40"/>
      <c r="M523" s="40"/>
      <c r="N523" s="40"/>
      <c r="O523" s="40"/>
      <c r="P523" s="40"/>
      <c r="Q523" s="40"/>
    </row>
    <row r="524" spans="7:17">
      <c r="G524" s="40"/>
      <c r="H524" s="40"/>
      <c r="I524" s="40"/>
      <c r="J524" s="40"/>
      <c r="K524" s="40"/>
      <c r="L524" s="40"/>
      <c r="M524" s="40"/>
      <c r="N524" s="40"/>
      <c r="O524" s="40"/>
      <c r="P524" s="40"/>
      <c r="Q524" s="40"/>
    </row>
    <row r="525" spans="7:17">
      <c r="G525" s="40"/>
      <c r="H525" s="40"/>
      <c r="I525" s="40"/>
      <c r="J525" s="40"/>
      <c r="K525" s="40"/>
      <c r="L525" s="40"/>
      <c r="M525" s="40"/>
      <c r="N525" s="40"/>
      <c r="O525" s="40"/>
      <c r="P525" s="40"/>
      <c r="Q525" s="40"/>
    </row>
    <row r="526" spans="7:17">
      <c r="G526" s="40"/>
      <c r="H526" s="40"/>
      <c r="I526" s="40"/>
      <c r="J526" s="40"/>
      <c r="K526" s="40"/>
      <c r="L526" s="40"/>
      <c r="M526" s="40"/>
      <c r="N526" s="40"/>
      <c r="O526" s="40"/>
      <c r="P526" s="40"/>
      <c r="Q526" s="40"/>
    </row>
    <row r="527" spans="7:17">
      <c r="G527" s="40"/>
      <c r="H527" s="40"/>
      <c r="I527" s="40"/>
      <c r="J527" s="40"/>
      <c r="K527" s="40"/>
      <c r="L527" s="40"/>
      <c r="M527" s="40"/>
      <c r="N527" s="40"/>
      <c r="O527" s="40"/>
      <c r="P527" s="40"/>
      <c r="Q527" s="40"/>
    </row>
    <row r="528" spans="7:17">
      <c r="G528" s="40"/>
      <c r="H528" s="40"/>
      <c r="I528" s="40"/>
      <c r="J528" s="40"/>
      <c r="K528" s="40"/>
      <c r="L528" s="40"/>
      <c r="M528" s="40"/>
      <c r="N528" s="40"/>
      <c r="O528" s="40"/>
      <c r="P528" s="40"/>
      <c r="Q528" s="40"/>
    </row>
    <row r="529" spans="7:17">
      <c r="G529" s="40"/>
      <c r="H529" s="40"/>
      <c r="I529" s="40"/>
      <c r="J529" s="40"/>
      <c r="K529" s="40"/>
      <c r="L529" s="40"/>
      <c r="M529" s="40"/>
      <c r="N529" s="40"/>
      <c r="O529" s="40"/>
      <c r="P529" s="40"/>
      <c r="Q529" s="40"/>
    </row>
    <row r="530" spans="7:17">
      <c r="G530" s="40"/>
      <c r="H530" s="40"/>
      <c r="I530" s="40"/>
      <c r="J530" s="40"/>
      <c r="K530" s="40"/>
      <c r="L530" s="40"/>
      <c r="M530" s="40"/>
      <c r="N530" s="40"/>
      <c r="O530" s="40"/>
      <c r="P530" s="40"/>
      <c r="Q530" s="40"/>
    </row>
    <row r="531" spans="7:17">
      <c r="G531" s="40"/>
      <c r="H531" s="40"/>
      <c r="I531" s="40"/>
      <c r="J531" s="40"/>
      <c r="K531" s="40"/>
      <c r="L531" s="40"/>
      <c r="M531" s="40"/>
      <c r="N531" s="40"/>
      <c r="O531" s="40"/>
      <c r="P531" s="40"/>
      <c r="Q531" s="40"/>
    </row>
    <row r="532" spans="7:17">
      <c r="G532" s="40"/>
      <c r="H532" s="40"/>
      <c r="I532" s="40"/>
      <c r="J532" s="40"/>
      <c r="K532" s="40"/>
      <c r="L532" s="40"/>
      <c r="M532" s="40"/>
      <c r="N532" s="40"/>
      <c r="O532" s="40"/>
      <c r="P532" s="40"/>
      <c r="Q532" s="40"/>
    </row>
    <row r="533" spans="7:17">
      <c r="G533" s="40"/>
      <c r="H533" s="40"/>
      <c r="I533" s="40"/>
      <c r="J533" s="40"/>
      <c r="K533" s="40"/>
      <c r="L533" s="40"/>
      <c r="M533" s="40"/>
      <c r="N533" s="40"/>
      <c r="O533" s="40"/>
      <c r="P533" s="40"/>
      <c r="Q533" s="40"/>
    </row>
    <row r="534" spans="7:17">
      <c r="G534" s="40"/>
      <c r="H534" s="40"/>
      <c r="I534" s="40"/>
      <c r="J534" s="40"/>
      <c r="K534" s="40"/>
      <c r="L534" s="40"/>
      <c r="M534" s="40"/>
      <c r="N534" s="40"/>
      <c r="O534" s="40"/>
      <c r="P534" s="40"/>
      <c r="Q534" s="40"/>
    </row>
    <row r="535" spans="7:17">
      <c r="G535" s="40"/>
      <c r="H535" s="40"/>
      <c r="I535" s="40"/>
      <c r="J535" s="40"/>
      <c r="K535" s="40"/>
      <c r="L535" s="40"/>
      <c r="M535" s="40"/>
      <c r="N535" s="40"/>
      <c r="O535" s="40"/>
      <c r="P535" s="40"/>
      <c r="Q535" s="40"/>
    </row>
    <row r="536" spans="7:17">
      <c r="G536" s="40"/>
      <c r="H536" s="40"/>
      <c r="I536" s="40"/>
      <c r="J536" s="40"/>
      <c r="K536" s="40"/>
      <c r="L536" s="40"/>
      <c r="M536" s="40"/>
      <c r="N536" s="40"/>
      <c r="O536" s="40"/>
      <c r="P536" s="40"/>
      <c r="Q536" s="40"/>
    </row>
    <row r="537" spans="7:17">
      <c r="G537" s="40"/>
      <c r="H537" s="40"/>
      <c r="I537" s="40"/>
      <c r="J537" s="40"/>
      <c r="K537" s="40"/>
      <c r="L537" s="40"/>
      <c r="M537" s="40"/>
      <c r="N537" s="40"/>
      <c r="O537" s="40"/>
      <c r="P537" s="40"/>
      <c r="Q537" s="40"/>
    </row>
    <row r="538" spans="7:17">
      <c r="G538" s="40"/>
      <c r="H538" s="40"/>
      <c r="I538" s="40"/>
      <c r="J538" s="40"/>
      <c r="K538" s="40"/>
      <c r="L538" s="40"/>
      <c r="M538" s="40"/>
      <c r="N538" s="40"/>
      <c r="O538" s="40"/>
      <c r="P538" s="40"/>
      <c r="Q538" s="40"/>
    </row>
    <row r="539" spans="7:17">
      <c r="G539" s="40"/>
      <c r="H539" s="40"/>
      <c r="I539" s="40"/>
      <c r="J539" s="40"/>
      <c r="K539" s="40"/>
      <c r="L539" s="40"/>
      <c r="M539" s="40"/>
      <c r="N539" s="40"/>
      <c r="O539" s="40"/>
      <c r="P539" s="40"/>
      <c r="Q539" s="40"/>
    </row>
    <row r="540" spans="7:17">
      <c r="G540" s="40"/>
      <c r="H540" s="40"/>
      <c r="I540" s="40"/>
      <c r="J540" s="40"/>
      <c r="K540" s="40"/>
      <c r="L540" s="40"/>
      <c r="M540" s="40"/>
      <c r="N540" s="40"/>
      <c r="O540" s="40"/>
      <c r="P540" s="40"/>
      <c r="Q540" s="40"/>
    </row>
    <row r="541" spans="7:17">
      <c r="G541" s="40"/>
      <c r="H541" s="40"/>
      <c r="I541" s="40"/>
      <c r="J541" s="40"/>
      <c r="K541" s="40"/>
      <c r="L541" s="40"/>
      <c r="M541" s="40"/>
      <c r="N541" s="40"/>
      <c r="O541" s="40"/>
      <c r="P541" s="40"/>
      <c r="Q541" s="40"/>
    </row>
    <row r="542" spans="7:17">
      <c r="G542" s="40"/>
      <c r="H542" s="40"/>
      <c r="I542" s="40"/>
      <c r="J542" s="40"/>
      <c r="K542" s="40"/>
      <c r="L542" s="40"/>
      <c r="M542" s="40"/>
      <c r="N542" s="40"/>
      <c r="O542" s="40"/>
      <c r="P542" s="40"/>
      <c r="Q542" s="40"/>
    </row>
    <row r="543" spans="7:17">
      <c r="G543" s="40"/>
      <c r="H543" s="40"/>
      <c r="I543" s="40"/>
      <c r="J543" s="40"/>
      <c r="K543" s="40"/>
      <c r="L543" s="40"/>
      <c r="M543" s="40"/>
      <c r="N543" s="40"/>
      <c r="O543" s="40"/>
      <c r="P543" s="40"/>
      <c r="Q543" s="40"/>
    </row>
    <row r="544" spans="7:17">
      <c r="G544" s="40"/>
      <c r="H544" s="40"/>
      <c r="I544" s="40"/>
      <c r="J544" s="40"/>
      <c r="K544" s="40"/>
      <c r="L544" s="40"/>
      <c r="M544" s="40"/>
      <c r="N544" s="40"/>
      <c r="O544" s="40"/>
      <c r="P544" s="40"/>
      <c r="Q544" s="40"/>
    </row>
    <row r="545" spans="7:17">
      <c r="G545" s="40"/>
      <c r="H545" s="40"/>
      <c r="I545" s="40"/>
      <c r="J545" s="40"/>
      <c r="K545" s="40"/>
      <c r="L545" s="40"/>
      <c r="M545" s="40"/>
      <c r="N545" s="40"/>
      <c r="O545" s="40"/>
      <c r="P545" s="40"/>
      <c r="Q545" s="40"/>
    </row>
    <row r="546" spans="7:17">
      <c r="G546" s="40"/>
      <c r="H546" s="40"/>
      <c r="I546" s="40"/>
      <c r="J546" s="40"/>
      <c r="K546" s="40"/>
      <c r="L546" s="40"/>
      <c r="M546" s="40"/>
      <c r="N546" s="40"/>
      <c r="O546" s="40"/>
      <c r="P546" s="40"/>
      <c r="Q546" s="40"/>
    </row>
    <row r="547" spans="7:17">
      <c r="G547" s="40"/>
      <c r="H547" s="40"/>
      <c r="I547" s="40"/>
      <c r="J547" s="40"/>
      <c r="K547" s="40"/>
      <c r="L547" s="40"/>
      <c r="M547" s="40"/>
      <c r="N547" s="40"/>
      <c r="O547" s="40"/>
      <c r="P547" s="40"/>
      <c r="Q547" s="40"/>
    </row>
    <row r="548" spans="7:17">
      <c r="G548" s="40"/>
      <c r="H548" s="40"/>
      <c r="I548" s="40"/>
      <c r="J548" s="40"/>
      <c r="K548" s="40"/>
      <c r="L548" s="40"/>
      <c r="M548" s="40"/>
      <c r="N548" s="40"/>
      <c r="O548" s="40"/>
      <c r="P548" s="40"/>
      <c r="Q548" s="40"/>
    </row>
    <row r="549" spans="7:17">
      <c r="G549" s="40"/>
      <c r="H549" s="40"/>
      <c r="I549" s="40"/>
      <c r="J549" s="40"/>
      <c r="K549" s="40"/>
      <c r="L549" s="40"/>
      <c r="M549" s="40"/>
      <c r="N549" s="40"/>
      <c r="O549" s="40"/>
      <c r="P549" s="40"/>
      <c r="Q549" s="40"/>
    </row>
    <row r="550" spans="7:17">
      <c r="G550" s="40"/>
      <c r="H550" s="40"/>
      <c r="I550" s="40"/>
      <c r="J550" s="40"/>
      <c r="K550" s="40"/>
      <c r="L550" s="40"/>
      <c r="M550" s="40"/>
      <c r="N550" s="40"/>
      <c r="O550" s="40"/>
      <c r="P550" s="40"/>
      <c r="Q550" s="40"/>
    </row>
    <row r="551" spans="7:17">
      <c r="G551" s="40"/>
      <c r="H551" s="40"/>
      <c r="I551" s="40"/>
      <c r="J551" s="40"/>
      <c r="K551" s="40"/>
      <c r="L551" s="40"/>
      <c r="M551" s="40"/>
      <c r="N551" s="40"/>
      <c r="O551" s="40"/>
      <c r="P551" s="40"/>
      <c r="Q551" s="40"/>
    </row>
    <row r="552" spans="7:17">
      <c r="G552" s="40"/>
      <c r="H552" s="40"/>
      <c r="I552" s="40"/>
      <c r="J552" s="40"/>
      <c r="K552" s="40"/>
      <c r="L552" s="40"/>
      <c r="M552" s="40"/>
      <c r="N552" s="40"/>
      <c r="O552" s="40"/>
      <c r="P552" s="40"/>
      <c r="Q552" s="40"/>
    </row>
    <row r="553" spans="7:17">
      <c r="G553" s="40"/>
      <c r="H553" s="40"/>
      <c r="I553" s="40"/>
      <c r="J553" s="40"/>
      <c r="K553" s="40"/>
      <c r="L553" s="40"/>
      <c r="M553" s="40"/>
      <c r="N553" s="40"/>
      <c r="O553" s="40"/>
      <c r="P553" s="40"/>
      <c r="Q553" s="40"/>
    </row>
    <row r="554" spans="7:17">
      <c r="G554" s="40"/>
      <c r="H554" s="40"/>
      <c r="I554" s="40"/>
      <c r="J554" s="40"/>
      <c r="K554" s="40"/>
      <c r="L554" s="40"/>
      <c r="M554" s="40"/>
      <c r="N554" s="40"/>
      <c r="O554" s="40"/>
      <c r="P554" s="40"/>
      <c r="Q554" s="40"/>
    </row>
    <row r="555" spans="7:17">
      <c r="G555" s="40"/>
      <c r="H555" s="40"/>
      <c r="I555" s="40"/>
      <c r="J555" s="40"/>
      <c r="K555" s="40"/>
      <c r="L555" s="40"/>
      <c r="M555" s="40"/>
      <c r="N555" s="40"/>
      <c r="O555" s="40"/>
      <c r="P555" s="40"/>
      <c r="Q555" s="40"/>
    </row>
    <row r="556" spans="7:17">
      <c r="G556" s="40"/>
      <c r="H556" s="40"/>
      <c r="I556" s="40"/>
      <c r="J556" s="40"/>
      <c r="K556" s="40"/>
      <c r="L556" s="40"/>
      <c r="M556" s="40"/>
      <c r="N556" s="40"/>
      <c r="O556" s="40"/>
      <c r="P556" s="40"/>
      <c r="Q556" s="40"/>
    </row>
    <row r="557" spans="7:17">
      <c r="G557" s="40"/>
      <c r="H557" s="40"/>
      <c r="I557" s="40"/>
      <c r="J557" s="40"/>
      <c r="K557" s="40"/>
      <c r="L557" s="40"/>
      <c r="M557" s="40"/>
      <c r="N557" s="40"/>
      <c r="O557" s="40"/>
      <c r="P557" s="40"/>
      <c r="Q557" s="40"/>
    </row>
    <row r="558" spans="7:17">
      <c r="G558" s="40"/>
      <c r="H558" s="40"/>
      <c r="I558" s="40"/>
      <c r="J558" s="40"/>
      <c r="K558" s="40"/>
      <c r="L558" s="40"/>
      <c r="M558" s="40"/>
      <c r="N558" s="40"/>
      <c r="O558" s="40"/>
      <c r="P558" s="40"/>
      <c r="Q558" s="40"/>
    </row>
    <row r="559" spans="7:17">
      <c r="G559" s="40"/>
      <c r="H559" s="40"/>
      <c r="I559" s="40"/>
      <c r="J559" s="40"/>
      <c r="K559" s="40"/>
      <c r="L559" s="40"/>
      <c r="M559" s="40"/>
      <c r="N559" s="40"/>
      <c r="O559" s="40"/>
      <c r="P559" s="40"/>
      <c r="Q559" s="40"/>
    </row>
    <row r="560" spans="7:17">
      <c r="G560" s="40"/>
      <c r="H560" s="40"/>
      <c r="I560" s="40"/>
      <c r="J560" s="40"/>
      <c r="K560" s="40"/>
      <c r="L560" s="40"/>
      <c r="M560" s="40"/>
      <c r="N560" s="40"/>
      <c r="O560" s="40"/>
      <c r="P560" s="40"/>
      <c r="Q560" s="40"/>
    </row>
    <row r="561" spans="7:17">
      <c r="G561" s="40"/>
      <c r="H561" s="40"/>
      <c r="I561" s="40"/>
      <c r="J561" s="40"/>
      <c r="K561" s="40"/>
      <c r="L561" s="40"/>
      <c r="M561" s="40"/>
      <c r="N561" s="40"/>
      <c r="O561" s="40"/>
      <c r="P561" s="40"/>
      <c r="Q561" s="40"/>
    </row>
    <row r="562" spans="7:17">
      <c r="G562" s="40"/>
      <c r="H562" s="40"/>
      <c r="I562" s="40"/>
      <c r="J562" s="40"/>
      <c r="K562" s="40"/>
      <c r="L562" s="40"/>
      <c r="M562" s="40"/>
      <c r="N562" s="40"/>
      <c r="O562" s="40"/>
      <c r="P562" s="40"/>
      <c r="Q562" s="40"/>
    </row>
    <row r="563" spans="7:17">
      <c r="G563" s="40"/>
      <c r="H563" s="40"/>
      <c r="I563" s="40"/>
      <c r="J563" s="40"/>
      <c r="K563" s="40"/>
      <c r="L563" s="40"/>
      <c r="M563" s="40"/>
      <c r="N563" s="40"/>
      <c r="O563" s="40"/>
      <c r="P563" s="40"/>
      <c r="Q563" s="40"/>
    </row>
    <row r="564" spans="7:17">
      <c r="G564" s="40"/>
      <c r="H564" s="40"/>
      <c r="I564" s="40"/>
      <c r="J564" s="40"/>
      <c r="K564" s="40"/>
      <c r="L564" s="40"/>
      <c r="M564" s="40"/>
      <c r="N564" s="40"/>
      <c r="O564" s="40"/>
      <c r="P564" s="40"/>
      <c r="Q564" s="40"/>
    </row>
    <row r="565" spans="7:17">
      <c r="G565" s="40"/>
      <c r="H565" s="40"/>
      <c r="I565" s="40"/>
      <c r="J565" s="40"/>
      <c r="K565" s="40"/>
      <c r="L565" s="40"/>
      <c r="M565" s="40"/>
      <c r="N565" s="40"/>
      <c r="O565" s="40"/>
      <c r="P565" s="40"/>
      <c r="Q565" s="40"/>
    </row>
    <row r="566" spans="7:17">
      <c r="G566" s="40"/>
      <c r="H566" s="40"/>
      <c r="I566" s="40"/>
      <c r="J566" s="40"/>
      <c r="K566" s="40"/>
      <c r="L566" s="40"/>
      <c r="M566" s="40"/>
      <c r="N566" s="40"/>
      <c r="O566" s="40"/>
      <c r="P566" s="40"/>
      <c r="Q566" s="40"/>
    </row>
    <row r="567" spans="7:17">
      <c r="G567" s="40"/>
      <c r="H567" s="40"/>
      <c r="I567" s="40"/>
      <c r="J567" s="40"/>
      <c r="K567" s="40"/>
      <c r="L567" s="40"/>
      <c r="M567" s="40"/>
      <c r="N567" s="40"/>
      <c r="O567" s="40"/>
      <c r="P567" s="40"/>
      <c r="Q567" s="40"/>
    </row>
    <row r="568" spans="7:17">
      <c r="G568" s="40"/>
      <c r="H568" s="40"/>
      <c r="I568" s="40"/>
      <c r="J568" s="40"/>
      <c r="K568" s="40"/>
      <c r="L568" s="40"/>
      <c r="M568" s="40"/>
      <c r="N568" s="40"/>
      <c r="O568" s="40"/>
      <c r="P568" s="40"/>
      <c r="Q568" s="40"/>
    </row>
    <row r="569" spans="7:17">
      <c r="G569" s="40"/>
      <c r="H569" s="40"/>
      <c r="I569" s="40"/>
      <c r="J569" s="40"/>
      <c r="K569" s="40"/>
      <c r="L569" s="40"/>
      <c r="M569" s="40"/>
      <c r="N569" s="40"/>
      <c r="O569" s="40"/>
      <c r="P569" s="40"/>
      <c r="Q569" s="40"/>
    </row>
    <row r="570" spans="7:17">
      <c r="G570" s="40"/>
      <c r="H570" s="40"/>
      <c r="I570" s="40"/>
      <c r="J570" s="40"/>
      <c r="K570" s="40"/>
      <c r="L570" s="40"/>
      <c r="M570" s="40"/>
      <c r="N570" s="40"/>
      <c r="O570" s="40"/>
      <c r="P570" s="40"/>
      <c r="Q570" s="40"/>
    </row>
    <row r="571" spans="7:17">
      <c r="G571" s="40"/>
      <c r="H571" s="40"/>
      <c r="I571" s="40"/>
      <c r="J571" s="40"/>
      <c r="K571" s="40"/>
      <c r="L571" s="40"/>
      <c r="M571" s="40"/>
      <c r="N571" s="40"/>
      <c r="O571" s="40"/>
      <c r="P571" s="40"/>
      <c r="Q571" s="40"/>
    </row>
    <row r="572" spans="7:17">
      <c r="G572" s="40"/>
      <c r="H572" s="40"/>
      <c r="I572" s="40"/>
      <c r="J572" s="40"/>
      <c r="K572" s="40"/>
      <c r="L572" s="40"/>
      <c r="M572" s="40"/>
      <c r="N572" s="40"/>
      <c r="O572" s="40"/>
      <c r="P572" s="40"/>
      <c r="Q572" s="40"/>
    </row>
    <row r="573" spans="7:17">
      <c r="G573" s="40"/>
      <c r="H573" s="40"/>
      <c r="I573" s="40"/>
      <c r="J573" s="40"/>
      <c r="K573" s="40"/>
      <c r="L573" s="40"/>
      <c r="M573" s="40"/>
      <c r="N573" s="40"/>
      <c r="O573" s="40"/>
      <c r="P573" s="40"/>
      <c r="Q573" s="40"/>
    </row>
    <row r="574" spans="7:17">
      <c r="G574" s="40"/>
      <c r="H574" s="40"/>
      <c r="I574" s="40"/>
      <c r="J574" s="40"/>
      <c r="K574" s="40"/>
      <c r="L574" s="40"/>
      <c r="M574" s="40"/>
      <c r="N574" s="40"/>
      <c r="O574" s="40"/>
      <c r="P574" s="40"/>
      <c r="Q574" s="40"/>
    </row>
    <row r="575" spans="7:17">
      <c r="G575" s="40"/>
      <c r="H575" s="40"/>
      <c r="I575" s="40"/>
      <c r="J575" s="40"/>
      <c r="K575" s="40"/>
      <c r="L575" s="40"/>
      <c r="M575" s="40"/>
      <c r="N575" s="40"/>
      <c r="O575" s="40"/>
      <c r="P575" s="40"/>
      <c r="Q575" s="40"/>
    </row>
    <row r="576" spans="7:17">
      <c r="G576" s="40"/>
      <c r="H576" s="40"/>
      <c r="I576" s="40"/>
      <c r="J576" s="40"/>
      <c r="K576" s="40"/>
      <c r="L576" s="40"/>
      <c r="M576" s="40"/>
      <c r="N576" s="40"/>
      <c r="O576" s="40"/>
      <c r="P576" s="40"/>
      <c r="Q576" s="40"/>
    </row>
    <row r="577" spans="7:17">
      <c r="G577" s="40"/>
      <c r="H577" s="40"/>
      <c r="I577" s="40"/>
      <c r="J577" s="40"/>
      <c r="K577" s="40"/>
      <c r="L577" s="40"/>
      <c r="M577" s="40"/>
      <c r="N577" s="40"/>
      <c r="O577" s="40"/>
      <c r="P577" s="40"/>
      <c r="Q577" s="40"/>
    </row>
    <row r="578" spans="7:17">
      <c r="G578" s="40"/>
      <c r="H578" s="40"/>
      <c r="I578" s="40"/>
      <c r="J578" s="40"/>
      <c r="K578" s="40"/>
      <c r="L578" s="40"/>
      <c r="M578" s="40"/>
      <c r="N578" s="40"/>
      <c r="O578" s="40"/>
      <c r="P578" s="40"/>
      <c r="Q578" s="40"/>
    </row>
    <row r="579" spans="7:17">
      <c r="G579" s="40"/>
      <c r="H579" s="40"/>
      <c r="I579" s="40"/>
      <c r="J579" s="40"/>
      <c r="K579" s="40"/>
      <c r="L579" s="40"/>
      <c r="M579" s="40"/>
      <c r="N579" s="40"/>
      <c r="O579" s="40"/>
      <c r="P579" s="40"/>
      <c r="Q579" s="40"/>
    </row>
    <row r="580" spans="7:17">
      <c r="G580" s="40"/>
      <c r="H580" s="40"/>
      <c r="I580" s="40"/>
      <c r="J580" s="40"/>
      <c r="K580" s="40"/>
      <c r="L580" s="40"/>
      <c r="M580" s="40"/>
      <c r="N580" s="40"/>
      <c r="O580" s="40"/>
      <c r="P580" s="40"/>
      <c r="Q580" s="40"/>
    </row>
    <row r="581" spans="7:17">
      <c r="G581" s="40"/>
      <c r="H581" s="40"/>
      <c r="I581" s="40"/>
      <c r="J581" s="40"/>
      <c r="K581" s="40"/>
      <c r="L581" s="40"/>
      <c r="M581" s="40"/>
      <c r="N581" s="40"/>
      <c r="O581" s="40"/>
      <c r="P581" s="40"/>
      <c r="Q581" s="40"/>
    </row>
    <row r="582" spans="7:17">
      <c r="G582" s="40"/>
      <c r="H582" s="40"/>
      <c r="I582" s="40"/>
      <c r="J582" s="40"/>
      <c r="K582" s="40"/>
      <c r="L582" s="40"/>
      <c r="M582" s="40"/>
      <c r="N582" s="40"/>
      <c r="O582" s="40"/>
      <c r="P582" s="40"/>
      <c r="Q582" s="40"/>
    </row>
    <row r="583" spans="7:17">
      <c r="G583" s="40"/>
      <c r="H583" s="40"/>
      <c r="I583" s="40"/>
      <c r="J583" s="40"/>
      <c r="K583" s="40"/>
      <c r="L583" s="40"/>
      <c r="M583" s="40"/>
      <c r="N583" s="40"/>
      <c r="O583" s="40"/>
      <c r="P583" s="40"/>
      <c r="Q583" s="40"/>
    </row>
    <row r="584" spans="7:17">
      <c r="G584" s="40"/>
      <c r="H584" s="40"/>
      <c r="I584" s="40"/>
      <c r="J584" s="40"/>
      <c r="K584" s="40"/>
      <c r="L584" s="40"/>
      <c r="M584" s="40"/>
      <c r="N584" s="40"/>
      <c r="O584" s="40"/>
      <c r="P584" s="40"/>
      <c r="Q584" s="40"/>
    </row>
    <row r="585" spans="7:17">
      <c r="G585" s="40"/>
      <c r="H585" s="40"/>
      <c r="I585" s="40"/>
      <c r="J585" s="40"/>
      <c r="K585" s="40"/>
      <c r="L585" s="40"/>
      <c r="M585" s="40"/>
      <c r="N585" s="40"/>
      <c r="O585" s="40"/>
      <c r="P585" s="40"/>
      <c r="Q585" s="40"/>
    </row>
    <row r="586" spans="7:17">
      <c r="G586" s="40"/>
      <c r="H586" s="40"/>
      <c r="I586" s="40"/>
      <c r="J586" s="40"/>
      <c r="K586" s="40"/>
      <c r="L586" s="40"/>
      <c r="M586" s="40"/>
      <c r="N586" s="40"/>
      <c r="O586" s="40"/>
      <c r="P586" s="40"/>
      <c r="Q586" s="40"/>
    </row>
    <row r="587" spans="7:17">
      <c r="G587" s="40"/>
      <c r="H587" s="40"/>
      <c r="I587" s="40"/>
      <c r="J587" s="40"/>
      <c r="K587" s="40"/>
      <c r="L587" s="40"/>
      <c r="M587" s="40"/>
      <c r="N587" s="40"/>
      <c r="O587" s="40"/>
      <c r="P587" s="40"/>
      <c r="Q587" s="40"/>
    </row>
    <row r="588" spans="7:17">
      <c r="G588" s="40"/>
      <c r="H588" s="40"/>
      <c r="I588" s="40"/>
      <c r="J588" s="40"/>
      <c r="K588" s="40"/>
      <c r="L588" s="40"/>
      <c r="M588" s="40"/>
      <c r="N588" s="40"/>
      <c r="O588" s="40"/>
      <c r="P588" s="40"/>
      <c r="Q588" s="40"/>
    </row>
    <row r="589" spans="7:17">
      <c r="G589" s="40"/>
      <c r="H589" s="40"/>
      <c r="I589" s="40"/>
      <c r="J589" s="40"/>
      <c r="K589" s="40"/>
      <c r="L589" s="40"/>
      <c r="M589" s="40"/>
      <c r="N589" s="40"/>
      <c r="O589" s="40"/>
      <c r="P589" s="40"/>
      <c r="Q589" s="40"/>
    </row>
    <row r="590" spans="7:17">
      <c r="G590" s="40"/>
      <c r="H590" s="40"/>
      <c r="I590" s="40"/>
      <c r="J590" s="40"/>
      <c r="K590" s="40"/>
      <c r="L590" s="40"/>
      <c r="M590" s="40"/>
      <c r="N590" s="40"/>
      <c r="O590" s="40"/>
      <c r="P590" s="40"/>
      <c r="Q590" s="40"/>
    </row>
    <row r="591" spans="7:17">
      <c r="G591" s="40"/>
      <c r="H591" s="40"/>
      <c r="I591" s="40"/>
      <c r="J591" s="40"/>
      <c r="K591" s="40"/>
      <c r="L591" s="40"/>
      <c r="M591" s="40"/>
      <c r="N591" s="40"/>
      <c r="O591" s="40"/>
      <c r="P591" s="40"/>
      <c r="Q591" s="40"/>
    </row>
    <row r="592" spans="7:17">
      <c r="G592" s="40"/>
      <c r="H592" s="40"/>
      <c r="I592" s="40"/>
      <c r="J592" s="40"/>
      <c r="K592" s="40"/>
      <c r="L592" s="40"/>
      <c r="M592" s="40"/>
      <c r="N592" s="40"/>
      <c r="O592" s="40"/>
      <c r="P592" s="40"/>
      <c r="Q592" s="40"/>
    </row>
    <row r="593" spans="7:17">
      <c r="G593" s="40"/>
      <c r="H593" s="40"/>
      <c r="I593" s="40"/>
      <c r="J593" s="40"/>
      <c r="K593" s="40"/>
      <c r="L593" s="40"/>
      <c r="M593" s="40"/>
      <c r="N593" s="40"/>
      <c r="O593" s="40"/>
      <c r="P593" s="40"/>
      <c r="Q593" s="40"/>
    </row>
    <row r="594" spans="7:17">
      <c r="G594" s="40"/>
      <c r="H594" s="40"/>
      <c r="I594" s="40"/>
      <c r="J594" s="40"/>
      <c r="K594" s="40"/>
      <c r="L594" s="40"/>
      <c r="M594" s="40"/>
      <c r="N594" s="40"/>
      <c r="O594" s="40"/>
      <c r="P594" s="40"/>
      <c r="Q594" s="40"/>
    </row>
    <row r="595" spans="7:17">
      <c r="G595" s="40"/>
      <c r="H595" s="40"/>
      <c r="I595" s="40"/>
      <c r="J595" s="40"/>
      <c r="K595" s="40"/>
      <c r="L595" s="40"/>
      <c r="M595" s="40"/>
      <c r="N595" s="40"/>
      <c r="O595" s="40"/>
      <c r="P595" s="40"/>
      <c r="Q595" s="40"/>
    </row>
    <row r="596" spans="7:17">
      <c r="G596" s="40"/>
      <c r="H596" s="40"/>
      <c r="I596" s="40"/>
      <c r="J596" s="40"/>
      <c r="K596" s="40"/>
      <c r="L596" s="40"/>
      <c r="M596" s="40"/>
      <c r="N596" s="40"/>
      <c r="O596" s="40"/>
      <c r="P596" s="40"/>
      <c r="Q596" s="40"/>
    </row>
    <row r="597" spans="7:17">
      <c r="G597" s="40"/>
      <c r="H597" s="40"/>
      <c r="I597" s="40"/>
      <c r="J597" s="40"/>
      <c r="K597" s="40"/>
      <c r="L597" s="40"/>
      <c r="M597" s="40"/>
      <c r="N597" s="40"/>
      <c r="O597" s="40"/>
      <c r="P597" s="40"/>
      <c r="Q597" s="40"/>
    </row>
    <row r="598" spans="7:17">
      <c r="G598" s="40"/>
      <c r="H598" s="40"/>
      <c r="I598" s="40"/>
      <c r="J598" s="40"/>
      <c r="K598" s="40"/>
      <c r="L598" s="40"/>
      <c r="M598" s="40"/>
      <c r="N598" s="40"/>
      <c r="O598" s="40"/>
      <c r="P598" s="40"/>
      <c r="Q598" s="40"/>
    </row>
    <row r="599" spans="7:17">
      <c r="G599" s="40"/>
      <c r="H599" s="40"/>
      <c r="I599" s="40"/>
      <c r="J599" s="40"/>
      <c r="K599" s="40"/>
      <c r="L599" s="40"/>
      <c r="M599" s="40"/>
      <c r="N599" s="40"/>
      <c r="O599" s="40"/>
      <c r="P599" s="40"/>
      <c r="Q599" s="40"/>
    </row>
    <row r="600" spans="7:17">
      <c r="G600" s="40"/>
      <c r="H600" s="40"/>
      <c r="I600" s="40"/>
      <c r="J600" s="40"/>
      <c r="K600" s="40"/>
      <c r="L600" s="40"/>
      <c r="M600" s="40"/>
      <c r="N600" s="40"/>
      <c r="O600" s="40"/>
      <c r="P600" s="40"/>
      <c r="Q600" s="40"/>
    </row>
    <row r="601" spans="7:17">
      <c r="G601" s="40"/>
      <c r="H601" s="40"/>
      <c r="I601" s="40"/>
      <c r="J601" s="40"/>
      <c r="K601" s="40"/>
      <c r="L601" s="40"/>
      <c r="M601" s="40"/>
      <c r="N601" s="40"/>
      <c r="O601" s="40"/>
      <c r="P601" s="40"/>
      <c r="Q601" s="40"/>
    </row>
    <row r="602" spans="7:17">
      <c r="G602" s="40"/>
      <c r="H602" s="40"/>
      <c r="I602" s="40"/>
      <c r="J602" s="40"/>
      <c r="K602" s="40"/>
      <c r="L602" s="40"/>
      <c r="M602" s="40"/>
      <c r="N602" s="40"/>
      <c r="O602" s="40"/>
      <c r="P602" s="40"/>
      <c r="Q602" s="40"/>
    </row>
    <row r="603" spans="7:17">
      <c r="G603" s="40"/>
      <c r="H603" s="40"/>
      <c r="I603" s="40"/>
      <c r="J603" s="40"/>
      <c r="K603" s="40"/>
      <c r="L603" s="40"/>
      <c r="M603" s="40"/>
      <c r="N603" s="40"/>
      <c r="O603" s="40"/>
      <c r="P603" s="40"/>
      <c r="Q603" s="40"/>
    </row>
    <row r="604" spans="7:17">
      <c r="G604" s="40"/>
      <c r="H604" s="40"/>
      <c r="I604" s="40"/>
      <c r="J604" s="40"/>
      <c r="K604" s="40"/>
      <c r="L604" s="40"/>
      <c r="M604" s="40"/>
      <c r="N604" s="40"/>
      <c r="O604" s="40"/>
      <c r="P604" s="40"/>
      <c r="Q604" s="40"/>
    </row>
    <row r="605" spans="7:17">
      <c r="G605" s="40"/>
      <c r="H605" s="40"/>
      <c r="I605" s="40"/>
      <c r="J605" s="40"/>
      <c r="K605" s="40"/>
      <c r="L605" s="40"/>
      <c r="M605" s="40"/>
      <c r="N605" s="40"/>
      <c r="O605" s="40"/>
      <c r="P605" s="40"/>
      <c r="Q605" s="40"/>
    </row>
    <row r="606" spans="7:17">
      <c r="G606" s="40"/>
      <c r="H606" s="40"/>
      <c r="I606" s="40"/>
      <c r="J606" s="40"/>
      <c r="K606" s="40"/>
      <c r="L606" s="40"/>
      <c r="M606" s="40"/>
      <c r="N606" s="40"/>
      <c r="O606" s="40"/>
      <c r="P606" s="40"/>
      <c r="Q606" s="40"/>
    </row>
    <row r="607" spans="7:17">
      <c r="G607" s="40"/>
      <c r="H607" s="40"/>
      <c r="I607" s="40"/>
      <c r="J607" s="40"/>
      <c r="K607" s="40"/>
      <c r="L607" s="40"/>
      <c r="M607" s="40"/>
      <c r="N607" s="40"/>
      <c r="O607" s="40"/>
      <c r="P607" s="40"/>
      <c r="Q607" s="40"/>
    </row>
    <row r="608" spans="7:17">
      <c r="G608" s="40"/>
      <c r="H608" s="40"/>
      <c r="I608" s="40"/>
      <c r="J608" s="40"/>
      <c r="K608" s="40"/>
      <c r="L608" s="40"/>
      <c r="M608" s="40"/>
      <c r="N608" s="40"/>
      <c r="O608" s="40"/>
      <c r="P608" s="40"/>
      <c r="Q608" s="40"/>
    </row>
    <row r="609" spans="7:17">
      <c r="G609" s="40"/>
      <c r="H609" s="40"/>
      <c r="I609" s="40"/>
      <c r="J609" s="40"/>
      <c r="K609" s="40"/>
      <c r="L609" s="40"/>
      <c r="M609" s="40"/>
      <c r="N609" s="40"/>
      <c r="O609" s="40"/>
      <c r="P609" s="40"/>
      <c r="Q609" s="40"/>
    </row>
    <row r="610" spans="7:17">
      <c r="G610" s="40"/>
      <c r="H610" s="40"/>
      <c r="I610" s="40"/>
      <c r="J610" s="40"/>
      <c r="K610" s="40"/>
      <c r="L610" s="40"/>
      <c r="M610" s="40"/>
      <c r="N610" s="40"/>
      <c r="O610" s="40"/>
      <c r="P610" s="40"/>
      <c r="Q610" s="40"/>
    </row>
    <row r="611" spans="7:17">
      <c r="G611" s="40"/>
      <c r="H611" s="40"/>
      <c r="I611" s="40"/>
      <c r="J611" s="40"/>
      <c r="K611" s="40"/>
      <c r="L611" s="40"/>
      <c r="M611" s="40"/>
      <c r="N611" s="40"/>
      <c r="O611" s="40"/>
      <c r="P611" s="40"/>
      <c r="Q611" s="40"/>
    </row>
    <row r="612" spans="7:17">
      <c r="G612" s="40"/>
      <c r="H612" s="40"/>
      <c r="I612" s="40"/>
      <c r="J612" s="40"/>
      <c r="K612" s="40"/>
      <c r="L612" s="40"/>
      <c r="M612" s="40"/>
      <c r="N612" s="40"/>
      <c r="O612" s="40"/>
      <c r="P612" s="40"/>
      <c r="Q612" s="40"/>
    </row>
    <row r="613" spans="7:17">
      <c r="G613" s="40"/>
      <c r="H613" s="40"/>
      <c r="I613" s="40"/>
      <c r="J613" s="40"/>
      <c r="K613" s="40"/>
      <c r="L613" s="40"/>
      <c r="M613" s="40"/>
      <c r="N613" s="40"/>
      <c r="O613" s="40"/>
      <c r="P613" s="40"/>
      <c r="Q613" s="40"/>
    </row>
    <row r="614" spans="7:17">
      <c r="G614" s="40"/>
      <c r="H614" s="40"/>
      <c r="I614" s="40"/>
      <c r="J614" s="40"/>
      <c r="K614" s="40"/>
      <c r="L614" s="40"/>
      <c r="M614" s="40"/>
      <c r="N614" s="40"/>
      <c r="O614" s="40"/>
      <c r="P614" s="40"/>
      <c r="Q614" s="40"/>
    </row>
    <row r="615" spans="7:17">
      <c r="G615" s="40"/>
      <c r="H615" s="40"/>
      <c r="I615" s="40"/>
      <c r="J615" s="40"/>
      <c r="K615" s="40"/>
      <c r="L615" s="40"/>
      <c r="M615" s="40"/>
      <c r="N615" s="40"/>
      <c r="O615" s="40"/>
      <c r="P615" s="40"/>
      <c r="Q615" s="40"/>
    </row>
    <row r="616" spans="7:17">
      <c r="G616" s="40"/>
      <c r="H616" s="40"/>
      <c r="I616" s="40"/>
      <c r="J616" s="40"/>
      <c r="K616" s="40"/>
      <c r="L616" s="40"/>
      <c r="M616" s="40"/>
      <c r="N616" s="40"/>
      <c r="O616" s="40"/>
      <c r="P616" s="40"/>
      <c r="Q616" s="40"/>
    </row>
    <row r="617" spans="7:17">
      <c r="G617" s="40"/>
      <c r="H617" s="40"/>
      <c r="I617" s="40"/>
      <c r="J617" s="40"/>
      <c r="K617" s="40"/>
      <c r="L617" s="40"/>
      <c r="M617" s="40"/>
      <c r="N617" s="40"/>
      <c r="O617" s="40"/>
      <c r="P617" s="40"/>
      <c r="Q617" s="40"/>
    </row>
    <row r="618" spans="7:17">
      <c r="G618" s="40"/>
      <c r="H618" s="40"/>
      <c r="I618" s="40"/>
      <c r="J618" s="40"/>
      <c r="K618" s="40"/>
      <c r="L618" s="40"/>
      <c r="M618" s="40"/>
      <c r="N618" s="40"/>
      <c r="O618" s="40"/>
      <c r="P618" s="40"/>
      <c r="Q618" s="40"/>
    </row>
    <row r="619" spans="7:17">
      <c r="G619" s="40"/>
      <c r="H619" s="40"/>
      <c r="I619" s="40"/>
      <c r="J619" s="40"/>
      <c r="K619" s="40"/>
      <c r="L619" s="40"/>
      <c r="M619" s="40"/>
      <c r="N619" s="40"/>
      <c r="O619" s="40"/>
      <c r="P619" s="40"/>
      <c r="Q619" s="40"/>
    </row>
    <row r="620" spans="7:17">
      <c r="G620" s="40"/>
      <c r="H620" s="40"/>
      <c r="I620" s="40"/>
      <c r="J620" s="40"/>
      <c r="K620" s="40"/>
      <c r="L620" s="40"/>
      <c r="M620" s="40"/>
      <c r="N620" s="40"/>
      <c r="O620" s="40"/>
      <c r="P620" s="40"/>
      <c r="Q620" s="40"/>
    </row>
    <row r="621" spans="7:17">
      <c r="G621" s="40"/>
      <c r="H621" s="40"/>
      <c r="I621" s="40"/>
      <c r="J621" s="40"/>
      <c r="K621" s="40"/>
      <c r="L621" s="40"/>
      <c r="M621" s="40"/>
      <c r="N621" s="40"/>
      <c r="O621" s="40"/>
      <c r="P621" s="40"/>
      <c r="Q621" s="40"/>
    </row>
    <row r="622" spans="7:17">
      <c r="G622" s="40"/>
      <c r="H622" s="40"/>
      <c r="I622" s="40"/>
      <c r="J622" s="40"/>
      <c r="K622" s="40"/>
      <c r="L622" s="40"/>
      <c r="M622" s="40"/>
      <c r="N622" s="40"/>
      <c r="O622" s="40"/>
      <c r="P622" s="40"/>
      <c r="Q622" s="40"/>
    </row>
    <row r="623" spans="7:17">
      <c r="G623" s="40"/>
      <c r="H623" s="40"/>
      <c r="I623" s="40"/>
      <c r="J623" s="40"/>
      <c r="K623" s="40"/>
      <c r="L623" s="40"/>
      <c r="M623" s="40"/>
      <c r="N623" s="40"/>
      <c r="O623" s="40"/>
      <c r="P623" s="40"/>
      <c r="Q623" s="40"/>
    </row>
    <row r="624" spans="7:17">
      <c r="G624" s="40"/>
      <c r="H624" s="40"/>
      <c r="I624" s="40"/>
      <c r="J624" s="40"/>
      <c r="K624" s="40"/>
      <c r="L624" s="40"/>
      <c r="M624" s="40"/>
      <c r="N624" s="40"/>
      <c r="O624" s="40"/>
      <c r="P624" s="40"/>
      <c r="Q624" s="40"/>
    </row>
    <row r="625" spans="7:17">
      <c r="G625" s="40"/>
      <c r="H625" s="40"/>
      <c r="I625" s="40"/>
      <c r="J625" s="40"/>
      <c r="K625" s="40"/>
      <c r="L625" s="40"/>
      <c r="M625" s="40"/>
      <c r="N625" s="40"/>
      <c r="O625" s="40"/>
      <c r="P625" s="40"/>
      <c r="Q625" s="40"/>
    </row>
    <row r="626" spans="7:17">
      <c r="G626" s="40"/>
      <c r="H626" s="40"/>
      <c r="I626" s="40"/>
      <c r="J626" s="40"/>
      <c r="K626" s="40"/>
      <c r="L626" s="40"/>
      <c r="M626" s="40"/>
      <c r="N626" s="40"/>
      <c r="O626" s="40"/>
      <c r="P626" s="40"/>
      <c r="Q626" s="40"/>
    </row>
    <row r="627" spans="7:17">
      <c r="G627" s="40"/>
      <c r="H627" s="40"/>
      <c r="I627" s="40"/>
      <c r="J627" s="40"/>
      <c r="K627" s="40"/>
      <c r="L627" s="40"/>
      <c r="M627" s="40"/>
      <c r="N627" s="40"/>
      <c r="O627" s="40"/>
      <c r="P627" s="40"/>
      <c r="Q627" s="40"/>
    </row>
    <row r="628" spans="7:17">
      <c r="G628" s="40"/>
      <c r="H628" s="40"/>
      <c r="I628" s="40"/>
      <c r="J628" s="40"/>
      <c r="K628" s="40"/>
      <c r="L628" s="40"/>
      <c r="M628" s="40"/>
      <c r="N628" s="40"/>
      <c r="O628" s="40"/>
      <c r="P628" s="40"/>
      <c r="Q628" s="40"/>
    </row>
    <row r="629" spans="7:17">
      <c r="G629" s="40"/>
      <c r="H629" s="40"/>
      <c r="I629" s="40"/>
      <c r="J629" s="40"/>
      <c r="K629" s="40"/>
      <c r="L629" s="40"/>
      <c r="M629" s="40"/>
      <c r="N629" s="40"/>
      <c r="O629" s="40"/>
      <c r="P629" s="40"/>
      <c r="Q629" s="40"/>
    </row>
    <row r="630" spans="7:17">
      <c r="G630" s="40"/>
      <c r="H630" s="40"/>
      <c r="I630" s="40"/>
      <c r="J630" s="40"/>
      <c r="K630" s="40"/>
      <c r="L630" s="40"/>
      <c r="M630" s="40"/>
      <c r="N630" s="40"/>
      <c r="O630" s="40"/>
      <c r="P630" s="40"/>
      <c r="Q630" s="40"/>
    </row>
    <row r="631" spans="7:17">
      <c r="G631" s="40"/>
      <c r="H631" s="40"/>
      <c r="I631" s="40"/>
      <c r="J631" s="40"/>
      <c r="K631" s="40"/>
      <c r="L631" s="40"/>
      <c r="M631" s="40"/>
      <c r="N631" s="40"/>
      <c r="O631" s="40"/>
      <c r="P631" s="40"/>
      <c r="Q631" s="40"/>
    </row>
    <row r="632" spans="7:17">
      <c r="G632" s="40"/>
      <c r="H632" s="40"/>
      <c r="I632" s="40"/>
      <c r="J632" s="40"/>
      <c r="K632" s="40"/>
      <c r="L632" s="40"/>
      <c r="M632" s="40"/>
      <c r="N632" s="40"/>
      <c r="O632" s="40"/>
      <c r="P632" s="40"/>
      <c r="Q632" s="40"/>
    </row>
    <row r="633" spans="7:17">
      <c r="G633" s="40"/>
      <c r="H633" s="40"/>
      <c r="I633" s="40"/>
      <c r="J633" s="40"/>
      <c r="K633" s="40"/>
      <c r="L633" s="40"/>
      <c r="M633" s="40"/>
      <c r="N633" s="40"/>
      <c r="O633" s="40"/>
      <c r="P633" s="40"/>
      <c r="Q633" s="40"/>
    </row>
    <row r="634" spans="7:17">
      <c r="G634" s="40"/>
      <c r="H634" s="40"/>
      <c r="I634" s="40"/>
      <c r="J634" s="40"/>
      <c r="K634" s="40"/>
      <c r="L634" s="40"/>
      <c r="M634" s="40"/>
      <c r="N634" s="40"/>
      <c r="O634" s="40"/>
      <c r="P634" s="40"/>
      <c r="Q634" s="40"/>
    </row>
    <row r="635" spans="7:17">
      <c r="G635" s="40"/>
      <c r="H635" s="40"/>
      <c r="I635" s="40"/>
      <c r="J635" s="40"/>
      <c r="K635" s="40"/>
      <c r="L635" s="40"/>
      <c r="M635" s="40"/>
      <c r="N635" s="40"/>
      <c r="O635" s="40"/>
      <c r="P635" s="40"/>
      <c r="Q635" s="40"/>
    </row>
    <row r="636" spans="7:17">
      <c r="G636" s="40"/>
      <c r="H636" s="40"/>
      <c r="I636" s="40"/>
      <c r="J636" s="40"/>
      <c r="K636" s="40"/>
      <c r="L636" s="40"/>
      <c r="M636" s="40"/>
      <c r="N636" s="40"/>
      <c r="O636" s="40"/>
      <c r="P636" s="40"/>
      <c r="Q636" s="40"/>
    </row>
    <row r="637" spans="7:17">
      <c r="G637" s="40"/>
      <c r="H637" s="40"/>
      <c r="I637" s="40"/>
      <c r="J637" s="40"/>
      <c r="K637" s="40"/>
      <c r="L637" s="40"/>
      <c r="M637" s="40"/>
      <c r="N637" s="40"/>
      <c r="O637" s="40"/>
      <c r="P637" s="40"/>
      <c r="Q637" s="40"/>
    </row>
    <row r="638" spans="7:17">
      <c r="G638" s="40"/>
      <c r="H638" s="40"/>
      <c r="I638" s="40"/>
      <c r="J638" s="40"/>
      <c r="K638" s="40"/>
      <c r="L638" s="40"/>
      <c r="M638" s="40"/>
      <c r="N638" s="40"/>
      <c r="O638" s="40"/>
      <c r="P638" s="40"/>
      <c r="Q638" s="40"/>
    </row>
    <row r="639" spans="7:17">
      <c r="G639" s="40"/>
      <c r="H639" s="40"/>
      <c r="I639" s="40"/>
      <c r="J639" s="40"/>
      <c r="K639" s="40"/>
      <c r="L639" s="40"/>
      <c r="M639" s="40"/>
      <c r="N639" s="40"/>
      <c r="O639" s="40"/>
      <c r="P639" s="40"/>
      <c r="Q639" s="40"/>
    </row>
    <row r="640" spans="7:17">
      <c r="G640" s="40"/>
      <c r="H640" s="40"/>
      <c r="I640" s="40"/>
      <c r="J640" s="40"/>
      <c r="K640" s="40"/>
      <c r="L640" s="40"/>
      <c r="M640" s="40"/>
      <c r="N640" s="40"/>
      <c r="O640" s="40"/>
      <c r="P640" s="40"/>
      <c r="Q640" s="40"/>
    </row>
    <row r="641" spans="7:17">
      <c r="G641" s="40"/>
      <c r="H641" s="40"/>
      <c r="I641" s="40"/>
      <c r="J641" s="40"/>
      <c r="K641" s="40"/>
      <c r="L641" s="40"/>
      <c r="M641" s="40"/>
      <c r="N641" s="40"/>
      <c r="O641" s="40"/>
      <c r="P641" s="40"/>
      <c r="Q641" s="40"/>
    </row>
    <row r="642" spans="7:17">
      <c r="G642" s="40"/>
      <c r="H642" s="40"/>
      <c r="I642" s="40"/>
      <c r="J642" s="40"/>
      <c r="K642" s="40"/>
      <c r="L642" s="40"/>
      <c r="M642" s="40"/>
      <c r="N642" s="40"/>
      <c r="O642" s="40"/>
      <c r="P642" s="40"/>
      <c r="Q642" s="40"/>
    </row>
    <row r="643" spans="7:17">
      <c r="G643" s="40"/>
      <c r="H643" s="40"/>
      <c r="I643" s="40"/>
      <c r="J643" s="40"/>
      <c r="K643" s="40"/>
      <c r="L643" s="40"/>
      <c r="M643" s="40"/>
      <c r="N643" s="40"/>
      <c r="O643" s="40"/>
      <c r="P643" s="40"/>
      <c r="Q643" s="40"/>
    </row>
    <row r="644" spans="7:17">
      <c r="G644" s="40"/>
      <c r="H644" s="40"/>
      <c r="I644" s="40"/>
      <c r="J644" s="40"/>
      <c r="K644" s="40"/>
      <c r="L644" s="40"/>
      <c r="M644" s="40"/>
      <c r="N644" s="40"/>
      <c r="O644" s="40"/>
      <c r="P644" s="40"/>
      <c r="Q644" s="40"/>
    </row>
    <row r="645" spans="7:17">
      <c r="G645" s="40"/>
      <c r="H645" s="40"/>
      <c r="I645" s="40"/>
      <c r="J645" s="40"/>
      <c r="K645" s="40"/>
      <c r="L645" s="40"/>
      <c r="M645" s="40"/>
      <c r="N645" s="40"/>
      <c r="O645" s="40"/>
      <c r="P645" s="40"/>
      <c r="Q645" s="40"/>
    </row>
    <row r="646" spans="7:17">
      <c r="G646" s="40"/>
      <c r="H646" s="40"/>
      <c r="I646" s="40"/>
      <c r="J646" s="40"/>
      <c r="K646" s="40"/>
      <c r="L646" s="40"/>
      <c r="M646" s="40"/>
      <c r="N646" s="40"/>
      <c r="O646" s="40"/>
      <c r="P646" s="40"/>
      <c r="Q646" s="40"/>
    </row>
    <row r="647" spans="7:17">
      <c r="G647" s="40"/>
      <c r="H647" s="40"/>
      <c r="I647" s="40"/>
      <c r="J647" s="40"/>
      <c r="K647" s="40"/>
      <c r="L647" s="40"/>
      <c r="M647" s="40"/>
      <c r="N647" s="40"/>
      <c r="O647" s="40"/>
      <c r="P647" s="40"/>
      <c r="Q647" s="40"/>
    </row>
    <row r="648" spans="7:17">
      <c r="G648" s="40"/>
      <c r="H648" s="40"/>
      <c r="I648" s="40"/>
      <c r="J648" s="40"/>
      <c r="K648" s="40"/>
      <c r="L648" s="40"/>
      <c r="M648" s="40"/>
      <c r="N648" s="40"/>
      <c r="O648" s="40"/>
      <c r="P648" s="40"/>
      <c r="Q648" s="40"/>
    </row>
    <row r="649" spans="7:17">
      <c r="G649" s="40"/>
      <c r="H649" s="40"/>
      <c r="I649" s="40"/>
      <c r="J649" s="40"/>
      <c r="K649" s="40"/>
      <c r="L649" s="40"/>
      <c r="M649" s="40"/>
      <c r="N649" s="40"/>
      <c r="O649" s="40"/>
      <c r="P649" s="40"/>
      <c r="Q649" s="40"/>
    </row>
    <row r="650" spans="7:17">
      <c r="G650" s="40"/>
      <c r="H650" s="40"/>
      <c r="I650" s="40"/>
      <c r="J650" s="40"/>
      <c r="K650" s="40"/>
      <c r="L650" s="40"/>
      <c r="M650" s="40"/>
      <c r="N650" s="40"/>
      <c r="O650" s="40"/>
      <c r="P650" s="40"/>
      <c r="Q650" s="40"/>
    </row>
    <row r="651" spans="7:17">
      <c r="G651" s="40"/>
      <c r="H651" s="40"/>
      <c r="I651" s="40"/>
      <c r="J651" s="40"/>
      <c r="K651" s="40"/>
      <c r="L651" s="40"/>
      <c r="M651" s="40"/>
      <c r="N651" s="40"/>
      <c r="O651" s="40"/>
      <c r="P651" s="40"/>
      <c r="Q651" s="40"/>
    </row>
    <row r="652" spans="7:17">
      <c r="G652" s="40"/>
      <c r="H652" s="40"/>
      <c r="I652" s="40"/>
      <c r="J652" s="40"/>
      <c r="K652" s="40"/>
      <c r="L652" s="40"/>
      <c r="M652" s="40"/>
      <c r="N652" s="40"/>
      <c r="O652" s="40"/>
      <c r="P652" s="40"/>
      <c r="Q652" s="40"/>
    </row>
    <row r="653" spans="7:17">
      <c r="G653" s="40"/>
      <c r="H653" s="40"/>
      <c r="I653" s="40"/>
      <c r="J653" s="40"/>
      <c r="K653" s="40"/>
      <c r="L653" s="40"/>
      <c r="M653" s="40"/>
      <c r="N653" s="40"/>
      <c r="O653" s="40"/>
      <c r="P653" s="40"/>
      <c r="Q653" s="40"/>
    </row>
    <row r="654" spans="7:17">
      <c r="G654" s="40"/>
      <c r="H654" s="40"/>
      <c r="I654" s="40"/>
      <c r="J654" s="40"/>
      <c r="K654" s="40"/>
      <c r="L654" s="40"/>
      <c r="M654" s="40"/>
      <c r="N654" s="40"/>
      <c r="O654" s="40"/>
      <c r="P654" s="40"/>
      <c r="Q654" s="40"/>
    </row>
    <row r="655" spans="7:17">
      <c r="G655" s="40"/>
      <c r="H655" s="40"/>
      <c r="I655" s="40"/>
      <c r="J655" s="40"/>
      <c r="K655" s="40"/>
      <c r="L655" s="40"/>
      <c r="M655" s="40"/>
      <c r="N655" s="40"/>
      <c r="O655" s="40"/>
      <c r="P655" s="40"/>
      <c r="Q655" s="40"/>
    </row>
    <row r="656" spans="7:17">
      <c r="G656" s="40"/>
      <c r="H656" s="40"/>
      <c r="I656" s="40"/>
      <c r="J656" s="40"/>
      <c r="K656" s="40"/>
      <c r="L656" s="40"/>
      <c r="M656" s="40"/>
      <c r="N656" s="40"/>
      <c r="O656" s="40"/>
      <c r="P656" s="40"/>
      <c r="Q656" s="40"/>
    </row>
    <row r="657" spans="7:17">
      <c r="G657" s="40"/>
      <c r="H657" s="40"/>
      <c r="I657" s="40"/>
      <c r="J657" s="40"/>
      <c r="K657" s="40"/>
      <c r="L657" s="40"/>
      <c r="M657" s="40"/>
      <c r="N657" s="40"/>
      <c r="O657" s="40"/>
      <c r="P657" s="40"/>
      <c r="Q657" s="40"/>
    </row>
    <row r="658" spans="7:17">
      <c r="G658" s="40"/>
      <c r="H658" s="40"/>
      <c r="I658" s="40"/>
      <c r="J658" s="40"/>
      <c r="K658" s="40"/>
      <c r="L658" s="40"/>
      <c r="M658" s="40"/>
      <c r="N658" s="40"/>
      <c r="O658" s="40"/>
      <c r="P658" s="40"/>
      <c r="Q658" s="40"/>
    </row>
    <row r="659" spans="7:17">
      <c r="G659" s="40"/>
      <c r="H659" s="40"/>
      <c r="I659" s="40"/>
      <c r="J659" s="40"/>
      <c r="K659" s="40"/>
      <c r="L659" s="40"/>
      <c r="M659" s="40"/>
      <c r="N659" s="40"/>
      <c r="O659" s="40"/>
      <c r="P659" s="40"/>
      <c r="Q659" s="40"/>
    </row>
    <row r="660" spans="7:17">
      <c r="G660" s="40"/>
      <c r="H660" s="40"/>
      <c r="I660" s="40"/>
      <c r="J660" s="40"/>
      <c r="K660" s="40"/>
      <c r="L660" s="40"/>
      <c r="M660" s="40"/>
      <c r="N660" s="40"/>
      <c r="O660" s="40"/>
      <c r="P660" s="40"/>
      <c r="Q660" s="40"/>
    </row>
    <row r="661" spans="7:17">
      <c r="G661" s="40"/>
      <c r="H661" s="40"/>
      <c r="I661" s="40"/>
      <c r="J661" s="40"/>
      <c r="K661" s="40"/>
      <c r="L661" s="40"/>
      <c r="M661" s="40"/>
      <c r="N661" s="40"/>
      <c r="O661" s="40"/>
      <c r="P661" s="40"/>
      <c r="Q661" s="40"/>
    </row>
    <row r="662" spans="7:17">
      <c r="G662" s="40"/>
      <c r="H662" s="40"/>
      <c r="I662" s="40"/>
      <c r="J662" s="40"/>
      <c r="K662" s="40"/>
      <c r="L662" s="40"/>
      <c r="M662" s="40"/>
      <c r="N662" s="40"/>
      <c r="O662" s="40"/>
      <c r="P662" s="40"/>
      <c r="Q662" s="40"/>
    </row>
    <row r="663" spans="7:17">
      <c r="G663" s="40"/>
      <c r="H663" s="40"/>
      <c r="I663" s="40"/>
      <c r="J663" s="40"/>
      <c r="K663" s="40"/>
      <c r="L663" s="40"/>
      <c r="M663" s="40"/>
      <c r="N663" s="40"/>
      <c r="O663" s="40"/>
      <c r="P663" s="40"/>
      <c r="Q663" s="40"/>
    </row>
    <row r="664" spans="7:17">
      <c r="G664" s="40"/>
      <c r="H664" s="40"/>
      <c r="I664" s="40"/>
      <c r="J664" s="40"/>
      <c r="K664" s="40"/>
      <c r="L664" s="40"/>
      <c r="M664" s="40"/>
      <c r="N664" s="40"/>
      <c r="O664" s="40"/>
      <c r="P664" s="40"/>
      <c r="Q664" s="40"/>
    </row>
    <row r="665" spans="7:17">
      <c r="G665" s="40"/>
      <c r="H665" s="40"/>
      <c r="I665" s="40"/>
      <c r="J665" s="40"/>
      <c r="K665" s="40"/>
      <c r="L665" s="40"/>
      <c r="M665" s="40"/>
      <c r="N665" s="40"/>
      <c r="O665" s="40"/>
      <c r="P665" s="40"/>
      <c r="Q665" s="40"/>
    </row>
    <row r="666" spans="7:17">
      <c r="G666" s="40"/>
      <c r="H666" s="40"/>
      <c r="I666" s="40"/>
      <c r="J666" s="40"/>
      <c r="K666" s="40"/>
      <c r="L666" s="40"/>
      <c r="M666" s="40"/>
      <c r="N666" s="40"/>
      <c r="O666" s="40"/>
      <c r="P666" s="40"/>
      <c r="Q666" s="40"/>
    </row>
    <row r="667" spans="7:17">
      <c r="G667" s="40"/>
      <c r="H667" s="40"/>
      <c r="I667" s="40"/>
      <c r="J667" s="40"/>
      <c r="K667" s="40"/>
      <c r="L667" s="40"/>
      <c r="M667" s="40"/>
      <c r="N667" s="40"/>
      <c r="O667" s="40"/>
      <c r="P667" s="40"/>
      <c r="Q667" s="40"/>
    </row>
    <row r="668" spans="7:17">
      <c r="G668" s="40"/>
      <c r="H668" s="40"/>
      <c r="I668" s="40"/>
      <c r="J668" s="40"/>
      <c r="K668" s="40"/>
      <c r="L668" s="40"/>
      <c r="M668" s="40"/>
      <c r="N668" s="40"/>
      <c r="O668" s="40"/>
      <c r="P668" s="40"/>
      <c r="Q668" s="40"/>
    </row>
    <row r="669" spans="7:17">
      <c r="G669" s="40"/>
      <c r="H669" s="40"/>
      <c r="I669" s="40"/>
      <c r="J669" s="40"/>
      <c r="K669" s="40"/>
      <c r="L669" s="40"/>
      <c r="M669" s="40"/>
      <c r="N669" s="40"/>
      <c r="O669" s="40"/>
      <c r="P669" s="40"/>
      <c r="Q669" s="40"/>
    </row>
    <row r="670" spans="7:17">
      <c r="G670" s="40"/>
      <c r="H670" s="40"/>
      <c r="I670" s="40"/>
      <c r="J670" s="40"/>
      <c r="K670" s="40"/>
      <c r="L670" s="40"/>
      <c r="M670" s="40"/>
      <c r="N670" s="40"/>
      <c r="O670" s="40"/>
      <c r="P670" s="40"/>
      <c r="Q670" s="40"/>
    </row>
    <row r="671" spans="7:17">
      <c r="G671" s="40"/>
      <c r="H671" s="40"/>
      <c r="I671" s="40"/>
      <c r="J671" s="40"/>
      <c r="K671" s="40"/>
      <c r="L671" s="40"/>
      <c r="M671" s="40"/>
      <c r="N671" s="40"/>
      <c r="O671" s="40"/>
      <c r="P671" s="40"/>
      <c r="Q671" s="40"/>
    </row>
    <row r="672" spans="7:17">
      <c r="G672" s="40"/>
      <c r="H672" s="40"/>
      <c r="I672" s="40"/>
      <c r="J672" s="40"/>
      <c r="K672" s="40"/>
      <c r="L672" s="40"/>
      <c r="M672" s="40"/>
      <c r="N672" s="40"/>
      <c r="O672" s="40"/>
      <c r="P672" s="40"/>
      <c r="Q672" s="40"/>
    </row>
    <row r="673" spans="7:17">
      <c r="G673" s="40"/>
      <c r="H673" s="40"/>
      <c r="I673" s="40"/>
      <c r="J673" s="40"/>
      <c r="K673" s="40"/>
      <c r="L673" s="40"/>
      <c r="M673" s="40"/>
      <c r="N673" s="40"/>
      <c r="O673" s="40"/>
      <c r="P673" s="40"/>
      <c r="Q673" s="40"/>
    </row>
    <row r="674" spans="7:17">
      <c r="G674" s="40"/>
      <c r="H674" s="40"/>
      <c r="I674" s="40"/>
      <c r="J674" s="40"/>
      <c r="K674" s="40"/>
      <c r="L674" s="40"/>
      <c r="M674" s="40"/>
      <c r="N674" s="40"/>
      <c r="O674" s="40"/>
      <c r="P674" s="40"/>
      <c r="Q674" s="40"/>
    </row>
    <row r="675" spans="7:17">
      <c r="G675" s="40"/>
      <c r="H675" s="40"/>
      <c r="I675" s="40"/>
      <c r="J675" s="40"/>
      <c r="K675" s="40"/>
      <c r="L675" s="40"/>
      <c r="M675" s="40"/>
      <c r="N675" s="40"/>
      <c r="O675" s="40"/>
      <c r="P675" s="40"/>
      <c r="Q675" s="40"/>
    </row>
    <row r="676" spans="7:17">
      <c r="G676" s="40"/>
      <c r="H676" s="40"/>
      <c r="I676" s="40"/>
      <c r="J676" s="40"/>
      <c r="K676" s="40"/>
      <c r="L676" s="40"/>
      <c r="M676" s="40"/>
      <c r="N676" s="40"/>
      <c r="O676" s="40"/>
      <c r="P676" s="40"/>
      <c r="Q676" s="40"/>
    </row>
    <row r="677" spans="7:17">
      <c r="G677" s="40"/>
      <c r="H677" s="40"/>
      <c r="I677" s="40"/>
      <c r="J677" s="40"/>
      <c r="K677" s="40"/>
      <c r="L677" s="40"/>
      <c r="M677" s="40"/>
      <c r="N677" s="40"/>
      <c r="O677" s="40"/>
      <c r="P677" s="40"/>
      <c r="Q677" s="40"/>
    </row>
    <row r="678" spans="7:17">
      <c r="G678" s="40"/>
      <c r="H678" s="40"/>
      <c r="I678" s="40"/>
      <c r="J678" s="40"/>
      <c r="K678" s="40"/>
      <c r="L678" s="40"/>
      <c r="M678" s="40"/>
      <c r="N678" s="40"/>
      <c r="O678" s="40"/>
      <c r="P678" s="40"/>
      <c r="Q678" s="40"/>
    </row>
    <row r="679" spans="7:17">
      <c r="G679" s="40"/>
      <c r="H679" s="40"/>
      <c r="I679" s="40"/>
      <c r="J679" s="40"/>
      <c r="K679" s="40"/>
      <c r="L679" s="40"/>
      <c r="M679" s="40"/>
      <c r="N679" s="40"/>
      <c r="O679" s="40"/>
      <c r="P679" s="40"/>
      <c r="Q679" s="40"/>
    </row>
    <row r="680" spans="7:17">
      <c r="G680" s="40"/>
      <c r="H680" s="40"/>
      <c r="I680" s="40"/>
      <c r="J680" s="40"/>
      <c r="K680" s="40"/>
      <c r="L680" s="40"/>
      <c r="M680" s="40"/>
      <c r="N680" s="40"/>
      <c r="O680" s="40"/>
      <c r="P680" s="40"/>
      <c r="Q680" s="40"/>
    </row>
    <row r="681" spans="7:17">
      <c r="G681" s="40"/>
      <c r="H681" s="40"/>
      <c r="I681" s="40"/>
      <c r="J681" s="40"/>
      <c r="K681" s="40"/>
      <c r="L681" s="40"/>
      <c r="M681" s="40"/>
      <c r="N681" s="40"/>
      <c r="O681" s="40"/>
      <c r="P681" s="40"/>
      <c r="Q681" s="40"/>
    </row>
    <row r="682" spans="7:17">
      <c r="G682" s="40"/>
      <c r="H682" s="40"/>
      <c r="I682" s="40"/>
      <c r="J682" s="40"/>
      <c r="K682" s="40"/>
      <c r="L682" s="40"/>
      <c r="M682" s="40"/>
      <c r="N682" s="40"/>
      <c r="O682" s="40"/>
      <c r="P682" s="40"/>
      <c r="Q682" s="40"/>
    </row>
    <row r="683" spans="7:17">
      <c r="G683" s="40"/>
      <c r="H683" s="40"/>
      <c r="I683" s="40"/>
      <c r="J683" s="40"/>
      <c r="K683" s="40"/>
      <c r="L683" s="40"/>
      <c r="M683" s="40"/>
      <c r="N683" s="40"/>
      <c r="O683" s="40"/>
      <c r="P683" s="40"/>
      <c r="Q683" s="40"/>
    </row>
    <row r="684" spans="7:17">
      <c r="G684" s="40"/>
      <c r="H684" s="40"/>
      <c r="I684" s="40"/>
      <c r="J684" s="40"/>
      <c r="K684" s="40"/>
      <c r="L684" s="40"/>
      <c r="M684" s="40"/>
      <c r="N684" s="40"/>
      <c r="O684" s="40"/>
      <c r="P684" s="40"/>
      <c r="Q684" s="40"/>
    </row>
    <row r="685" spans="7:17">
      <c r="G685" s="40"/>
      <c r="H685" s="40"/>
      <c r="I685" s="40"/>
      <c r="J685" s="40"/>
      <c r="K685" s="40"/>
      <c r="L685" s="40"/>
      <c r="M685" s="40"/>
      <c r="N685" s="40"/>
      <c r="O685" s="40"/>
      <c r="P685" s="40"/>
      <c r="Q685" s="40"/>
    </row>
    <row r="686" spans="7:17">
      <c r="G686" s="40"/>
      <c r="H686" s="40"/>
      <c r="I686" s="40"/>
      <c r="J686" s="40"/>
      <c r="K686" s="40"/>
      <c r="L686" s="40"/>
      <c r="M686" s="40"/>
      <c r="N686" s="40"/>
      <c r="O686" s="40"/>
      <c r="P686" s="40"/>
      <c r="Q686" s="40"/>
    </row>
    <row r="687" spans="7:17">
      <c r="G687" s="40"/>
      <c r="H687" s="40"/>
      <c r="I687" s="40"/>
      <c r="J687" s="40"/>
      <c r="K687" s="40"/>
      <c r="L687" s="40"/>
      <c r="M687" s="40"/>
      <c r="N687" s="40"/>
      <c r="O687" s="40"/>
      <c r="P687" s="40"/>
      <c r="Q687" s="40"/>
    </row>
    <row r="688" spans="7:17">
      <c r="G688" s="40"/>
      <c r="H688" s="40"/>
      <c r="I688" s="40"/>
      <c r="J688" s="40"/>
      <c r="K688" s="40"/>
      <c r="L688" s="40"/>
      <c r="M688" s="40"/>
      <c r="N688" s="40"/>
      <c r="O688" s="40"/>
      <c r="P688" s="40"/>
      <c r="Q688" s="40"/>
    </row>
    <row r="689" spans="7:17">
      <c r="G689" s="40"/>
      <c r="H689" s="40"/>
      <c r="I689" s="40"/>
      <c r="J689" s="40"/>
      <c r="K689" s="40"/>
      <c r="L689" s="40"/>
      <c r="M689" s="40"/>
      <c r="N689" s="40"/>
      <c r="O689" s="40"/>
      <c r="P689" s="40"/>
      <c r="Q689" s="40"/>
    </row>
    <row r="690" spans="7:17">
      <c r="G690" s="40"/>
      <c r="H690" s="40"/>
      <c r="I690" s="40"/>
      <c r="J690" s="40"/>
      <c r="K690" s="40"/>
      <c r="L690" s="40"/>
      <c r="M690" s="40"/>
      <c r="N690" s="40"/>
      <c r="O690" s="40"/>
      <c r="P690" s="40"/>
      <c r="Q690" s="40"/>
    </row>
    <row r="691" spans="7:17">
      <c r="G691" s="40"/>
      <c r="H691" s="40"/>
      <c r="I691" s="40"/>
      <c r="J691" s="40"/>
      <c r="K691" s="40"/>
      <c r="L691" s="40"/>
      <c r="M691" s="40"/>
      <c r="N691" s="40"/>
      <c r="O691" s="40"/>
      <c r="P691" s="40"/>
      <c r="Q691" s="40"/>
    </row>
    <row r="692" spans="7:17">
      <c r="G692" s="40"/>
      <c r="H692" s="40"/>
      <c r="I692" s="40"/>
      <c r="J692" s="40"/>
      <c r="K692" s="40"/>
      <c r="L692" s="40"/>
      <c r="M692" s="40"/>
      <c r="N692" s="40"/>
      <c r="O692" s="40"/>
      <c r="P692" s="40"/>
      <c r="Q692" s="40"/>
    </row>
    <row r="693" spans="7:17">
      <c r="G693" s="40"/>
      <c r="H693" s="40"/>
      <c r="I693" s="40"/>
      <c r="J693" s="40"/>
      <c r="K693" s="40"/>
      <c r="L693" s="40"/>
      <c r="M693" s="40"/>
      <c r="N693" s="40"/>
      <c r="O693" s="40"/>
      <c r="P693" s="40"/>
      <c r="Q693" s="40"/>
    </row>
    <row r="694" spans="7:17">
      <c r="G694" s="40"/>
      <c r="H694" s="40"/>
      <c r="I694" s="40"/>
      <c r="J694" s="40"/>
      <c r="K694" s="40"/>
      <c r="L694" s="40"/>
      <c r="M694" s="40"/>
      <c r="N694" s="40"/>
      <c r="O694" s="40"/>
      <c r="P694" s="40"/>
      <c r="Q694" s="40"/>
    </row>
    <row r="695" spans="7:17">
      <c r="G695" s="40"/>
      <c r="H695" s="40"/>
      <c r="I695" s="40"/>
      <c r="J695" s="40"/>
      <c r="K695" s="40"/>
      <c r="L695" s="40"/>
      <c r="M695" s="40"/>
      <c r="N695" s="40"/>
      <c r="O695" s="40"/>
      <c r="P695" s="40"/>
      <c r="Q695" s="40"/>
    </row>
    <row r="696" spans="7:17">
      <c r="G696" s="40"/>
      <c r="H696" s="40"/>
      <c r="I696" s="40"/>
      <c r="J696" s="40"/>
      <c r="K696" s="40"/>
      <c r="L696" s="40"/>
      <c r="M696" s="40"/>
      <c r="N696" s="40"/>
      <c r="O696" s="40"/>
      <c r="P696" s="40"/>
      <c r="Q696" s="40"/>
    </row>
    <row r="697" spans="7:17">
      <c r="G697" s="40"/>
      <c r="H697" s="40"/>
      <c r="I697" s="40"/>
      <c r="J697" s="40"/>
      <c r="K697" s="40"/>
      <c r="L697" s="40"/>
      <c r="M697" s="40"/>
      <c r="N697" s="40"/>
      <c r="O697" s="40"/>
      <c r="P697" s="40"/>
      <c r="Q697" s="40"/>
    </row>
    <row r="698" spans="7:17">
      <c r="G698" s="40"/>
      <c r="H698" s="40"/>
      <c r="I698" s="40"/>
      <c r="J698" s="40"/>
      <c r="K698" s="40"/>
      <c r="L698" s="40"/>
      <c r="M698" s="40"/>
      <c r="N698" s="40"/>
      <c r="O698" s="40"/>
      <c r="P698" s="40"/>
      <c r="Q698" s="40"/>
    </row>
    <row r="699" spans="7:17">
      <c r="G699" s="40"/>
      <c r="H699" s="40"/>
      <c r="I699" s="40"/>
      <c r="J699" s="40"/>
      <c r="K699" s="40"/>
      <c r="L699" s="40"/>
      <c r="M699" s="40"/>
      <c r="N699" s="40"/>
      <c r="O699" s="40"/>
      <c r="P699" s="40"/>
      <c r="Q699" s="40"/>
    </row>
    <row r="700" spans="7:17">
      <c r="G700" s="40"/>
      <c r="H700" s="40"/>
      <c r="I700" s="40"/>
      <c r="J700" s="40"/>
      <c r="K700" s="40"/>
      <c r="L700" s="40"/>
      <c r="M700" s="40"/>
      <c r="N700" s="40"/>
      <c r="O700" s="40"/>
      <c r="P700" s="40"/>
      <c r="Q700" s="40"/>
    </row>
    <row r="701" spans="7:17">
      <c r="G701" s="40"/>
      <c r="H701" s="40"/>
      <c r="I701" s="40"/>
      <c r="J701" s="40"/>
      <c r="K701" s="40"/>
      <c r="L701" s="40"/>
      <c r="M701" s="40"/>
      <c r="N701" s="40"/>
      <c r="O701" s="40"/>
      <c r="P701" s="40"/>
      <c r="Q701" s="40"/>
    </row>
    <row r="702" spans="7:17">
      <c r="G702" s="40"/>
      <c r="H702" s="40"/>
      <c r="I702" s="40"/>
      <c r="J702" s="40"/>
      <c r="K702" s="40"/>
      <c r="L702" s="40"/>
      <c r="M702" s="40"/>
      <c r="N702" s="40"/>
      <c r="O702" s="40"/>
      <c r="P702" s="40"/>
      <c r="Q702" s="40"/>
    </row>
    <row r="703" spans="7:17">
      <c r="G703" s="40"/>
      <c r="H703" s="40"/>
      <c r="I703" s="40"/>
      <c r="J703" s="40"/>
      <c r="K703" s="40"/>
      <c r="L703" s="40"/>
      <c r="M703" s="40"/>
      <c r="N703" s="40"/>
      <c r="O703" s="40"/>
      <c r="P703" s="40"/>
      <c r="Q703" s="40"/>
    </row>
    <row r="704" spans="7:17">
      <c r="G704" s="40"/>
      <c r="H704" s="40"/>
      <c r="I704" s="40"/>
      <c r="J704" s="40"/>
      <c r="K704" s="40"/>
      <c r="L704" s="40"/>
      <c r="M704" s="40"/>
      <c r="N704" s="40"/>
      <c r="O704" s="40"/>
      <c r="P704" s="40"/>
      <c r="Q704" s="40"/>
    </row>
    <row r="705" spans="7:17">
      <c r="G705" s="40"/>
      <c r="H705" s="40"/>
      <c r="I705" s="40"/>
      <c r="J705" s="40"/>
      <c r="K705" s="40"/>
      <c r="L705" s="40"/>
      <c r="M705" s="40"/>
      <c r="N705" s="40"/>
      <c r="O705" s="40"/>
      <c r="P705" s="40"/>
      <c r="Q705" s="40"/>
    </row>
    <row r="706" spans="7:17">
      <c r="G706" s="40"/>
      <c r="H706" s="40"/>
      <c r="I706" s="40"/>
      <c r="J706" s="40"/>
      <c r="K706" s="40"/>
      <c r="L706" s="40"/>
      <c r="M706" s="40"/>
      <c r="N706" s="40"/>
      <c r="O706" s="40"/>
      <c r="P706" s="40"/>
      <c r="Q706" s="40"/>
    </row>
    <row r="707" spans="7:17">
      <c r="G707" s="40"/>
      <c r="H707" s="40"/>
      <c r="I707" s="40"/>
      <c r="J707" s="40"/>
      <c r="K707" s="40"/>
      <c r="L707" s="40"/>
      <c r="M707" s="40"/>
      <c r="N707" s="40"/>
      <c r="O707" s="40"/>
      <c r="P707" s="40"/>
      <c r="Q707" s="40"/>
    </row>
    <row r="708" spans="7:17">
      <c r="G708" s="40"/>
      <c r="H708" s="40"/>
      <c r="I708" s="40"/>
      <c r="J708" s="40"/>
      <c r="K708" s="40"/>
      <c r="L708" s="40"/>
      <c r="M708" s="40"/>
      <c r="N708" s="40"/>
      <c r="O708" s="40"/>
      <c r="P708" s="40"/>
      <c r="Q708" s="40"/>
    </row>
    <row r="709" spans="7:17">
      <c r="G709" s="40"/>
      <c r="H709" s="40"/>
      <c r="I709" s="40"/>
      <c r="J709" s="40"/>
      <c r="K709" s="40"/>
      <c r="L709" s="40"/>
      <c r="M709" s="40"/>
      <c r="N709" s="40"/>
      <c r="O709" s="40"/>
      <c r="P709" s="40"/>
      <c r="Q709" s="40"/>
    </row>
    <row r="710" spans="7:17">
      <c r="G710" s="40"/>
      <c r="H710" s="40"/>
      <c r="I710" s="40"/>
      <c r="J710" s="40"/>
      <c r="K710" s="40"/>
      <c r="L710" s="40"/>
      <c r="M710" s="40"/>
      <c r="N710" s="40"/>
      <c r="O710" s="40"/>
      <c r="P710" s="40"/>
      <c r="Q710" s="40"/>
    </row>
    <row r="711" spans="7:17">
      <c r="G711" s="40"/>
      <c r="H711" s="40"/>
      <c r="I711" s="40"/>
      <c r="J711" s="40"/>
      <c r="K711" s="40"/>
      <c r="L711" s="40"/>
      <c r="M711" s="40"/>
      <c r="N711" s="40"/>
      <c r="O711" s="40"/>
      <c r="P711" s="40"/>
      <c r="Q711" s="40"/>
    </row>
    <row r="712" spans="7:17">
      <c r="G712" s="40"/>
      <c r="H712" s="40"/>
      <c r="I712" s="40"/>
      <c r="J712" s="40"/>
      <c r="K712" s="40"/>
      <c r="L712" s="40"/>
      <c r="M712" s="40"/>
      <c r="N712" s="40"/>
      <c r="O712" s="40"/>
      <c r="P712" s="40"/>
      <c r="Q712" s="40"/>
    </row>
    <row r="713" spans="7:17">
      <c r="G713" s="40"/>
      <c r="H713" s="40"/>
      <c r="I713" s="40"/>
      <c r="J713" s="40"/>
      <c r="K713" s="40"/>
      <c r="L713" s="40"/>
      <c r="M713" s="40"/>
      <c r="N713" s="40"/>
      <c r="O713" s="40"/>
      <c r="P713" s="40"/>
      <c r="Q713" s="40"/>
    </row>
    <row r="714" spans="7:17">
      <c r="G714" s="40"/>
      <c r="H714" s="40"/>
      <c r="I714" s="40"/>
      <c r="J714" s="40"/>
      <c r="K714" s="40"/>
      <c r="L714" s="40"/>
      <c r="M714" s="40"/>
      <c r="N714" s="40"/>
      <c r="O714" s="40"/>
      <c r="P714" s="40"/>
      <c r="Q714" s="40"/>
    </row>
    <row r="715" spans="7:17">
      <c r="G715" s="40"/>
      <c r="H715" s="40"/>
      <c r="I715" s="40"/>
      <c r="J715" s="40"/>
      <c r="K715" s="40"/>
      <c r="L715" s="40"/>
      <c r="M715" s="40"/>
      <c r="N715" s="40"/>
      <c r="O715" s="40"/>
      <c r="P715" s="40"/>
      <c r="Q715" s="40"/>
    </row>
    <row r="716" spans="7:17">
      <c r="G716" s="40"/>
      <c r="H716" s="40"/>
      <c r="I716" s="40"/>
      <c r="J716" s="40"/>
      <c r="K716" s="40"/>
      <c r="L716" s="40"/>
      <c r="M716" s="40"/>
      <c r="N716" s="40"/>
      <c r="O716" s="40"/>
      <c r="P716" s="40"/>
      <c r="Q716" s="40"/>
    </row>
    <row r="717" spans="7:17">
      <c r="G717" s="40"/>
      <c r="H717" s="40"/>
      <c r="I717" s="40"/>
      <c r="J717" s="40"/>
      <c r="K717" s="40"/>
      <c r="L717" s="40"/>
      <c r="M717" s="40"/>
      <c r="N717" s="40"/>
      <c r="O717" s="40"/>
      <c r="P717" s="40"/>
      <c r="Q717" s="40"/>
    </row>
    <row r="718" spans="7:17">
      <c r="G718" s="40"/>
      <c r="H718" s="40"/>
      <c r="I718" s="40"/>
      <c r="J718" s="40"/>
      <c r="K718" s="40"/>
      <c r="L718" s="40"/>
      <c r="M718" s="40"/>
      <c r="N718" s="40"/>
      <c r="O718" s="40"/>
      <c r="P718" s="40"/>
      <c r="Q718" s="40"/>
    </row>
    <row r="719" spans="7:17">
      <c r="G719" s="40"/>
      <c r="H719" s="40"/>
      <c r="I719" s="40"/>
      <c r="J719" s="40"/>
      <c r="K719" s="40"/>
      <c r="L719" s="40"/>
      <c r="M719" s="40"/>
      <c r="N719" s="40"/>
      <c r="O719" s="40"/>
      <c r="P719" s="40"/>
      <c r="Q719" s="40"/>
    </row>
    <row r="720" spans="7:17">
      <c r="G720" s="40"/>
      <c r="H720" s="40"/>
      <c r="I720" s="40"/>
      <c r="J720" s="40"/>
      <c r="K720" s="40"/>
      <c r="L720" s="40"/>
      <c r="M720" s="40"/>
      <c r="N720" s="40"/>
      <c r="O720" s="40"/>
      <c r="P720" s="40"/>
      <c r="Q720" s="40"/>
    </row>
    <row r="721" spans="7:17">
      <c r="G721" s="40"/>
      <c r="H721" s="40"/>
      <c r="I721" s="40"/>
      <c r="J721" s="40"/>
      <c r="K721" s="40"/>
      <c r="L721" s="40"/>
      <c r="M721" s="40"/>
      <c r="N721" s="40"/>
      <c r="O721" s="40"/>
      <c r="P721" s="40"/>
      <c r="Q721" s="40"/>
    </row>
    <row r="722" spans="7:17">
      <c r="G722" s="40"/>
      <c r="H722" s="40"/>
      <c r="I722" s="40"/>
      <c r="J722" s="40"/>
      <c r="K722" s="40"/>
      <c r="L722" s="40"/>
      <c r="M722" s="40"/>
      <c r="N722" s="40"/>
      <c r="O722" s="40"/>
      <c r="P722" s="40"/>
      <c r="Q722" s="40"/>
    </row>
    <row r="723" spans="7:17">
      <c r="G723" s="40"/>
      <c r="H723" s="40"/>
      <c r="I723" s="40"/>
      <c r="J723" s="40"/>
      <c r="K723" s="40"/>
      <c r="L723" s="40"/>
      <c r="M723" s="40"/>
      <c r="N723" s="40"/>
      <c r="O723" s="40"/>
      <c r="P723" s="40"/>
      <c r="Q723" s="40"/>
    </row>
    <row r="724" spans="7:17">
      <c r="G724" s="40"/>
      <c r="H724" s="40"/>
      <c r="I724" s="40"/>
      <c r="J724" s="40"/>
      <c r="K724" s="40"/>
      <c r="L724" s="40"/>
      <c r="M724" s="40"/>
      <c r="N724" s="40"/>
      <c r="O724" s="40"/>
      <c r="P724" s="40"/>
      <c r="Q724" s="40"/>
    </row>
    <row r="725" spans="7:17">
      <c r="G725" s="40"/>
      <c r="H725" s="40"/>
      <c r="I725" s="40"/>
      <c r="J725" s="40"/>
      <c r="K725" s="40"/>
      <c r="L725" s="40"/>
      <c r="M725" s="40"/>
      <c r="N725" s="40"/>
      <c r="O725" s="40"/>
      <c r="P725" s="40"/>
      <c r="Q725" s="40"/>
    </row>
    <row r="726" spans="7:17">
      <c r="G726" s="40"/>
      <c r="H726" s="40"/>
      <c r="I726" s="40"/>
      <c r="J726" s="40"/>
      <c r="K726" s="40"/>
      <c r="L726" s="40"/>
      <c r="M726" s="40"/>
      <c r="N726" s="40"/>
      <c r="O726" s="40"/>
      <c r="P726" s="40"/>
      <c r="Q726" s="40"/>
    </row>
    <row r="727" spans="7:17">
      <c r="G727" s="40"/>
      <c r="H727" s="40"/>
      <c r="I727" s="40"/>
      <c r="J727" s="40"/>
      <c r="K727" s="40"/>
      <c r="L727" s="40"/>
      <c r="M727" s="40"/>
      <c r="N727" s="40"/>
      <c r="O727" s="40"/>
      <c r="P727" s="40"/>
      <c r="Q727" s="40"/>
    </row>
    <row r="728" spans="7:17">
      <c r="G728" s="40"/>
      <c r="H728" s="40"/>
      <c r="I728" s="40"/>
      <c r="J728" s="40"/>
      <c r="K728" s="40"/>
      <c r="L728" s="40"/>
      <c r="M728" s="40"/>
      <c r="N728" s="40"/>
      <c r="O728" s="40"/>
      <c r="P728" s="40"/>
      <c r="Q728" s="40"/>
    </row>
    <row r="729" spans="7:17">
      <c r="G729" s="40"/>
      <c r="H729" s="40"/>
      <c r="I729" s="40"/>
      <c r="J729" s="40"/>
      <c r="K729" s="40"/>
      <c r="L729" s="40"/>
      <c r="M729" s="40"/>
      <c r="N729" s="40"/>
      <c r="O729" s="40"/>
      <c r="P729" s="40"/>
      <c r="Q729" s="40"/>
    </row>
    <row r="730" spans="7:17">
      <c r="G730" s="40"/>
      <c r="H730" s="40"/>
      <c r="I730" s="40"/>
      <c r="J730" s="40"/>
      <c r="K730" s="40"/>
      <c r="L730" s="40"/>
      <c r="M730" s="40"/>
      <c r="N730" s="40"/>
      <c r="O730" s="40"/>
      <c r="P730" s="40"/>
      <c r="Q730" s="40"/>
    </row>
    <row r="731" spans="7:17">
      <c r="G731" s="40"/>
      <c r="H731" s="40"/>
      <c r="I731" s="40"/>
      <c r="J731" s="40"/>
      <c r="K731" s="40"/>
      <c r="L731" s="40"/>
      <c r="M731" s="40"/>
      <c r="N731" s="40"/>
      <c r="O731" s="40"/>
      <c r="P731" s="40"/>
      <c r="Q731" s="40"/>
    </row>
    <row r="732" spans="7:17">
      <c r="G732" s="40"/>
      <c r="H732" s="40"/>
      <c r="I732" s="40"/>
      <c r="J732" s="40"/>
      <c r="K732" s="40"/>
      <c r="L732" s="40"/>
      <c r="M732" s="40"/>
      <c r="N732" s="40"/>
      <c r="O732" s="40"/>
      <c r="P732" s="40"/>
      <c r="Q732" s="40"/>
    </row>
    <row r="733" spans="7:17">
      <c r="G733" s="40"/>
      <c r="H733" s="40"/>
      <c r="I733" s="40"/>
      <c r="J733" s="40"/>
      <c r="K733" s="40"/>
      <c r="L733" s="40"/>
      <c r="M733" s="40"/>
      <c r="N733" s="40"/>
      <c r="O733" s="40"/>
      <c r="P733" s="40"/>
      <c r="Q733" s="40"/>
    </row>
    <row r="734" spans="7:17">
      <c r="G734" s="40"/>
      <c r="H734" s="40"/>
      <c r="I734" s="40"/>
      <c r="J734" s="40"/>
      <c r="K734" s="40"/>
      <c r="L734" s="40"/>
      <c r="M734" s="40"/>
      <c r="N734" s="40"/>
      <c r="O734" s="40"/>
      <c r="P734" s="40"/>
      <c r="Q734" s="40"/>
    </row>
    <row r="735" spans="7:17">
      <c r="G735" s="40"/>
      <c r="H735" s="40"/>
      <c r="I735" s="40"/>
      <c r="J735" s="40"/>
      <c r="K735" s="40"/>
      <c r="L735" s="40"/>
      <c r="M735" s="40"/>
      <c r="N735" s="40"/>
      <c r="O735" s="40"/>
      <c r="P735" s="40"/>
      <c r="Q735" s="40"/>
    </row>
    <row r="736" spans="7:17">
      <c r="G736" s="40"/>
      <c r="H736" s="40"/>
      <c r="I736" s="40"/>
      <c r="J736" s="40"/>
      <c r="K736" s="40"/>
      <c r="L736" s="40"/>
      <c r="M736" s="40"/>
      <c r="N736" s="40"/>
      <c r="O736" s="40"/>
      <c r="P736" s="40"/>
      <c r="Q736" s="40"/>
    </row>
    <row r="737" spans="7:17">
      <c r="G737" s="40"/>
      <c r="H737" s="40"/>
      <c r="I737" s="40"/>
      <c r="J737" s="40"/>
      <c r="K737" s="40"/>
      <c r="L737" s="40"/>
      <c r="M737" s="40"/>
      <c r="N737" s="40"/>
      <c r="O737" s="40"/>
      <c r="P737" s="40"/>
      <c r="Q737" s="40"/>
    </row>
    <row r="738" spans="7:17">
      <c r="G738" s="40"/>
      <c r="H738" s="40"/>
      <c r="I738" s="40"/>
      <c r="J738" s="40"/>
      <c r="K738" s="40"/>
      <c r="L738" s="40"/>
      <c r="M738" s="40"/>
      <c r="N738" s="40"/>
      <c r="O738" s="40"/>
      <c r="P738" s="40"/>
      <c r="Q738" s="40"/>
    </row>
    <row r="739" spans="7:17">
      <c r="G739" s="40"/>
      <c r="H739" s="40"/>
      <c r="I739" s="40"/>
      <c r="J739" s="40"/>
      <c r="K739" s="40"/>
      <c r="L739" s="40"/>
      <c r="M739" s="40"/>
      <c r="N739" s="40"/>
      <c r="O739" s="40"/>
      <c r="P739" s="40"/>
      <c r="Q739" s="40"/>
    </row>
    <row r="740" spans="7:17">
      <c r="G740" s="40"/>
      <c r="H740" s="40"/>
      <c r="I740" s="40"/>
      <c r="J740" s="40"/>
      <c r="K740" s="40"/>
      <c r="L740" s="40"/>
      <c r="M740" s="40"/>
      <c r="N740" s="40"/>
      <c r="O740" s="40"/>
      <c r="P740" s="40"/>
      <c r="Q740" s="40"/>
    </row>
    <row r="741" spans="7:17">
      <c r="G741" s="40"/>
      <c r="H741" s="40"/>
      <c r="I741" s="40"/>
      <c r="J741" s="40"/>
      <c r="K741" s="40"/>
      <c r="L741" s="40"/>
      <c r="M741" s="40"/>
      <c r="N741" s="40"/>
      <c r="O741" s="40"/>
      <c r="P741" s="40"/>
      <c r="Q741" s="40"/>
    </row>
    <row r="742" spans="7:17">
      <c r="G742" s="40"/>
      <c r="H742" s="40"/>
      <c r="I742" s="40"/>
      <c r="J742" s="40"/>
      <c r="K742" s="40"/>
      <c r="L742" s="40"/>
      <c r="M742" s="40"/>
      <c r="N742" s="40"/>
      <c r="O742" s="40"/>
      <c r="P742" s="40"/>
      <c r="Q742" s="40"/>
    </row>
    <row r="743" spans="7:17">
      <c r="G743" s="40"/>
      <c r="H743" s="40"/>
      <c r="I743" s="40"/>
      <c r="J743" s="40"/>
      <c r="K743" s="40"/>
      <c r="L743" s="40"/>
      <c r="M743" s="40"/>
      <c r="N743" s="40"/>
      <c r="O743" s="40"/>
      <c r="P743" s="40"/>
      <c r="Q743" s="40"/>
    </row>
    <row r="744" spans="7:17">
      <c r="G744" s="40"/>
      <c r="H744" s="40"/>
      <c r="I744" s="40"/>
      <c r="J744" s="40"/>
      <c r="K744" s="40"/>
      <c r="L744" s="40"/>
      <c r="M744" s="40"/>
      <c r="N744" s="40"/>
      <c r="O744" s="40"/>
      <c r="P744" s="40"/>
      <c r="Q744" s="40"/>
    </row>
    <row r="745" spans="7:17">
      <c r="G745" s="40"/>
      <c r="H745" s="40"/>
      <c r="I745" s="40"/>
      <c r="J745" s="40"/>
      <c r="K745" s="40"/>
      <c r="L745" s="40"/>
      <c r="M745" s="40"/>
      <c r="N745" s="40"/>
      <c r="O745" s="40"/>
      <c r="P745" s="40"/>
      <c r="Q745" s="40"/>
    </row>
    <row r="746" spans="7:17">
      <c r="G746" s="40"/>
      <c r="H746" s="40"/>
      <c r="I746" s="40"/>
      <c r="J746" s="40"/>
      <c r="K746" s="40"/>
      <c r="L746" s="40"/>
      <c r="M746" s="40"/>
      <c r="N746" s="40"/>
      <c r="O746" s="40"/>
      <c r="P746" s="40"/>
      <c r="Q746" s="40"/>
    </row>
    <row r="747" spans="7:17">
      <c r="G747" s="40"/>
      <c r="H747" s="40"/>
      <c r="I747" s="40"/>
      <c r="J747" s="40"/>
      <c r="K747" s="40"/>
      <c r="L747" s="40"/>
      <c r="M747" s="40"/>
      <c r="N747" s="40"/>
      <c r="O747" s="40"/>
      <c r="P747" s="40"/>
      <c r="Q747" s="40"/>
    </row>
    <row r="748" spans="7:17">
      <c r="G748" s="40"/>
      <c r="H748" s="40"/>
      <c r="I748" s="40"/>
      <c r="J748" s="40"/>
      <c r="K748" s="40"/>
      <c r="L748" s="40"/>
      <c r="M748" s="40"/>
      <c r="N748" s="40"/>
      <c r="O748" s="40"/>
      <c r="P748" s="40"/>
      <c r="Q748" s="40"/>
    </row>
    <row r="749" spans="7:17">
      <c r="G749" s="40"/>
      <c r="H749" s="40"/>
      <c r="I749" s="40"/>
      <c r="J749" s="40"/>
      <c r="K749" s="40"/>
      <c r="L749" s="40"/>
      <c r="M749" s="40"/>
      <c r="N749" s="40"/>
      <c r="O749" s="40"/>
      <c r="P749" s="40"/>
      <c r="Q749" s="40"/>
    </row>
    <row r="750" spans="7:17">
      <c r="G750" s="40"/>
      <c r="H750" s="40"/>
      <c r="I750" s="40"/>
      <c r="J750" s="40"/>
      <c r="K750" s="40"/>
      <c r="L750" s="40"/>
      <c r="M750" s="40"/>
      <c r="N750" s="40"/>
      <c r="O750" s="40"/>
      <c r="P750" s="40"/>
      <c r="Q750" s="40"/>
    </row>
    <row r="751" spans="7:17">
      <c r="G751" s="40"/>
      <c r="H751" s="40"/>
      <c r="I751" s="40"/>
      <c r="J751" s="40"/>
      <c r="K751" s="40"/>
      <c r="L751" s="40"/>
      <c r="M751" s="40"/>
      <c r="N751" s="40"/>
      <c r="O751" s="40"/>
      <c r="P751" s="40"/>
      <c r="Q751" s="40"/>
    </row>
    <row r="752" spans="7:17">
      <c r="G752" s="40"/>
      <c r="H752" s="40"/>
      <c r="I752" s="40"/>
      <c r="J752" s="40"/>
      <c r="K752" s="40"/>
      <c r="L752" s="40"/>
      <c r="M752" s="40"/>
      <c r="N752" s="40"/>
      <c r="O752" s="40"/>
      <c r="P752" s="40"/>
      <c r="Q752" s="40"/>
    </row>
    <row r="753" spans="7:17">
      <c r="G753" s="40"/>
      <c r="H753" s="40"/>
      <c r="I753" s="40"/>
      <c r="J753" s="40"/>
      <c r="K753" s="40"/>
      <c r="L753" s="40"/>
      <c r="M753" s="40"/>
      <c r="N753" s="40"/>
      <c r="O753" s="40"/>
      <c r="P753" s="40"/>
      <c r="Q753" s="40"/>
    </row>
    <row r="754" spans="7:17">
      <c r="G754" s="40"/>
      <c r="H754" s="40"/>
      <c r="I754" s="40"/>
      <c r="J754" s="40"/>
      <c r="K754" s="40"/>
      <c r="L754" s="40"/>
      <c r="M754" s="40"/>
      <c r="N754" s="40"/>
      <c r="O754" s="40"/>
      <c r="P754" s="40"/>
      <c r="Q754" s="40"/>
    </row>
    <row r="755" spans="7:17">
      <c r="G755" s="40"/>
      <c r="H755" s="40"/>
      <c r="I755" s="40"/>
      <c r="J755" s="40"/>
      <c r="K755" s="40"/>
      <c r="L755" s="40"/>
      <c r="M755" s="40"/>
      <c r="N755" s="40"/>
      <c r="O755" s="40"/>
      <c r="P755" s="40"/>
      <c r="Q755" s="40"/>
    </row>
    <row r="756" spans="7:17">
      <c r="G756" s="40"/>
      <c r="H756" s="40"/>
      <c r="I756" s="40"/>
      <c r="J756" s="40"/>
      <c r="K756" s="40"/>
      <c r="L756" s="40"/>
      <c r="M756" s="40"/>
      <c r="N756" s="40"/>
      <c r="O756" s="40"/>
      <c r="P756" s="40"/>
      <c r="Q756" s="40"/>
    </row>
    <row r="757" spans="7:17">
      <c r="G757" s="40"/>
      <c r="H757" s="40"/>
      <c r="I757" s="40"/>
      <c r="J757" s="40"/>
      <c r="K757" s="40"/>
      <c r="L757" s="40"/>
      <c r="M757" s="40"/>
      <c r="N757" s="40"/>
      <c r="O757" s="40"/>
      <c r="P757" s="40"/>
      <c r="Q757" s="40"/>
    </row>
    <row r="758" spans="7:17">
      <c r="G758" s="40"/>
      <c r="H758" s="40"/>
      <c r="I758" s="40"/>
      <c r="J758" s="40"/>
      <c r="K758" s="40"/>
      <c r="L758" s="40"/>
      <c r="M758" s="40"/>
      <c r="N758" s="40"/>
      <c r="O758" s="40"/>
      <c r="P758" s="40"/>
      <c r="Q758" s="40"/>
    </row>
    <row r="759" spans="7:17">
      <c r="G759" s="40"/>
      <c r="H759" s="40"/>
      <c r="I759" s="40"/>
      <c r="J759" s="40"/>
      <c r="K759" s="40"/>
      <c r="L759" s="40"/>
      <c r="M759" s="40"/>
      <c r="N759" s="40"/>
      <c r="O759" s="40"/>
      <c r="P759" s="40"/>
      <c r="Q759" s="40"/>
    </row>
    <row r="760" spans="7:17">
      <c r="G760" s="40"/>
      <c r="H760" s="40"/>
      <c r="I760" s="40"/>
      <c r="J760" s="40"/>
      <c r="K760" s="40"/>
      <c r="L760" s="40"/>
      <c r="M760" s="40"/>
      <c r="N760" s="40"/>
      <c r="O760" s="40"/>
      <c r="P760" s="40"/>
      <c r="Q760" s="40"/>
    </row>
    <row r="761" spans="7:17">
      <c r="G761" s="40"/>
      <c r="H761" s="40"/>
      <c r="I761" s="40"/>
      <c r="J761" s="40"/>
      <c r="K761" s="40"/>
      <c r="L761" s="40"/>
      <c r="M761" s="40"/>
      <c r="N761" s="40"/>
      <c r="O761" s="40"/>
      <c r="P761" s="40"/>
      <c r="Q761" s="40"/>
    </row>
    <row r="762" spans="7:17">
      <c r="G762" s="40"/>
      <c r="H762" s="40"/>
      <c r="I762" s="40"/>
      <c r="J762" s="40"/>
      <c r="K762" s="40"/>
      <c r="L762" s="40"/>
      <c r="M762" s="40"/>
      <c r="N762" s="40"/>
      <c r="O762" s="40"/>
      <c r="P762" s="40"/>
      <c r="Q762" s="40"/>
    </row>
    <row r="763" spans="7:17">
      <c r="G763" s="40"/>
      <c r="H763" s="40"/>
      <c r="I763" s="40"/>
      <c r="J763" s="40"/>
      <c r="K763" s="40"/>
      <c r="L763" s="40"/>
      <c r="M763" s="40"/>
      <c r="N763" s="40"/>
      <c r="O763" s="40"/>
      <c r="P763" s="40"/>
      <c r="Q763" s="40"/>
    </row>
    <row r="764" spans="7:17">
      <c r="G764" s="40"/>
      <c r="H764" s="40"/>
      <c r="I764" s="40"/>
      <c r="J764" s="40"/>
      <c r="K764" s="40"/>
      <c r="L764" s="40"/>
      <c r="M764" s="40"/>
      <c r="N764" s="40"/>
      <c r="O764" s="40"/>
      <c r="P764" s="40"/>
      <c r="Q764" s="40"/>
    </row>
    <row r="765" spans="7:17">
      <c r="G765" s="40"/>
      <c r="H765" s="40"/>
      <c r="I765" s="40"/>
      <c r="J765" s="40"/>
      <c r="K765" s="40"/>
      <c r="L765" s="40"/>
      <c r="M765" s="40"/>
      <c r="N765" s="40"/>
      <c r="O765" s="40"/>
      <c r="P765" s="40"/>
      <c r="Q765" s="40"/>
    </row>
    <row r="766" spans="7:17">
      <c r="G766" s="40"/>
      <c r="H766" s="40"/>
      <c r="I766" s="40"/>
      <c r="J766" s="40"/>
      <c r="K766" s="40"/>
      <c r="L766" s="40"/>
      <c r="M766" s="40"/>
      <c r="N766" s="40"/>
      <c r="O766" s="40"/>
      <c r="P766" s="40"/>
      <c r="Q766" s="40"/>
    </row>
    <row r="767" spans="7:17">
      <c r="G767" s="40"/>
      <c r="H767" s="40"/>
      <c r="I767" s="40"/>
      <c r="J767" s="40"/>
      <c r="K767" s="40"/>
      <c r="L767" s="40"/>
      <c r="M767" s="40"/>
      <c r="N767" s="40"/>
      <c r="O767" s="40"/>
      <c r="P767" s="40"/>
      <c r="Q767" s="40"/>
    </row>
    <row r="768" spans="7:17">
      <c r="G768" s="40"/>
      <c r="H768" s="40"/>
      <c r="I768" s="40"/>
      <c r="J768" s="40"/>
      <c r="K768" s="40"/>
      <c r="L768" s="40"/>
      <c r="M768" s="40"/>
      <c r="N768" s="40"/>
      <c r="O768" s="40"/>
      <c r="P768" s="40"/>
      <c r="Q768" s="40"/>
    </row>
    <row r="769" spans="7:17">
      <c r="G769" s="40"/>
      <c r="H769" s="40"/>
      <c r="I769" s="40"/>
      <c r="J769" s="40"/>
      <c r="K769" s="40"/>
      <c r="L769" s="40"/>
      <c r="M769" s="40"/>
      <c r="N769" s="40"/>
      <c r="O769" s="40"/>
      <c r="P769" s="40"/>
      <c r="Q769" s="40"/>
    </row>
    <row r="770" spans="7:17">
      <c r="G770" s="40"/>
      <c r="H770" s="40"/>
      <c r="I770" s="40"/>
      <c r="J770" s="40"/>
      <c r="K770" s="40"/>
      <c r="L770" s="40"/>
      <c r="M770" s="40"/>
      <c r="N770" s="40"/>
      <c r="O770" s="40"/>
      <c r="P770" s="40"/>
      <c r="Q770" s="40"/>
    </row>
    <row r="771" spans="7:17">
      <c r="G771" s="40"/>
      <c r="H771" s="40"/>
      <c r="I771" s="40"/>
      <c r="J771" s="40"/>
      <c r="K771" s="40"/>
      <c r="L771" s="40"/>
      <c r="M771" s="40"/>
      <c r="N771" s="40"/>
      <c r="O771" s="40"/>
      <c r="P771" s="40"/>
      <c r="Q771" s="40"/>
    </row>
    <row r="772" spans="7:17">
      <c r="G772" s="40"/>
      <c r="H772" s="40"/>
      <c r="I772" s="40"/>
      <c r="J772" s="40"/>
      <c r="K772" s="40"/>
      <c r="L772" s="40"/>
      <c r="M772" s="40"/>
      <c r="N772" s="40"/>
      <c r="O772" s="40"/>
      <c r="P772" s="40"/>
      <c r="Q772" s="40"/>
    </row>
    <row r="773" spans="7:17">
      <c r="G773" s="40"/>
      <c r="H773" s="40"/>
      <c r="I773" s="40"/>
      <c r="J773" s="40"/>
      <c r="K773" s="40"/>
      <c r="L773" s="40"/>
      <c r="M773" s="40"/>
      <c r="N773" s="40"/>
      <c r="O773" s="40"/>
      <c r="P773" s="40"/>
      <c r="Q773" s="40"/>
    </row>
    <row r="774" spans="7:17">
      <c r="G774" s="40"/>
      <c r="H774" s="40"/>
      <c r="I774" s="40"/>
      <c r="J774" s="40"/>
      <c r="K774" s="40"/>
      <c r="L774" s="40"/>
      <c r="M774" s="40"/>
      <c r="N774" s="40"/>
      <c r="O774" s="40"/>
      <c r="P774" s="40"/>
      <c r="Q774" s="40"/>
    </row>
    <row r="775" spans="7:17">
      <c r="G775" s="40"/>
      <c r="H775" s="40"/>
      <c r="I775" s="40"/>
      <c r="J775" s="40"/>
      <c r="K775" s="40"/>
      <c r="L775" s="40"/>
      <c r="M775" s="40"/>
      <c r="N775" s="40"/>
      <c r="O775" s="40"/>
      <c r="P775" s="40"/>
      <c r="Q775" s="40"/>
    </row>
    <row r="776" spans="7:17">
      <c r="G776" s="40"/>
      <c r="H776" s="40"/>
      <c r="I776" s="40"/>
      <c r="J776" s="40"/>
      <c r="K776" s="40"/>
      <c r="L776" s="40"/>
      <c r="M776" s="40"/>
      <c r="N776" s="40"/>
      <c r="O776" s="40"/>
      <c r="P776" s="40"/>
      <c r="Q776" s="40"/>
    </row>
    <row r="777" spans="7:17">
      <c r="G777" s="40"/>
      <c r="H777" s="40"/>
      <c r="I777" s="40"/>
      <c r="J777" s="40"/>
      <c r="K777" s="40"/>
      <c r="L777" s="40"/>
      <c r="M777" s="40"/>
      <c r="N777" s="40"/>
      <c r="O777" s="40"/>
      <c r="P777" s="40"/>
      <c r="Q777" s="40"/>
    </row>
    <row r="778" spans="7:17">
      <c r="G778" s="40"/>
      <c r="H778" s="40"/>
      <c r="I778" s="40"/>
      <c r="J778" s="40"/>
      <c r="K778" s="40"/>
      <c r="L778" s="40"/>
      <c r="M778" s="40"/>
      <c r="N778" s="40"/>
      <c r="O778" s="40"/>
      <c r="P778" s="40"/>
      <c r="Q778" s="40"/>
    </row>
    <row r="779" spans="7:17">
      <c r="G779" s="40"/>
      <c r="H779" s="40"/>
      <c r="I779" s="40"/>
      <c r="J779" s="40"/>
      <c r="K779" s="40"/>
      <c r="L779" s="40"/>
      <c r="M779" s="40"/>
      <c r="N779" s="40"/>
      <c r="O779" s="40"/>
      <c r="P779" s="40"/>
      <c r="Q779" s="40"/>
    </row>
    <row r="780" spans="7:17">
      <c r="G780" s="40"/>
      <c r="H780" s="40"/>
      <c r="I780" s="40"/>
      <c r="J780" s="40"/>
      <c r="K780" s="40"/>
      <c r="L780" s="40"/>
      <c r="M780" s="40"/>
      <c r="N780" s="40"/>
      <c r="O780" s="40"/>
      <c r="P780" s="40"/>
      <c r="Q780" s="40"/>
    </row>
    <row r="781" spans="7:17">
      <c r="G781" s="40"/>
      <c r="H781" s="40"/>
      <c r="I781" s="40"/>
      <c r="J781" s="40"/>
      <c r="K781" s="40"/>
      <c r="L781" s="40"/>
      <c r="M781" s="40"/>
      <c r="N781" s="40"/>
      <c r="O781" s="40"/>
      <c r="P781" s="40"/>
      <c r="Q781" s="40"/>
    </row>
    <row r="782" spans="7:17">
      <c r="G782" s="40"/>
      <c r="H782" s="40"/>
      <c r="I782" s="40"/>
      <c r="J782" s="40"/>
      <c r="K782" s="40"/>
      <c r="L782" s="40"/>
      <c r="M782" s="40"/>
      <c r="N782" s="40"/>
      <c r="O782" s="40"/>
      <c r="P782" s="40"/>
      <c r="Q782" s="40"/>
    </row>
    <row r="783" spans="7:17">
      <c r="G783" s="40"/>
      <c r="H783" s="40"/>
      <c r="I783" s="40"/>
      <c r="J783" s="40"/>
      <c r="K783" s="40"/>
      <c r="L783" s="40"/>
      <c r="M783" s="40"/>
      <c r="N783" s="40"/>
      <c r="O783" s="40"/>
      <c r="P783" s="40"/>
      <c r="Q783" s="40"/>
    </row>
    <row r="784" spans="7:17">
      <c r="G784" s="40"/>
      <c r="H784" s="40"/>
      <c r="I784" s="40"/>
      <c r="J784" s="40"/>
      <c r="K784" s="40"/>
      <c r="L784" s="40"/>
      <c r="M784" s="40"/>
      <c r="N784" s="40"/>
      <c r="O784" s="40"/>
      <c r="P784" s="40"/>
      <c r="Q784" s="40"/>
    </row>
    <row r="785" spans="7:17">
      <c r="G785" s="40"/>
      <c r="H785" s="40"/>
      <c r="I785" s="40"/>
      <c r="J785" s="40"/>
      <c r="K785" s="40"/>
      <c r="L785" s="40"/>
      <c r="M785" s="40"/>
      <c r="N785" s="40"/>
      <c r="O785" s="40"/>
      <c r="P785" s="40"/>
      <c r="Q785" s="40"/>
    </row>
    <row r="786" spans="7:17">
      <c r="G786" s="40"/>
      <c r="H786" s="40"/>
      <c r="I786" s="40"/>
      <c r="J786" s="40"/>
      <c r="K786" s="40"/>
      <c r="L786" s="40"/>
      <c r="M786" s="40"/>
      <c r="N786" s="40"/>
      <c r="O786" s="40"/>
      <c r="P786" s="40"/>
      <c r="Q786" s="40"/>
    </row>
    <row r="787" spans="7:17">
      <c r="G787" s="40"/>
      <c r="H787" s="40"/>
      <c r="I787" s="40"/>
      <c r="J787" s="40"/>
      <c r="K787" s="40"/>
      <c r="L787" s="40"/>
      <c r="M787" s="40"/>
      <c r="N787" s="40"/>
      <c r="O787" s="40"/>
      <c r="P787" s="40"/>
      <c r="Q787" s="40"/>
    </row>
    <row r="788" spans="7:17">
      <c r="G788" s="40"/>
      <c r="H788" s="40"/>
      <c r="I788" s="40"/>
      <c r="J788" s="40"/>
      <c r="K788" s="40"/>
      <c r="L788" s="40"/>
      <c r="M788" s="40"/>
      <c r="N788" s="40"/>
      <c r="O788" s="40"/>
      <c r="P788" s="40"/>
      <c r="Q788" s="40"/>
    </row>
    <row r="789" spans="7:17">
      <c r="G789" s="40"/>
      <c r="H789" s="40"/>
      <c r="I789" s="40"/>
      <c r="J789" s="40"/>
      <c r="K789" s="40"/>
      <c r="L789" s="40"/>
      <c r="M789" s="40"/>
      <c r="N789" s="40"/>
      <c r="O789" s="40"/>
      <c r="P789" s="40"/>
      <c r="Q789" s="40"/>
    </row>
    <row r="790" spans="7:17">
      <c r="G790" s="40"/>
      <c r="H790" s="40"/>
      <c r="I790" s="40"/>
      <c r="J790" s="40"/>
      <c r="K790" s="40"/>
      <c r="L790" s="40"/>
      <c r="M790" s="40"/>
      <c r="N790" s="40"/>
      <c r="O790" s="40"/>
      <c r="P790" s="40"/>
      <c r="Q790" s="40"/>
    </row>
    <row r="791" spans="7:17">
      <c r="G791" s="40"/>
      <c r="H791" s="40"/>
      <c r="I791" s="40"/>
      <c r="J791" s="40"/>
      <c r="K791" s="40"/>
      <c r="L791" s="40"/>
      <c r="M791" s="40"/>
      <c r="N791" s="40"/>
      <c r="O791" s="40"/>
      <c r="P791" s="40"/>
      <c r="Q791" s="40"/>
    </row>
    <row r="792" spans="7:17">
      <c r="G792" s="40"/>
      <c r="H792" s="40"/>
      <c r="I792" s="40"/>
      <c r="J792" s="40"/>
      <c r="K792" s="40"/>
      <c r="L792" s="40"/>
      <c r="M792" s="40"/>
      <c r="N792" s="40"/>
      <c r="O792" s="40"/>
      <c r="P792" s="40"/>
      <c r="Q792" s="40"/>
    </row>
    <row r="793" spans="7:17">
      <c r="G793" s="40"/>
      <c r="H793" s="40"/>
      <c r="I793" s="40"/>
      <c r="J793" s="40"/>
      <c r="K793" s="40"/>
      <c r="L793" s="40"/>
      <c r="M793" s="40"/>
      <c r="N793" s="40"/>
      <c r="O793" s="40"/>
      <c r="P793" s="40"/>
      <c r="Q793" s="40"/>
    </row>
    <row r="794" spans="7:17">
      <c r="G794" s="40"/>
      <c r="H794" s="40"/>
      <c r="I794" s="40"/>
      <c r="J794" s="40"/>
      <c r="K794" s="40"/>
      <c r="L794" s="40"/>
      <c r="M794" s="40"/>
      <c r="N794" s="40"/>
      <c r="O794" s="40"/>
      <c r="P794" s="40"/>
      <c r="Q794" s="40"/>
    </row>
    <row r="795" spans="7:17">
      <c r="G795" s="40"/>
      <c r="H795" s="40"/>
      <c r="I795" s="40"/>
      <c r="J795" s="40"/>
      <c r="K795" s="40"/>
      <c r="L795" s="40"/>
      <c r="M795" s="40"/>
      <c r="N795" s="40"/>
      <c r="O795" s="40"/>
      <c r="P795" s="40"/>
      <c r="Q795" s="40"/>
    </row>
    <row r="796" spans="7:17">
      <c r="G796" s="40"/>
      <c r="H796" s="40"/>
      <c r="I796" s="40"/>
      <c r="J796" s="40"/>
      <c r="K796" s="40"/>
      <c r="L796" s="40"/>
      <c r="M796" s="40"/>
      <c r="N796" s="40"/>
      <c r="O796" s="40"/>
      <c r="P796" s="40"/>
      <c r="Q796" s="40"/>
    </row>
    <row r="797" spans="7:17">
      <c r="G797" s="40"/>
      <c r="H797" s="40"/>
      <c r="I797" s="40"/>
      <c r="J797" s="40"/>
      <c r="K797" s="40"/>
      <c r="L797" s="40"/>
      <c r="M797" s="40"/>
      <c r="N797" s="40"/>
      <c r="O797" s="40"/>
      <c r="P797" s="40"/>
      <c r="Q797" s="40"/>
    </row>
    <row r="798" spans="7:17">
      <c r="G798" s="40"/>
      <c r="H798" s="40"/>
      <c r="I798" s="40"/>
      <c r="J798" s="40"/>
      <c r="K798" s="40"/>
      <c r="L798" s="40"/>
      <c r="M798" s="40"/>
      <c r="N798" s="40"/>
      <c r="O798" s="40"/>
      <c r="P798" s="40"/>
      <c r="Q798" s="40"/>
    </row>
    <row r="799" spans="7:17">
      <c r="G799" s="40"/>
      <c r="H799" s="40"/>
      <c r="I799" s="40"/>
      <c r="J799" s="40"/>
      <c r="K799" s="40"/>
      <c r="L799" s="40"/>
      <c r="M799" s="40"/>
      <c r="N799" s="40"/>
      <c r="O799" s="40"/>
      <c r="P799" s="40"/>
      <c r="Q799" s="40"/>
    </row>
    <row r="800" spans="7:17">
      <c r="G800" s="40"/>
      <c r="H800" s="40"/>
      <c r="I800" s="40"/>
      <c r="J800" s="40"/>
      <c r="K800" s="40"/>
      <c r="L800" s="40"/>
      <c r="M800" s="40"/>
      <c r="N800" s="40"/>
      <c r="O800" s="40"/>
      <c r="P800" s="40"/>
      <c r="Q800" s="40"/>
    </row>
    <row r="801" spans="7:17">
      <c r="G801" s="40"/>
      <c r="H801" s="40"/>
      <c r="I801" s="40"/>
      <c r="J801" s="40"/>
      <c r="K801" s="40"/>
      <c r="L801" s="40"/>
      <c r="M801" s="40"/>
      <c r="N801" s="40"/>
      <c r="O801" s="40"/>
      <c r="P801" s="40"/>
      <c r="Q801" s="40"/>
    </row>
    <row r="802" spans="7:17">
      <c r="G802" s="40"/>
      <c r="H802" s="40"/>
      <c r="I802" s="40"/>
      <c r="J802" s="40"/>
      <c r="K802" s="40"/>
      <c r="L802" s="40"/>
      <c r="M802" s="40"/>
      <c r="N802" s="40"/>
      <c r="O802" s="40"/>
      <c r="P802" s="40"/>
      <c r="Q802" s="40"/>
    </row>
    <row r="803" spans="7:17">
      <c r="G803" s="40"/>
      <c r="H803" s="40"/>
      <c r="I803" s="40"/>
      <c r="J803" s="40"/>
      <c r="K803" s="40"/>
      <c r="L803" s="40"/>
      <c r="M803" s="40"/>
      <c r="N803" s="40"/>
      <c r="O803" s="40"/>
      <c r="P803" s="40"/>
      <c r="Q803" s="40"/>
    </row>
    <row r="804" spans="7:17">
      <c r="G804" s="40"/>
      <c r="H804" s="40"/>
      <c r="I804" s="40"/>
      <c r="J804" s="40"/>
      <c r="K804" s="40"/>
      <c r="L804" s="40"/>
      <c r="M804" s="40"/>
      <c r="N804" s="40"/>
      <c r="O804" s="40"/>
      <c r="P804" s="40"/>
      <c r="Q804" s="40"/>
    </row>
    <row r="805" spans="7:17">
      <c r="G805" s="40"/>
      <c r="H805" s="40"/>
      <c r="I805" s="40"/>
      <c r="J805" s="40"/>
      <c r="K805" s="40"/>
      <c r="L805" s="40"/>
      <c r="M805" s="40"/>
      <c r="N805" s="40"/>
      <c r="O805" s="40"/>
      <c r="P805" s="40"/>
      <c r="Q805" s="40"/>
    </row>
    <row r="806" spans="7:17">
      <c r="G806" s="40"/>
      <c r="H806" s="40"/>
      <c r="I806" s="40"/>
      <c r="J806" s="40"/>
      <c r="K806" s="40"/>
      <c r="L806" s="40"/>
      <c r="M806" s="40"/>
      <c r="N806" s="40"/>
      <c r="O806" s="40"/>
      <c r="P806" s="40"/>
      <c r="Q806" s="40"/>
    </row>
    <row r="807" spans="7:17">
      <c r="G807" s="40"/>
      <c r="H807" s="40"/>
      <c r="I807" s="40"/>
      <c r="J807" s="40"/>
      <c r="K807" s="40"/>
      <c r="L807" s="40"/>
      <c r="M807" s="40"/>
      <c r="N807" s="40"/>
      <c r="O807" s="40"/>
      <c r="P807" s="40"/>
      <c r="Q807" s="40"/>
    </row>
    <row r="808" spans="7:17">
      <c r="G808" s="40"/>
      <c r="H808" s="40"/>
      <c r="I808" s="40"/>
      <c r="J808" s="40"/>
      <c r="K808" s="40"/>
      <c r="L808" s="40"/>
      <c r="M808" s="40"/>
      <c r="N808" s="40"/>
      <c r="O808" s="40"/>
      <c r="P808" s="40"/>
      <c r="Q808" s="40"/>
    </row>
    <row r="809" spans="7:17">
      <c r="G809" s="40"/>
      <c r="H809" s="40"/>
      <c r="I809" s="40"/>
      <c r="J809" s="40"/>
      <c r="K809" s="40"/>
      <c r="L809" s="40"/>
      <c r="M809" s="40"/>
      <c r="N809" s="40"/>
      <c r="O809" s="40"/>
      <c r="P809" s="40"/>
      <c r="Q809" s="40"/>
    </row>
    <row r="810" spans="7:17">
      <c r="G810" s="40"/>
      <c r="H810" s="40"/>
      <c r="I810" s="40"/>
      <c r="J810" s="40"/>
      <c r="K810" s="40"/>
      <c r="L810" s="40"/>
      <c r="M810" s="40"/>
      <c r="N810" s="40"/>
      <c r="O810" s="40"/>
      <c r="P810" s="40"/>
      <c r="Q810" s="40"/>
    </row>
    <row r="811" spans="7:17">
      <c r="G811" s="40"/>
      <c r="H811" s="40"/>
      <c r="I811" s="40"/>
      <c r="J811" s="40"/>
      <c r="K811" s="40"/>
      <c r="L811" s="40"/>
      <c r="M811" s="40"/>
      <c r="N811" s="40"/>
      <c r="O811" s="40"/>
      <c r="P811" s="40"/>
      <c r="Q811" s="40"/>
    </row>
    <row r="812" spans="7:17">
      <c r="G812" s="40"/>
      <c r="H812" s="40"/>
      <c r="I812" s="40"/>
      <c r="J812" s="40"/>
      <c r="K812" s="40"/>
      <c r="L812" s="40"/>
      <c r="M812" s="40"/>
      <c r="N812" s="40"/>
      <c r="O812" s="40"/>
      <c r="P812" s="40"/>
      <c r="Q812" s="40"/>
    </row>
    <row r="813" spans="7:17">
      <c r="G813" s="40"/>
      <c r="H813" s="40"/>
      <c r="I813" s="40"/>
      <c r="J813" s="40"/>
      <c r="K813" s="40"/>
      <c r="L813" s="40"/>
      <c r="M813" s="40"/>
      <c r="N813" s="40"/>
      <c r="O813" s="40"/>
      <c r="P813" s="40"/>
      <c r="Q813" s="40"/>
    </row>
    <row r="814" spans="7:17">
      <c r="G814" s="40"/>
      <c r="H814" s="40"/>
      <c r="I814" s="40"/>
      <c r="J814" s="40"/>
      <c r="K814" s="40"/>
      <c r="L814" s="40"/>
      <c r="M814" s="40"/>
      <c r="N814" s="40"/>
      <c r="O814" s="40"/>
      <c r="P814" s="40"/>
      <c r="Q814" s="40"/>
    </row>
    <row r="815" spans="7:17">
      <c r="G815" s="40"/>
      <c r="H815" s="40"/>
      <c r="I815" s="40"/>
      <c r="J815" s="40"/>
      <c r="K815" s="40"/>
      <c r="L815" s="40"/>
      <c r="M815" s="40"/>
      <c r="N815" s="40"/>
      <c r="O815" s="40"/>
      <c r="P815" s="40"/>
      <c r="Q815" s="40"/>
    </row>
    <row r="816" spans="7:17">
      <c r="G816" s="40"/>
      <c r="H816" s="40"/>
      <c r="I816" s="40"/>
      <c r="J816" s="40"/>
      <c r="K816" s="40"/>
      <c r="L816" s="40"/>
      <c r="M816" s="40"/>
      <c r="N816" s="40"/>
      <c r="O816" s="40"/>
      <c r="P816" s="40"/>
      <c r="Q816" s="40"/>
    </row>
    <row r="817" spans="7:17">
      <c r="G817" s="40"/>
      <c r="H817" s="40"/>
      <c r="I817" s="40"/>
      <c r="J817" s="40"/>
      <c r="K817" s="40"/>
      <c r="L817" s="40"/>
      <c r="M817" s="40"/>
      <c r="N817" s="40"/>
      <c r="O817" s="40"/>
      <c r="P817" s="40"/>
      <c r="Q817" s="40"/>
    </row>
    <row r="818" spans="7:17">
      <c r="G818" s="40"/>
      <c r="H818" s="40"/>
      <c r="I818" s="40"/>
      <c r="J818" s="40"/>
      <c r="K818" s="40"/>
      <c r="L818" s="40"/>
      <c r="M818" s="40"/>
      <c r="N818" s="40"/>
      <c r="O818" s="40"/>
      <c r="P818" s="40"/>
      <c r="Q818" s="40"/>
    </row>
    <row r="819" spans="7:17">
      <c r="G819" s="40"/>
      <c r="H819" s="40"/>
      <c r="I819" s="40"/>
      <c r="J819" s="40"/>
      <c r="K819" s="40"/>
      <c r="L819" s="40"/>
      <c r="M819" s="40"/>
      <c r="N819" s="40"/>
      <c r="O819" s="40"/>
      <c r="P819" s="40"/>
      <c r="Q819" s="40"/>
    </row>
    <row r="820" spans="7:17">
      <c r="G820" s="40"/>
      <c r="H820" s="40"/>
      <c r="I820" s="40"/>
      <c r="J820" s="40"/>
      <c r="K820" s="40"/>
      <c r="L820" s="40"/>
      <c r="M820" s="40"/>
      <c r="N820" s="40"/>
      <c r="O820" s="40"/>
      <c r="P820" s="40"/>
      <c r="Q820" s="40"/>
    </row>
    <row r="821" spans="7:17">
      <c r="G821" s="40"/>
      <c r="H821" s="40"/>
      <c r="I821" s="40"/>
      <c r="J821" s="40"/>
      <c r="K821" s="40"/>
      <c r="L821" s="40"/>
      <c r="M821" s="40"/>
      <c r="N821" s="40"/>
      <c r="O821" s="40"/>
      <c r="P821" s="40"/>
      <c r="Q821" s="40"/>
    </row>
    <row r="822" spans="7:17">
      <c r="G822" s="40"/>
      <c r="H822" s="40"/>
      <c r="I822" s="40"/>
      <c r="J822" s="40"/>
      <c r="K822" s="40"/>
      <c r="L822" s="40"/>
      <c r="M822" s="40"/>
      <c r="N822" s="40"/>
      <c r="O822" s="40"/>
      <c r="P822" s="40"/>
      <c r="Q822" s="40"/>
    </row>
    <row r="823" spans="7:17">
      <c r="G823" s="40"/>
      <c r="H823" s="40"/>
      <c r="I823" s="40"/>
      <c r="J823" s="40"/>
      <c r="K823" s="40"/>
      <c r="L823" s="40"/>
      <c r="M823" s="40"/>
      <c r="N823" s="40"/>
      <c r="O823" s="40"/>
      <c r="P823" s="40"/>
      <c r="Q823" s="40"/>
    </row>
    <row r="824" spans="7:17">
      <c r="G824" s="40"/>
      <c r="H824" s="40"/>
      <c r="I824" s="40"/>
      <c r="J824" s="40"/>
      <c r="K824" s="40"/>
      <c r="L824" s="40"/>
      <c r="M824" s="40"/>
      <c r="N824" s="40"/>
      <c r="O824" s="40"/>
      <c r="P824" s="40"/>
      <c r="Q824" s="40"/>
    </row>
    <row r="825" spans="7:17">
      <c r="G825" s="40"/>
      <c r="H825" s="40"/>
      <c r="I825" s="40"/>
      <c r="J825" s="40"/>
      <c r="K825" s="40"/>
      <c r="L825" s="40"/>
      <c r="M825" s="40"/>
      <c r="N825" s="40"/>
      <c r="O825" s="40"/>
      <c r="P825" s="40"/>
      <c r="Q825" s="40"/>
    </row>
    <row r="826" spans="7:17">
      <c r="G826" s="40"/>
      <c r="H826" s="40"/>
      <c r="I826" s="40"/>
      <c r="J826" s="40"/>
      <c r="K826" s="40"/>
      <c r="L826" s="40"/>
      <c r="M826" s="40"/>
      <c r="N826" s="40"/>
      <c r="O826" s="40"/>
      <c r="P826" s="40"/>
      <c r="Q826" s="40"/>
    </row>
    <row r="827" spans="7:17">
      <c r="G827" s="40"/>
      <c r="H827" s="40"/>
      <c r="I827" s="40"/>
      <c r="J827" s="40"/>
      <c r="K827" s="40"/>
      <c r="L827" s="40"/>
      <c r="M827" s="40"/>
      <c r="N827" s="40"/>
      <c r="O827" s="40"/>
      <c r="P827" s="40"/>
      <c r="Q827" s="40"/>
    </row>
    <row r="828" spans="7:17">
      <c r="G828" s="40"/>
      <c r="H828" s="40"/>
      <c r="I828" s="40"/>
      <c r="J828" s="40"/>
      <c r="K828" s="40"/>
      <c r="L828" s="40"/>
      <c r="M828" s="40"/>
      <c r="N828" s="40"/>
      <c r="O828" s="40"/>
      <c r="P828" s="40"/>
      <c r="Q828" s="40"/>
    </row>
    <row r="829" spans="7:17">
      <c r="G829" s="40"/>
      <c r="H829" s="40"/>
      <c r="I829" s="40"/>
      <c r="J829" s="40"/>
      <c r="K829" s="40"/>
      <c r="L829" s="40"/>
      <c r="M829" s="40"/>
      <c r="N829" s="40"/>
      <c r="O829" s="40"/>
      <c r="P829" s="40"/>
      <c r="Q829" s="40"/>
    </row>
    <row r="830" spans="7:17">
      <c r="G830" s="40"/>
      <c r="H830" s="40"/>
      <c r="I830" s="40"/>
      <c r="J830" s="40"/>
      <c r="K830" s="40"/>
      <c r="L830" s="40"/>
      <c r="M830" s="40"/>
      <c r="N830" s="40"/>
      <c r="O830" s="40"/>
      <c r="P830" s="40"/>
      <c r="Q830" s="40"/>
    </row>
    <row r="831" spans="7:17">
      <c r="G831" s="40"/>
      <c r="H831" s="40"/>
      <c r="I831" s="40"/>
      <c r="J831" s="40"/>
      <c r="K831" s="40"/>
      <c r="L831" s="40"/>
      <c r="M831" s="40"/>
      <c r="N831" s="40"/>
      <c r="O831" s="40"/>
      <c r="P831" s="40"/>
      <c r="Q831" s="40"/>
    </row>
    <row r="832" spans="7:17">
      <c r="G832" s="40"/>
      <c r="H832" s="40"/>
      <c r="I832" s="40"/>
      <c r="J832" s="40"/>
      <c r="K832" s="40"/>
      <c r="L832" s="40"/>
      <c r="M832" s="40"/>
      <c r="N832" s="40"/>
      <c r="O832" s="40"/>
      <c r="P832" s="40"/>
      <c r="Q832" s="40"/>
    </row>
    <row r="833" spans="7:17">
      <c r="G833" s="40"/>
      <c r="H833" s="40"/>
      <c r="I833" s="40"/>
      <c r="J833" s="40"/>
      <c r="K833" s="40"/>
      <c r="L833" s="40"/>
      <c r="M833" s="40"/>
      <c r="N833" s="40"/>
      <c r="O833" s="40"/>
      <c r="P833" s="40"/>
      <c r="Q833" s="40"/>
    </row>
    <row r="834" spans="7:17">
      <c r="G834" s="40"/>
      <c r="H834" s="40"/>
      <c r="I834" s="40"/>
      <c r="J834" s="40"/>
      <c r="K834" s="40"/>
      <c r="L834" s="40"/>
      <c r="M834" s="40"/>
      <c r="N834" s="40"/>
      <c r="O834" s="40"/>
      <c r="P834" s="40"/>
      <c r="Q834" s="40"/>
    </row>
    <row r="835" spans="7:17">
      <c r="G835" s="40"/>
      <c r="H835" s="40"/>
      <c r="I835" s="40"/>
      <c r="J835" s="40"/>
      <c r="K835" s="40"/>
      <c r="L835" s="40"/>
      <c r="M835" s="40"/>
      <c r="N835" s="40"/>
      <c r="O835" s="40"/>
      <c r="P835" s="40"/>
      <c r="Q835" s="40"/>
    </row>
    <row r="836" spans="7:17">
      <c r="G836" s="40"/>
      <c r="H836" s="40"/>
      <c r="I836" s="40"/>
      <c r="J836" s="40"/>
      <c r="K836" s="40"/>
      <c r="L836" s="40"/>
      <c r="M836" s="40"/>
      <c r="N836" s="40"/>
      <c r="O836" s="40"/>
      <c r="P836" s="40"/>
      <c r="Q836" s="40"/>
    </row>
    <row r="837" spans="7:17">
      <c r="G837" s="40"/>
      <c r="H837" s="40"/>
      <c r="I837" s="40"/>
      <c r="J837" s="40"/>
      <c r="K837" s="40"/>
      <c r="L837" s="40"/>
      <c r="M837" s="40"/>
      <c r="N837" s="40"/>
      <c r="O837" s="40"/>
      <c r="P837" s="40"/>
      <c r="Q837" s="40"/>
    </row>
    <row r="838" spans="7:17">
      <c r="G838" s="40"/>
      <c r="H838" s="40"/>
      <c r="I838" s="40"/>
      <c r="J838" s="40"/>
      <c r="K838" s="40"/>
      <c r="L838" s="40"/>
      <c r="M838" s="40"/>
      <c r="N838" s="40"/>
      <c r="O838" s="40"/>
      <c r="P838" s="40"/>
      <c r="Q838" s="40"/>
    </row>
    <row r="839" spans="7:17">
      <c r="G839" s="40"/>
      <c r="H839" s="40"/>
      <c r="I839" s="40"/>
      <c r="J839" s="40"/>
      <c r="K839" s="40"/>
      <c r="L839" s="40"/>
      <c r="M839" s="40"/>
      <c r="N839" s="40"/>
      <c r="O839" s="40"/>
      <c r="P839" s="40"/>
      <c r="Q839" s="40"/>
    </row>
    <row r="840" spans="7:17">
      <c r="G840" s="40"/>
      <c r="H840" s="40"/>
      <c r="I840" s="40"/>
      <c r="J840" s="40"/>
      <c r="K840" s="40"/>
      <c r="L840" s="40"/>
      <c r="M840" s="40"/>
      <c r="N840" s="40"/>
      <c r="O840" s="40"/>
      <c r="P840" s="40"/>
      <c r="Q840" s="40"/>
    </row>
    <row r="841" spans="7:17">
      <c r="G841" s="40"/>
      <c r="H841" s="40"/>
      <c r="I841" s="40"/>
      <c r="J841" s="40"/>
      <c r="K841" s="40"/>
      <c r="L841" s="40"/>
      <c r="M841" s="40"/>
      <c r="N841" s="40"/>
      <c r="O841" s="40"/>
      <c r="P841" s="40"/>
      <c r="Q841" s="40"/>
    </row>
    <row r="842" spans="7:17">
      <c r="G842" s="40"/>
      <c r="H842" s="40"/>
      <c r="I842" s="40"/>
      <c r="J842" s="40"/>
      <c r="K842" s="40"/>
      <c r="L842" s="40"/>
      <c r="M842" s="40"/>
      <c r="N842" s="40"/>
      <c r="O842" s="40"/>
      <c r="P842" s="40"/>
      <c r="Q842" s="40"/>
    </row>
    <row r="843" spans="7:17">
      <c r="G843" s="40"/>
      <c r="H843" s="40"/>
      <c r="I843" s="40"/>
      <c r="J843" s="40"/>
      <c r="K843" s="40"/>
      <c r="L843" s="40"/>
      <c r="M843" s="40"/>
      <c r="N843" s="40"/>
      <c r="O843" s="40"/>
      <c r="P843" s="40"/>
      <c r="Q843" s="40"/>
    </row>
    <row r="844" spans="7:17">
      <c r="G844" s="40"/>
      <c r="H844" s="40"/>
      <c r="I844" s="40"/>
      <c r="J844" s="40"/>
      <c r="K844" s="40"/>
      <c r="L844" s="40"/>
      <c r="M844" s="40"/>
      <c r="N844" s="40"/>
      <c r="O844" s="40"/>
      <c r="P844" s="40"/>
      <c r="Q844" s="40"/>
    </row>
    <row r="845" spans="7:17">
      <c r="G845" s="40"/>
      <c r="H845" s="40"/>
      <c r="I845" s="40"/>
      <c r="J845" s="40"/>
      <c r="K845" s="40"/>
      <c r="L845" s="40"/>
      <c r="M845" s="40"/>
      <c r="N845" s="40"/>
      <c r="O845" s="40"/>
      <c r="P845" s="40"/>
      <c r="Q845" s="40"/>
    </row>
    <row r="846" spans="7:17">
      <c r="G846" s="40"/>
      <c r="H846" s="40"/>
      <c r="I846" s="40"/>
      <c r="J846" s="40"/>
      <c r="K846" s="40"/>
      <c r="L846" s="40"/>
      <c r="M846" s="40"/>
      <c r="N846" s="40"/>
      <c r="O846" s="40"/>
      <c r="P846" s="40"/>
      <c r="Q846" s="40"/>
    </row>
    <row r="847" spans="7:17">
      <c r="G847" s="40"/>
      <c r="H847" s="40"/>
      <c r="I847" s="40"/>
      <c r="J847" s="40"/>
      <c r="K847" s="40"/>
      <c r="L847" s="40"/>
      <c r="M847" s="40"/>
      <c r="N847" s="40"/>
      <c r="O847" s="40"/>
      <c r="P847" s="40"/>
      <c r="Q847" s="40"/>
    </row>
    <row r="848" spans="7:17">
      <c r="G848" s="40"/>
      <c r="H848" s="40"/>
      <c r="I848" s="40"/>
      <c r="J848" s="40"/>
      <c r="K848" s="40"/>
      <c r="L848" s="40"/>
      <c r="M848" s="40"/>
      <c r="N848" s="40"/>
      <c r="O848" s="40"/>
      <c r="P848" s="40"/>
      <c r="Q848" s="40"/>
    </row>
    <row r="849" spans="7:17">
      <c r="G849" s="40"/>
      <c r="H849" s="40"/>
      <c r="I849" s="40"/>
      <c r="J849" s="40"/>
      <c r="K849" s="40"/>
      <c r="L849" s="40"/>
      <c r="M849" s="40"/>
      <c r="N849" s="40"/>
      <c r="O849" s="40"/>
      <c r="P849" s="40"/>
      <c r="Q849" s="40"/>
    </row>
    <row r="850" spans="7:17">
      <c r="G850" s="40"/>
      <c r="H850" s="40"/>
      <c r="I850" s="40"/>
      <c r="J850" s="40"/>
      <c r="K850" s="40"/>
      <c r="L850" s="40"/>
      <c r="M850" s="40"/>
      <c r="N850" s="40"/>
      <c r="O850" s="40"/>
      <c r="P850" s="40"/>
      <c r="Q850" s="40"/>
    </row>
    <row r="851" spans="7:17">
      <c r="G851" s="40"/>
      <c r="H851" s="40"/>
      <c r="I851" s="40"/>
      <c r="J851" s="40"/>
      <c r="K851" s="40"/>
      <c r="L851" s="40"/>
      <c r="M851" s="40"/>
      <c r="N851" s="40"/>
      <c r="O851" s="40"/>
      <c r="P851" s="40"/>
      <c r="Q851" s="40"/>
    </row>
    <row r="852" spans="7:17">
      <c r="G852" s="40"/>
      <c r="H852" s="40"/>
      <c r="I852" s="40"/>
      <c r="J852" s="40"/>
      <c r="K852" s="40"/>
      <c r="L852" s="40"/>
      <c r="M852" s="40"/>
      <c r="N852" s="40"/>
      <c r="O852" s="40"/>
      <c r="P852" s="40"/>
      <c r="Q852" s="40"/>
    </row>
    <row r="853" spans="7:17">
      <c r="G853" s="40"/>
      <c r="H853" s="40"/>
      <c r="I853" s="40"/>
      <c r="J853" s="40"/>
      <c r="K853" s="40"/>
      <c r="L853" s="40"/>
      <c r="M853" s="40"/>
      <c r="N853" s="40"/>
      <c r="O853" s="40"/>
      <c r="P853" s="40"/>
      <c r="Q853" s="40"/>
    </row>
    <row r="854" spans="7:17">
      <c r="G854" s="40"/>
      <c r="H854" s="40"/>
      <c r="I854" s="40"/>
      <c r="J854" s="40"/>
      <c r="K854" s="40"/>
      <c r="L854" s="40"/>
      <c r="M854" s="40"/>
      <c r="N854" s="40"/>
      <c r="O854" s="40"/>
      <c r="P854" s="40"/>
      <c r="Q854" s="40"/>
    </row>
    <row r="855" spans="7:17">
      <c r="G855" s="40"/>
      <c r="H855" s="40"/>
      <c r="I855" s="40"/>
      <c r="J855" s="40"/>
      <c r="K855" s="40"/>
      <c r="L855" s="40"/>
      <c r="M855" s="40"/>
      <c r="N855" s="40"/>
      <c r="O855" s="40"/>
      <c r="P855" s="40"/>
      <c r="Q855" s="40"/>
    </row>
    <row r="856" spans="7:17">
      <c r="G856" s="40"/>
      <c r="H856" s="40"/>
      <c r="I856" s="40"/>
      <c r="J856" s="40"/>
      <c r="K856" s="40"/>
      <c r="L856" s="40"/>
      <c r="M856" s="40"/>
      <c r="N856" s="40"/>
      <c r="O856" s="40"/>
      <c r="P856" s="40"/>
      <c r="Q856" s="40"/>
    </row>
    <row r="857" spans="7:17">
      <c r="G857" s="40"/>
      <c r="H857" s="40"/>
      <c r="I857" s="40"/>
      <c r="J857" s="40"/>
      <c r="K857" s="40"/>
      <c r="L857" s="40"/>
      <c r="M857" s="40"/>
      <c r="N857" s="40"/>
      <c r="O857" s="40"/>
      <c r="P857" s="40"/>
      <c r="Q857" s="40"/>
    </row>
    <row r="858" spans="7:17">
      <c r="G858" s="40"/>
      <c r="H858" s="40"/>
      <c r="I858" s="40"/>
      <c r="J858" s="40"/>
      <c r="K858" s="40"/>
      <c r="L858" s="40"/>
      <c r="M858" s="40"/>
      <c r="N858" s="40"/>
      <c r="O858" s="40"/>
      <c r="P858" s="40"/>
      <c r="Q858" s="40"/>
    </row>
    <row r="859" spans="7:17">
      <c r="G859" s="40"/>
      <c r="H859" s="40"/>
      <c r="I859" s="40"/>
      <c r="J859" s="40"/>
      <c r="K859" s="40"/>
      <c r="L859" s="40"/>
      <c r="M859" s="40"/>
      <c r="N859" s="40"/>
      <c r="O859" s="40"/>
      <c r="P859" s="40"/>
      <c r="Q859" s="40"/>
    </row>
    <row r="860" spans="7:17">
      <c r="G860" s="40"/>
      <c r="H860" s="40"/>
      <c r="I860" s="40"/>
      <c r="J860" s="40"/>
      <c r="K860" s="40"/>
      <c r="L860" s="40"/>
      <c r="M860" s="40"/>
      <c r="N860" s="40"/>
      <c r="O860" s="40"/>
      <c r="P860" s="40"/>
      <c r="Q860" s="40"/>
    </row>
    <row r="861" spans="7:17">
      <c r="G861" s="40"/>
      <c r="H861" s="40"/>
      <c r="I861" s="40"/>
      <c r="J861" s="40"/>
      <c r="K861" s="40"/>
      <c r="L861" s="40"/>
      <c r="M861" s="40"/>
      <c r="N861" s="40"/>
      <c r="O861" s="40"/>
      <c r="P861" s="40"/>
      <c r="Q861" s="40"/>
    </row>
    <row r="862" spans="7:17">
      <c r="G862" s="40"/>
      <c r="H862" s="40"/>
      <c r="I862" s="40"/>
      <c r="J862" s="40"/>
      <c r="K862" s="40"/>
      <c r="L862" s="40"/>
      <c r="M862" s="40"/>
      <c r="N862" s="40"/>
      <c r="O862" s="40"/>
      <c r="P862" s="40"/>
      <c r="Q862" s="40"/>
    </row>
    <row r="863" spans="7:17">
      <c r="G863" s="40"/>
      <c r="H863" s="40"/>
      <c r="I863" s="40"/>
      <c r="J863" s="40"/>
      <c r="K863" s="40"/>
      <c r="L863" s="40"/>
      <c r="M863" s="40"/>
      <c r="N863" s="40"/>
      <c r="O863" s="40"/>
      <c r="P863" s="40"/>
      <c r="Q863" s="40"/>
    </row>
    <row r="864" spans="7:17">
      <c r="G864" s="40"/>
      <c r="H864" s="40"/>
      <c r="I864" s="40"/>
      <c r="J864" s="40"/>
      <c r="K864" s="40"/>
      <c r="L864" s="40"/>
      <c r="M864" s="40"/>
      <c r="N864" s="40"/>
      <c r="O864" s="40"/>
      <c r="P864" s="40"/>
      <c r="Q864" s="40"/>
    </row>
    <row r="865" spans="7:17">
      <c r="G865" s="40"/>
      <c r="H865" s="40"/>
      <c r="I865" s="40"/>
      <c r="J865" s="40"/>
      <c r="K865" s="40"/>
      <c r="L865" s="40"/>
      <c r="M865" s="40"/>
      <c r="N865" s="40"/>
      <c r="O865" s="40"/>
      <c r="P865" s="40"/>
      <c r="Q865" s="40"/>
    </row>
    <row r="866" spans="7:17">
      <c r="G866" s="40"/>
      <c r="H866" s="40"/>
      <c r="I866" s="40"/>
      <c r="J866" s="40"/>
      <c r="K866" s="40"/>
      <c r="L866" s="40"/>
      <c r="M866" s="40"/>
      <c r="N866" s="40"/>
      <c r="O866" s="40"/>
      <c r="P866" s="40"/>
      <c r="Q866" s="40"/>
    </row>
    <row r="867" spans="7:17">
      <c r="G867" s="40"/>
      <c r="H867" s="40"/>
      <c r="I867" s="40"/>
      <c r="J867" s="40"/>
      <c r="K867" s="40"/>
      <c r="L867" s="40"/>
      <c r="M867" s="40"/>
      <c r="N867" s="40"/>
      <c r="O867" s="40"/>
      <c r="P867" s="40"/>
      <c r="Q867" s="40"/>
    </row>
    <row r="868" spans="7:17">
      <c r="G868" s="40"/>
      <c r="H868" s="40"/>
      <c r="I868" s="40"/>
      <c r="J868" s="40"/>
      <c r="K868" s="40"/>
      <c r="L868" s="40"/>
      <c r="M868" s="40"/>
      <c r="N868" s="40"/>
      <c r="O868" s="40"/>
      <c r="P868" s="40"/>
      <c r="Q868" s="40"/>
    </row>
    <row r="869" spans="7:17">
      <c r="G869" s="40"/>
      <c r="H869" s="40"/>
      <c r="I869" s="40"/>
      <c r="J869" s="40"/>
      <c r="K869" s="40"/>
      <c r="L869" s="40"/>
      <c r="M869" s="40"/>
      <c r="N869" s="40"/>
      <c r="O869" s="40"/>
      <c r="P869" s="40"/>
      <c r="Q869" s="40"/>
    </row>
    <row r="870" spans="7:17">
      <c r="G870" s="40"/>
      <c r="H870" s="40"/>
      <c r="I870" s="40"/>
      <c r="J870" s="40"/>
      <c r="K870" s="40"/>
      <c r="L870" s="40"/>
      <c r="M870" s="40"/>
      <c r="N870" s="40"/>
      <c r="O870" s="40"/>
      <c r="P870" s="40"/>
      <c r="Q870" s="40"/>
    </row>
    <row r="871" spans="7:17">
      <c r="G871" s="40"/>
      <c r="H871" s="40"/>
      <c r="I871" s="40"/>
      <c r="J871" s="40"/>
      <c r="K871" s="40"/>
      <c r="L871" s="40"/>
      <c r="M871" s="40"/>
      <c r="N871" s="40"/>
      <c r="O871" s="40"/>
      <c r="P871" s="40"/>
      <c r="Q871" s="40"/>
    </row>
    <row r="872" spans="7:17">
      <c r="G872" s="40"/>
      <c r="H872" s="40"/>
      <c r="I872" s="40"/>
      <c r="J872" s="40"/>
      <c r="K872" s="40"/>
      <c r="L872" s="40"/>
      <c r="M872" s="40"/>
      <c r="N872" s="40"/>
      <c r="O872" s="40"/>
      <c r="P872" s="40"/>
      <c r="Q872" s="40"/>
    </row>
    <row r="873" spans="7:17">
      <c r="G873" s="40"/>
      <c r="H873" s="40"/>
      <c r="I873" s="40"/>
      <c r="J873" s="40"/>
      <c r="K873" s="40"/>
      <c r="L873" s="40"/>
      <c r="M873" s="40"/>
      <c r="N873" s="40"/>
      <c r="O873" s="40"/>
      <c r="P873" s="40"/>
      <c r="Q873" s="40"/>
    </row>
    <row r="874" spans="7:17">
      <c r="G874" s="40"/>
      <c r="H874" s="40"/>
      <c r="I874" s="40"/>
      <c r="J874" s="40"/>
      <c r="K874" s="40"/>
      <c r="L874" s="40"/>
      <c r="M874" s="40"/>
      <c r="N874" s="40"/>
      <c r="O874" s="40"/>
      <c r="P874" s="40"/>
      <c r="Q874" s="40"/>
    </row>
    <row r="875" spans="7:17">
      <c r="G875" s="40"/>
      <c r="H875" s="40"/>
      <c r="I875" s="40"/>
      <c r="J875" s="40"/>
      <c r="K875" s="40"/>
      <c r="L875" s="40"/>
      <c r="M875" s="40"/>
      <c r="N875" s="40"/>
      <c r="O875" s="40"/>
      <c r="P875" s="40"/>
      <c r="Q875" s="40"/>
    </row>
    <row r="876" spans="7:17">
      <c r="G876" s="40"/>
      <c r="H876" s="40"/>
      <c r="I876" s="40"/>
      <c r="J876" s="40"/>
      <c r="K876" s="40"/>
      <c r="L876" s="40"/>
      <c r="M876" s="40"/>
      <c r="N876" s="40"/>
      <c r="O876" s="40"/>
      <c r="P876" s="40"/>
      <c r="Q876" s="40"/>
    </row>
    <row r="877" spans="7:17">
      <c r="G877" s="40"/>
      <c r="H877" s="40"/>
      <c r="I877" s="40"/>
      <c r="J877" s="40"/>
      <c r="K877" s="40"/>
      <c r="L877" s="40"/>
      <c r="M877" s="40"/>
      <c r="N877" s="40"/>
      <c r="O877" s="40"/>
      <c r="P877" s="40"/>
      <c r="Q877" s="40"/>
    </row>
    <row r="878" spans="7:17">
      <c r="G878" s="40"/>
      <c r="H878" s="40"/>
      <c r="I878" s="40"/>
      <c r="J878" s="40"/>
      <c r="K878" s="40"/>
      <c r="L878" s="40"/>
      <c r="M878" s="40"/>
      <c r="N878" s="40"/>
      <c r="O878" s="40"/>
      <c r="P878" s="40"/>
      <c r="Q878" s="40"/>
    </row>
    <row r="879" spans="7:17">
      <c r="G879" s="40"/>
      <c r="H879" s="40"/>
      <c r="I879" s="40"/>
      <c r="J879" s="40"/>
      <c r="K879" s="40"/>
      <c r="L879" s="40"/>
      <c r="M879" s="40"/>
      <c r="N879" s="40"/>
      <c r="O879" s="40"/>
      <c r="P879" s="40"/>
      <c r="Q879" s="40"/>
    </row>
    <row r="880" spans="7:17">
      <c r="G880" s="40"/>
      <c r="H880" s="40"/>
      <c r="I880" s="40"/>
      <c r="J880" s="40"/>
      <c r="K880" s="40"/>
      <c r="L880" s="40"/>
      <c r="M880" s="40"/>
      <c r="N880" s="40"/>
      <c r="O880" s="40"/>
      <c r="P880" s="40"/>
      <c r="Q880" s="40"/>
    </row>
    <row r="881" spans="7:17">
      <c r="G881" s="40"/>
      <c r="H881" s="40"/>
      <c r="I881" s="40"/>
      <c r="J881" s="40"/>
      <c r="K881" s="40"/>
      <c r="L881" s="40"/>
      <c r="M881" s="40"/>
      <c r="N881" s="40"/>
      <c r="O881" s="40"/>
      <c r="P881" s="40"/>
      <c r="Q881" s="40"/>
    </row>
    <row r="882" spans="7:17">
      <c r="G882" s="40"/>
      <c r="H882" s="40"/>
      <c r="I882" s="40"/>
      <c r="J882" s="40"/>
      <c r="K882" s="40"/>
      <c r="L882" s="40"/>
      <c r="M882" s="40"/>
      <c r="N882" s="40"/>
      <c r="O882" s="40"/>
      <c r="P882" s="40"/>
      <c r="Q882" s="40"/>
    </row>
    <row r="883" spans="7:17">
      <c r="G883" s="40"/>
      <c r="H883" s="40"/>
      <c r="I883" s="40"/>
      <c r="J883" s="40"/>
      <c r="K883" s="40"/>
      <c r="L883" s="40"/>
      <c r="M883" s="40"/>
      <c r="N883" s="40"/>
      <c r="O883" s="40"/>
      <c r="P883" s="40"/>
      <c r="Q883" s="40"/>
    </row>
    <row r="884" spans="7:17">
      <c r="G884" s="40"/>
      <c r="H884" s="40"/>
      <c r="I884" s="40"/>
      <c r="J884" s="40"/>
      <c r="K884" s="40"/>
      <c r="L884" s="40"/>
      <c r="M884" s="40"/>
      <c r="N884" s="40"/>
      <c r="O884" s="40"/>
      <c r="P884" s="40"/>
      <c r="Q884" s="40"/>
    </row>
    <row r="885" spans="7:17">
      <c r="G885" s="40"/>
      <c r="H885" s="40"/>
      <c r="I885" s="40"/>
      <c r="J885" s="40"/>
      <c r="K885" s="40"/>
      <c r="L885" s="40"/>
      <c r="M885" s="40"/>
      <c r="N885" s="40"/>
      <c r="O885" s="40"/>
      <c r="P885" s="40"/>
      <c r="Q885" s="40"/>
    </row>
    <row r="886" spans="7:17">
      <c r="G886" s="40"/>
      <c r="H886" s="40"/>
      <c r="I886" s="40"/>
      <c r="J886" s="40"/>
      <c r="K886" s="40"/>
      <c r="L886" s="40"/>
      <c r="M886" s="40"/>
      <c r="N886" s="40"/>
      <c r="O886" s="40"/>
      <c r="P886" s="40"/>
      <c r="Q886" s="40"/>
    </row>
    <row r="887" spans="7:17">
      <c r="G887" s="40"/>
      <c r="H887" s="40"/>
      <c r="I887" s="40"/>
      <c r="J887" s="40"/>
      <c r="K887" s="40"/>
      <c r="L887" s="40"/>
      <c r="M887" s="40"/>
      <c r="N887" s="40"/>
      <c r="O887" s="40"/>
      <c r="P887" s="40"/>
      <c r="Q887" s="40"/>
    </row>
    <row r="888" spans="7:17">
      <c r="G888" s="40"/>
      <c r="H888" s="40"/>
      <c r="I888" s="40"/>
      <c r="J888" s="40"/>
      <c r="K888" s="40"/>
      <c r="L888" s="40"/>
      <c r="M888" s="40"/>
      <c r="N888" s="40"/>
      <c r="O888" s="40"/>
      <c r="P888" s="40"/>
      <c r="Q888" s="40"/>
    </row>
    <row r="889" spans="7:17">
      <c r="G889" s="40"/>
      <c r="H889" s="40"/>
      <c r="I889" s="40"/>
      <c r="J889" s="40"/>
      <c r="K889" s="40"/>
      <c r="L889" s="40"/>
      <c r="M889" s="40"/>
      <c r="N889" s="40"/>
      <c r="O889" s="40"/>
      <c r="P889" s="40"/>
      <c r="Q889" s="40"/>
    </row>
    <row r="890" spans="7:17">
      <c r="G890" s="40"/>
      <c r="H890" s="40"/>
      <c r="I890" s="40"/>
      <c r="J890" s="40"/>
      <c r="K890" s="40"/>
      <c r="L890" s="40"/>
      <c r="M890" s="40"/>
      <c r="N890" s="40"/>
      <c r="O890" s="40"/>
      <c r="P890" s="40"/>
      <c r="Q890" s="40"/>
    </row>
    <row r="891" spans="7:17">
      <c r="G891" s="40"/>
      <c r="H891" s="40"/>
      <c r="I891" s="40"/>
      <c r="J891" s="40"/>
      <c r="K891" s="40"/>
      <c r="L891" s="40"/>
      <c r="M891" s="40"/>
      <c r="N891" s="40"/>
      <c r="O891" s="40"/>
      <c r="P891" s="40"/>
      <c r="Q891" s="40"/>
    </row>
    <row r="892" spans="7:17">
      <c r="G892" s="40"/>
      <c r="H892" s="40"/>
      <c r="I892" s="40"/>
      <c r="J892" s="40"/>
      <c r="K892" s="40"/>
      <c r="L892" s="40"/>
      <c r="M892" s="40"/>
      <c r="N892" s="40"/>
      <c r="O892" s="40"/>
      <c r="P892" s="40"/>
      <c r="Q892" s="40"/>
    </row>
    <row r="893" spans="7:17">
      <c r="G893" s="40"/>
      <c r="H893" s="40"/>
      <c r="I893" s="40"/>
      <c r="J893" s="40"/>
      <c r="K893" s="40"/>
      <c r="L893" s="40"/>
      <c r="M893" s="40"/>
      <c r="N893" s="40"/>
      <c r="O893" s="40"/>
      <c r="P893" s="40"/>
      <c r="Q893" s="40"/>
    </row>
    <row r="894" spans="7:17">
      <c r="G894" s="40"/>
      <c r="H894" s="40"/>
      <c r="I894" s="40"/>
      <c r="J894" s="40"/>
      <c r="K894" s="40"/>
      <c r="L894" s="40"/>
      <c r="M894" s="40"/>
      <c r="N894" s="40"/>
      <c r="O894" s="40"/>
      <c r="P894" s="40"/>
      <c r="Q894" s="40"/>
    </row>
    <row r="895" spans="7:17">
      <c r="G895" s="40"/>
      <c r="H895" s="40"/>
      <c r="I895" s="40"/>
      <c r="J895" s="40"/>
      <c r="K895" s="40"/>
      <c r="L895" s="40"/>
      <c r="M895" s="40"/>
      <c r="N895" s="40"/>
      <c r="O895" s="40"/>
      <c r="P895" s="40"/>
      <c r="Q895" s="40"/>
    </row>
    <row r="896" spans="7:17">
      <c r="G896" s="40"/>
      <c r="H896" s="40"/>
      <c r="I896" s="40"/>
      <c r="J896" s="40"/>
      <c r="K896" s="40"/>
      <c r="L896" s="40"/>
      <c r="M896" s="40"/>
      <c r="N896" s="40"/>
      <c r="O896" s="40"/>
      <c r="P896" s="40"/>
      <c r="Q896" s="40"/>
    </row>
    <row r="897" spans="7:17">
      <c r="G897" s="40"/>
      <c r="H897" s="40"/>
      <c r="I897" s="40"/>
      <c r="J897" s="40"/>
      <c r="K897" s="40"/>
      <c r="L897" s="40"/>
      <c r="M897" s="40"/>
      <c r="N897" s="40"/>
      <c r="O897" s="40"/>
      <c r="P897" s="40"/>
      <c r="Q897" s="40"/>
    </row>
    <row r="898" spans="7:17">
      <c r="G898" s="40"/>
      <c r="H898" s="40"/>
      <c r="I898" s="40"/>
      <c r="J898" s="40"/>
      <c r="K898" s="40"/>
      <c r="L898" s="40"/>
      <c r="M898" s="40"/>
      <c r="N898" s="40"/>
      <c r="O898" s="40"/>
      <c r="P898" s="40"/>
      <c r="Q898" s="40"/>
    </row>
    <row r="899" spans="7:17">
      <c r="G899" s="40"/>
      <c r="H899" s="40"/>
      <c r="I899" s="40"/>
      <c r="J899" s="40"/>
      <c r="K899" s="40"/>
      <c r="L899" s="40"/>
      <c r="M899" s="40"/>
      <c r="N899" s="40"/>
      <c r="O899" s="40"/>
      <c r="P899" s="40"/>
      <c r="Q899" s="40"/>
    </row>
    <row r="900" spans="7:17">
      <c r="G900" s="40"/>
      <c r="H900" s="40"/>
      <c r="I900" s="40"/>
      <c r="J900" s="40"/>
      <c r="K900" s="40"/>
      <c r="L900" s="40"/>
      <c r="M900" s="40"/>
      <c r="N900" s="40"/>
      <c r="O900" s="40"/>
      <c r="P900" s="40"/>
      <c r="Q900" s="40"/>
    </row>
    <row r="901" spans="7:17">
      <c r="G901" s="40"/>
      <c r="H901" s="40"/>
      <c r="I901" s="40"/>
      <c r="J901" s="40"/>
      <c r="K901" s="40"/>
      <c r="L901" s="40"/>
      <c r="M901" s="40"/>
      <c r="N901" s="40"/>
      <c r="O901" s="40"/>
      <c r="P901" s="40"/>
      <c r="Q901" s="40"/>
    </row>
    <row r="902" spans="7:17">
      <c r="G902" s="40"/>
      <c r="H902" s="40"/>
      <c r="I902" s="40"/>
      <c r="J902" s="40"/>
      <c r="K902" s="40"/>
      <c r="L902" s="40"/>
      <c r="M902" s="40"/>
      <c r="N902" s="40"/>
      <c r="O902" s="40"/>
      <c r="P902" s="40"/>
      <c r="Q902" s="40"/>
    </row>
    <row r="903" spans="7:17">
      <c r="G903" s="40"/>
      <c r="H903" s="40"/>
      <c r="I903" s="40"/>
      <c r="J903" s="40"/>
      <c r="K903" s="40"/>
      <c r="L903" s="40"/>
      <c r="M903" s="40"/>
      <c r="N903" s="40"/>
      <c r="O903" s="40"/>
      <c r="P903" s="40"/>
      <c r="Q903" s="40"/>
    </row>
    <row r="904" spans="7:17">
      <c r="G904" s="40"/>
      <c r="H904" s="40"/>
      <c r="I904" s="40"/>
      <c r="J904" s="40"/>
      <c r="K904" s="40"/>
      <c r="L904" s="40"/>
      <c r="M904" s="40"/>
      <c r="N904" s="40"/>
      <c r="O904" s="40"/>
      <c r="P904" s="40"/>
      <c r="Q904" s="40"/>
    </row>
    <row r="905" spans="7:17">
      <c r="G905" s="40"/>
      <c r="H905" s="40"/>
      <c r="I905" s="40"/>
      <c r="J905" s="40"/>
      <c r="K905" s="40"/>
      <c r="L905" s="40"/>
      <c r="M905" s="40"/>
      <c r="N905" s="40"/>
      <c r="O905" s="40"/>
      <c r="P905" s="40"/>
      <c r="Q905" s="40"/>
    </row>
    <row r="906" spans="7:17">
      <c r="G906" s="40"/>
      <c r="H906" s="40"/>
      <c r="I906" s="40"/>
      <c r="J906" s="40"/>
      <c r="K906" s="40"/>
      <c r="L906" s="40"/>
      <c r="M906" s="40"/>
      <c r="N906" s="40"/>
      <c r="O906" s="40"/>
      <c r="P906" s="40"/>
      <c r="Q906" s="40"/>
    </row>
    <row r="907" spans="7:17">
      <c r="G907" s="40"/>
      <c r="H907" s="40"/>
      <c r="I907" s="40"/>
      <c r="J907" s="40"/>
      <c r="K907" s="40"/>
      <c r="L907" s="40"/>
      <c r="M907" s="40"/>
      <c r="N907" s="40"/>
      <c r="O907" s="40"/>
      <c r="P907" s="40"/>
      <c r="Q907" s="40"/>
    </row>
    <row r="908" spans="7:17">
      <c r="G908" s="40"/>
      <c r="H908" s="40"/>
      <c r="I908" s="40"/>
      <c r="J908" s="40"/>
      <c r="K908" s="40"/>
      <c r="L908" s="40"/>
      <c r="M908" s="40"/>
      <c r="N908" s="40"/>
      <c r="O908" s="40"/>
      <c r="P908" s="40"/>
      <c r="Q908" s="40"/>
    </row>
    <row r="909" spans="7:17">
      <c r="G909" s="40"/>
      <c r="H909" s="40"/>
      <c r="I909" s="40"/>
      <c r="J909" s="40"/>
      <c r="K909" s="40"/>
      <c r="L909" s="40"/>
      <c r="M909" s="40"/>
      <c r="N909" s="40"/>
      <c r="O909" s="40"/>
      <c r="P909" s="40"/>
      <c r="Q909" s="40"/>
    </row>
    <row r="910" spans="7:17">
      <c r="G910" s="40"/>
      <c r="H910" s="40"/>
      <c r="I910" s="40"/>
      <c r="J910" s="40"/>
      <c r="K910" s="40"/>
      <c r="L910" s="40"/>
      <c r="M910" s="40"/>
      <c r="N910" s="40"/>
      <c r="O910" s="40"/>
      <c r="P910" s="40"/>
      <c r="Q910" s="40"/>
    </row>
    <row r="911" spans="7:17">
      <c r="G911" s="40"/>
      <c r="H911" s="40"/>
      <c r="I911" s="40"/>
      <c r="J911" s="40"/>
      <c r="K911" s="40"/>
      <c r="L911" s="40"/>
      <c r="M911" s="40"/>
      <c r="N911" s="40"/>
      <c r="O911" s="40"/>
      <c r="P911" s="40"/>
      <c r="Q911" s="40"/>
    </row>
    <row r="912" spans="7:17">
      <c r="G912" s="40"/>
      <c r="H912" s="40"/>
      <c r="I912" s="40"/>
      <c r="J912" s="40"/>
      <c r="K912" s="40"/>
      <c r="L912" s="40"/>
      <c r="M912" s="40"/>
      <c r="N912" s="40"/>
      <c r="O912" s="40"/>
      <c r="P912" s="40"/>
      <c r="Q912" s="40"/>
    </row>
    <row r="913" spans="7:17">
      <c r="G913" s="40"/>
      <c r="H913" s="40"/>
      <c r="I913" s="40"/>
      <c r="J913" s="40"/>
      <c r="K913" s="40"/>
      <c r="L913" s="40"/>
      <c r="M913" s="40"/>
      <c r="N913" s="40"/>
      <c r="O913" s="40"/>
      <c r="P913" s="40"/>
      <c r="Q913" s="40"/>
    </row>
    <row r="914" spans="7:17">
      <c r="G914" s="40"/>
      <c r="H914" s="40"/>
      <c r="I914" s="40"/>
      <c r="J914" s="40"/>
      <c r="K914" s="40"/>
      <c r="L914" s="40"/>
      <c r="M914" s="40"/>
      <c r="N914" s="40"/>
      <c r="O914" s="40"/>
      <c r="P914" s="40"/>
      <c r="Q914" s="40"/>
    </row>
    <row r="915" spans="7:17">
      <c r="G915" s="40"/>
      <c r="H915" s="40"/>
      <c r="I915" s="40"/>
      <c r="J915" s="40"/>
      <c r="K915" s="40"/>
      <c r="L915" s="40"/>
      <c r="M915" s="40"/>
      <c r="N915" s="40"/>
      <c r="O915" s="40"/>
      <c r="P915" s="40"/>
      <c r="Q915" s="40"/>
    </row>
    <row r="916" spans="7:17">
      <c r="G916" s="40"/>
      <c r="H916" s="40"/>
      <c r="I916" s="40"/>
      <c r="J916" s="40"/>
      <c r="K916" s="40"/>
      <c r="L916" s="40"/>
      <c r="M916" s="40"/>
      <c r="N916" s="40"/>
      <c r="O916" s="40"/>
      <c r="P916" s="40"/>
      <c r="Q916" s="40"/>
    </row>
    <row r="917" spans="7:17">
      <c r="G917" s="40"/>
      <c r="H917" s="40"/>
      <c r="I917" s="40"/>
      <c r="J917" s="40"/>
      <c r="K917" s="40"/>
      <c r="L917" s="40"/>
      <c r="M917" s="40"/>
      <c r="N917" s="40"/>
      <c r="O917" s="40"/>
      <c r="P917" s="40"/>
      <c r="Q917" s="40"/>
    </row>
    <row r="918" spans="7:17">
      <c r="G918" s="40"/>
      <c r="H918" s="40"/>
      <c r="I918" s="40"/>
      <c r="J918" s="40"/>
      <c r="K918" s="40"/>
      <c r="L918" s="40"/>
      <c r="M918" s="40"/>
      <c r="N918" s="40"/>
      <c r="O918" s="40"/>
      <c r="P918" s="40"/>
      <c r="Q918" s="40"/>
    </row>
    <row r="919" spans="7:17">
      <c r="G919" s="40"/>
      <c r="H919" s="40"/>
      <c r="I919" s="40"/>
      <c r="J919" s="40"/>
      <c r="K919" s="40"/>
      <c r="L919" s="40"/>
      <c r="M919" s="40"/>
      <c r="N919" s="40"/>
      <c r="O919" s="40"/>
      <c r="P919" s="40"/>
      <c r="Q919" s="40"/>
    </row>
    <row r="920" spans="7:17">
      <c r="G920" s="40"/>
      <c r="H920" s="40"/>
      <c r="I920" s="40"/>
      <c r="J920" s="40"/>
      <c r="K920" s="40"/>
      <c r="L920" s="40"/>
      <c r="M920" s="40"/>
      <c r="N920" s="40"/>
      <c r="O920" s="40"/>
      <c r="P920" s="40"/>
      <c r="Q920" s="40"/>
    </row>
    <row r="921" spans="7:17">
      <c r="G921" s="40"/>
      <c r="H921" s="40"/>
      <c r="I921" s="40"/>
      <c r="J921" s="40"/>
      <c r="K921" s="40"/>
      <c r="L921" s="40"/>
      <c r="M921" s="40"/>
      <c r="N921" s="40"/>
      <c r="O921" s="40"/>
      <c r="P921" s="40"/>
      <c r="Q921" s="40"/>
    </row>
    <row r="922" spans="7:17">
      <c r="G922" s="40"/>
      <c r="H922" s="40"/>
      <c r="I922" s="40"/>
      <c r="J922" s="40"/>
      <c r="K922" s="40"/>
      <c r="L922" s="40"/>
      <c r="M922" s="40"/>
      <c r="N922" s="40"/>
      <c r="O922" s="40"/>
      <c r="P922" s="40"/>
      <c r="Q922" s="40"/>
    </row>
    <row r="923" spans="7:17">
      <c r="G923" s="40"/>
      <c r="H923" s="40"/>
      <c r="I923" s="40"/>
      <c r="J923" s="40"/>
      <c r="K923" s="40"/>
      <c r="L923" s="40"/>
      <c r="M923" s="40"/>
      <c r="N923" s="40"/>
      <c r="O923" s="40"/>
      <c r="P923" s="40"/>
      <c r="Q923" s="40"/>
    </row>
    <row r="924" spans="7:17">
      <c r="G924" s="40"/>
      <c r="H924" s="40"/>
      <c r="I924" s="40"/>
      <c r="J924" s="40"/>
      <c r="K924" s="40"/>
      <c r="L924" s="40"/>
      <c r="M924" s="40"/>
      <c r="N924" s="40"/>
      <c r="O924" s="40"/>
      <c r="P924" s="40"/>
      <c r="Q924" s="40"/>
    </row>
    <row r="925" spans="7:17">
      <c r="G925" s="40"/>
      <c r="H925" s="40"/>
      <c r="I925" s="40"/>
      <c r="J925" s="40"/>
      <c r="K925" s="40"/>
      <c r="L925" s="40"/>
      <c r="M925" s="40"/>
      <c r="N925" s="40"/>
      <c r="O925" s="40"/>
      <c r="P925" s="40"/>
      <c r="Q925" s="40"/>
    </row>
    <row r="926" spans="7:17">
      <c r="G926" s="40"/>
      <c r="H926" s="40"/>
      <c r="I926" s="40"/>
      <c r="J926" s="40"/>
      <c r="K926" s="40"/>
      <c r="L926" s="40"/>
      <c r="M926" s="40"/>
      <c r="N926" s="40"/>
      <c r="O926" s="40"/>
      <c r="P926" s="40"/>
      <c r="Q926" s="40"/>
    </row>
    <row r="927" spans="7:17">
      <c r="G927" s="40"/>
      <c r="H927" s="40"/>
      <c r="I927" s="40"/>
      <c r="J927" s="40"/>
      <c r="K927" s="40"/>
      <c r="L927" s="40"/>
      <c r="M927" s="40"/>
      <c r="N927" s="40"/>
      <c r="O927" s="40"/>
      <c r="P927" s="40"/>
      <c r="Q927" s="40"/>
    </row>
    <row r="928" spans="7:17">
      <c r="G928" s="40"/>
      <c r="H928" s="40"/>
      <c r="I928" s="40"/>
      <c r="J928" s="40"/>
      <c r="K928" s="40"/>
      <c r="L928" s="40"/>
      <c r="M928" s="40"/>
      <c r="N928" s="40"/>
      <c r="O928" s="40"/>
      <c r="P928" s="40"/>
      <c r="Q928" s="40"/>
    </row>
    <row r="929" spans="7:17">
      <c r="G929" s="40"/>
      <c r="H929" s="40"/>
      <c r="I929" s="40"/>
      <c r="J929" s="40"/>
      <c r="K929" s="40"/>
      <c r="L929" s="40"/>
      <c r="M929" s="40"/>
      <c r="N929" s="40"/>
      <c r="O929" s="40"/>
      <c r="P929" s="40"/>
      <c r="Q929" s="40"/>
    </row>
    <row r="930" spans="7:17">
      <c r="G930" s="40"/>
      <c r="H930" s="40"/>
      <c r="I930" s="40"/>
      <c r="J930" s="40"/>
      <c r="K930" s="40"/>
      <c r="L930" s="40"/>
      <c r="M930" s="40"/>
      <c r="N930" s="40"/>
      <c r="O930" s="40"/>
      <c r="P930" s="40"/>
      <c r="Q930" s="40"/>
    </row>
    <row r="931" spans="7:17">
      <c r="G931" s="40"/>
      <c r="H931" s="40"/>
      <c r="I931" s="40"/>
      <c r="J931" s="40"/>
      <c r="K931" s="40"/>
      <c r="L931" s="40"/>
      <c r="M931" s="40"/>
      <c r="N931" s="40"/>
      <c r="O931" s="40"/>
      <c r="P931" s="40"/>
      <c r="Q931" s="40"/>
    </row>
    <row r="932" spans="7:17">
      <c r="G932" s="40"/>
      <c r="H932" s="40"/>
      <c r="I932" s="40"/>
      <c r="J932" s="40"/>
      <c r="K932" s="40"/>
      <c r="L932" s="40"/>
      <c r="M932" s="40"/>
      <c r="N932" s="40"/>
      <c r="O932" s="40"/>
      <c r="P932" s="40"/>
      <c r="Q932" s="40"/>
    </row>
    <row r="933" spans="7:17">
      <c r="G933" s="40"/>
      <c r="H933" s="40"/>
      <c r="I933" s="40"/>
      <c r="J933" s="40"/>
      <c r="K933" s="40"/>
      <c r="L933" s="40"/>
      <c r="M933" s="40"/>
      <c r="N933" s="40"/>
      <c r="O933" s="40"/>
      <c r="P933" s="40"/>
      <c r="Q933" s="40"/>
    </row>
    <row r="934" spans="7:17">
      <c r="G934" s="40"/>
      <c r="H934" s="40"/>
      <c r="I934" s="40"/>
      <c r="J934" s="40"/>
      <c r="K934" s="40"/>
      <c r="L934" s="40"/>
      <c r="M934" s="40"/>
      <c r="N934" s="40"/>
      <c r="O934" s="40"/>
      <c r="P934" s="40"/>
      <c r="Q934" s="40"/>
    </row>
    <row r="935" spans="7:17">
      <c r="G935" s="40"/>
      <c r="H935" s="40"/>
      <c r="I935" s="40"/>
      <c r="J935" s="40"/>
      <c r="K935" s="40"/>
      <c r="L935" s="40"/>
      <c r="M935" s="40"/>
      <c r="N935" s="40"/>
      <c r="O935" s="40"/>
      <c r="P935" s="40"/>
      <c r="Q935" s="40"/>
    </row>
    <row r="936" spans="7:17">
      <c r="G936" s="40"/>
      <c r="H936" s="40"/>
      <c r="I936" s="40"/>
      <c r="J936" s="40"/>
      <c r="K936" s="40"/>
      <c r="L936" s="40"/>
      <c r="M936" s="40"/>
      <c r="N936" s="40"/>
      <c r="O936" s="40"/>
      <c r="P936" s="40"/>
      <c r="Q936" s="40"/>
    </row>
    <row r="937" spans="7:17">
      <c r="G937" s="40"/>
      <c r="H937" s="40"/>
      <c r="I937" s="40"/>
      <c r="J937" s="40"/>
      <c r="K937" s="40"/>
      <c r="L937" s="40"/>
      <c r="M937" s="40"/>
      <c r="N937" s="40"/>
      <c r="O937" s="40"/>
      <c r="P937" s="40"/>
      <c r="Q937" s="40"/>
    </row>
    <row r="938" spans="7:17">
      <c r="G938" s="40"/>
      <c r="H938" s="40"/>
      <c r="I938" s="40"/>
      <c r="J938" s="40"/>
      <c r="K938" s="40"/>
      <c r="L938" s="40"/>
      <c r="M938" s="40"/>
      <c r="N938" s="40"/>
      <c r="O938" s="40"/>
      <c r="P938" s="40"/>
      <c r="Q938" s="40"/>
    </row>
    <row r="939" spans="7:17">
      <c r="G939" s="40"/>
      <c r="H939" s="40"/>
      <c r="I939" s="40"/>
      <c r="J939" s="40"/>
      <c r="K939" s="40"/>
      <c r="L939" s="40"/>
      <c r="M939" s="40"/>
      <c r="N939" s="40"/>
      <c r="O939" s="40"/>
      <c r="P939" s="40"/>
      <c r="Q939" s="40"/>
    </row>
    <row r="940" spans="7:17">
      <c r="G940" s="40"/>
      <c r="H940" s="40"/>
      <c r="I940" s="40"/>
      <c r="J940" s="40"/>
      <c r="K940" s="40"/>
      <c r="L940" s="40"/>
      <c r="M940" s="40"/>
      <c r="N940" s="40"/>
      <c r="O940" s="40"/>
      <c r="P940" s="40"/>
      <c r="Q940" s="40"/>
    </row>
    <row r="941" spans="7:17">
      <c r="G941" s="40"/>
      <c r="H941" s="40"/>
      <c r="I941" s="40"/>
      <c r="J941" s="40"/>
      <c r="K941" s="40"/>
      <c r="L941" s="40"/>
      <c r="M941" s="40"/>
      <c r="N941" s="40"/>
      <c r="O941" s="40"/>
      <c r="P941" s="40"/>
      <c r="Q941" s="40"/>
    </row>
    <row r="942" spans="7:17">
      <c r="G942" s="40"/>
      <c r="H942" s="40"/>
      <c r="I942" s="40"/>
      <c r="J942" s="40"/>
      <c r="K942" s="40"/>
      <c r="L942" s="40"/>
      <c r="M942" s="40"/>
      <c r="N942" s="40"/>
      <c r="O942" s="40"/>
      <c r="P942" s="40"/>
      <c r="Q942" s="40"/>
    </row>
    <row r="943" spans="7:17">
      <c r="G943" s="40"/>
      <c r="H943" s="40"/>
      <c r="I943" s="40"/>
      <c r="J943" s="40"/>
      <c r="K943" s="40"/>
      <c r="L943" s="40"/>
      <c r="M943" s="40"/>
      <c r="N943" s="40"/>
      <c r="O943" s="40"/>
      <c r="P943" s="40"/>
      <c r="Q943" s="40"/>
    </row>
    <row r="944" spans="7:17">
      <c r="G944" s="40"/>
      <c r="H944" s="40"/>
      <c r="I944" s="40"/>
      <c r="J944" s="40"/>
      <c r="K944" s="40"/>
      <c r="L944" s="40"/>
      <c r="M944" s="40"/>
      <c r="N944" s="40"/>
      <c r="O944" s="40"/>
      <c r="P944" s="40"/>
      <c r="Q944" s="40"/>
    </row>
    <row r="945" spans="7:17">
      <c r="G945" s="40"/>
      <c r="H945" s="40"/>
      <c r="I945" s="40"/>
      <c r="J945" s="40"/>
      <c r="K945" s="40"/>
      <c r="L945" s="40"/>
      <c r="M945" s="40"/>
      <c r="N945" s="40"/>
      <c r="O945" s="40"/>
      <c r="P945" s="40"/>
      <c r="Q945" s="40"/>
    </row>
    <row r="946" spans="7:17">
      <c r="G946" s="40"/>
      <c r="H946" s="40"/>
      <c r="I946" s="40"/>
      <c r="J946" s="40"/>
      <c r="K946" s="40"/>
      <c r="L946" s="40"/>
      <c r="M946" s="40"/>
      <c r="N946" s="40"/>
      <c r="O946" s="40"/>
      <c r="P946" s="40"/>
      <c r="Q946" s="40"/>
    </row>
    <row r="947" spans="7:17">
      <c r="G947" s="40"/>
      <c r="H947" s="40"/>
      <c r="I947" s="40"/>
      <c r="J947" s="40"/>
      <c r="K947" s="40"/>
      <c r="L947" s="40"/>
      <c r="M947" s="40"/>
      <c r="N947" s="40"/>
      <c r="O947" s="40"/>
      <c r="P947" s="40"/>
      <c r="Q947" s="40"/>
    </row>
    <row r="948" spans="7:17">
      <c r="G948" s="40"/>
      <c r="H948" s="40"/>
      <c r="I948" s="40"/>
      <c r="J948" s="40"/>
      <c r="K948" s="40"/>
      <c r="L948" s="40"/>
      <c r="M948" s="40"/>
      <c r="N948" s="40"/>
      <c r="O948" s="40"/>
      <c r="P948" s="40"/>
      <c r="Q948" s="40"/>
    </row>
    <row r="949" spans="7:17">
      <c r="G949" s="40"/>
      <c r="H949" s="40"/>
      <c r="I949" s="40"/>
      <c r="J949" s="40"/>
      <c r="K949" s="40"/>
      <c r="L949" s="40"/>
      <c r="M949" s="40"/>
      <c r="N949" s="40"/>
      <c r="O949" s="40"/>
      <c r="P949" s="40"/>
      <c r="Q949" s="40"/>
    </row>
    <row r="950" spans="7:17">
      <c r="G950" s="40"/>
      <c r="H950" s="40"/>
      <c r="I950" s="40"/>
      <c r="J950" s="40"/>
      <c r="K950" s="40"/>
      <c r="L950" s="40"/>
      <c r="M950" s="40"/>
      <c r="N950" s="40"/>
      <c r="O950" s="40"/>
      <c r="P950" s="40"/>
      <c r="Q950" s="40"/>
    </row>
    <row r="951" spans="7:17">
      <c r="G951" s="40"/>
      <c r="H951" s="40"/>
      <c r="I951" s="40"/>
      <c r="J951" s="40"/>
      <c r="K951" s="40"/>
      <c r="L951" s="40"/>
      <c r="M951" s="40"/>
      <c r="N951" s="40"/>
      <c r="O951" s="40"/>
      <c r="P951" s="40"/>
      <c r="Q951" s="40"/>
    </row>
    <row r="952" spans="7:17">
      <c r="G952" s="40"/>
      <c r="H952" s="40"/>
      <c r="I952" s="40"/>
      <c r="J952" s="40"/>
      <c r="K952" s="40"/>
      <c r="L952" s="40"/>
      <c r="M952" s="40"/>
      <c r="N952" s="40"/>
      <c r="O952" s="40"/>
      <c r="P952" s="40"/>
      <c r="Q952" s="40"/>
    </row>
    <row r="953" spans="7:17">
      <c r="G953" s="40"/>
      <c r="H953" s="40"/>
      <c r="I953" s="40"/>
      <c r="J953" s="40"/>
      <c r="K953" s="40"/>
      <c r="L953" s="40"/>
      <c r="M953" s="40"/>
      <c r="N953" s="40"/>
      <c r="O953" s="40"/>
      <c r="P953" s="40"/>
      <c r="Q953" s="40"/>
    </row>
    <row r="954" spans="7:17">
      <c r="G954" s="40"/>
      <c r="H954" s="40"/>
      <c r="I954" s="40"/>
      <c r="J954" s="40"/>
      <c r="K954" s="40"/>
      <c r="L954" s="40"/>
      <c r="M954" s="40"/>
      <c r="N954" s="40"/>
      <c r="O954" s="40"/>
      <c r="P954" s="40"/>
      <c r="Q954" s="40"/>
    </row>
    <row r="955" spans="7:17">
      <c r="G955" s="40"/>
      <c r="H955" s="40"/>
      <c r="I955" s="40"/>
      <c r="J955" s="40"/>
      <c r="K955" s="40"/>
      <c r="L955" s="40"/>
      <c r="M955" s="40"/>
      <c r="N955" s="40"/>
      <c r="O955" s="40"/>
      <c r="P955" s="40"/>
      <c r="Q955" s="40"/>
    </row>
    <row r="956" spans="7:17">
      <c r="G956" s="40"/>
      <c r="H956" s="40"/>
      <c r="I956" s="40"/>
      <c r="J956" s="40"/>
      <c r="K956" s="40"/>
      <c r="L956" s="40"/>
      <c r="M956" s="40"/>
      <c r="N956" s="40"/>
      <c r="O956" s="40"/>
      <c r="P956" s="40"/>
      <c r="Q956" s="40"/>
    </row>
    <row r="957" spans="7:17">
      <c r="G957" s="40"/>
      <c r="H957" s="40"/>
      <c r="I957" s="40"/>
      <c r="J957" s="40"/>
      <c r="K957" s="40"/>
      <c r="L957" s="40"/>
      <c r="M957" s="40"/>
      <c r="N957" s="40"/>
      <c r="O957" s="40"/>
      <c r="P957" s="40"/>
      <c r="Q957" s="40"/>
    </row>
    <row r="958" spans="7:17">
      <c r="G958" s="40"/>
      <c r="H958" s="40"/>
      <c r="I958" s="40"/>
      <c r="J958" s="40"/>
      <c r="K958" s="40"/>
      <c r="L958" s="40"/>
      <c r="M958" s="40"/>
      <c r="N958" s="40"/>
      <c r="O958" s="40"/>
      <c r="P958" s="40"/>
      <c r="Q958" s="40"/>
    </row>
    <row r="959" spans="7:17">
      <c r="G959" s="40"/>
      <c r="H959" s="40"/>
      <c r="I959" s="40"/>
      <c r="J959" s="40"/>
      <c r="K959" s="40"/>
      <c r="L959" s="40"/>
      <c r="M959" s="40"/>
      <c r="N959" s="40"/>
      <c r="O959" s="40"/>
      <c r="P959" s="40"/>
      <c r="Q959" s="40"/>
    </row>
    <row r="960" spans="7:17">
      <c r="G960" s="40"/>
      <c r="H960" s="40"/>
      <c r="I960" s="40"/>
      <c r="J960" s="40"/>
      <c r="K960" s="40"/>
      <c r="L960" s="40"/>
      <c r="M960" s="40"/>
      <c r="N960" s="40"/>
      <c r="O960" s="40"/>
      <c r="P960" s="40"/>
      <c r="Q960" s="40"/>
    </row>
    <row r="961" spans="7:17">
      <c r="G961" s="40"/>
      <c r="H961" s="40"/>
      <c r="I961" s="40"/>
      <c r="J961" s="40"/>
      <c r="K961" s="40"/>
      <c r="L961" s="40"/>
      <c r="M961" s="40"/>
      <c r="N961" s="40"/>
      <c r="O961" s="40"/>
      <c r="P961" s="40"/>
      <c r="Q961" s="40"/>
    </row>
    <row r="962" spans="7:17">
      <c r="G962" s="40"/>
      <c r="H962" s="40"/>
      <c r="I962" s="40"/>
      <c r="J962" s="40"/>
      <c r="K962" s="40"/>
      <c r="L962" s="40"/>
      <c r="M962" s="40"/>
      <c r="N962" s="40"/>
      <c r="O962" s="40"/>
      <c r="P962" s="40"/>
      <c r="Q962" s="40"/>
    </row>
    <row r="963" spans="7:17">
      <c r="G963" s="40"/>
      <c r="H963" s="40"/>
      <c r="I963" s="40"/>
      <c r="J963" s="40"/>
      <c r="K963" s="40"/>
      <c r="L963" s="40"/>
      <c r="M963" s="40"/>
      <c r="N963" s="40"/>
      <c r="O963" s="40"/>
      <c r="P963" s="40"/>
      <c r="Q963" s="40"/>
    </row>
    <row r="964" spans="7:17">
      <c r="G964" s="40"/>
      <c r="H964" s="40"/>
      <c r="I964" s="40"/>
      <c r="J964" s="40"/>
      <c r="K964" s="40"/>
      <c r="L964" s="40"/>
      <c r="M964" s="40"/>
      <c r="N964" s="40"/>
      <c r="O964" s="40"/>
      <c r="P964" s="40"/>
      <c r="Q964" s="40"/>
    </row>
    <row r="965" spans="7:17">
      <c r="G965" s="40"/>
      <c r="H965" s="40"/>
      <c r="I965" s="40"/>
      <c r="J965" s="40"/>
      <c r="K965" s="40"/>
      <c r="L965" s="40"/>
      <c r="M965" s="40"/>
      <c r="N965" s="40"/>
      <c r="O965" s="40"/>
      <c r="P965" s="40"/>
      <c r="Q965" s="40"/>
    </row>
    <row r="966" spans="7:17">
      <c r="G966" s="40"/>
      <c r="H966" s="40"/>
      <c r="I966" s="40"/>
      <c r="J966" s="40"/>
      <c r="K966" s="40"/>
      <c r="L966" s="40"/>
      <c r="M966" s="40"/>
      <c r="N966" s="40"/>
      <c r="O966" s="40"/>
      <c r="P966" s="40"/>
      <c r="Q966" s="40"/>
    </row>
    <row r="967" spans="7:17">
      <c r="G967" s="40"/>
      <c r="H967" s="40"/>
      <c r="I967" s="40"/>
      <c r="J967" s="40"/>
      <c r="K967" s="40"/>
      <c r="L967" s="40"/>
      <c r="M967" s="40"/>
      <c r="N967" s="40"/>
      <c r="O967" s="40"/>
      <c r="P967" s="40"/>
      <c r="Q967" s="40"/>
    </row>
    <row r="968" spans="7:17">
      <c r="G968" s="40"/>
      <c r="H968" s="40"/>
      <c r="I968" s="40"/>
      <c r="J968" s="40"/>
      <c r="K968" s="40"/>
      <c r="L968" s="40"/>
      <c r="M968" s="40"/>
      <c r="N968" s="40"/>
      <c r="O968" s="40"/>
      <c r="P968" s="40"/>
      <c r="Q968" s="40"/>
    </row>
    <row r="969" spans="7:17">
      <c r="G969" s="40"/>
      <c r="H969" s="40"/>
      <c r="I969" s="40"/>
      <c r="J969" s="40"/>
      <c r="K969" s="40"/>
      <c r="L969" s="40"/>
      <c r="M969" s="40"/>
      <c r="N969" s="40"/>
      <c r="O969" s="40"/>
      <c r="P969" s="40"/>
      <c r="Q969" s="40"/>
    </row>
    <row r="970" spans="7:17">
      <c r="G970" s="40"/>
      <c r="H970" s="40"/>
      <c r="I970" s="40"/>
      <c r="J970" s="40"/>
      <c r="K970" s="40"/>
      <c r="L970" s="40"/>
      <c r="M970" s="40"/>
      <c r="N970" s="40"/>
      <c r="O970" s="40"/>
      <c r="P970" s="40"/>
      <c r="Q970" s="40"/>
    </row>
    <row r="971" spans="7:17">
      <c r="G971" s="40"/>
      <c r="H971" s="40"/>
      <c r="I971" s="40"/>
      <c r="J971" s="40"/>
      <c r="K971" s="40"/>
      <c r="L971" s="40"/>
      <c r="M971" s="40"/>
      <c r="N971" s="40"/>
      <c r="O971" s="40"/>
      <c r="P971" s="40"/>
      <c r="Q971" s="40"/>
    </row>
    <row r="972" spans="7:17">
      <c r="G972" s="40"/>
      <c r="H972" s="40"/>
      <c r="I972" s="40"/>
      <c r="J972" s="40"/>
      <c r="K972" s="40"/>
      <c r="L972" s="40"/>
      <c r="M972" s="40"/>
      <c r="N972" s="40"/>
      <c r="O972" s="40"/>
      <c r="P972" s="40"/>
      <c r="Q972" s="40"/>
    </row>
    <row r="973" spans="7:17">
      <c r="G973" s="40"/>
      <c r="H973" s="40"/>
      <c r="I973" s="40"/>
      <c r="J973" s="40"/>
      <c r="K973" s="40"/>
      <c r="L973" s="40"/>
      <c r="M973" s="40"/>
      <c r="N973" s="40"/>
      <c r="O973" s="40"/>
      <c r="P973" s="40"/>
      <c r="Q973" s="40"/>
    </row>
    <row r="974" spans="7:17">
      <c r="G974" s="40"/>
      <c r="H974" s="40"/>
      <c r="I974" s="40"/>
      <c r="J974" s="40"/>
      <c r="K974" s="40"/>
      <c r="L974" s="40"/>
      <c r="M974" s="40"/>
      <c r="N974" s="40"/>
      <c r="O974" s="40"/>
      <c r="P974" s="40"/>
      <c r="Q974" s="40"/>
    </row>
    <row r="975" spans="7:17">
      <c r="G975" s="40"/>
      <c r="H975" s="40"/>
      <c r="I975" s="40"/>
      <c r="J975" s="40"/>
      <c r="K975" s="40"/>
      <c r="L975" s="40"/>
      <c r="M975" s="40"/>
      <c r="N975" s="40"/>
      <c r="O975" s="40"/>
      <c r="P975" s="40"/>
      <c r="Q975" s="40"/>
    </row>
    <row r="976" spans="7:17">
      <c r="G976" s="40"/>
      <c r="H976" s="40"/>
      <c r="I976" s="40"/>
      <c r="J976" s="40"/>
      <c r="K976" s="40"/>
      <c r="L976" s="40"/>
      <c r="M976" s="40"/>
      <c r="N976" s="40"/>
      <c r="O976" s="40"/>
      <c r="P976" s="40"/>
      <c r="Q976" s="40"/>
    </row>
    <row r="977" spans="7:17">
      <c r="G977" s="40"/>
      <c r="H977" s="40"/>
      <c r="I977" s="40"/>
      <c r="J977" s="40"/>
      <c r="K977" s="40"/>
      <c r="L977" s="40"/>
      <c r="M977" s="40"/>
      <c r="N977" s="40"/>
      <c r="O977" s="40"/>
      <c r="P977" s="40"/>
      <c r="Q977" s="40"/>
    </row>
    <row r="978" spans="7:17">
      <c r="G978" s="40"/>
      <c r="H978" s="40"/>
      <c r="I978" s="40"/>
      <c r="J978" s="40"/>
      <c r="K978" s="40"/>
      <c r="L978" s="40"/>
      <c r="M978" s="40"/>
      <c r="N978" s="40"/>
      <c r="O978" s="40"/>
      <c r="P978" s="40"/>
      <c r="Q978" s="40"/>
    </row>
    <row r="979" spans="7:17">
      <c r="G979" s="40"/>
      <c r="H979" s="40"/>
      <c r="I979" s="40"/>
      <c r="J979" s="40"/>
      <c r="K979" s="40"/>
      <c r="L979" s="40"/>
      <c r="M979" s="40"/>
      <c r="N979" s="40"/>
      <c r="O979" s="40"/>
      <c r="P979" s="40"/>
      <c r="Q979" s="40"/>
    </row>
    <row r="980" spans="7:17">
      <c r="G980" s="40"/>
      <c r="H980" s="40"/>
      <c r="I980" s="40"/>
      <c r="J980" s="40"/>
      <c r="K980" s="40"/>
      <c r="L980" s="40"/>
      <c r="M980" s="40"/>
      <c r="N980" s="40"/>
      <c r="O980" s="40"/>
      <c r="P980" s="40"/>
      <c r="Q980" s="40"/>
    </row>
    <row r="981" spans="7:17">
      <c r="G981" s="40"/>
      <c r="H981" s="40"/>
      <c r="I981" s="40"/>
      <c r="J981" s="40"/>
      <c r="K981" s="40"/>
      <c r="L981" s="40"/>
      <c r="M981" s="40"/>
      <c r="N981" s="40"/>
      <c r="O981" s="40"/>
      <c r="P981" s="40"/>
      <c r="Q981" s="40"/>
    </row>
    <row r="982" spans="7:17">
      <c r="G982" s="40"/>
      <c r="H982" s="40"/>
      <c r="I982" s="40"/>
      <c r="J982" s="40"/>
      <c r="K982" s="40"/>
      <c r="L982" s="40"/>
      <c r="M982" s="40"/>
      <c r="N982" s="40"/>
      <c r="O982" s="40"/>
      <c r="P982" s="40"/>
      <c r="Q982" s="40"/>
    </row>
    <row r="983" spans="7:17">
      <c r="G983" s="40"/>
      <c r="H983" s="40"/>
      <c r="I983" s="40"/>
      <c r="J983" s="40"/>
      <c r="K983" s="40"/>
      <c r="L983" s="40"/>
      <c r="M983" s="40"/>
      <c r="N983" s="40"/>
      <c r="O983" s="40"/>
      <c r="P983" s="40"/>
      <c r="Q983" s="40"/>
    </row>
    <row r="984" spans="7:17">
      <c r="G984" s="40"/>
      <c r="H984" s="40"/>
      <c r="I984" s="40"/>
      <c r="J984" s="40"/>
      <c r="K984" s="40"/>
      <c r="L984" s="40"/>
      <c r="M984" s="40"/>
      <c r="N984" s="40"/>
      <c r="O984" s="40"/>
      <c r="P984" s="40"/>
      <c r="Q984" s="40"/>
    </row>
    <row r="985" spans="7:17">
      <c r="G985" s="40"/>
      <c r="H985" s="40"/>
      <c r="I985" s="40"/>
      <c r="J985" s="40"/>
      <c r="K985" s="40"/>
      <c r="L985" s="40"/>
      <c r="M985" s="40"/>
      <c r="N985" s="40"/>
      <c r="O985" s="40"/>
      <c r="P985" s="40"/>
      <c r="Q985" s="40"/>
    </row>
    <row r="986" spans="7:17">
      <c r="G986" s="40"/>
      <c r="H986" s="40"/>
      <c r="I986" s="40"/>
      <c r="J986" s="40"/>
      <c r="K986" s="40"/>
      <c r="L986" s="40"/>
      <c r="M986" s="40"/>
      <c r="N986" s="40"/>
      <c r="O986" s="40"/>
      <c r="P986" s="40"/>
      <c r="Q986" s="40"/>
    </row>
    <row r="987" spans="7:17">
      <c r="G987" s="40"/>
      <c r="H987" s="40"/>
      <c r="I987" s="40"/>
      <c r="J987" s="40"/>
      <c r="K987" s="40"/>
      <c r="L987" s="40"/>
      <c r="M987" s="40"/>
      <c r="N987" s="40"/>
      <c r="O987" s="40"/>
      <c r="P987" s="40"/>
      <c r="Q987" s="40"/>
    </row>
    <row r="988" spans="7:17">
      <c r="G988" s="40"/>
      <c r="H988" s="40"/>
      <c r="I988" s="40"/>
      <c r="J988" s="40"/>
      <c r="K988" s="40"/>
      <c r="L988" s="40"/>
      <c r="M988" s="40"/>
      <c r="N988" s="40"/>
      <c r="O988" s="40"/>
      <c r="P988" s="40"/>
      <c r="Q988" s="40"/>
    </row>
    <row r="989" spans="7:17">
      <c r="G989" s="40"/>
      <c r="H989" s="40"/>
      <c r="I989" s="40"/>
      <c r="J989" s="40"/>
      <c r="K989" s="40"/>
      <c r="L989" s="40"/>
      <c r="M989" s="40"/>
      <c r="N989" s="40"/>
      <c r="O989" s="40"/>
      <c r="P989" s="40"/>
      <c r="Q989" s="40"/>
    </row>
    <row r="990" spans="7:17">
      <c r="G990" s="40"/>
      <c r="H990" s="40"/>
      <c r="I990" s="40"/>
      <c r="J990" s="40"/>
      <c r="K990" s="40"/>
      <c r="L990" s="40"/>
      <c r="M990" s="40"/>
      <c r="N990" s="40"/>
      <c r="O990" s="40"/>
      <c r="P990" s="40"/>
      <c r="Q990" s="40"/>
    </row>
    <row r="991" spans="7:17">
      <c r="G991" s="40"/>
      <c r="H991" s="40"/>
      <c r="I991" s="40"/>
      <c r="J991" s="40"/>
      <c r="K991" s="40"/>
      <c r="L991" s="40"/>
      <c r="M991" s="40"/>
      <c r="N991" s="40"/>
      <c r="O991" s="40"/>
      <c r="P991" s="40"/>
      <c r="Q991" s="40"/>
    </row>
    <row r="992" spans="7:17">
      <c r="G992" s="40"/>
      <c r="H992" s="40"/>
      <c r="I992" s="40"/>
      <c r="J992" s="40"/>
      <c r="K992" s="40"/>
      <c r="L992" s="40"/>
      <c r="M992" s="40"/>
      <c r="N992" s="40"/>
      <c r="O992" s="40"/>
      <c r="P992" s="40"/>
      <c r="Q992" s="40"/>
    </row>
    <row r="993" spans="7:17">
      <c r="G993" s="40"/>
      <c r="H993" s="40"/>
      <c r="I993" s="40"/>
      <c r="J993" s="40"/>
      <c r="K993" s="40"/>
      <c r="L993" s="40"/>
      <c r="M993" s="40"/>
      <c r="N993" s="40"/>
      <c r="O993" s="40"/>
      <c r="P993" s="40"/>
      <c r="Q993" s="40"/>
    </row>
    <row r="994" spans="7:17">
      <c r="G994" s="40"/>
      <c r="H994" s="40"/>
      <c r="I994" s="40"/>
      <c r="J994" s="40"/>
      <c r="K994" s="40"/>
      <c r="L994" s="40"/>
      <c r="M994" s="40"/>
      <c r="N994" s="40"/>
      <c r="O994" s="40"/>
      <c r="P994" s="40"/>
      <c r="Q994" s="40"/>
    </row>
    <row r="995" spans="7:17">
      <c r="G995" s="40"/>
      <c r="H995" s="40"/>
      <c r="I995" s="40"/>
      <c r="J995" s="40"/>
      <c r="K995" s="40"/>
      <c r="L995" s="40"/>
      <c r="M995" s="40"/>
      <c r="N995" s="40"/>
      <c r="O995" s="40"/>
      <c r="P995" s="40"/>
      <c r="Q995" s="40"/>
    </row>
    <row r="996" spans="7:17">
      <c r="G996" s="40"/>
      <c r="H996" s="40"/>
      <c r="I996" s="40"/>
      <c r="J996" s="40"/>
      <c r="K996" s="40"/>
      <c r="L996" s="40"/>
      <c r="M996" s="40"/>
      <c r="N996" s="40"/>
      <c r="O996" s="40"/>
      <c r="P996" s="40"/>
      <c r="Q996" s="40"/>
    </row>
    <row r="997" spans="7:17">
      <c r="G997" s="40"/>
      <c r="H997" s="40"/>
      <c r="I997" s="40"/>
      <c r="J997" s="40"/>
      <c r="K997" s="40"/>
      <c r="L997" s="40"/>
      <c r="M997" s="40"/>
      <c r="N997" s="40"/>
      <c r="O997" s="40"/>
      <c r="P997" s="40"/>
      <c r="Q997" s="40"/>
    </row>
    <row r="998" spans="7:17">
      <c r="G998" s="40"/>
      <c r="H998" s="40"/>
      <c r="I998" s="40"/>
      <c r="J998" s="40"/>
      <c r="K998" s="40"/>
      <c r="L998" s="40"/>
      <c r="M998" s="40"/>
      <c r="N998" s="40"/>
      <c r="O998" s="40"/>
      <c r="P998" s="40"/>
      <c r="Q998" s="40"/>
    </row>
    <row r="999" spans="7:17">
      <c r="G999" s="40"/>
      <c r="H999" s="40"/>
      <c r="I999" s="40"/>
      <c r="J999" s="40"/>
      <c r="K999" s="40"/>
      <c r="L999" s="40"/>
      <c r="M999" s="40"/>
      <c r="N999" s="40"/>
      <c r="O999" s="40"/>
      <c r="P999" s="40"/>
      <c r="Q999" s="40"/>
    </row>
    <row r="1000" spans="7:17">
      <c r="G1000" s="40"/>
      <c r="H1000" s="40"/>
      <c r="I1000" s="40"/>
      <c r="J1000" s="40"/>
      <c r="K1000" s="40"/>
      <c r="L1000" s="40"/>
      <c r="M1000" s="40"/>
      <c r="N1000" s="40"/>
      <c r="O1000" s="40"/>
      <c r="P1000" s="40"/>
      <c r="Q1000" s="40"/>
    </row>
    <row r="1001" spans="7:17">
      <c r="G1001" s="40"/>
      <c r="H1001" s="40"/>
      <c r="I1001" s="40"/>
      <c r="J1001" s="40"/>
      <c r="K1001" s="40"/>
      <c r="L1001" s="40"/>
      <c r="M1001" s="40"/>
      <c r="N1001" s="40"/>
      <c r="O1001" s="40"/>
      <c r="P1001" s="40"/>
      <c r="Q1001" s="40"/>
    </row>
    <row r="1002" spans="7:17">
      <c r="G1002" s="40"/>
      <c r="H1002" s="40"/>
      <c r="I1002" s="40"/>
      <c r="J1002" s="40"/>
      <c r="K1002" s="40"/>
      <c r="L1002" s="40"/>
      <c r="M1002" s="40"/>
      <c r="N1002" s="40"/>
      <c r="O1002" s="40"/>
      <c r="P1002" s="40"/>
      <c r="Q1002" s="40"/>
    </row>
    <row r="1003" spans="7:17">
      <c r="G1003" s="40"/>
      <c r="H1003" s="40"/>
      <c r="I1003" s="40"/>
      <c r="J1003" s="40"/>
      <c r="K1003" s="40"/>
      <c r="L1003" s="40"/>
      <c r="M1003" s="40"/>
      <c r="N1003" s="40"/>
      <c r="O1003" s="40"/>
      <c r="P1003" s="40"/>
      <c r="Q1003" s="40"/>
    </row>
    <row r="1004" spans="7:17">
      <c r="G1004" s="40"/>
      <c r="H1004" s="40"/>
      <c r="I1004" s="40"/>
      <c r="J1004" s="40"/>
      <c r="K1004" s="40"/>
      <c r="L1004" s="40"/>
      <c r="M1004" s="40"/>
      <c r="N1004" s="40"/>
      <c r="O1004" s="40"/>
      <c r="P1004" s="40"/>
      <c r="Q1004" s="40"/>
    </row>
    <row r="1005" spans="7:17">
      <c r="G1005" s="40"/>
      <c r="H1005" s="40"/>
      <c r="I1005" s="40"/>
      <c r="J1005" s="40"/>
      <c r="K1005" s="40"/>
      <c r="L1005" s="40"/>
      <c r="M1005" s="40"/>
      <c r="N1005" s="40"/>
      <c r="O1005" s="40"/>
      <c r="P1005" s="40"/>
      <c r="Q1005" s="40"/>
    </row>
    <row r="1006" spans="7:17">
      <c r="G1006" s="40"/>
      <c r="H1006" s="40"/>
      <c r="I1006" s="40"/>
      <c r="J1006" s="40"/>
      <c r="K1006" s="40"/>
      <c r="L1006" s="40"/>
      <c r="M1006" s="40"/>
      <c r="N1006" s="40"/>
      <c r="O1006" s="40"/>
      <c r="P1006" s="40"/>
      <c r="Q1006" s="40"/>
    </row>
    <row r="1007" spans="7:17">
      <c r="G1007" s="40"/>
      <c r="H1007" s="40"/>
      <c r="I1007" s="40"/>
      <c r="J1007" s="40"/>
      <c r="K1007" s="40"/>
      <c r="L1007" s="40"/>
      <c r="M1007" s="40"/>
      <c r="N1007" s="40"/>
      <c r="O1007" s="40"/>
      <c r="P1007" s="40"/>
      <c r="Q1007" s="40"/>
    </row>
    <row r="1008" spans="7:17">
      <c r="G1008" s="40"/>
      <c r="H1008" s="40"/>
      <c r="I1008" s="40"/>
      <c r="J1008" s="40"/>
      <c r="K1008" s="40"/>
      <c r="L1008" s="40"/>
      <c r="M1008" s="40"/>
      <c r="N1008" s="40"/>
      <c r="O1008" s="40"/>
      <c r="P1008" s="40"/>
      <c r="Q1008" s="40"/>
    </row>
    <row r="1009" spans="7:17">
      <c r="G1009" s="40"/>
      <c r="H1009" s="40"/>
      <c r="I1009" s="40"/>
      <c r="J1009" s="40"/>
      <c r="K1009" s="40"/>
      <c r="L1009" s="40"/>
      <c r="M1009" s="40"/>
      <c r="N1009" s="40"/>
      <c r="O1009" s="40"/>
      <c r="P1009" s="40"/>
      <c r="Q1009" s="40"/>
    </row>
    <row r="1010" spans="7:17">
      <c r="G1010" s="40"/>
      <c r="H1010" s="40"/>
      <c r="I1010" s="40"/>
      <c r="J1010" s="40"/>
      <c r="K1010" s="40"/>
      <c r="L1010" s="40"/>
      <c r="M1010" s="40"/>
      <c r="N1010" s="40"/>
      <c r="O1010" s="40"/>
      <c r="P1010" s="40"/>
      <c r="Q1010" s="40"/>
    </row>
    <row r="1011" spans="7:17">
      <c r="G1011" s="40"/>
      <c r="H1011" s="40"/>
      <c r="I1011" s="40"/>
      <c r="J1011" s="40"/>
      <c r="K1011" s="40"/>
      <c r="L1011" s="40"/>
      <c r="M1011" s="40"/>
      <c r="N1011" s="40"/>
      <c r="O1011" s="40"/>
      <c r="P1011" s="40"/>
      <c r="Q1011" s="40"/>
    </row>
    <row r="1012" spans="7:17">
      <c r="G1012" s="40"/>
      <c r="H1012" s="40"/>
      <c r="I1012" s="40"/>
      <c r="J1012" s="40"/>
      <c r="K1012" s="40"/>
      <c r="L1012" s="40"/>
      <c r="M1012" s="40"/>
      <c r="N1012" s="40"/>
      <c r="O1012" s="40"/>
      <c r="P1012" s="40"/>
      <c r="Q1012" s="40"/>
    </row>
    <row r="1013" spans="7:17">
      <c r="G1013" s="40"/>
      <c r="H1013" s="40"/>
      <c r="I1013" s="40"/>
      <c r="J1013" s="40"/>
      <c r="K1013" s="40"/>
      <c r="L1013" s="40"/>
      <c r="M1013" s="40"/>
      <c r="N1013" s="40"/>
      <c r="O1013" s="40"/>
      <c r="P1013" s="40"/>
      <c r="Q1013" s="40"/>
    </row>
    <row r="1014" spans="7:17">
      <c r="G1014" s="40"/>
      <c r="H1014" s="40"/>
      <c r="I1014" s="40"/>
      <c r="J1014" s="40"/>
      <c r="K1014" s="40"/>
      <c r="L1014" s="40"/>
      <c r="M1014" s="40"/>
      <c r="N1014" s="40"/>
      <c r="O1014" s="40"/>
      <c r="P1014" s="40"/>
      <c r="Q1014" s="40"/>
    </row>
    <row r="1015" spans="7:17">
      <c r="G1015" s="40"/>
      <c r="H1015" s="40"/>
      <c r="I1015" s="40"/>
      <c r="J1015" s="40"/>
      <c r="K1015" s="40"/>
      <c r="L1015" s="40"/>
      <c r="M1015" s="40"/>
      <c r="N1015" s="40"/>
      <c r="O1015" s="40"/>
      <c r="P1015" s="40"/>
      <c r="Q1015" s="40"/>
    </row>
    <row r="1016" spans="7:17">
      <c r="G1016" s="40"/>
      <c r="H1016" s="40"/>
      <c r="I1016" s="40"/>
      <c r="J1016" s="40"/>
      <c r="K1016" s="40"/>
      <c r="L1016" s="40"/>
      <c r="M1016" s="40"/>
      <c r="N1016" s="40"/>
      <c r="O1016" s="40"/>
      <c r="P1016" s="40"/>
      <c r="Q1016" s="40"/>
    </row>
    <row r="1017" spans="7:17">
      <c r="G1017" s="40"/>
      <c r="H1017" s="40"/>
      <c r="I1017" s="40"/>
      <c r="J1017" s="40"/>
      <c r="K1017" s="40"/>
      <c r="L1017" s="40"/>
      <c r="M1017" s="40"/>
      <c r="N1017" s="40"/>
      <c r="O1017" s="40"/>
      <c r="P1017" s="40"/>
      <c r="Q1017" s="40"/>
    </row>
    <row r="1018" spans="7:17">
      <c r="G1018" s="40"/>
      <c r="H1018" s="40"/>
      <c r="I1018" s="40"/>
      <c r="J1018" s="40"/>
      <c r="K1018" s="40"/>
      <c r="L1018" s="40"/>
      <c r="M1018" s="40"/>
      <c r="N1018" s="40"/>
      <c r="O1018" s="40"/>
      <c r="P1018" s="40"/>
      <c r="Q1018" s="40"/>
    </row>
    <row r="1019" spans="7:17">
      <c r="G1019" s="40"/>
      <c r="H1019" s="40"/>
      <c r="I1019" s="40"/>
      <c r="J1019" s="40"/>
      <c r="K1019" s="40"/>
      <c r="L1019" s="40"/>
      <c r="M1019" s="40"/>
      <c r="N1019" s="40"/>
      <c r="O1019" s="40"/>
      <c r="P1019" s="40"/>
      <c r="Q1019" s="40"/>
    </row>
    <row r="1020" spans="7:17">
      <c r="G1020" s="40"/>
      <c r="H1020" s="40"/>
      <c r="I1020" s="40"/>
      <c r="J1020" s="40"/>
      <c r="K1020" s="40"/>
      <c r="L1020" s="40"/>
      <c r="M1020" s="40"/>
      <c r="N1020" s="40"/>
      <c r="O1020" s="40"/>
      <c r="P1020" s="40"/>
      <c r="Q1020" s="40"/>
    </row>
    <row r="1021" spans="7:17">
      <c r="G1021" s="40"/>
      <c r="H1021" s="40"/>
      <c r="I1021" s="40"/>
      <c r="J1021" s="40"/>
      <c r="K1021" s="40"/>
      <c r="L1021" s="40"/>
      <c r="M1021" s="40"/>
      <c r="N1021" s="40"/>
      <c r="O1021" s="40"/>
      <c r="P1021" s="40"/>
      <c r="Q1021" s="40"/>
    </row>
    <row r="1022" spans="7:17">
      <c r="G1022" s="40"/>
      <c r="H1022" s="40"/>
      <c r="I1022" s="40"/>
      <c r="J1022" s="40"/>
      <c r="K1022" s="40"/>
      <c r="L1022" s="40"/>
      <c r="M1022" s="40"/>
      <c r="N1022" s="40"/>
      <c r="O1022" s="40"/>
      <c r="P1022" s="40"/>
      <c r="Q1022" s="40"/>
    </row>
    <row r="1023" spans="7:17">
      <c r="G1023" s="40"/>
      <c r="H1023" s="40"/>
      <c r="I1023" s="40"/>
      <c r="J1023" s="40"/>
      <c r="K1023" s="40"/>
      <c r="L1023" s="40"/>
      <c r="M1023" s="40"/>
      <c r="N1023" s="40"/>
      <c r="O1023" s="40"/>
      <c r="P1023" s="40"/>
      <c r="Q1023" s="40"/>
    </row>
    <row r="1024" spans="7:17">
      <c r="G1024" s="40"/>
      <c r="H1024" s="40"/>
      <c r="I1024" s="40"/>
      <c r="J1024" s="40"/>
      <c r="K1024" s="40"/>
      <c r="L1024" s="40"/>
      <c r="M1024" s="40"/>
      <c r="N1024" s="40"/>
      <c r="O1024" s="40"/>
      <c r="P1024" s="40"/>
      <c r="Q1024" s="40"/>
    </row>
    <row r="1025" spans="7:17">
      <c r="G1025" s="40"/>
      <c r="H1025" s="40"/>
      <c r="I1025" s="40"/>
      <c r="J1025" s="40"/>
      <c r="K1025" s="40"/>
      <c r="L1025" s="40"/>
      <c r="M1025" s="40"/>
      <c r="N1025" s="40"/>
      <c r="O1025" s="40"/>
      <c r="P1025" s="40"/>
      <c r="Q1025" s="40"/>
    </row>
    <row r="1026" spans="7:17">
      <c r="G1026" s="40"/>
      <c r="H1026" s="40"/>
      <c r="I1026" s="40"/>
      <c r="J1026" s="40"/>
      <c r="K1026" s="40"/>
      <c r="L1026" s="40"/>
      <c r="M1026" s="40"/>
      <c r="N1026" s="40"/>
      <c r="O1026" s="40"/>
      <c r="P1026" s="40"/>
      <c r="Q1026" s="40"/>
    </row>
    <row r="1027" spans="7:17">
      <c r="G1027" s="40"/>
      <c r="H1027" s="40"/>
      <c r="I1027" s="40"/>
      <c r="J1027" s="40"/>
      <c r="K1027" s="40"/>
      <c r="L1027" s="40"/>
      <c r="M1027" s="40"/>
      <c r="N1027" s="40"/>
      <c r="O1027" s="40"/>
      <c r="P1027" s="40"/>
      <c r="Q1027" s="40"/>
    </row>
    <row r="1028" spans="7:17">
      <c r="G1028" s="40"/>
      <c r="H1028" s="40"/>
      <c r="I1028" s="40"/>
      <c r="J1028" s="40"/>
      <c r="K1028" s="40"/>
      <c r="L1028" s="40"/>
      <c r="M1028" s="40"/>
      <c r="N1028" s="40"/>
      <c r="O1028" s="40"/>
      <c r="P1028" s="40"/>
      <c r="Q1028" s="40"/>
    </row>
    <row r="1029" spans="7:17">
      <c r="G1029" s="40"/>
      <c r="H1029" s="40"/>
      <c r="I1029" s="40"/>
      <c r="J1029" s="40"/>
      <c r="K1029" s="40"/>
      <c r="L1029" s="40"/>
      <c r="M1029" s="40"/>
      <c r="N1029" s="40"/>
      <c r="O1029" s="40"/>
      <c r="P1029" s="40"/>
      <c r="Q1029" s="40"/>
    </row>
    <row r="1030" spans="7:17">
      <c r="G1030" s="40"/>
      <c r="H1030" s="40"/>
      <c r="I1030" s="40"/>
      <c r="J1030" s="40"/>
      <c r="K1030" s="40"/>
      <c r="L1030" s="40"/>
      <c r="M1030" s="40"/>
      <c r="N1030" s="40"/>
      <c r="O1030" s="40"/>
      <c r="P1030" s="40"/>
      <c r="Q1030" s="40"/>
    </row>
    <row r="1031" spans="7:17">
      <c r="G1031" s="40"/>
      <c r="H1031" s="40"/>
      <c r="I1031" s="40"/>
      <c r="J1031" s="40"/>
      <c r="K1031" s="40"/>
      <c r="L1031" s="40"/>
      <c r="M1031" s="40"/>
      <c r="N1031" s="40"/>
      <c r="O1031" s="40"/>
      <c r="P1031" s="40"/>
      <c r="Q1031" s="40"/>
    </row>
    <row r="1032" spans="7:17">
      <c r="G1032" s="40"/>
      <c r="H1032" s="40"/>
      <c r="I1032" s="40"/>
      <c r="J1032" s="40"/>
      <c r="K1032" s="40"/>
      <c r="L1032" s="40"/>
      <c r="M1032" s="40"/>
      <c r="N1032" s="40"/>
      <c r="O1032" s="40"/>
      <c r="P1032" s="40"/>
      <c r="Q1032" s="40"/>
    </row>
    <row r="1033" spans="7:17">
      <c r="G1033" s="40"/>
      <c r="H1033" s="40"/>
      <c r="I1033" s="40"/>
      <c r="J1033" s="40"/>
      <c r="K1033" s="40"/>
      <c r="L1033" s="40"/>
      <c r="M1033" s="40"/>
      <c r="N1033" s="40"/>
      <c r="O1033" s="40"/>
      <c r="P1033" s="40"/>
      <c r="Q1033" s="40"/>
    </row>
    <row r="1034" spans="7:17">
      <c r="G1034" s="40"/>
      <c r="H1034" s="40"/>
      <c r="I1034" s="40"/>
      <c r="J1034" s="40"/>
      <c r="K1034" s="40"/>
      <c r="L1034" s="40"/>
      <c r="M1034" s="40"/>
      <c r="N1034" s="40"/>
      <c r="O1034" s="40"/>
      <c r="P1034" s="40"/>
      <c r="Q1034" s="40"/>
    </row>
    <row r="1035" spans="7:17">
      <c r="G1035" s="40"/>
      <c r="H1035" s="40"/>
      <c r="I1035" s="40"/>
      <c r="J1035" s="40"/>
      <c r="K1035" s="40"/>
      <c r="L1035" s="40"/>
      <c r="M1035" s="40"/>
      <c r="N1035" s="40"/>
      <c r="O1035" s="40"/>
      <c r="P1035" s="40"/>
      <c r="Q1035" s="40"/>
    </row>
    <row r="1036" spans="7:17">
      <c r="G1036" s="40"/>
      <c r="H1036" s="40"/>
      <c r="I1036" s="40"/>
      <c r="J1036" s="40"/>
      <c r="K1036" s="40"/>
      <c r="L1036" s="40"/>
      <c r="M1036" s="40"/>
      <c r="N1036" s="40"/>
      <c r="O1036" s="40"/>
      <c r="P1036" s="40"/>
      <c r="Q1036" s="40"/>
    </row>
    <row r="1037" spans="7:17">
      <c r="G1037" s="40"/>
      <c r="H1037" s="40"/>
      <c r="I1037" s="40"/>
      <c r="J1037" s="40"/>
      <c r="K1037" s="40"/>
      <c r="L1037" s="40"/>
      <c r="M1037" s="40"/>
      <c r="N1037" s="40"/>
      <c r="O1037" s="40"/>
      <c r="P1037" s="40"/>
      <c r="Q1037" s="40"/>
    </row>
    <row r="1038" spans="7:17">
      <c r="G1038" s="40"/>
      <c r="H1038" s="40"/>
      <c r="I1038" s="40"/>
      <c r="J1038" s="40"/>
      <c r="K1038" s="40"/>
      <c r="L1038" s="40"/>
      <c r="M1038" s="40"/>
      <c r="N1038" s="40"/>
      <c r="O1038" s="40"/>
      <c r="P1038" s="40"/>
      <c r="Q1038" s="40"/>
    </row>
    <row r="1039" spans="7:17">
      <c r="G1039" s="40"/>
      <c r="H1039" s="40"/>
      <c r="I1039" s="40"/>
      <c r="J1039" s="40"/>
      <c r="K1039" s="40"/>
      <c r="L1039" s="40"/>
      <c r="M1039" s="40"/>
      <c r="N1039" s="40"/>
      <c r="O1039" s="40"/>
      <c r="P1039" s="40"/>
      <c r="Q1039" s="40"/>
    </row>
    <row r="1040" spans="7:17">
      <c r="G1040" s="40"/>
      <c r="H1040" s="40"/>
      <c r="I1040" s="40"/>
      <c r="J1040" s="40"/>
      <c r="K1040" s="40"/>
      <c r="L1040" s="40"/>
      <c r="M1040" s="40"/>
      <c r="N1040" s="40"/>
      <c r="O1040" s="40"/>
      <c r="P1040" s="40"/>
      <c r="Q1040" s="40"/>
    </row>
    <row r="1041" spans="7:17">
      <c r="G1041" s="40"/>
      <c r="H1041" s="40"/>
      <c r="I1041" s="40"/>
      <c r="J1041" s="40"/>
      <c r="K1041" s="40"/>
      <c r="L1041" s="40"/>
      <c r="M1041" s="40"/>
      <c r="N1041" s="40"/>
      <c r="O1041" s="40"/>
      <c r="P1041" s="40"/>
      <c r="Q1041" s="40"/>
    </row>
    <row r="1042" spans="7:17">
      <c r="G1042" s="40"/>
      <c r="H1042" s="40"/>
      <c r="I1042" s="40"/>
      <c r="J1042" s="40"/>
      <c r="K1042" s="40"/>
      <c r="L1042" s="40"/>
      <c r="M1042" s="40"/>
      <c r="N1042" s="40"/>
      <c r="O1042" s="40"/>
      <c r="P1042" s="40"/>
      <c r="Q1042" s="40"/>
    </row>
    <row r="1043" spans="7:17">
      <c r="G1043" s="40"/>
      <c r="H1043" s="40"/>
      <c r="I1043" s="40"/>
      <c r="J1043" s="40"/>
      <c r="K1043" s="40"/>
      <c r="L1043" s="40"/>
      <c r="M1043" s="40"/>
      <c r="N1043" s="40"/>
      <c r="O1043" s="40"/>
      <c r="P1043" s="40"/>
      <c r="Q1043" s="40"/>
    </row>
    <row r="1044" spans="7:17">
      <c r="G1044" s="40"/>
      <c r="H1044" s="40"/>
      <c r="I1044" s="40"/>
      <c r="J1044" s="40"/>
      <c r="K1044" s="40"/>
      <c r="L1044" s="40"/>
      <c r="M1044" s="40"/>
      <c r="N1044" s="40"/>
      <c r="O1044" s="40"/>
      <c r="P1044" s="40"/>
      <c r="Q1044" s="40"/>
    </row>
    <row r="1045" spans="7:17">
      <c r="G1045" s="40"/>
      <c r="H1045" s="40"/>
      <c r="I1045" s="40"/>
      <c r="J1045" s="40"/>
      <c r="K1045" s="40"/>
      <c r="L1045" s="40"/>
      <c r="M1045" s="40"/>
      <c r="N1045" s="40"/>
      <c r="O1045" s="40"/>
      <c r="P1045" s="40"/>
      <c r="Q1045" s="40"/>
    </row>
    <row r="1046" spans="7:17">
      <c r="G1046" s="40"/>
      <c r="H1046" s="40"/>
      <c r="I1046" s="40"/>
      <c r="J1046" s="40"/>
      <c r="K1046" s="40"/>
      <c r="L1046" s="40"/>
      <c r="M1046" s="40"/>
      <c r="N1046" s="40"/>
      <c r="O1046" s="40"/>
      <c r="P1046" s="40"/>
      <c r="Q1046" s="40"/>
    </row>
    <row r="1047" spans="7:17">
      <c r="G1047" s="40"/>
      <c r="H1047" s="40"/>
      <c r="I1047" s="40"/>
      <c r="J1047" s="40"/>
      <c r="K1047" s="40"/>
      <c r="L1047" s="40"/>
      <c r="M1047" s="40"/>
      <c r="N1047" s="40"/>
      <c r="O1047" s="40"/>
      <c r="P1047" s="40"/>
      <c r="Q1047" s="40"/>
    </row>
    <row r="1048" spans="7:17">
      <c r="G1048" s="40"/>
      <c r="H1048" s="40"/>
      <c r="I1048" s="40"/>
      <c r="J1048" s="40"/>
      <c r="K1048" s="40"/>
      <c r="L1048" s="40"/>
      <c r="M1048" s="40"/>
      <c r="N1048" s="40"/>
      <c r="O1048" s="40"/>
      <c r="P1048" s="40"/>
      <c r="Q1048" s="40"/>
    </row>
    <row r="1049" spans="7:17">
      <c r="G1049" s="40"/>
      <c r="H1049" s="40"/>
      <c r="I1049" s="40"/>
      <c r="J1049" s="40"/>
      <c r="K1049" s="40"/>
      <c r="L1049" s="40"/>
      <c r="M1049" s="40"/>
      <c r="N1049" s="40"/>
      <c r="O1049" s="40"/>
      <c r="P1049" s="40"/>
      <c r="Q1049" s="40"/>
    </row>
    <row r="1050" spans="7:17">
      <c r="G1050" s="40"/>
      <c r="H1050" s="40"/>
      <c r="I1050" s="40"/>
      <c r="J1050" s="40"/>
      <c r="K1050" s="40"/>
      <c r="L1050" s="40"/>
      <c r="M1050" s="40"/>
      <c r="N1050" s="40"/>
      <c r="O1050" s="40"/>
      <c r="P1050" s="40"/>
      <c r="Q1050" s="40"/>
    </row>
    <row r="1051" spans="7:17">
      <c r="G1051" s="40"/>
      <c r="H1051" s="40"/>
      <c r="I1051" s="40"/>
      <c r="J1051" s="40"/>
      <c r="K1051" s="40"/>
      <c r="L1051" s="40"/>
      <c r="M1051" s="40"/>
      <c r="N1051" s="40"/>
      <c r="O1051" s="40"/>
      <c r="P1051" s="40"/>
      <c r="Q1051" s="40"/>
    </row>
    <row r="1052" spans="7:17">
      <c r="G1052" s="40"/>
      <c r="H1052" s="40"/>
      <c r="I1052" s="40"/>
      <c r="J1052" s="40"/>
      <c r="K1052" s="40"/>
      <c r="L1052" s="40"/>
      <c r="M1052" s="40"/>
      <c r="N1052" s="40"/>
      <c r="O1052" s="40"/>
      <c r="P1052" s="40"/>
      <c r="Q1052" s="40"/>
    </row>
    <row r="1053" spans="7:17">
      <c r="G1053" s="40"/>
      <c r="H1053" s="40"/>
      <c r="I1053" s="40"/>
      <c r="J1053" s="40"/>
      <c r="K1053" s="40"/>
      <c r="L1053" s="40"/>
      <c r="M1053" s="40"/>
      <c r="N1053" s="40"/>
      <c r="O1053" s="40"/>
      <c r="P1053" s="40"/>
      <c r="Q1053" s="40"/>
    </row>
    <row r="1054" spans="7:17">
      <c r="G1054" s="40"/>
      <c r="H1054" s="40"/>
      <c r="I1054" s="40"/>
      <c r="J1054" s="40"/>
      <c r="K1054" s="40"/>
      <c r="L1054" s="40"/>
      <c r="M1054" s="40"/>
      <c r="N1054" s="40"/>
      <c r="O1054" s="40"/>
      <c r="P1054" s="40"/>
      <c r="Q1054" s="40"/>
    </row>
    <row r="1055" spans="7:17">
      <c r="G1055" s="40"/>
      <c r="H1055" s="40"/>
      <c r="I1055" s="40"/>
      <c r="J1055" s="40"/>
      <c r="K1055" s="40"/>
      <c r="L1055" s="40"/>
      <c r="M1055" s="40"/>
      <c r="N1055" s="40"/>
      <c r="O1055" s="40"/>
      <c r="P1055" s="40"/>
      <c r="Q1055" s="40"/>
    </row>
    <row r="1056" spans="7:17">
      <c r="G1056" s="40"/>
      <c r="H1056" s="40"/>
      <c r="I1056" s="40"/>
      <c r="J1056" s="40"/>
      <c r="K1056" s="40"/>
      <c r="L1056" s="40"/>
      <c r="M1056" s="40"/>
      <c r="N1056" s="40"/>
      <c r="O1056" s="40"/>
      <c r="P1056" s="40"/>
      <c r="Q1056" s="40"/>
    </row>
    <row r="1057" spans="7:17">
      <c r="G1057" s="40"/>
      <c r="H1057" s="40"/>
      <c r="I1057" s="40"/>
      <c r="J1057" s="40"/>
      <c r="K1057" s="40"/>
      <c r="L1057" s="40"/>
      <c r="M1057" s="40"/>
      <c r="N1057" s="40"/>
      <c r="O1057" s="40"/>
      <c r="P1057" s="40"/>
      <c r="Q1057" s="40"/>
    </row>
    <row r="1058" spans="7:17">
      <c r="G1058" s="40"/>
      <c r="H1058" s="40"/>
      <c r="I1058" s="40"/>
      <c r="J1058" s="40"/>
      <c r="K1058" s="40"/>
      <c r="L1058" s="40"/>
      <c r="M1058" s="40"/>
      <c r="N1058" s="40"/>
      <c r="O1058" s="40"/>
      <c r="P1058" s="40"/>
      <c r="Q1058" s="40"/>
    </row>
    <row r="1059" spans="7:17">
      <c r="G1059" s="40"/>
      <c r="H1059" s="40"/>
      <c r="I1059" s="40"/>
      <c r="J1059" s="40"/>
      <c r="K1059" s="40"/>
      <c r="L1059" s="40"/>
      <c r="M1059" s="40"/>
      <c r="N1059" s="40"/>
      <c r="O1059" s="40"/>
      <c r="P1059" s="40"/>
      <c r="Q1059" s="40"/>
    </row>
    <row r="1060" spans="7:17">
      <c r="G1060" s="40"/>
      <c r="H1060" s="40"/>
      <c r="I1060" s="40"/>
      <c r="J1060" s="40"/>
      <c r="K1060" s="40"/>
      <c r="L1060" s="40"/>
      <c r="M1060" s="40"/>
      <c r="N1060" s="40"/>
      <c r="O1060" s="40"/>
      <c r="P1060" s="40"/>
      <c r="Q1060" s="40"/>
    </row>
    <row r="1061" spans="7:17">
      <c r="G1061" s="40"/>
      <c r="H1061" s="40"/>
      <c r="I1061" s="40"/>
      <c r="J1061" s="40"/>
      <c r="K1061" s="40"/>
      <c r="L1061" s="40"/>
      <c r="M1061" s="40"/>
      <c r="N1061" s="40"/>
      <c r="O1061" s="40"/>
      <c r="P1061" s="40"/>
      <c r="Q1061" s="40"/>
    </row>
    <row r="1062" spans="7:17">
      <c r="G1062" s="40"/>
      <c r="H1062" s="40"/>
      <c r="I1062" s="40"/>
      <c r="J1062" s="40"/>
      <c r="K1062" s="40"/>
      <c r="L1062" s="40"/>
      <c r="M1062" s="40"/>
      <c r="N1062" s="40"/>
      <c r="O1062" s="40"/>
      <c r="P1062" s="40"/>
      <c r="Q1062" s="40"/>
    </row>
    <row r="1063" spans="7:17">
      <c r="G1063" s="40"/>
      <c r="H1063" s="40"/>
      <c r="I1063" s="40"/>
      <c r="J1063" s="40"/>
      <c r="K1063" s="40"/>
      <c r="L1063" s="40"/>
      <c r="M1063" s="40"/>
      <c r="N1063" s="40"/>
      <c r="O1063" s="40"/>
      <c r="P1063" s="40"/>
      <c r="Q1063" s="40"/>
    </row>
    <row r="1064" spans="7:17">
      <c r="G1064" s="40"/>
      <c r="H1064" s="40"/>
      <c r="I1064" s="40"/>
      <c r="J1064" s="40"/>
      <c r="K1064" s="40"/>
      <c r="L1064" s="40"/>
      <c r="M1064" s="40"/>
      <c r="N1064" s="40"/>
      <c r="O1064" s="40"/>
      <c r="P1064" s="40"/>
      <c r="Q1064" s="40"/>
    </row>
    <row r="1065" spans="7:17">
      <c r="G1065" s="40"/>
      <c r="H1065" s="40"/>
      <c r="I1065" s="40"/>
      <c r="J1065" s="40"/>
      <c r="K1065" s="40"/>
      <c r="L1065" s="40"/>
      <c r="M1065" s="40"/>
      <c r="N1065" s="40"/>
      <c r="O1065" s="40"/>
      <c r="P1065" s="40"/>
      <c r="Q1065" s="40"/>
    </row>
    <row r="1066" spans="7:17">
      <c r="G1066" s="40"/>
      <c r="H1066" s="40"/>
      <c r="I1066" s="40"/>
      <c r="J1066" s="40"/>
      <c r="K1066" s="40"/>
      <c r="L1066" s="40"/>
      <c r="M1066" s="40"/>
      <c r="N1066" s="40"/>
      <c r="O1066" s="40"/>
      <c r="P1066" s="40"/>
      <c r="Q1066" s="40"/>
    </row>
    <row r="1067" spans="7:17">
      <c r="G1067" s="40"/>
      <c r="H1067" s="40"/>
      <c r="I1067" s="40"/>
      <c r="J1067" s="40"/>
      <c r="K1067" s="40"/>
      <c r="L1067" s="40"/>
      <c r="M1067" s="40"/>
      <c r="N1067" s="40"/>
      <c r="O1067" s="40"/>
      <c r="P1067" s="40"/>
      <c r="Q1067" s="40"/>
    </row>
    <row r="1068" spans="7:17">
      <c r="G1068" s="40"/>
      <c r="H1068" s="40"/>
      <c r="I1068" s="40"/>
      <c r="J1068" s="40"/>
      <c r="K1068" s="40"/>
      <c r="L1068" s="40"/>
      <c r="M1068" s="40"/>
      <c r="N1068" s="40"/>
      <c r="O1068" s="40"/>
      <c r="P1068" s="40"/>
      <c r="Q1068" s="40"/>
    </row>
    <row r="1069" spans="7:17">
      <c r="G1069" s="40"/>
      <c r="H1069" s="40"/>
      <c r="I1069" s="40"/>
      <c r="J1069" s="40"/>
      <c r="K1069" s="40"/>
      <c r="L1069" s="40"/>
      <c r="M1069" s="40"/>
      <c r="N1069" s="40"/>
      <c r="O1069" s="40"/>
      <c r="P1069" s="40"/>
      <c r="Q1069" s="40"/>
    </row>
    <row r="1070" spans="7:17">
      <c r="G1070" s="40"/>
      <c r="H1070" s="40"/>
      <c r="I1070" s="40"/>
      <c r="J1070" s="40"/>
      <c r="K1070" s="40"/>
      <c r="L1070" s="40"/>
      <c r="M1070" s="40"/>
      <c r="N1070" s="40"/>
      <c r="O1070" s="40"/>
      <c r="P1070" s="40"/>
      <c r="Q1070" s="40"/>
    </row>
    <row r="1071" spans="7:17">
      <c r="G1071" s="40"/>
      <c r="H1071" s="40"/>
      <c r="I1071" s="40"/>
      <c r="J1071" s="40"/>
      <c r="K1071" s="40"/>
      <c r="L1071" s="40"/>
      <c r="M1071" s="40"/>
      <c r="N1071" s="40"/>
      <c r="O1071" s="40"/>
      <c r="P1071" s="40"/>
      <c r="Q1071" s="40"/>
    </row>
    <row r="1072" spans="7:17">
      <c r="G1072" s="40"/>
      <c r="H1072" s="40"/>
      <c r="I1072" s="40"/>
      <c r="J1072" s="40"/>
      <c r="K1072" s="40"/>
      <c r="L1072" s="40"/>
      <c r="M1072" s="40"/>
      <c r="N1072" s="40"/>
      <c r="O1072" s="40"/>
      <c r="P1072" s="40"/>
      <c r="Q1072" s="40"/>
    </row>
    <row r="1073" spans="7:17">
      <c r="G1073" s="40"/>
      <c r="H1073" s="40"/>
      <c r="I1073" s="40"/>
      <c r="J1073" s="40"/>
      <c r="K1073" s="40"/>
      <c r="L1073" s="40"/>
      <c r="M1073" s="40"/>
      <c r="N1073" s="40"/>
      <c r="O1073" s="40"/>
      <c r="P1073" s="40"/>
      <c r="Q1073" s="40"/>
    </row>
    <row r="1074" spans="7:17">
      <c r="G1074" s="40"/>
      <c r="H1074" s="40"/>
      <c r="I1074" s="40"/>
      <c r="J1074" s="40"/>
      <c r="K1074" s="40"/>
      <c r="L1074" s="40"/>
      <c r="M1074" s="40"/>
      <c r="N1074" s="40"/>
      <c r="O1074" s="40"/>
      <c r="P1074" s="40"/>
      <c r="Q1074" s="40"/>
    </row>
    <row r="1075" spans="7:17">
      <c r="G1075" s="40"/>
      <c r="H1075" s="40"/>
      <c r="I1075" s="40"/>
      <c r="J1075" s="40"/>
      <c r="K1075" s="40"/>
      <c r="L1075" s="40"/>
      <c r="M1075" s="40"/>
      <c r="N1075" s="40"/>
      <c r="O1075" s="40"/>
      <c r="P1075" s="40"/>
      <c r="Q1075" s="40"/>
    </row>
    <row r="1076" spans="7:17">
      <c r="G1076" s="40"/>
      <c r="H1076" s="40"/>
      <c r="I1076" s="40"/>
      <c r="J1076" s="40"/>
      <c r="K1076" s="40"/>
      <c r="L1076" s="40"/>
      <c r="M1076" s="40"/>
      <c r="N1076" s="40"/>
      <c r="O1076" s="40"/>
      <c r="P1076" s="40"/>
      <c r="Q1076" s="40"/>
    </row>
    <row r="1077" spans="7:17">
      <c r="G1077" s="40"/>
      <c r="H1077" s="40"/>
      <c r="I1077" s="40"/>
      <c r="J1077" s="40"/>
      <c r="K1077" s="40"/>
      <c r="L1077" s="40"/>
      <c r="M1077" s="40"/>
      <c r="N1077" s="40"/>
      <c r="O1077" s="40"/>
      <c r="P1077" s="40"/>
      <c r="Q1077" s="40"/>
    </row>
    <row r="1078" spans="7:17">
      <c r="G1078" s="40"/>
      <c r="H1078" s="40"/>
      <c r="I1078" s="40"/>
      <c r="J1078" s="40"/>
      <c r="K1078" s="40"/>
      <c r="L1078" s="40"/>
      <c r="M1078" s="40"/>
      <c r="N1078" s="40"/>
      <c r="O1078" s="40"/>
      <c r="P1078" s="40"/>
      <c r="Q1078" s="40"/>
    </row>
    <row r="1079" spans="7:17">
      <c r="G1079" s="40"/>
      <c r="H1079" s="40"/>
      <c r="I1079" s="40"/>
      <c r="J1079" s="40"/>
      <c r="K1079" s="40"/>
      <c r="L1079" s="40"/>
      <c r="M1079" s="40"/>
      <c r="N1079" s="40"/>
      <c r="O1079" s="40"/>
      <c r="P1079" s="40"/>
      <c r="Q1079" s="40"/>
    </row>
    <row r="1080" spans="7:17">
      <c r="G1080" s="40"/>
      <c r="H1080" s="40"/>
      <c r="I1080" s="40"/>
      <c r="J1080" s="40"/>
      <c r="K1080" s="40"/>
      <c r="L1080" s="40"/>
      <c r="M1080" s="40"/>
      <c r="N1080" s="40"/>
      <c r="O1080" s="40"/>
      <c r="P1080" s="40"/>
      <c r="Q1080" s="40"/>
    </row>
    <row r="1081" spans="7:17">
      <c r="G1081" s="40"/>
      <c r="H1081" s="40"/>
      <c r="I1081" s="40"/>
      <c r="J1081" s="40"/>
      <c r="K1081" s="40"/>
      <c r="L1081" s="40"/>
      <c r="M1081" s="40"/>
      <c r="N1081" s="40"/>
      <c r="O1081" s="40"/>
      <c r="P1081" s="40"/>
      <c r="Q1081" s="40"/>
    </row>
    <row r="1082" spans="7:17">
      <c r="G1082" s="40"/>
      <c r="H1082" s="40"/>
      <c r="I1082" s="40"/>
      <c r="J1082" s="40"/>
      <c r="K1082" s="40"/>
      <c r="L1082" s="40"/>
      <c r="M1082" s="40"/>
      <c r="N1082" s="40"/>
      <c r="O1082" s="40"/>
      <c r="P1082" s="40"/>
      <c r="Q1082" s="40"/>
    </row>
    <row r="1083" spans="7:17">
      <c r="G1083" s="40"/>
      <c r="H1083" s="40"/>
      <c r="I1083" s="40"/>
      <c r="J1083" s="40"/>
      <c r="K1083" s="40"/>
      <c r="L1083" s="40"/>
      <c r="M1083" s="40"/>
      <c r="N1083" s="40"/>
      <c r="O1083" s="40"/>
      <c r="P1083" s="40"/>
      <c r="Q1083" s="40"/>
    </row>
    <row r="1084" spans="7:17">
      <c r="G1084" s="40"/>
      <c r="H1084" s="40"/>
      <c r="I1084" s="40"/>
      <c r="J1084" s="40"/>
      <c r="K1084" s="40"/>
      <c r="L1084" s="40"/>
      <c r="M1084" s="40"/>
      <c r="N1084" s="40"/>
      <c r="O1084" s="40"/>
      <c r="P1084" s="40"/>
      <c r="Q1084" s="40"/>
    </row>
    <row r="1085" spans="7:17">
      <c r="G1085" s="40"/>
      <c r="H1085" s="40"/>
      <c r="I1085" s="40"/>
      <c r="J1085" s="40"/>
      <c r="K1085" s="40"/>
      <c r="L1085" s="40"/>
      <c r="M1085" s="40"/>
      <c r="N1085" s="40"/>
      <c r="O1085" s="40"/>
      <c r="P1085" s="40"/>
      <c r="Q1085" s="40"/>
    </row>
    <row r="1086" spans="7:17">
      <c r="G1086" s="40"/>
      <c r="H1086" s="40"/>
      <c r="I1086" s="40"/>
      <c r="J1086" s="40"/>
      <c r="K1086" s="40"/>
      <c r="L1086" s="40"/>
      <c r="M1086" s="40"/>
      <c r="N1086" s="40"/>
      <c r="O1086" s="40"/>
      <c r="P1086" s="40"/>
      <c r="Q1086" s="40"/>
    </row>
    <row r="1087" spans="7:17">
      <c r="G1087" s="40"/>
      <c r="H1087" s="40"/>
      <c r="I1087" s="40"/>
      <c r="J1087" s="40"/>
      <c r="K1087" s="40"/>
      <c r="L1087" s="40"/>
      <c r="M1087" s="40"/>
      <c r="N1087" s="40"/>
      <c r="O1087" s="40"/>
      <c r="P1087" s="40"/>
      <c r="Q1087" s="40"/>
    </row>
    <row r="1088" spans="7:17">
      <c r="G1088" s="40"/>
      <c r="H1088" s="40"/>
      <c r="I1088" s="40"/>
      <c r="J1088" s="40"/>
      <c r="K1088" s="40"/>
      <c r="L1088" s="40"/>
      <c r="M1088" s="40"/>
      <c r="N1088" s="40"/>
      <c r="O1088" s="40"/>
      <c r="P1088" s="40"/>
      <c r="Q1088" s="40"/>
    </row>
    <row r="1089" spans="7:17">
      <c r="G1089" s="40"/>
      <c r="H1089" s="40"/>
      <c r="I1089" s="40"/>
      <c r="J1089" s="40"/>
      <c r="K1089" s="40"/>
      <c r="L1089" s="40"/>
      <c r="M1089" s="40"/>
      <c r="N1089" s="40"/>
      <c r="O1089" s="40"/>
      <c r="P1089" s="40"/>
      <c r="Q1089" s="40"/>
    </row>
    <row r="1090" spans="7:17">
      <c r="G1090" s="40"/>
      <c r="H1090" s="40"/>
      <c r="I1090" s="40"/>
      <c r="J1090" s="40"/>
      <c r="K1090" s="40"/>
      <c r="L1090" s="40"/>
      <c r="M1090" s="40"/>
      <c r="N1090" s="40"/>
      <c r="O1090" s="40"/>
      <c r="P1090" s="40"/>
      <c r="Q1090" s="40"/>
    </row>
    <row r="1091" spans="7:17">
      <c r="G1091" s="40"/>
      <c r="H1091" s="40"/>
      <c r="I1091" s="40"/>
      <c r="J1091" s="40"/>
      <c r="K1091" s="40"/>
      <c r="L1091" s="40"/>
      <c r="M1091" s="40"/>
      <c r="N1091" s="40"/>
      <c r="O1091" s="40"/>
      <c r="P1091" s="40"/>
      <c r="Q1091" s="40"/>
    </row>
    <row r="1092" spans="7:17">
      <c r="G1092" s="40"/>
      <c r="H1092" s="40"/>
      <c r="I1092" s="40"/>
      <c r="J1092" s="40"/>
      <c r="K1092" s="40"/>
      <c r="L1092" s="40"/>
      <c r="M1092" s="40"/>
      <c r="N1092" s="40"/>
      <c r="O1092" s="40"/>
      <c r="P1092" s="40"/>
      <c r="Q1092" s="40"/>
    </row>
    <row r="1093" spans="7:17">
      <c r="G1093" s="40"/>
      <c r="H1093" s="40"/>
      <c r="I1093" s="40"/>
      <c r="J1093" s="40"/>
      <c r="K1093" s="40"/>
      <c r="L1093" s="40"/>
      <c r="M1093" s="40"/>
      <c r="N1093" s="40"/>
      <c r="O1093" s="40"/>
      <c r="P1093" s="40"/>
      <c r="Q1093" s="40"/>
    </row>
    <row r="1094" spans="7:17">
      <c r="G1094" s="40"/>
      <c r="H1094" s="40"/>
      <c r="I1094" s="40"/>
      <c r="J1094" s="40"/>
      <c r="K1094" s="40"/>
      <c r="L1094" s="40"/>
      <c r="M1094" s="40"/>
      <c r="N1094" s="40"/>
      <c r="O1094" s="40"/>
      <c r="P1094" s="40"/>
      <c r="Q1094" s="40"/>
    </row>
    <row r="1095" spans="7:17">
      <c r="G1095" s="40"/>
      <c r="H1095" s="40"/>
      <c r="I1095" s="40"/>
      <c r="J1095" s="40"/>
      <c r="K1095" s="40"/>
      <c r="L1095" s="40"/>
      <c r="M1095" s="40"/>
      <c r="N1095" s="40"/>
      <c r="O1095" s="40"/>
      <c r="P1095" s="40"/>
      <c r="Q1095" s="40"/>
    </row>
    <row r="1096" spans="7:17">
      <c r="G1096" s="40"/>
      <c r="H1096" s="40"/>
      <c r="I1096" s="40"/>
      <c r="J1096" s="40"/>
      <c r="K1096" s="40"/>
      <c r="L1096" s="40"/>
      <c r="M1096" s="40"/>
      <c r="N1096" s="40"/>
      <c r="O1096" s="40"/>
      <c r="P1096" s="40"/>
      <c r="Q1096" s="40"/>
    </row>
    <row r="1097" spans="7:17">
      <c r="G1097" s="40"/>
      <c r="H1097" s="40"/>
      <c r="I1097" s="40"/>
      <c r="J1097" s="40"/>
      <c r="K1097" s="40"/>
      <c r="L1097" s="40"/>
      <c r="M1097" s="40"/>
      <c r="N1097" s="40"/>
      <c r="O1097" s="40"/>
      <c r="P1097" s="40"/>
      <c r="Q1097" s="40"/>
    </row>
    <row r="1098" spans="7:17">
      <c r="G1098" s="40"/>
      <c r="H1098" s="40"/>
      <c r="I1098" s="40"/>
      <c r="J1098" s="40"/>
      <c r="K1098" s="40"/>
      <c r="L1098" s="40"/>
      <c r="M1098" s="40"/>
      <c r="N1098" s="40"/>
      <c r="O1098" s="40"/>
      <c r="P1098" s="40"/>
      <c r="Q1098" s="40"/>
    </row>
    <row r="1099" spans="7:17">
      <c r="G1099" s="40"/>
      <c r="H1099" s="40"/>
      <c r="I1099" s="40"/>
      <c r="J1099" s="40"/>
      <c r="K1099" s="40"/>
      <c r="L1099" s="40"/>
      <c r="M1099" s="40"/>
      <c r="N1099" s="40"/>
      <c r="O1099" s="40"/>
      <c r="P1099" s="40"/>
      <c r="Q1099" s="40"/>
    </row>
    <row r="1100" spans="7:17">
      <c r="G1100" s="40"/>
      <c r="H1100" s="40"/>
      <c r="I1100" s="40"/>
      <c r="J1100" s="40"/>
      <c r="K1100" s="40"/>
      <c r="L1100" s="40"/>
      <c r="M1100" s="40"/>
      <c r="N1100" s="40"/>
      <c r="O1100" s="40"/>
      <c r="P1100" s="40"/>
      <c r="Q1100" s="40"/>
    </row>
    <row r="1101" spans="7:17">
      <c r="G1101" s="40"/>
      <c r="H1101" s="40"/>
      <c r="I1101" s="40"/>
      <c r="J1101" s="40"/>
      <c r="K1101" s="40"/>
      <c r="L1101" s="40"/>
      <c r="M1101" s="40"/>
      <c r="N1101" s="40"/>
      <c r="O1101" s="40"/>
      <c r="P1101" s="40"/>
      <c r="Q1101" s="40"/>
    </row>
    <row r="1102" spans="7:17">
      <c r="G1102" s="40"/>
      <c r="H1102" s="40"/>
      <c r="I1102" s="40"/>
      <c r="J1102" s="40"/>
      <c r="K1102" s="40"/>
      <c r="L1102" s="40"/>
      <c r="M1102" s="40"/>
      <c r="N1102" s="40"/>
      <c r="O1102" s="40"/>
      <c r="P1102" s="40"/>
      <c r="Q1102" s="40"/>
    </row>
    <row r="1103" spans="7:17">
      <c r="G1103" s="40"/>
      <c r="H1103" s="40"/>
      <c r="I1103" s="40"/>
      <c r="J1103" s="40"/>
      <c r="K1103" s="40"/>
      <c r="L1103" s="40"/>
      <c r="M1103" s="40"/>
      <c r="N1103" s="40"/>
      <c r="O1103" s="40"/>
      <c r="P1103" s="40"/>
      <c r="Q1103" s="40"/>
    </row>
    <row r="1104" spans="7:17">
      <c r="G1104" s="40"/>
      <c r="H1104" s="40"/>
      <c r="I1104" s="40"/>
      <c r="J1104" s="40"/>
      <c r="K1104" s="40"/>
      <c r="L1104" s="40"/>
      <c r="M1104" s="40"/>
      <c r="N1104" s="40"/>
      <c r="O1104" s="40"/>
      <c r="P1104" s="40"/>
      <c r="Q1104" s="40"/>
    </row>
    <row r="1105" spans="7:17">
      <c r="G1105" s="40"/>
      <c r="H1105" s="40"/>
      <c r="I1105" s="40"/>
      <c r="J1105" s="40"/>
      <c r="K1105" s="40"/>
      <c r="L1105" s="40"/>
      <c r="M1105" s="40"/>
      <c r="N1105" s="40"/>
      <c r="O1105" s="40"/>
      <c r="P1105" s="40"/>
      <c r="Q1105" s="40"/>
    </row>
    <row r="1106" spans="7:17">
      <c r="G1106" s="40"/>
      <c r="H1106" s="40"/>
      <c r="I1106" s="40"/>
      <c r="J1106" s="40"/>
      <c r="K1106" s="40"/>
      <c r="L1106" s="40"/>
      <c r="M1106" s="40"/>
      <c r="N1106" s="40"/>
      <c r="O1106" s="40"/>
      <c r="P1106" s="40"/>
      <c r="Q1106" s="40"/>
    </row>
    <row r="1107" spans="7:17">
      <c r="G1107" s="40"/>
      <c r="H1107" s="40"/>
      <c r="I1107" s="40"/>
      <c r="J1107" s="40"/>
      <c r="K1107" s="40"/>
      <c r="L1107" s="40"/>
      <c r="M1107" s="40"/>
      <c r="N1107" s="40"/>
      <c r="O1107" s="40"/>
      <c r="P1107" s="40"/>
      <c r="Q1107" s="40"/>
    </row>
    <row r="1108" spans="7:17">
      <c r="G1108" s="40"/>
      <c r="H1108" s="40"/>
      <c r="I1108" s="40"/>
      <c r="J1108" s="40"/>
      <c r="K1108" s="40"/>
      <c r="L1108" s="40"/>
      <c r="M1108" s="40"/>
      <c r="N1108" s="40"/>
      <c r="O1108" s="40"/>
      <c r="P1108" s="40"/>
      <c r="Q1108" s="40"/>
    </row>
    <row r="1109" spans="7:17">
      <c r="G1109" s="40"/>
      <c r="H1109" s="40"/>
      <c r="I1109" s="40"/>
      <c r="J1109" s="40"/>
      <c r="K1109" s="40"/>
      <c r="L1109" s="40"/>
      <c r="M1109" s="40"/>
      <c r="N1109" s="40"/>
      <c r="O1109" s="40"/>
      <c r="P1109" s="40"/>
      <c r="Q1109" s="40"/>
    </row>
    <row r="1110" spans="7:17">
      <c r="G1110" s="40"/>
      <c r="H1110" s="40"/>
      <c r="I1110" s="40"/>
      <c r="J1110" s="40"/>
      <c r="K1110" s="40"/>
      <c r="L1110" s="40"/>
      <c r="M1110" s="40"/>
      <c r="N1110" s="40"/>
      <c r="O1110" s="40"/>
      <c r="P1110" s="40"/>
      <c r="Q1110" s="40"/>
    </row>
    <row r="1111" spans="7:17">
      <c r="G1111" s="40"/>
      <c r="H1111" s="40"/>
      <c r="I1111" s="40"/>
      <c r="J1111" s="40"/>
      <c r="K1111" s="40"/>
      <c r="L1111" s="40"/>
      <c r="M1111" s="40"/>
      <c r="N1111" s="40"/>
      <c r="O1111" s="40"/>
      <c r="P1111" s="40"/>
      <c r="Q1111" s="40"/>
    </row>
    <row r="1112" spans="7:17">
      <c r="G1112" s="40"/>
      <c r="H1112" s="40"/>
      <c r="I1112" s="40"/>
      <c r="J1112" s="40"/>
      <c r="K1112" s="40"/>
      <c r="L1112" s="40"/>
      <c r="M1112" s="40"/>
      <c r="N1112" s="40"/>
      <c r="O1112" s="40"/>
      <c r="P1112" s="40"/>
      <c r="Q1112" s="40"/>
    </row>
    <row r="1113" spans="7:17">
      <c r="G1113" s="40"/>
      <c r="H1113" s="40"/>
      <c r="I1113" s="40"/>
      <c r="J1113" s="40"/>
      <c r="K1113" s="40"/>
      <c r="L1113" s="40"/>
      <c r="M1113" s="40"/>
      <c r="N1113" s="40"/>
      <c r="O1113" s="40"/>
      <c r="P1113" s="40"/>
      <c r="Q1113" s="40"/>
    </row>
    <row r="1114" spans="7:17">
      <c r="G1114" s="40"/>
      <c r="H1114" s="40"/>
      <c r="I1114" s="40"/>
      <c r="J1114" s="40"/>
      <c r="K1114" s="40"/>
      <c r="L1114" s="40"/>
      <c r="M1114" s="40"/>
      <c r="N1114" s="40"/>
      <c r="O1114" s="40"/>
      <c r="P1114" s="40"/>
      <c r="Q1114" s="40"/>
    </row>
    <row r="1115" spans="7:17">
      <c r="G1115" s="40"/>
      <c r="H1115" s="40"/>
      <c r="I1115" s="40"/>
      <c r="J1115" s="40"/>
      <c r="K1115" s="40"/>
      <c r="L1115" s="40"/>
      <c r="M1115" s="40"/>
      <c r="N1115" s="40"/>
      <c r="O1115" s="40"/>
      <c r="P1115" s="40"/>
      <c r="Q1115" s="40"/>
    </row>
    <row r="1116" spans="7:17">
      <c r="G1116" s="40"/>
      <c r="H1116" s="40"/>
      <c r="I1116" s="40"/>
      <c r="J1116" s="40"/>
      <c r="K1116" s="40"/>
      <c r="L1116" s="40"/>
      <c r="M1116" s="40"/>
      <c r="N1116" s="40"/>
      <c r="O1116" s="40"/>
      <c r="P1116" s="40"/>
      <c r="Q1116" s="40"/>
    </row>
    <row r="1117" spans="7:17">
      <c r="G1117" s="40"/>
      <c r="H1117" s="40"/>
      <c r="I1117" s="40"/>
      <c r="J1117" s="40"/>
      <c r="K1117" s="40"/>
      <c r="L1117" s="40"/>
      <c r="M1117" s="40"/>
      <c r="N1117" s="40"/>
      <c r="O1117" s="40"/>
      <c r="P1117" s="40"/>
      <c r="Q1117" s="40"/>
    </row>
    <row r="1118" spans="7:17">
      <c r="G1118" s="40"/>
      <c r="H1118" s="40"/>
      <c r="I1118" s="40"/>
      <c r="J1118" s="40"/>
      <c r="K1118" s="40"/>
      <c r="L1118" s="40"/>
      <c r="M1118" s="40"/>
      <c r="N1118" s="40"/>
      <c r="O1118" s="40"/>
      <c r="P1118" s="40"/>
      <c r="Q1118" s="40"/>
    </row>
    <row r="1119" spans="7:17">
      <c r="G1119" s="40"/>
      <c r="H1119" s="40"/>
      <c r="I1119" s="40"/>
      <c r="J1119" s="40"/>
      <c r="K1119" s="40"/>
      <c r="L1119" s="40"/>
      <c r="M1119" s="40"/>
      <c r="N1119" s="40"/>
      <c r="O1119" s="40"/>
      <c r="P1119" s="40"/>
      <c r="Q1119" s="40"/>
    </row>
    <row r="1120" spans="7:17">
      <c r="G1120" s="40"/>
      <c r="H1120" s="40"/>
      <c r="I1120" s="40"/>
      <c r="J1120" s="40"/>
      <c r="K1120" s="40"/>
      <c r="L1120" s="40"/>
      <c r="M1120" s="40"/>
      <c r="N1120" s="40"/>
      <c r="O1120" s="40"/>
      <c r="P1120" s="40"/>
      <c r="Q1120" s="40"/>
    </row>
    <row r="1121" spans="7:17">
      <c r="G1121" s="40"/>
      <c r="H1121" s="40"/>
      <c r="I1121" s="40"/>
      <c r="J1121" s="40"/>
      <c r="K1121" s="40"/>
      <c r="L1121" s="40"/>
      <c r="M1121" s="40"/>
      <c r="N1121" s="40"/>
      <c r="O1121" s="40"/>
      <c r="P1121" s="40"/>
      <c r="Q1121" s="40"/>
    </row>
    <row r="1122" spans="7:17">
      <c r="G1122" s="40"/>
      <c r="H1122" s="40"/>
      <c r="I1122" s="40"/>
      <c r="J1122" s="40"/>
      <c r="K1122" s="40"/>
      <c r="L1122" s="40"/>
      <c r="M1122" s="40"/>
      <c r="N1122" s="40"/>
      <c r="O1122" s="40"/>
      <c r="P1122" s="40"/>
      <c r="Q1122" s="40"/>
    </row>
    <row r="1123" spans="7:17">
      <c r="G1123" s="40"/>
      <c r="H1123" s="40"/>
      <c r="I1123" s="40"/>
      <c r="J1123" s="40"/>
      <c r="K1123" s="40"/>
      <c r="L1123" s="40"/>
      <c r="M1123" s="40"/>
      <c r="N1123" s="40"/>
      <c r="O1123" s="40"/>
      <c r="P1123" s="40"/>
      <c r="Q1123" s="40"/>
    </row>
    <row r="1124" spans="7:17">
      <c r="G1124" s="40"/>
      <c r="H1124" s="40"/>
      <c r="I1124" s="40"/>
      <c r="J1124" s="40"/>
      <c r="K1124" s="40"/>
      <c r="L1124" s="40"/>
      <c r="M1124" s="40"/>
      <c r="N1124" s="40"/>
      <c r="O1124" s="40"/>
      <c r="P1124" s="40"/>
      <c r="Q1124" s="40"/>
    </row>
    <row r="1125" spans="7:17">
      <c r="G1125" s="40"/>
      <c r="H1125" s="40"/>
      <c r="I1125" s="40"/>
      <c r="J1125" s="40"/>
      <c r="K1125" s="40"/>
      <c r="L1125" s="40"/>
      <c r="M1125" s="40"/>
      <c r="N1125" s="40"/>
      <c r="O1125" s="40"/>
      <c r="P1125" s="40"/>
      <c r="Q1125" s="40"/>
    </row>
    <row r="1126" spans="7:17">
      <c r="G1126" s="40"/>
      <c r="H1126" s="40"/>
      <c r="I1126" s="40"/>
      <c r="J1126" s="40"/>
      <c r="K1126" s="40"/>
      <c r="L1126" s="40"/>
      <c r="M1126" s="40"/>
      <c r="N1126" s="40"/>
      <c r="O1126" s="40"/>
      <c r="P1126" s="40"/>
      <c r="Q1126" s="40"/>
    </row>
    <row r="1127" spans="7:17">
      <c r="G1127" s="40"/>
      <c r="H1127" s="40"/>
      <c r="I1127" s="40"/>
      <c r="J1127" s="40"/>
      <c r="K1127" s="40"/>
      <c r="L1127" s="40"/>
      <c r="M1127" s="40"/>
      <c r="N1127" s="40"/>
      <c r="O1127" s="40"/>
      <c r="P1127" s="40"/>
      <c r="Q1127" s="40"/>
    </row>
    <row r="1128" spans="7:17">
      <c r="G1128" s="40"/>
      <c r="H1128" s="40"/>
      <c r="I1128" s="40"/>
      <c r="J1128" s="40"/>
      <c r="K1128" s="40"/>
      <c r="L1128" s="40"/>
      <c r="M1128" s="40"/>
      <c r="N1128" s="40"/>
      <c r="O1128" s="40"/>
      <c r="P1128" s="40"/>
      <c r="Q1128" s="40"/>
    </row>
    <row r="1129" spans="7:17">
      <c r="G1129" s="40"/>
      <c r="H1129" s="40"/>
      <c r="I1129" s="40"/>
      <c r="J1129" s="40"/>
      <c r="K1129" s="40"/>
      <c r="L1129" s="40"/>
      <c r="M1129" s="40"/>
      <c r="N1129" s="40"/>
      <c r="O1129" s="40"/>
      <c r="P1129" s="40"/>
      <c r="Q1129" s="40"/>
    </row>
    <row r="1130" spans="7:17">
      <c r="G1130" s="40"/>
      <c r="H1130" s="40"/>
      <c r="I1130" s="40"/>
      <c r="J1130" s="40"/>
      <c r="K1130" s="40"/>
      <c r="L1130" s="40"/>
      <c r="M1130" s="40"/>
      <c r="N1130" s="40"/>
      <c r="O1130" s="40"/>
      <c r="P1130" s="40"/>
      <c r="Q1130" s="40"/>
    </row>
    <row r="1131" spans="7:17">
      <c r="G1131" s="40"/>
      <c r="H1131" s="40"/>
      <c r="I1131" s="40"/>
      <c r="J1131" s="40"/>
      <c r="K1131" s="40"/>
      <c r="L1131" s="40"/>
      <c r="M1131" s="40"/>
      <c r="N1131" s="40"/>
      <c r="O1131" s="40"/>
      <c r="P1131" s="40"/>
      <c r="Q1131" s="40"/>
    </row>
    <row r="1132" spans="7:17">
      <c r="G1132" s="40"/>
      <c r="H1132" s="40"/>
      <c r="I1132" s="40"/>
      <c r="J1132" s="40"/>
      <c r="K1132" s="40"/>
      <c r="L1132" s="40"/>
      <c r="M1132" s="40"/>
      <c r="N1132" s="40"/>
      <c r="O1132" s="40"/>
      <c r="P1132" s="40"/>
      <c r="Q1132" s="40"/>
    </row>
    <row r="1133" spans="7:17">
      <c r="G1133" s="40"/>
      <c r="H1133" s="40"/>
      <c r="I1133" s="40"/>
      <c r="J1133" s="40"/>
      <c r="K1133" s="40"/>
      <c r="L1133" s="40"/>
      <c r="M1133" s="40"/>
      <c r="N1133" s="40"/>
      <c r="O1133" s="40"/>
      <c r="P1133" s="40"/>
      <c r="Q1133" s="40"/>
    </row>
    <row r="1134" spans="7:17">
      <c r="G1134" s="40"/>
      <c r="H1134" s="40"/>
      <c r="I1134" s="40"/>
      <c r="J1134" s="40"/>
      <c r="K1134" s="40"/>
      <c r="L1134" s="40"/>
      <c r="M1134" s="40"/>
      <c r="N1134" s="40"/>
      <c r="O1134" s="40"/>
      <c r="P1134" s="40"/>
      <c r="Q1134" s="40"/>
    </row>
    <row r="1135" spans="7:17">
      <c r="G1135" s="40"/>
      <c r="H1135" s="40"/>
      <c r="I1135" s="40"/>
      <c r="J1135" s="40"/>
      <c r="K1135" s="40"/>
      <c r="L1135" s="40"/>
      <c r="M1135" s="40"/>
      <c r="N1135" s="40"/>
      <c r="O1135" s="40"/>
      <c r="P1135" s="40"/>
      <c r="Q1135" s="40"/>
    </row>
    <row r="1136" spans="7:17">
      <c r="G1136" s="40"/>
      <c r="H1136" s="40"/>
      <c r="I1136" s="40"/>
      <c r="J1136" s="40"/>
      <c r="K1136" s="40"/>
      <c r="L1136" s="40"/>
      <c r="M1136" s="40"/>
      <c r="N1136" s="40"/>
      <c r="O1136" s="40"/>
      <c r="P1136" s="40"/>
      <c r="Q1136" s="40"/>
    </row>
    <row r="1137" spans="7:17">
      <c r="G1137" s="40"/>
      <c r="H1137" s="40"/>
      <c r="I1137" s="40"/>
      <c r="J1137" s="40"/>
      <c r="K1137" s="40"/>
      <c r="L1137" s="40"/>
      <c r="M1137" s="40"/>
      <c r="N1137" s="40"/>
      <c r="O1137" s="40"/>
      <c r="P1137" s="40"/>
      <c r="Q1137" s="40"/>
    </row>
    <row r="1138" spans="7:17">
      <c r="G1138" s="40"/>
      <c r="H1138" s="40"/>
      <c r="I1138" s="40"/>
      <c r="J1138" s="40"/>
      <c r="K1138" s="40"/>
      <c r="L1138" s="40"/>
      <c r="M1138" s="40"/>
      <c r="N1138" s="40"/>
      <c r="O1138" s="40"/>
      <c r="P1138" s="40"/>
      <c r="Q1138" s="40"/>
    </row>
    <row r="1139" spans="7:17">
      <c r="G1139" s="40"/>
      <c r="H1139" s="40"/>
      <c r="I1139" s="40"/>
      <c r="J1139" s="40"/>
      <c r="K1139" s="40"/>
      <c r="L1139" s="40"/>
      <c r="M1139" s="40"/>
      <c r="N1139" s="40"/>
      <c r="O1139" s="40"/>
      <c r="P1139" s="40"/>
      <c r="Q1139" s="40"/>
    </row>
  </sheetData>
  <mergeCells count="10">
    <mergeCell ref="E208:G208"/>
    <mergeCell ref="E202:R202"/>
    <mergeCell ref="E147:R147"/>
    <mergeCell ref="F7:P7"/>
    <mergeCell ref="E88:R88"/>
    <mergeCell ref="A1:R1"/>
    <mergeCell ref="A2:R2"/>
    <mergeCell ref="A54:R54"/>
    <mergeCell ref="E4:R4"/>
    <mergeCell ref="E55:R55"/>
  </mergeCells>
  <phoneticPr fontId="59" type="noConversion"/>
  <pageMargins left="0.5" right="0.5" top="0.63" bottom="0.5" header="0.5" footer="0.5"/>
  <pageSetup scale="71" fitToHeight="2" orientation="landscape" r:id="rId1"/>
  <headerFooter scaleWithDoc="0" alignWithMargins="0">
    <oddFooter>&amp;LStaff_DR_130 Revised-Attachment B&amp;RPage &amp;P of &amp;N</oddFooter>
  </headerFooter>
  <rowBreaks count="4" manualBreakCount="4">
    <brk id="53" max="20" man="1"/>
    <brk id="84" max="20" man="1"/>
    <brk id="141" max="20" man="1"/>
    <brk id="200" max="16383" man="1"/>
  </rowBreaks>
  <ignoredErrors>
    <ignoredError sqref="F75:I75 G60:I60 N60:P60 F25:F26 F45 G61:P61 F16:F18 F36 K75:P75 F31" unlocked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2"/>
  <sheetViews>
    <sheetView tabSelected="1" view="pageBreakPreview" zoomScale="60" zoomScaleNormal="100" workbookViewId="0">
      <selection activeCell="A4" sqref="A4:I4"/>
    </sheetView>
  </sheetViews>
  <sheetFormatPr defaultColWidth="9.140625" defaultRowHeight="15"/>
  <cols>
    <col min="1" max="1" width="7.28515625" style="66" customWidth="1"/>
    <col min="2" max="2" width="17.7109375" style="66" customWidth="1"/>
    <col min="3" max="3" width="17" style="66" customWidth="1"/>
    <col min="4" max="4" width="19" style="66" customWidth="1"/>
    <col min="5" max="6" width="21.42578125" style="69" customWidth="1"/>
    <col min="7" max="7" width="18.85546875" style="66" customWidth="1"/>
    <col min="8" max="8" width="15.28515625" style="69" customWidth="1"/>
    <col min="9" max="9" width="17.5703125" style="66" customWidth="1"/>
    <col min="10" max="10" width="14.140625" style="66" customWidth="1"/>
    <col min="11" max="11" width="16.5703125" style="66" hidden="1" customWidth="1"/>
    <col min="12" max="12" width="12.5703125" style="66" hidden="1" customWidth="1"/>
    <col min="13" max="13" width="22.28515625" style="66" hidden="1" customWidth="1"/>
    <col min="14" max="15" width="0" style="66" hidden="1" customWidth="1"/>
    <col min="16" max="16" width="10.28515625" style="66" hidden="1" customWidth="1"/>
    <col min="17" max="19" width="0" style="66" hidden="1" customWidth="1"/>
    <col min="20" max="20" width="4.42578125" style="66" customWidth="1"/>
    <col min="21" max="21" width="9.7109375" style="66" customWidth="1"/>
    <col min="22" max="22" width="8.42578125" style="66" customWidth="1"/>
    <col min="23" max="23" width="7.5703125" style="66" customWidth="1"/>
    <col min="24" max="24" width="18.7109375" style="66" customWidth="1"/>
    <col min="25" max="25" width="18.7109375" style="66" hidden="1" customWidth="1"/>
    <col min="26" max="27" width="9.140625" style="66"/>
    <col min="28" max="29" width="17" style="66" customWidth="1"/>
    <col min="30" max="16384" width="9.140625" style="66"/>
  </cols>
  <sheetData>
    <row r="1" spans="1:30" s="40" customFormat="1" ht="20.25">
      <c r="A1" s="545"/>
      <c r="B1" s="937" t="s">
        <v>499</v>
      </c>
      <c r="C1" s="937"/>
      <c r="D1" s="937"/>
      <c r="E1" s="937"/>
      <c r="F1" s="937"/>
      <c r="G1" s="937"/>
      <c r="H1" s="937"/>
      <c r="I1" s="937"/>
      <c r="J1" s="937"/>
      <c r="K1" s="545"/>
      <c r="L1" s="545"/>
      <c r="M1" s="545"/>
      <c r="N1" s="545"/>
      <c r="P1" s="41"/>
      <c r="Q1" s="84"/>
    </row>
    <row r="2" spans="1:30" ht="21" thickBot="1">
      <c r="B2" s="947" t="s">
        <v>525</v>
      </c>
      <c r="C2" s="947"/>
      <c r="D2" s="947"/>
      <c r="E2" s="947"/>
      <c r="F2" s="947"/>
      <c r="G2" s="947"/>
      <c r="H2" s="947"/>
      <c r="I2" s="947"/>
      <c r="J2" s="947"/>
    </row>
    <row r="3" spans="1:30">
      <c r="B3" s="67"/>
      <c r="C3" s="67"/>
      <c r="D3" s="67"/>
      <c r="E3" s="68"/>
      <c r="F3" s="68"/>
      <c r="G3" s="67"/>
      <c r="H3" s="68"/>
      <c r="I3" s="67"/>
      <c r="J3" s="67"/>
    </row>
    <row r="4" spans="1:30" ht="15.6" customHeight="1">
      <c r="A4" s="342" t="s">
        <v>3</v>
      </c>
      <c r="B4" s="301"/>
      <c r="C4" s="301"/>
      <c r="D4" s="301"/>
      <c r="E4" s="302" t="s">
        <v>231</v>
      </c>
      <c r="F4" s="302" t="s">
        <v>30</v>
      </c>
      <c r="G4" s="303" t="s">
        <v>113</v>
      </c>
      <c r="H4" s="302" t="s">
        <v>48</v>
      </c>
      <c r="I4" s="303"/>
      <c r="J4" s="304" t="s">
        <v>125</v>
      </c>
      <c r="U4" s="488"/>
      <c r="V4" s="487"/>
      <c r="W4" s="186"/>
    </row>
    <row r="5" spans="1:30" ht="14.45" customHeight="1">
      <c r="A5" s="342" t="s">
        <v>516</v>
      </c>
      <c r="B5" s="305" t="s">
        <v>99</v>
      </c>
      <c r="C5" s="305"/>
      <c r="D5" s="305" t="s">
        <v>100</v>
      </c>
      <c r="E5" s="302" t="s">
        <v>526</v>
      </c>
      <c r="F5" s="302">
        <v>2016</v>
      </c>
      <c r="G5" s="302" t="s">
        <v>119</v>
      </c>
      <c r="H5" s="302" t="s">
        <v>526</v>
      </c>
      <c r="I5" s="303" t="s">
        <v>517</v>
      </c>
      <c r="J5" s="307"/>
      <c r="U5" s="488"/>
      <c r="V5" s="488"/>
      <c r="W5" s="186"/>
      <c r="AB5" s="186"/>
    </row>
    <row r="6" spans="1:30">
      <c r="A6" s="188"/>
      <c r="B6" s="308"/>
      <c r="C6" s="308"/>
      <c r="D6" s="308"/>
      <c r="E6" s="309" t="s">
        <v>121</v>
      </c>
      <c r="F6" s="309" t="s">
        <v>122</v>
      </c>
      <c r="G6" s="309" t="s">
        <v>421</v>
      </c>
      <c r="H6" s="309" t="s">
        <v>123</v>
      </c>
      <c r="I6" s="310" t="s">
        <v>124</v>
      </c>
      <c r="J6" s="309" t="s">
        <v>255</v>
      </c>
      <c r="K6" s="180" t="s">
        <v>258</v>
      </c>
      <c r="L6" s="180" t="s">
        <v>133</v>
      </c>
      <c r="M6" s="181" t="s">
        <v>259</v>
      </c>
      <c r="U6" s="486"/>
      <c r="V6" s="188"/>
      <c r="W6" s="188"/>
      <c r="X6" s="188"/>
      <c r="Y6" s="188"/>
      <c r="Z6" s="186"/>
    </row>
    <row r="7" spans="1:30">
      <c r="A7" s="188">
        <v>1</v>
      </c>
      <c r="B7" s="311" t="s">
        <v>101</v>
      </c>
      <c r="C7" s="311" t="s">
        <v>120</v>
      </c>
      <c r="D7" s="312" t="s">
        <v>102</v>
      </c>
      <c r="E7" s="313">
        <f>'09.2014 Rev Model'!D25</f>
        <v>2462067</v>
      </c>
      <c r="F7" s="313">
        <f>'2016 Customers and Demand'!H6</f>
        <v>2512732</v>
      </c>
      <c r="G7" s="315">
        <f>(F7-E7)/E7</f>
        <v>2.0578237716520308E-2</v>
      </c>
      <c r="H7" s="313">
        <f>'09.2014 Rev Model'!D111</f>
        <v>20927569.5</v>
      </c>
      <c r="I7" s="315">
        <f>H7/$H$25</f>
        <v>4.1856674749836911E-2</v>
      </c>
      <c r="J7" s="315">
        <f>I7*G7</f>
        <v>8.6133660302521709E-4</v>
      </c>
      <c r="K7" s="175">
        <f>E7/$E$27</f>
        <v>0.85482590253375035</v>
      </c>
      <c r="L7" s="176">
        <f>I7-K7</f>
        <v>-0.81296922778391345</v>
      </c>
      <c r="M7" s="179">
        <f>L7*G7</f>
        <v>-1.6729474025553318E-2</v>
      </c>
      <c r="N7" s="173"/>
      <c r="O7" s="183" t="s">
        <v>256</v>
      </c>
      <c r="P7" s="172" t="s">
        <v>257</v>
      </c>
      <c r="Q7" s="173"/>
      <c r="T7" s="391"/>
      <c r="U7" s="485"/>
      <c r="V7" s="189"/>
      <c r="W7" s="187"/>
      <c r="X7" s="187"/>
      <c r="Y7" s="187"/>
      <c r="AB7" s="187"/>
      <c r="AC7" s="187"/>
    </row>
    <row r="8" spans="1:30">
      <c r="A8" s="188">
        <v>2</v>
      </c>
      <c r="B8" s="311" t="s">
        <v>103</v>
      </c>
      <c r="C8" s="311" t="s">
        <v>120</v>
      </c>
      <c r="D8" s="312" t="s">
        <v>104</v>
      </c>
      <c r="E8" s="313">
        <f>'09.2014 Rev Model'!E25</f>
        <v>364551.99999999994</v>
      </c>
      <c r="F8" s="313">
        <f>'2016 Customers and Demand'!H7+'2016 Customers and Demand'!H8</f>
        <v>379313.78865559708</v>
      </c>
      <c r="G8" s="315">
        <f t="shared" ref="G8:G22" si="0">(F8-E8)/E8</f>
        <v>4.0492957535816942E-2</v>
      </c>
      <c r="H8" s="313">
        <f>'09.2014 Rev Model'!E111</f>
        <v>6561935.9999999991</v>
      </c>
      <c r="I8" s="315">
        <f>H8/$H$25</f>
        <v>1.3124353541449033E-2</v>
      </c>
      <c r="J8" s="315">
        <f>I8*G8</f>
        <v>5.3144389063894436E-4</v>
      </c>
      <c r="K8" s="175">
        <f>E8/$E$27</f>
        <v>0.1265718976861652</v>
      </c>
      <c r="L8" s="176">
        <f>I8-K8</f>
        <v>-0.11344754414471617</v>
      </c>
      <c r="M8" s="179">
        <f>L8*G8</f>
        <v>-4.5938265875947095E-3</v>
      </c>
      <c r="N8" s="173"/>
      <c r="O8" s="173"/>
      <c r="P8" s="173"/>
      <c r="T8" s="391"/>
      <c r="U8" s="485"/>
      <c r="V8" s="189"/>
      <c r="W8" s="187"/>
      <c r="X8" s="187"/>
      <c r="Y8" s="187"/>
      <c r="AB8" s="187"/>
      <c r="AC8" s="187"/>
    </row>
    <row r="9" spans="1:30">
      <c r="A9" s="188">
        <v>3</v>
      </c>
      <c r="B9" s="311" t="s">
        <v>105</v>
      </c>
      <c r="C9" s="311" t="s">
        <v>364</v>
      </c>
      <c r="D9" s="312" t="s">
        <v>106</v>
      </c>
      <c r="E9" s="313">
        <f>'09.2014 Rev Model'!F25</f>
        <v>24110</v>
      </c>
      <c r="F9" s="313">
        <f>'2016 Customers and Demand'!H9+'2016 Customers and Demand'!H10</f>
        <v>24225.282700404532</v>
      </c>
      <c r="G9" s="315">
        <f t="shared" si="0"/>
        <v>4.7815305020544206E-3</v>
      </c>
      <c r="H9" s="313">
        <f>'09.2014 Rev Model'!F117</f>
        <v>12055000</v>
      </c>
      <c r="I9" s="315">
        <f t="shared" ref="I9:I10" si="1">H9/$H$25</f>
        <v>2.4110884644740229E-2</v>
      </c>
      <c r="J9" s="315">
        <f t="shared" ref="J9:J10" si="2">I9*G9</f>
        <v>1.1528693036034097E-4</v>
      </c>
      <c r="K9" s="175"/>
      <c r="L9" s="173"/>
      <c r="M9" s="173"/>
      <c r="N9" s="173"/>
      <c r="O9" s="173"/>
      <c r="P9" s="173"/>
      <c r="T9" s="391"/>
      <c r="U9" s="485"/>
      <c r="V9" s="189"/>
      <c r="W9" s="187"/>
      <c r="X9" s="187"/>
      <c r="Y9" s="187"/>
      <c r="AB9" s="187"/>
      <c r="AC9" s="187"/>
    </row>
    <row r="10" spans="1:30">
      <c r="A10" s="188">
        <v>4</v>
      </c>
      <c r="B10" s="311" t="s">
        <v>107</v>
      </c>
      <c r="C10" s="311" t="s">
        <v>364</v>
      </c>
      <c r="D10" s="312" t="s">
        <v>108</v>
      </c>
      <c r="E10" s="313">
        <f>'09.2014 Rev Model'!G25</f>
        <v>252</v>
      </c>
      <c r="F10" s="313">
        <f>'2016 Customers and Demand'!H11</f>
        <v>251.68890808275614</v>
      </c>
      <c r="G10" s="315">
        <f t="shared" si="0"/>
        <v>-1.234491735094671E-3</v>
      </c>
      <c r="H10" s="313">
        <f>'09.2014 Rev Model'!G117</f>
        <v>5292000</v>
      </c>
      <c r="I10" s="315">
        <f t="shared" si="1"/>
        <v>1.0584388348400272E-2</v>
      </c>
      <c r="J10" s="315">
        <f t="shared" si="2"/>
        <v>-1.3066339937132471E-5</v>
      </c>
      <c r="K10" s="175"/>
      <c r="L10" s="173"/>
      <c r="M10" s="173"/>
      <c r="N10" s="173"/>
      <c r="O10" s="173"/>
      <c r="P10" s="173"/>
      <c r="T10" s="391"/>
      <c r="U10" s="485"/>
      <c r="V10" s="189"/>
      <c r="W10" s="187"/>
      <c r="X10" s="187"/>
      <c r="Y10" s="187"/>
      <c r="AB10" s="187"/>
      <c r="AC10" s="187"/>
    </row>
    <row r="11" spans="1:30">
      <c r="A11" s="188">
        <v>5</v>
      </c>
      <c r="B11" s="311" t="s">
        <v>109</v>
      </c>
      <c r="C11" s="311" t="s">
        <v>120</v>
      </c>
      <c r="D11" s="312" t="s">
        <v>110</v>
      </c>
      <c r="E11" s="313">
        <f>'09.2014 Rev Model'!H25</f>
        <v>29215.99999999996</v>
      </c>
      <c r="F11" s="313">
        <f>'2016 Customers and Demand'!H13+'2016 Customers and Demand'!H14+'2016 Customers and Demand'!H15</f>
        <v>34477.714392681184</v>
      </c>
      <c r="G11" s="315">
        <f t="shared" si="0"/>
        <v>0.18009701508355802</v>
      </c>
      <c r="H11" s="313">
        <f>'09.2014 Rev Model'!H111</f>
        <v>525887.9999999993</v>
      </c>
      <c r="I11" s="315">
        <f t="shared" ref="I11:I22" si="3">H11/$H$25</f>
        <v>1.0518145917920475E-3</v>
      </c>
      <c r="J11" s="316">
        <f>I11*G11</f>
        <v>1.8942866840307882E-4</v>
      </c>
      <c r="K11" s="175">
        <f>E11/$E$28</f>
        <v>5.1674664491588651E-6</v>
      </c>
      <c r="L11" s="176">
        <f>I11-K11</f>
        <v>1.0466471253428886E-3</v>
      </c>
      <c r="M11" s="179">
        <f>L11*G11</f>
        <v>1.8849802312004084E-4</v>
      </c>
      <c r="N11" s="174">
        <f>SUM(M7:M11)</f>
        <v>-2.1134802590027989E-2</v>
      </c>
      <c r="O11" s="174">
        <f>SUM(I7:I11)</f>
        <v>9.0728115876218485E-2</v>
      </c>
      <c r="P11" s="177">
        <f>N11*O11</f>
        <v>-1.9175208184090619E-3</v>
      </c>
      <c r="T11" s="391"/>
      <c r="U11" s="485"/>
      <c r="V11" s="189"/>
      <c r="W11" s="187"/>
      <c r="X11" s="187"/>
      <c r="Y11" s="187"/>
      <c r="AB11" s="187"/>
      <c r="AC11" s="187"/>
    </row>
    <row r="12" spans="1:30">
      <c r="A12" s="188">
        <v>6</v>
      </c>
      <c r="B12" s="317" t="s">
        <v>111</v>
      </c>
      <c r="C12" s="317" t="s">
        <v>120</v>
      </c>
      <c r="D12" s="317" t="s">
        <v>112</v>
      </c>
      <c r="E12" s="318"/>
      <c r="F12" s="318"/>
      <c r="G12" s="319"/>
      <c r="H12" s="318"/>
      <c r="I12" s="319"/>
      <c r="J12" s="319"/>
      <c r="K12" s="173"/>
      <c r="L12" s="173"/>
      <c r="M12" s="173"/>
      <c r="N12" s="173"/>
      <c r="O12" s="173"/>
      <c r="P12" s="173"/>
      <c r="U12" s="187"/>
      <c r="V12" s="187"/>
      <c r="W12" s="187"/>
      <c r="X12" s="187"/>
      <c r="Y12" s="187"/>
      <c r="AB12" s="187"/>
      <c r="AC12" s="187"/>
    </row>
    <row r="13" spans="1:30">
      <c r="A13" s="188">
        <v>7</v>
      </c>
      <c r="B13" s="311" t="s">
        <v>101</v>
      </c>
      <c r="C13" s="311" t="s">
        <v>114</v>
      </c>
      <c r="D13" s="312" t="s">
        <v>102</v>
      </c>
      <c r="E13" s="313">
        <f>'09.2014 Rev Model'!D23</f>
        <v>2378478031</v>
      </c>
      <c r="F13" s="313">
        <f>'2016 Forecast Energy'!D5</f>
        <v>2447894612.94909</v>
      </c>
      <c r="G13" s="315">
        <f t="shared" si="0"/>
        <v>2.9185294564148111E-2</v>
      </c>
      <c r="H13" s="313">
        <f>'09.2014 Rev Model'!D152-H7</f>
        <v>193913529.98999998</v>
      </c>
      <c r="I13" s="315">
        <f t="shared" si="3"/>
        <v>0.38784129014046159</v>
      </c>
      <c r="J13" s="315">
        <f t="shared" ref="J13:J18" si="4">I13*G13</f>
        <v>1.1319262296888604E-2</v>
      </c>
      <c r="K13" s="175">
        <f t="shared" ref="K13:K18" si="5">E13/$E$28</f>
        <v>0.42068405754565841</v>
      </c>
      <c r="L13" s="176">
        <f>I13-K13</f>
        <v>-3.2842767405196815E-2</v>
      </c>
      <c r="M13" s="179">
        <f t="shared" ref="M13:M18" si="6">L13*G13</f>
        <v>-9.5852584102247139E-4</v>
      </c>
      <c r="N13" s="173"/>
      <c r="O13" s="173"/>
      <c r="P13" s="173"/>
      <c r="U13" s="485"/>
      <c r="V13" s="189"/>
      <c r="W13" s="189"/>
      <c r="X13" s="187"/>
      <c r="Y13" s="187"/>
      <c r="Z13" s="189"/>
      <c r="AA13" s="189"/>
      <c r="AB13" s="187"/>
      <c r="AC13" s="187"/>
      <c r="AD13" s="189"/>
    </row>
    <row r="14" spans="1:30">
      <c r="A14" s="188">
        <v>8</v>
      </c>
      <c r="B14" s="311" t="s">
        <v>103</v>
      </c>
      <c r="C14" s="311" t="s">
        <v>114</v>
      </c>
      <c r="D14" s="312" t="s">
        <v>104</v>
      </c>
      <c r="E14" s="313">
        <f>'09.2014 Rev Model'!E23</f>
        <v>588401236</v>
      </c>
      <c r="F14" s="313">
        <f>'2016 Forecast Energy'!D6+'2016 Forecast Energy'!D7</f>
        <v>591388923.24195552</v>
      </c>
      <c r="G14" s="315">
        <f t="shared" si="0"/>
        <v>5.0776359041426605E-3</v>
      </c>
      <c r="H14" s="313">
        <f>'09.2014 Rev Model'!E152-H8-H20</f>
        <v>62328506.609999999</v>
      </c>
      <c r="I14" s="315">
        <f t="shared" si="3"/>
        <v>0.12466158713833586</v>
      </c>
      <c r="J14" s="315">
        <f t="shared" si="4"/>
        <v>6.3298615072102311E-4</v>
      </c>
      <c r="K14" s="175">
        <f t="shared" si="5"/>
        <v>0.10407118173855462</v>
      </c>
      <c r="L14" s="176">
        <f t="shared" ref="L14:L22" si="7">I14-K14</f>
        <v>2.0590405399781242E-2</v>
      </c>
      <c r="M14" s="179">
        <f t="shared" si="6"/>
        <v>1.0455058173878214E-4</v>
      </c>
      <c r="N14" s="173"/>
      <c r="O14" s="173"/>
      <c r="P14" s="173"/>
      <c r="U14" s="485"/>
      <c r="V14" s="189"/>
      <c r="W14" s="189"/>
      <c r="X14" s="187"/>
      <c r="Y14" s="187"/>
      <c r="Z14" s="189"/>
      <c r="AA14" s="189"/>
      <c r="AB14" s="187"/>
      <c r="AC14" s="187"/>
      <c r="AD14" s="189"/>
    </row>
    <row r="15" spans="1:30">
      <c r="A15" s="188">
        <v>9</v>
      </c>
      <c r="B15" s="311" t="s">
        <v>105</v>
      </c>
      <c r="C15" s="311" t="s">
        <v>114</v>
      </c>
      <c r="D15" s="312" t="s">
        <v>106</v>
      </c>
      <c r="E15" s="313">
        <f>'09.2014 Rev Model'!F23</f>
        <v>1419228270.9999998</v>
      </c>
      <c r="F15" s="313">
        <f>'2016 Forecast Energy'!D8+'2016 Forecast Energy'!D9+'2016 Forecast Energy'!D11</f>
        <v>1431149605.8904219</v>
      </c>
      <c r="G15" s="315">
        <f t="shared" si="0"/>
        <v>8.3998713484070026E-3</v>
      </c>
      <c r="H15" s="313">
        <f>'09.2014 Rev Model'!F152-H9-H21</f>
        <v>101678503.13000001</v>
      </c>
      <c r="I15" s="315">
        <f t="shared" si="3"/>
        <v>0.20336446784050505</v>
      </c>
      <c r="J15" s="315">
        <f t="shared" si="4"/>
        <v>1.7082353666974957E-3</v>
      </c>
      <c r="K15" s="175">
        <f t="shared" si="5"/>
        <v>0.25102048446365877</v>
      </c>
      <c r="L15" s="176">
        <f t="shared" si="7"/>
        <v>-4.7656016623153719E-2</v>
      </c>
      <c r="M15" s="179">
        <f t="shared" si="6"/>
        <v>-4.0030440861203677E-4</v>
      </c>
      <c r="N15" s="173"/>
      <c r="O15" s="173"/>
      <c r="P15" s="173"/>
      <c r="U15" s="485"/>
      <c r="V15" s="189"/>
      <c r="W15" s="189"/>
      <c r="X15" s="187"/>
      <c r="Y15" s="187"/>
      <c r="Z15" s="189"/>
      <c r="AA15" s="189"/>
      <c r="AB15" s="187"/>
      <c r="AC15" s="187"/>
      <c r="AD15" s="189"/>
    </row>
    <row r="16" spans="1:30">
      <c r="A16" s="188">
        <v>10</v>
      </c>
      <c r="B16" s="311" t="s">
        <v>107</v>
      </c>
      <c r="C16" s="311" t="s">
        <v>114</v>
      </c>
      <c r="D16" s="312" t="s">
        <v>108</v>
      </c>
      <c r="E16" s="313">
        <f>'09.2014 Rev Model'!G23</f>
        <v>1105372136</v>
      </c>
      <c r="F16" s="313">
        <f>'2016 Forecast Energy'!D10</f>
        <v>1114987712.0720894</v>
      </c>
      <c r="G16" s="315">
        <f t="shared" si="0"/>
        <v>8.6989492126020394E-3</v>
      </c>
      <c r="H16" s="313">
        <f>'09.2014 Rev Model'!G152-H10-H22</f>
        <v>53481705.540000007</v>
      </c>
      <c r="I16" s="315">
        <f t="shared" si="3"/>
        <v>0.10696733578423098</v>
      </c>
      <c r="J16" s="315">
        <f t="shared" si="4"/>
        <v>9.305034213943741E-4</v>
      </c>
      <c r="K16" s="175">
        <f t="shared" si="5"/>
        <v>0.1955084004180955</v>
      </c>
      <c r="L16" s="176">
        <f t="shared" si="7"/>
        <v>-8.8541064633864519E-2</v>
      </c>
      <c r="M16" s="179">
        <f t="shared" si="6"/>
        <v>-7.7021422447970205E-4</v>
      </c>
      <c r="N16" s="173"/>
      <c r="O16" s="173"/>
      <c r="P16" s="173"/>
      <c r="U16" s="485"/>
      <c r="V16" s="189"/>
      <c r="W16" s="189"/>
      <c r="X16" s="187"/>
      <c r="Y16" s="187"/>
      <c r="Z16" s="189"/>
      <c r="AA16" s="189"/>
      <c r="AB16" s="187"/>
      <c r="AC16" s="187"/>
      <c r="AD16" s="189"/>
    </row>
    <row r="17" spans="1:30">
      <c r="A17" s="188">
        <v>11</v>
      </c>
      <c r="B17" s="311" t="s">
        <v>109</v>
      </c>
      <c r="C17" s="311" t="s">
        <v>114</v>
      </c>
      <c r="D17" s="312" t="s">
        <v>110</v>
      </c>
      <c r="E17" s="313">
        <f>'09.2014 Rev Model'!H23</f>
        <v>137227044</v>
      </c>
      <c r="F17" s="313">
        <f>'2016 Forecast Energy'!D12+'2016 Forecast Energy'!D13</f>
        <v>131725347.36303267</v>
      </c>
      <c r="G17" s="315">
        <f t="shared" si="0"/>
        <v>-4.0091927047319703E-2</v>
      </c>
      <c r="H17" s="313">
        <f>'09.2014 Rev Model'!H152-H11-H23</f>
        <v>10944582.789999997</v>
      </c>
      <c r="I17" s="315">
        <f>H17/$H$25</f>
        <v>2.1889968737826553E-2</v>
      </c>
      <c r="J17" s="316">
        <f t="shared" si="4"/>
        <v>-8.7761102970505107E-4</v>
      </c>
      <c r="K17" s="175">
        <f t="shared" si="5"/>
        <v>2.4271500061173616E-2</v>
      </c>
      <c r="L17" s="176">
        <f t="shared" si="7"/>
        <v>-2.3815313233470636E-3</v>
      </c>
      <c r="M17" s="179">
        <f t="shared" si="6"/>
        <v>9.5480180076537233E-5</v>
      </c>
      <c r="N17" s="173"/>
      <c r="O17" s="173"/>
      <c r="P17" s="173"/>
      <c r="U17" s="485"/>
      <c r="V17" s="189"/>
      <c r="W17" s="189"/>
      <c r="X17" s="187"/>
      <c r="Y17" s="187"/>
      <c r="Z17" s="189"/>
      <c r="AA17" s="189"/>
      <c r="AB17" s="187"/>
      <c r="AC17" s="187"/>
      <c r="AD17" s="189"/>
    </row>
    <row r="18" spans="1:30">
      <c r="A18" s="188">
        <v>12</v>
      </c>
      <c r="B18" s="317" t="s">
        <v>111</v>
      </c>
      <c r="C18" s="317" t="s">
        <v>114</v>
      </c>
      <c r="D18" s="317" t="s">
        <v>112</v>
      </c>
      <c r="E18" s="318">
        <f>'09.2014 Rev Model'!I23</f>
        <v>25127765</v>
      </c>
      <c r="F18" s="318">
        <f>'2016 Forecast Energy'!D14</f>
        <v>24890112.090452805</v>
      </c>
      <c r="G18" s="319">
        <f t="shared" si="0"/>
        <v>-9.4577814440398832E-3</v>
      </c>
      <c r="H18" s="318">
        <f>'09.2014 Rev Model'!I152</f>
        <v>7019745.6002651993</v>
      </c>
      <c r="I18" s="319">
        <f t="shared" si="3"/>
        <v>1.4040006337902694E-2</v>
      </c>
      <c r="J18" s="319">
        <f t="shared" si="4"/>
        <v>-1.3278731141681845E-4</v>
      </c>
      <c r="K18" s="175">
        <f t="shared" si="5"/>
        <v>4.444375772859002E-3</v>
      </c>
      <c r="L18" s="176">
        <f t="shared" si="7"/>
        <v>9.5956305650436932E-3</v>
      </c>
      <c r="M18" s="179">
        <f t="shared" si="6"/>
        <v>-9.0753376701932184E-5</v>
      </c>
      <c r="N18" s="174">
        <f>SUM(M13:M18)</f>
        <v>-2.0197670890008228E-3</v>
      </c>
      <c r="O18" s="174">
        <f>SUM(I13:I18)</f>
        <v>0.85876465597926277</v>
      </c>
      <c r="P18" s="177">
        <f>N18*O18</f>
        <v>-1.7345045893440287E-3</v>
      </c>
      <c r="U18" s="485"/>
      <c r="V18" s="189"/>
      <c r="W18" s="189"/>
      <c r="X18" s="187"/>
      <c r="Y18" s="187"/>
      <c r="Z18" s="189"/>
      <c r="AA18" s="189"/>
      <c r="AB18" s="187"/>
      <c r="AC18" s="187"/>
      <c r="AD18" s="189"/>
    </row>
    <row r="19" spans="1:30">
      <c r="A19" s="188">
        <v>13</v>
      </c>
      <c r="B19" s="311" t="s">
        <v>101</v>
      </c>
      <c r="C19" s="311" t="s">
        <v>115</v>
      </c>
      <c r="D19" s="312" t="s">
        <v>102</v>
      </c>
      <c r="E19" s="313"/>
      <c r="F19" s="320"/>
      <c r="G19" s="315"/>
      <c r="H19" s="313">
        <v>0</v>
      </c>
      <c r="I19" s="315"/>
      <c r="J19" s="315"/>
      <c r="K19" s="178"/>
      <c r="L19" s="176"/>
      <c r="M19" s="179"/>
      <c r="N19" s="173"/>
      <c r="O19" s="173"/>
      <c r="P19" s="173"/>
      <c r="U19" s="187"/>
      <c r="V19" s="187"/>
      <c r="W19" s="187"/>
      <c r="X19" s="187"/>
      <c r="Y19" s="187"/>
      <c r="Z19" s="189"/>
      <c r="AA19" s="189"/>
      <c r="AB19" s="187"/>
      <c r="AC19" s="187"/>
    </row>
    <row r="20" spans="1:30">
      <c r="A20" s="188">
        <v>14</v>
      </c>
      <c r="B20" s="311" t="s">
        <v>103</v>
      </c>
      <c r="C20" s="311" t="s">
        <v>115</v>
      </c>
      <c r="D20" s="312" t="s">
        <v>104</v>
      </c>
      <c r="E20" s="313">
        <f>'09.2014 Rev Model'!E27</f>
        <v>402284</v>
      </c>
      <c r="F20" s="313">
        <f>'2016 Customers and Demand'!G42+'2016 Customers and Demand'!G43</f>
        <v>364641</v>
      </c>
      <c r="G20" s="315">
        <f t="shared" si="0"/>
        <v>-9.3573197044873768E-2</v>
      </c>
      <c r="H20" s="313">
        <f>'09.2014 Rev Model'!E118</f>
        <v>2413704</v>
      </c>
      <c r="I20" s="315">
        <f t="shared" si="3"/>
        <v>4.8275851273785206E-3</v>
      </c>
      <c r="J20" s="315">
        <f>I20*G20</f>
        <v>-4.5173257437509235E-4</v>
      </c>
      <c r="K20" s="179">
        <f>E20/$E$29</f>
        <v>9.0866400298337341E-2</v>
      </c>
      <c r="L20" s="176">
        <f t="shared" si="7"/>
        <v>-8.6038815170958821E-2</v>
      </c>
      <c r="M20" s="179">
        <f>L20*G20</f>
        <v>8.0509270054996036E-3</v>
      </c>
      <c r="N20" s="173"/>
      <c r="O20" s="173"/>
      <c r="P20" s="173"/>
      <c r="U20" s="485"/>
      <c r="V20" s="189"/>
      <c r="W20" s="187"/>
      <c r="X20" s="187"/>
      <c r="Y20" s="187"/>
      <c r="Z20" s="189"/>
      <c r="AA20" s="189"/>
      <c r="AB20" s="187"/>
      <c r="AC20" s="187"/>
    </row>
    <row r="21" spans="1:30">
      <c r="A21" s="188">
        <v>15</v>
      </c>
      <c r="B21" s="311" t="s">
        <v>105</v>
      </c>
      <c r="C21" s="311" t="s">
        <v>115</v>
      </c>
      <c r="D21" s="312" t="s">
        <v>106</v>
      </c>
      <c r="E21" s="313">
        <f>'09.2014 Rev Model'!F27</f>
        <v>2748136</v>
      </c>
      <c r="F21" s="313">
        <f>'2016 Customers and Demand'!G44+'2016 Customers and Demand'!G45</f>
        <v>2697553.041666667</v>
      </c>
      <c r="G21" s="315">
        <f t="shared" si="0"/>
        <v>-1.8406279140964283E-2</v>
      </c>
      <c r="H21" s="313">
        <f>'09.2014 Rev Model'!F118+'09.2014 Rev Model'!F120</f>
        <v>16418326</v>
      </c>
      <c r="I21" s="315">
        <f t="shared" si="3"/>
        <v>3.2837856843279903E-2</v>
      </c>
      <c r="J21" s="315">
        <f>I21*G21</f>
        <v>-6.0442275944843412E-4</v>
      </c>
      <c r="K21" s="179">
        <f>E21/$E$29</f>
        <v>0.62073864695158543</v>
      </c>
      <c r="L21" s="176">
        <f t="shared" si="7"/>
        <v>-0.58790079010830554</v>
      </c>
      <c r="M21" s="179">
        <f>L21*G21</f>
        <v>1.0821066049926926E-2</v>
      </c>
      <c r="N21" s="173"/>
      <c r="O21" s="173"/>
      <c r="P21" s="173"/>
      <c r="U21" s="879"/>
      <c r="V21" s="189"/>
      <c r="W21" s="187"/>
      <c r="X21" s="187"/>
      <c r="Y21" s="187"/>
      <c r="Z21" s="189"/>
      <c r="AA21" s="189"/>
      <c r="AB21" s="187"/>
      <c r="AC21" s="187"/>
    </row>
    <row r="22" spans="1:30">
      <c r="A22" s="188">
        <v>16</v>
      </c>
      <c r="B22" s="311" t="s">
        <v>107</v>
      </c>
      <c r="C22" s="311" t="s">
        <v>115</v>
      </c>
      <c r="D22" s="312" t="s">
        <v>108</v>
      </c>
      <c r="E22" s="313">
        <f>'09.2014 Rev Model'!G27</f>
        <v>1276783</v>
      </c>
      <c r="F22" s="313">
        <f>'2016 Customers and Demand'!G46</f>
        <v>1168073</v>
      </c>
      <c r="G22" s="315">
        <f t="shared" si="0"/>
        <v>-8.5143677508237495E-2</v>
      </c>
      <c r="H22" s="313">
        <f>'09.2014 Rev Model'!G118+'09.2014 Rev Model'!G120</f>
        <v>6420657.5</v>
      </c>
      <c r="I22" s="315">
        <f t="shared" si="3"/>
        <v>1.2841786173860323E-2</v>
      </c>
      <c r="J22" s="315">
        <f>I22*G22</f>
        <v>-1.0933969006169063E-3</v>
      </c>
      <c r="K22" s="179">
        <f>E22/$E$29</f>
        <v>0.2883949527500772</v>
      </c>
      <c r="L22" s="176">
        <f t="shared" si="7"/>
        <v>-0.27555316657621687</v>
      </c>
      <c r="M22" s="179">
        <f>L22*G22</f>
        <v>2.3461609951339057E-2</v>
      </c>
      <c r="N22" s="174">
        <f>SUM(M20:M22)</f>
        <v>4.2333603006765586E-2</v>
      </c>
      <c r="O22" s="174">
        <f>SUM(I20:I22)</f>
        <v>5.0507228144518745E-2</v>
      </c>
      <c r="P22" s="177">
        <f>N22*O22</f>
        <v>2.1381529452421943E-3</v>
      </c>
      <c r="U22" s="485"/>
      <c r="V22" s="189"/>
      <c r="W22" s="187"/>
      <c r="X22" s="187"/>
      <c r="Y22" s="187"/>
      <c r="Z22" s="189"/>
      <c r="AA22" s="189"/>
      <c r="AB22" s="187"/>
      <c r="AC22" s="187"/>
    </row>
    <row r="23" spans="1:30">
      <c r="A23" s="188">
        <v>17</v>
      </c>
      <c r="B23" s="311" t="s">
        <v>109</v>
      </c>
      <c r="C23" s="311" t="s">
        <v>115</v>
      </c>
      <c r="D23" s="312" t="s">
        <v>110</v>
      </c>
      <c r="E23" s="313"/>
      <c r="F23" s="321"/>
      <c r="G23" s="322"/>
      <c r="H23" s="313"/>
      <c r="I23" s="315"/>
      <c r="J23" s="315"/>
      <c r="N23" s="173"/>
      <c r="O23" s="173"/>
      <c r="P23" s="173"/>
      <c r="U23" s="187"/>
      <c r="V23" s="187"/>
      <c r="W23" s="187"/>
      <c r="X23" s="187"/>
      <c r="Y23" s="187"/>
      <c r="Z23" s="189"/>
      <c r="AA23" s="189"/>
      <c r="AB23" s="187"/>
      <c r="AC23" s="187"/>
    </row>
    <row r="24" spans="1:30" ht="15.75" thickBot="1">
      <c r="A24" s="188">
        <v>18</v>
      </c>
      <c r="B24" s="323" t="s">
        <v>111</v>
      </c>
      <c r="C24" s="323" t="s">
        <v>115</v>
      </c>
      <c r="D24" s="323" t="s">
        <v>112</v>
      </c>
      <c r="E24" s="406"/>
      <c r="F24" s="324"/>
      <c r="G24" s="325"/>
      <c r="H24" s="406"/>
      <c r="I24" s="326"/>
      <c r="J24" s="316"/>
      <c r="M24" s="548"/>
      <c r="N24" s="173"/>
      <c r="O24" s="174">
        <f>O11+O18+O22</f>
        <v>1</v>
      </c>
      <c r="P24" s="174">
        <f>P11+P18+P22</f>
        <v>-1.5138724625108962E-3</v>
      </c>
      <c r="U24" s="187"/>
      <c r="V24" s="187"/>
      <c r="W24" s="187"/>
      <c r="X24" s="187"/>
      <c r="Y24" s="187"/>
      <c r="Z24" s="189"/>
      <c r="AA24" s="189"/>
      <c r="AB24" s="187"/>
      <c r="AC24" s="187"/>
    </row>
    <row r="25" spans="1:30" ht="16.5" thickTop="1" thickBot="1">
      <c r="A25" s="188">
        <v>19</v>
      </c>
      <c r="B25" s="301" t="s">
        <v>8</v>
      </c>
      <c r="C25" s="301"/>
      <c r="D25" s="301"/>
      <c r="E25" s="313"/>
      <c r="F25" s="327"/>
      <c r="G25" s="304"/>
      <c r="H25" s="432">
        <f>SUM(H7:H24)</f>
        <v>499981654.66026521</v>
      </c>
      <c r="I25" s="315">
        <f>SUM(I7:I24)</f>
        <v>1</v>
      </c>
      <c r="J25" s="490">
        <f>SUM(J7:J24)</f>
        <v>1.3115466412629643E-2</v>
      </c>
      <c r="K25" s="182"/>
      <c r="L25" s="182"/>
      <c r="M25" s="182"/>
      <c r="P25" s="174">
        <f>J25-P24</f>
        <v>1.4629338875140539E-2</v>
      </c>
      <c r="V25" s="328"/>
    </row>
    <row r="26" spans="1:30" ht="16.5" thickTop="1" thickBot="1">
      <c r="A26" s="188"/>
      <c r="B26" s="301"/>
      <c r="C26" s="301"/>
      <c r="D26" s="301"/>
      <c r="E26" s="313"/>
      <c r="F26" s="327"/>
      <c r="G26" s="329"/>
      <c r="H26" s="432"/>
      <c r="I26" s="314"/>
      <c r="J26" s="328"/>
    </row>
    <row r="27" spans="1:30">
      <c r="A27" s="188"/>
      <c r="B27" s="438" t="s">
        <v>130</v>
      </c>
      <c r="C27" s="439"/>
      <c r="D27" s="439"/>
      <c r="E27" s="407">
        <f>SUM(E7:E12)</f>
        <v>2880197</v>
      </c>
      <c r="F27" s="407">
        <f>SUM(F7:F12)</f>
        <v>2951000.4746567658</v>
      </c>
      <c r="G27" s="440">
        <f t="shared" ref="G27:G29" si="8">(F27-E27)/E27</f>
        <v>2.4582858275585252E-2</v>
      </c>
      <c r="H27" s="441"/>
      <c r="I27" s="440"/>
      <c r="J27" s="442"/>
    </row>
    <row r="28" spans="1:30">
      <c r="A28" s="188"/>
      <c r="B28" s="443" t="s">
        <v>131</v>
      </c>
      <c r="C28" s="306"/>
      <c r="D28" s="306"/>
      <c r="E28" s="408">
        <f>SUM(E13:E18)</f>
        <v>5653834483</v>
      </c>
      <c r="F28" s="408">
        <f>SUM(F13:F18)</f>
        <v>5742036313.6070423</v>
      </c>
      <c r="G28" s="315">
        <f t="shared" si="8"/>
        <v>1.5600355983580411E-2</v>
      </c>
      <c r="H28" s="444"/>
      <c r="I28" s="316"/>
      <c r="J28" s="445"/>
    </row>
    <row r="29" spans="1:30">
      <c r="A29" s="188"/>
      <c r="B29" s="443" t="s">
        <v>132</v>
      </c>
      <c r="C29" s="306"/>
      <c r="D29" s="306"/>
      <c r="E29" s="408">
        <f>SUM(E19:E24)</f>
        <v>4427203</v>
      </c>
      <c r="F29" s="408">
        <f>SUM(F19:F24)</f>
        <v>4230267.041666667</v>
      </c>
      <c r="G29" s="315">
        <f t="shared" si="8"/>
        <v>-4.4483155241206024E-2</v>
      </c>
      <c r="H29" s="444"/>
      <c r="I29" s="316"/>
      <c r="J29" s="445"/>
    </row>
    <row r="30" spans="1:30" ht="15.75" thickBot="1">
      <c r="A30" s="188"/>
      <c r="B30" s="446"/>
      <c r="C30" s="447"/>
      <c r="D30" s="447"/>
      <c r="E30" s="409"/>
      <c r="F30" s="409"/>
      <c r="G30" s="448"/>
      <c r="H30" s="409"/>
      <c r="I30" s="448"/>
      <c r="J30" s="449"/>
    </row>
    <row r="31" spans="1:30">
      <c r="A31" s="188"/>
      <c r="B31" s="307"/>
      <c r="C31" s="307"/>
      <c r="D31" s="307"/>
      <c r="E31" s="307"/>
      <c r="F31" s="307"/>
      <c r="G31" s="307"/>
      <c r="H31" s="307"/>
      <c r="I31" s="307"/>
      <c r="J31" s="307"/>
    </row>
    <row r="32" spans="1:30">
      <c r="A32" s="188"/>
      <c r="B32" s="330"/>
      <c r="C32" s="330"/>
      <c r="D32" s="330"/>
      <c r="E32" s="307"/>
      <c r="F32" s="307"/>
      <c r="G32" s="330"/>
      <c r="H32" s="450"/>
      <c r="I32" s="451"/>
      <c r="J32" s="316"/>
      <c r="Z32" s="190"/>
      <c r="AD32" s="190"/>
    </row>
  </sheetData>
  <mergeCells count="2">
    <mergeCell ref="B2:J2"/>
    <mergeCell ref="B1:J1"/>
  </mergeCells>
  <phoneticPr fontId="53" type="noConversion"/>
  <pageMargins left="0.84" right="0.88" top="1" bottom="0.75" header="0.28999999999999998" footer="0.3"/>
  <pageSetup scale="71" orientation="landscape" r:id="rId1"/>
  <headerFooter scaleWithDoc="0">
    <oddFooter>&amp;LStaff_DR_130 Revised-Attachment B&amp;RPage &amp;P of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59999389629810485"/>
  </sheetPr>
  <dimension ref="A2:R300"/>
  <sheetViews>
    <sheetView workbookViewId="0">
      <selection activeCell="I55" sqref="I55"/>
    </sheetView>
  </sheetViews>
  <sheetFormatPr defaultColWidth="10.7109375" defaultRowHeight="11.25"/>
  <cols>
    <col min="1" max="1" width="9.7109375" style="93" customWidth="1"/>
    <col min="2" max="2" width="25.7109375" style="95" customWidth="1"/>
    <col min="3" max="4" width="11.85546875" style="95" customWidth="1"/>
    <col min="5" max="5" width="11.5703125" style="95" customWidth="1"/>
    <col min="6" max="6" width="11.85546875" style="95" customWidth="1"/>
    <col min="7" max="7" width="11.7109375" style="95" customWidth="1"/>
    <col min="8" max="8" width="11.28515625" style="95" customWidth="1"/>
    <col min="9" max="9" width="11.85546875" style="95" customWidth="1"/>
    <col min="10" max="10" width="10.7109375" style="95" customWidth="1"/>
    <col min="11" max="11" width="3.7109375" style="95" customWidth="1"/>
    <col min="12" max="12" width="13.28515625" style="95" customWidth="1"/>
    <col min="13" max="13" width="3.7109375" style="95" customWidth="1"/>
    <col min="14" max="15" width="10.7109375" style="95" customWidth="1"/>
    <col min="16" max="16" width="35.7109375" style="95" customWidth="1"/>
    <col min="17" max="16384" width="10.7109375" style="95"/>
  </cols>
  <sheetData>
    <row r="2" spans="1:18" ht="22.5" customHeight="1">
      <c r="B2" s="94" t="str">
        <f>IF(Base1_Billing2=2,"BILLED","")</f>
        <v/>
      </c>
    </row>
    <row r="4" spans="1:18" s="96" customFormat="1">
      <c r="A4" s="93" t="s">
        <v>147</v>
      </c>
      <c r="C4" s="96" t="s">
        <v>96</v>
      </c>
      <c r="D4" s="96" t="s">
        <v>101</v>
      </c>
      <c r="E4" s="96" t="s">
        <v>103</v>
      </c>
      <c r="F4" s="96" t="s">
        <v>105</v>
      </c>
      <c r="G4" s="96" t="s">
        <v>107</v>
      </c>
      <c r="H4" s="96" t="s">
        <v>109</v>
      </c>
      <c r="I4" s="96" t="s">
        <v>111</v>
      </c>
    </row>
    <row r="5" spans="1:18" s="96" customFormat="1">
      <c r="A5" s="93" t="s">
        <v>148</v>
      </c>
      <c r="C5" s="97" t="s">
        <v>87</v>
      </c>
      <c r="D5" s="97" t="s">
        <v>102</v>
      </c>
      <c r="E5" s="97" t="s">
        <v>104</v>
      </c>
      <c r="F5" s="97" t="s">
        <v>106</v>
      </c>
      <c r="G5" s="97" t="s">
        <v>108</v>
      </c>
      <c r="H5" s="97" t="s">
        <v>110</v>
      </c>
      <c r="I5" s="97" t="s">
        <v>112</v>
      </c>
      <c r="P5" s="98" t="s">
        <v>149</v>
      </c>
    </row>
    <row r="6" spans="1:18" ht="11.25" customHeight="1">
      <c r="B6" s="99" t="s">
        <v>150</v>
      </c>
      <c r="K6" s="96"/>
      <c r="L6" s="100" t="s">
        <v>151</v>
      </c>
      <c r="M6" s="96"/>
      <c r="N6" s="96"/>
      <c r="P6" s="948" t="str">
        <f>"AVISTA UTILITIES
WASHINGTON ELECTRIC
PRO FORMA REVENUE UNDER PRESENT AND PROPOSED "&amp;N9&amp;" RATES
12 MONTHS ENDED SEPTEMBER 30, 2014"</f>
        <v>AVISTA UTILITIES
WASHINGTON ELECTRIC
PRO FORMA REVENUE UNDER PRESENT AND PROPOSED BASE TARIFF RATES
12 MONTHS ENDED SEPTEMBER 30, 2014</v>
      </c>
      <c r="Q6" s="948"/>
      <c r="R6" s="948"/>
    </row>
    <row r="7" spans="1:18">
      <c r="B7" s="101" t="s">
        <v>152</v>
      </c>
      <c r="K7" s="102" t="s">
        <v>153</v>
      </c>
      <c r="L7" s="95" t="s">
        <v>154</v>
      </c>
      <c r="M7" s="96"/>
      <c r="N7" s="96"/>
      <c r="P7" s="948"/>
      <c r="Q7" s="948"/>
      <c r="R7" s="948"/>
    </row>
    <row r="8" spans="1:18">
      <c r="A8" s="93" t="s">
        <v>155</v>
      </c>
      <c r="B8" s="95" t="s">
        <v>156</v>
      </c>
      <c r="C8" s="103"/>
      <c r="D8" s="602">
        <v>1562090323.9480615</v>
      </c>
      <c r="E8" s="602">
        <v>411760124.95869529</v>
      </c>
      <c r="F8" s="602">
        <v>1262061453.0310712</v>
      </c>
      <c r="G8" s="602">
        <v>126000000</v>
      </c>
      <c r="H8" s="602">
        <v>51176200.546248734</v>
      </c>
      <c r="I8" s="602"/>
      <c r="L8" s="96" t="s">
        <v>157</v>
      </c>
      <c r="N8" s="104">
        <v>1</v>
      </c>
      <c r="P8" s="948"/>
      <c r="Q8" s="948"/>
      <c r="R8" s="948"/>
    </row>
    <row r="9" spans="1:18">
      <c r="A9" s="93" t="s">
        <v>155</v>
      </c>
      <c r="B9" s="95" t="s">
        <v>158</v>
      </c>
      <c r="C9" s="103"/>
      <c r="D9" s="602">
        <v>532041223.03140402</v>
      </c>
      <c r="E9" s="602">
        <v>184890135.04130465</v>
      </c>
      <c r="F9" s="602">
        <v>166633499.96892866</v>
      </c>
      <c r="G9" s="602">
        <v>558890760</v>
      </c>
      <c r="H9" s="602">
        <v>85950103.453751266</v>
      </c>
      <c r="I9" s="602"/>
      <c r="K9" s="102" t="s">
        <v>159</v>
      </c>
      <c r="L9" s="95" t="s">
        <v>160</v>
      </c>
      <c r="N9" s="95" t="str">
        <f>CHOOSE(Base1_Billing2,L7,L9)</f>
        <v>BASE TARIFF</v>
      </c>
      <c r="P9" s="948"/>
      <c r="Q9" s="948"/>
      <c r="R9" s="948"/>
    </row>
    <row r="10" spans="1:18">
      <c r="A10" s="93" t="s">
        <v>155</v>
      </c>
      <c r="B10" s="95" t="s">
        <v>161</v>
      </c>
      <c r="C10" s="103"/>
      <c r="D10" s="602">
        <v>349561635.02053469</v>
      </c>
      <c r="E10" s="602"/>
      <c r="F10" s="602"/>
      <c r="G10" s="602">
        <v>420481376</v>
      </c>
      <c r="H10" s="602"/>
      <c r="I10" s="602"/>
      <c r="N10" s="95" t="str">
        <f>CHOOSE(Base1_Billing2,"Base","Billing")</f>
        <v>Base</v>
      </c>
      <c r="P10" s="948"/>
      <c r="Q10" s="948"/>
      <c r="R10" s="948"/>
    </row>
    <row r="11" spans="1:18">
      <c r="B11" s="95" t="s">
        <v>162</v>
      </c>
      <c r="C11" s="103"/>
      <c r="D11" s="602"/>
      <c r="E11" s="602"/>
      <c r="F11" s="602"/>
      <c r="G11" s="602"/>
      <c r="H11" s="602"/>
      <c r="I11" s="602"/>
      <c r="P11" s="948"/>
      <c r="Q11" s="948"/>
      <c r="R11" s="948"/>
    </row>
    <row r="12" spans="1:18">
      <c r="A12" s="93" t="s">
        <v>176</v>
      </c>
      <c r="B12" s="95" t="s">
        <v>163</v>
      </c>
      <c r="C12" s="105"/>
      <c r="D12" s="603"/>
      <c r="E12" s="603"/>
      <c r="F12" s="603"/>
      <c r="G12" s="603"/>
      <c r="H12" s="603"/>
      <c r="I12" s="604">
        <v>25127765</v>
      </c>
      <c r="N12" s="103"/>
    </row>
    <row r="13" spans="1:18">
      <c r="C13" s="103"/>
      <c r="D13" s="103"/>
      <c r="E13" s="103"/>
      <c r="F13" s="103"/>
      <c r="G13" s="103"/>
      <c r="H13" s="103"/>
      <c r="I13" s="169"/>
      <c r="N13" s="106"/>
    </row>
    <row r="14" spans="1:18">
      <c r="B14" s="95" t="s">
        <v>164</v>
      </c>
      <c r="C14" s="103">
        <f>SUM(D14:I14)</f>
        <v>5736664600</v>
      </c>
      <c r="D14" s="103">
        <f t="shared" ref="D14:I14" si="0">SUM(D8:D12)</f>
        <v>2443693182</v>
      </c>
      <c r="E14" s="103">
        <f t="shared" si="0"/>
        <v>596650260</v>
      </c>
      <c r="F14" s="103">
        <f t="shared" si="0"/>
        <v>1428694952.9999998</v>
      </c>
      <c r="G14" s="103">
        <f t="shared" si="0"/>
        <v>1105372136</v>
      </c>
      <c r="H14" s="103">
        <f t="shared" si="0"/>
        <v>137126304</v>
      </c>
      <c r="I14" s="103">
        <f t="shared" si="0"/>
        <v>25127765</v>
      </c>
    </row>
    <row r="15" spans="1:18" s="108" customFormat="1">
      <c r="A15" s="93"/>
      <c r="B15" s="107"/>
      <c r="C15" s="103"/>
      <c r="D15" s="103"/>
      <c r="E15" s="103"/>
      <c r="F15" s="103"/>
      <c r="G15" s="103"/>
      <c r="H15" s="103"/>
      <c r="I15" s="103"/>
    </row>
    <row r="16" spans="1:18">
      <c r="C16" s="109"/>
      <c r="D16" s="109"/>
      <c r="E16" s="109"/>
      <c r="F16" s="109"/>
      <c r="G16" s="109"/>
      <c r="H16" s="109"/>
      <c r="I16" s="109"/>
    </row>
    <row r="17" spans="1:9">
      <c r="B17" s="95" t="s">
        <v>164</v>
      </c>
      <c r="C17" s="103">
        <f>SUM(D17:I17)</f>
        <v>5736664600</v>
      </c>
      <c r="D17" s="103">
        <f>D14+D15</f>
        <v>2443693182</v>
      </c>
      <c r="E17" s="103">
        <f t="shared" ref="E17:I17" si="1">E14+E15</f>
        <v>596650260</v>
      </c>
      <c r="F17" s="103">
        <f t="shared" si="1"/>
        <v>1428694952.9999998</v>
      </c>
      <c r="G17" s="103">
        <f t="shared" si="1"/>
        <v>1105372136</v>
      </c>
      <c r="H17" s="103">
        <f t="shared" si="1"/>
        <v>137126304</v>
      </c>
      <c r="I17" s="103">
        <f t="shared" si="1"/>
        <v>25127765</v>
      </c>
    </row>
    <row r="18" spans="1:9">
      <c r="A18" s="93" t="s">
        <v>155</v>
      </c>
      <c r="B18" s="95" t="s">
        <v>165</v>
      </c>
      <c r="C18" s="103">
        <f>SUM(D18:I18)</f>
        <v>0</v>
      </c>
      <c r="D18" s="103">
        <v>0</v>
      </c>
      <c r="E18" s="103">
        <v>0</v>
      </c>
      <c r="F18" s="103">
        <v>0</v>
      </c>
      <c r="G18" s="170">
        <v>0</v>
      </c>
      <c r="H18" s="103">
        <v>0</v>
      </c>
      <c r="I18" s="170">
        <v>0</v>
      </c>
    </row>
    <row r="19" spans="1:9">
      <c r="C19" s="109"/>
      <c r="D19" s="109"/>
      <c r="E19" s="109"/>
      <c r="F19" s="109"/>
      <c r="G19" s="109"/>
      <c r="H19" s="109"/>
      <c r="I19" s="109"/>
    </row>
    <row r="20" spans="1:9">
      <c r="B20" s="95" t="s">
        <v>166</v>
      </c>
      <c r="C20" s="103">
        <f>SUM(D20:I20)</f>
        <v>5736664600</v>
      </c>
      <c r="D20" s="103">
        <f t="shared" ref="D20:I20" si="2">D17+D18</f>
        <v>2443693182</v>
      </c>
      <c r="E20" s="103">
        <f t="shared" si="2"/>
        <v>596650260</v>
      </c>
      <c r="F20" s="103">
        <f t="shared" si="2"/>
        <v>1428694952.9999998</v>
      </c>
      <c r="G20" s="103">
        <f t="shared" si="2"/>
        <v>1105372136</v>
      </c>
      <c r="H20" s="103">
        <f t="shared" si="2"/>
        <v>137126304</v>
      </c>
      <c r="I20" s="103">
        <f t="shared" si="2"/>
        <v>25127765</v>
      </c>
    </row>
    <row r="21" spans="1:9" s="108" customFormat="1">
      <c r="A21" s="93" t="s">
        <v>167</v>
      </c>
      <c r="B21" s="107" t="s">
        <v>168</v>
      </c>
      <c r="C21" s="110">
        <f>SUM(D21:I21)</f>
        <v>-82830117</v>
      </c>
      <c r="D21" s="110">
        <f t="shared" ref="D21:H21" si="3">D142+D145</f>
        <v>-65215151</v>
      </c>
      <c r="E21" s="110">
        <f t="shared" si="3"/>
        <v>-8249024</v>
      </c>
      <c r="F21" s="110">
        <f t="shared" si="3"/>
        <v>-9466682</v>
      </c>
      <c r="G21" s="171">
        <f t="shared" si="3"/>
        <v>0</v>
      </c>
      <c r="H21" s="110">
        <f t="shared" si="3"/>
        <v>100740</v>
      </c>
      <c r="I21" s="110">
        <f>I142+I145</f>
        <v>0</v>
      </c>
    </row>
    <row r="22" spans="1:9">
      <c r="C22" s="109"/>
      <c r="D22" s="109"/>
      <c r="E22" s="109"/>
      <c r="F22" s="109"/>
      <c r="G22" s="109"/>
      <c r="H22" s="109"/>
      <c r="I22" s="109"/>
    </row>
    <row r="23" spans="1:9">
      <c r="B23" s="95" t="s">
        <v>169</v>
      </c>
      <c r="C23" s="103">
        <f>IF(ROUND(SUM(D23:I23),3)&lt;&gt;ROUND(SUM(C20:C21),3),#VALUE!,SUM(D23:I23))</f>
        <v>5653834483</v>
      </c>
      <c r="D23" s="103">
        <f t="shared" ref="D23:I23" si="4">D20+D21</f>
        <v>2378478031</v>
      </c>
      <c r="E23" s="103">
        <f t="shared" si="4"/>
        <v>588401236</v>
      </c>
      <c r="F23" s="103">
        <f t="shared" si="4"/>
        <v>1419228270.9999998</v>
      </c>
      <c r="G23" s="103">
        <f t="shared" si="4"/>
        <v>1105372136</v>
      </c>
      <c r="H23" s="103">
        <f t="shared" si="4"/>
        <v>137227044</v>
      </c>
      <c r="I23" s="103">
        <f t="shared" si="4"/>
        <v>25127765</v>
      </c>
    </row>
    <row r="24" spans="1:9">
      <c r="C24" s="103"/>
      <c r="D24" s="103"/>
      <c r="E24" s="103"/>
      <c r="F24" s="103"/>
      <c r="G24" s="103"/>
      <c r="H24" s="103"/>
      <c r="I24" s="103"/>
    </row>
    <row r="25" spans="1:9">
      <c r="A25" s="93" t="s">
        <v>155</v>
      </c>
      <c r="B25" s="95" t="s">
        <v>170</v>
      </c>
      <c r="C25" s="103"/>
      <c r="D25" s="638">
        <v>2462067</v>
      </c>
      <c r="E25" s="638">
        <v>364551.99999999994</v>
      </c>
      <c r="F25" s="638">
        <v>24110</v>
      </c>
      <c r="G25" s="638">
        <v>252</v>
      </c>
      <c r="H25" s="638">
        <v>29215.99999999996</v>
      </c>
      <c r="I25" s="638"/>
    </row>
    <row r="26" spans="1:9">
      <c r="B26" s="95" t="s">
        <v>171</v>
      </c>
      <c r="C26" s="103"/>
      <c r="D26" s="638"/>
      <c r="E26" s="638"/>
      <c r="F26" s="638"/>
      <c r="G26" s="638"/>
      <c r="H26" s="638"/>
      <c r="I26" s="638"/>
    </row>
    <row r="27" spans="1:9">
      <c r="A27" s="93" t="s">
        <v>155</v>
      </c>
      <c r="B27" s="95" t="s">
        <v>172</v>
      </c>
      <c r="C27" s="103"/>
      <c r="D27" s="638"/>
      <c r="E27" s="638">
        <v>402284</v>
      </c>
      <c r="F27" s="638">
        <v>2748136</v>
      </c>
      <c r="G27" s="638">
        <v>1276783</v>
      </c>
      <c r="H27" s="638"/>
      <c r="I27" s="638"/>
    </row>
    <row r="28" spans="1:9">
      <c r="C28" s="111"/>
      <c r="D28" s="111"/>
      <c r="E28" s="111"/>
      <c r="F28" s="111"/>
      <c r="G28" s="111"/>
      <c r="H28" s="111"/>
      <c r="I28" s="111"/>
    </row>
    <row r="29" spans="1:9" ht="12.75">
      <c r="B29" s="99" t="s">
        <v>173</v>
      </c>
    </row>
    <row r="30" spans="1:9" s="113" customFormat="1">
      <c r="A30" s="112"/>
      <c r="B30" s="101" t="s">
        <v>152</v>
      </c>
    </row>
    <row r="31" spans="1:9">
      <c r="B31" s="95" t="s">
        <v>156</v>
      </c>
      <c r="C31" s="103"/>
      <c r="D31" s="103">
        <f t="shared" ref="D31:I35" si="5">D8</f>
        <v>1562090323.9480615</v>
      </c>
      <c r="E31" s="103">
        <f t="shared" si="5"/>
        <v>411760124.95869529</v>
      </c>
      <c r="F31" s="103">
        <f t="shared" si="5"/>
        <v>1262061453.0310712</v>
      </c>
      <c r="G31" s="103">
        <f t="shared" si="5"/>
        <v>126000000</v>
      </c>
      <c r="H31" s="103">
        <f t="shared" si="5"/>
        <v>51176200.546248734</v>
      </c>
      <c r="I31" s="103">
        <f t="shared" si="5"/>
        <v>0</v>
      </c>
    </row>
    <row r="32" spans="1:9">
      <c r="B32" s="95" t="s">
        <v>158</v>
      </c>
      <c r="C32" s="103"/>
      <c r="D32" s="103">
        <f t="shared" si="5"/>
        <v>532041223.03140402</v>
      </c>
      <c r="E32" s="103">
        <f t="shared" si="5"/>
        <v>184890135.04130465</v>
      </c>
      <c r="F32" s="103">
        <f t="shared" si="5"/>
        <v>166633499.96892866</v>
      </c>
      <c r="G32" s="103">
        <f t="shared" ref="G32" si="6">G9</f>
        <v>558890760</v>
      </c>
      <c r="H32" s="103">
        <f t="shared" si="5"/>
        <v>85950103.453751266</v>
      </c>
      <c r="I32" s="103">
        <f t="shared" si="5"/>
        <v>0</v>
      </c>
    </row>
    <row r="33" spans="1:9">
      <c r="B33" s="95" t="s">
        <v>161</v>
      </c>
      <c r="C33" s="103"/>
      <c r="D33" s="103">
        <f t="shared" si="5"/>
        <v>349561635.02053469</v>
      </c>
      <c r="E33" s="103">
        <f t="shared" si="5"/>
        <v>0</v>
      </c>
      <c r="F33" s="103">
        <f t="shared" si="5"/>
        <v>0</v>
      </c>
      <c r="G33" s="103">
        <f t="shared" ref="G33" si="7">G10</f>
        <v>420481376</v>
      </c>
      <c r="H33" s="103">
        <f t="shared" si="5"/>
        <v>0</v>
      </c>
      <c r="I33" s="103">
        <f t="shared" si="5"/>
        <v>0</v>
      </c>
    </row>
    <row r="34" spans="1:9">
      <c r="B34" s="95" t="s">
        <v>162</v>
      </c>
      <c r="C34" s="103"/>
      <c r="D34" s="103">
        <f t="shared" si="5"/>
        <v>0</v>
      </c>
      <c r="E34" s="103">
        <f t="shared" si="5"/>
        <v>0</v>
      </c>
      <c r="F34" s="103">
        <f t="shared" si="5"/>
        <v>0</v>
      </c>
      <c r="G34" s="103">
        <f t="shared" si="5"/>
        <v>0</v>
      </c>
      <c r="H34" s="103">
        <f t="shared" si="5"/>
        <v>0</v>
      </c>
      <c r="I34" s="103">
        <f t="shared" si="5"/>
        <v>0</v>
      </c>
    </row>
    <row r="35" spans="1:9">
      <c r="B35" s="95" t="s">
        <v>163</v>
      </c>
      <c r="C35" s="114"/>
      <c r="D35" s="103">
        <f t="shared" si="5"/>
        <v>0</v>
      </c>
      <c r="E35" s="103">
        <f t="shared" si="5"/>
        <v>0</v>
      </c>
      <c r="F35" s="103">
        <f t="shared" si="5"/>
        <v>0</v>
      </c>
      <c r="G35" s="103">
        <f t="shared" si="5"/>
        <v>0</v>
      </c>
      <c r="H35" s="103">
        <f t="shared" si="5"/>
        <v>0</v>
      </c>
      <c r="I35" s="103">
        <f t="shared" si="5"/>
        <v>25127765</v>
      </c>
    </row>
    <row r="36" spans="1:9">
      <c r="C36" s="109"/>
      <c r="D36" s="109"/>
      <c r="E36" s="109"/>
      <c r="F36" s="109"/>
      <c r="G36" s="109"/>
      <c r="H36" s="109"/>
      <c r="I36" s="109"/>
    </row>
    <row r="37" spans="1:9">
      <c r="B37" s="95" t="s">
        <v>164</v>
      </c>
      <c r="C37" s="103">
        <f>SUM(D37:I37)</f>
        <v>5736664600</v>
      </c>
      <c r="D37" s="103">
        <f t="shared" ref="D37:I37" si="8">SUM(D31:D35)</f>
        <v>2443693182</v>
      </c>
      <c r="E37" s="103">
        <f t="shared" si="8"/>
        <v>596650260</v>
      </c>
      <c r="F37" s="103">
        <f t="shared" si="8"/>
        <v>1428694952.9999998</v>
      </c>
      <c r="G37" s="103">
        <f t="shared" si="8"/>
        <v>1105372136</v>
      </c>
      <c r="H37" s="103">
        <f t="shared" si="8"/>
        <v>137126304</v>
      </c>
      <c r="I37" s="103">
        <f t="shared" si="8"/>
        <v>25127765</v>
      </c>
    </row>
    <row r="38" spans="1:9" s="108" customFormat="1">
      <c r="A38" s="115"/>
      <c r="B38" s="116"/>
      <c r="C38" s="103">
        <f>SUM(D38:I38)</f>
        <v>0</v>
      </c>
      <c r="D38" s="110">
        <f>D15</f>
        <v>0</v>
      </c>
      <c r="E38" s="110">
        <f t="shared" ref="E38:I38" si="9">E15</f>
        <v>0</v>
      </c>
      <c r="F38" s="110">
        <f t="shared" si="9"/>
        <v>0</v>
      </c>
      <c r="G38" s="110">
        <f t="shared" si="9"/>
        <v>0</v>
      </c>
      <c r="H38" s="110">
        <f t="shared" si="9"/>
        <v>0</v>
      </c>
      <c r="I38" s="110">
        <f t="shared" si="9"/>
        <v>0</v>
      </c>
    </row>
    <row r="39" spans="1:9">
      <c r="C39" s="109"/>
      <c r="D39" s="109"/>
      <c r="E39" s="109"/>
      <c r="F39" s="109"/>
      <c r="G39" s="109"/>
      <c r="H39" s="109"/>
      <c r="I39" s="109"/>
    </row>
    <row r="40" spans="1:9">
      <c r="B40" s="95" t="s">
        <v>164</v>
      </c>
      <c r="C40" s="103">
        <f>SUM(D40:I40)</f>
        <v>5736664600</v>
      </c>
      <c r="D40" s="103">
        <f t="shared" ref="D40:I40" si="10">D37+D38</f>
        <v>2443693182</v>
      </c>
      <c r="E40" s="103">
        <f t="shared" si="10"/>
        <v>596650260</v>
      </c>
      <c r="F40" s="103">
        <f t="shared" si="10"/>
        <v>1428694952.9999998</v>
      </c>
      <c r="G40" s="103">
        <f t="shared" si="10"/>
        <v>1105372136</v>
      </c>
      <c r="H40" s="103">
        <f t="shared" si="10"/>
        <v>137126304</v>
      </c>
      <c r="I40" s="103">
        <f t="shared" si="10"/>
        <v>25127765</v>
      </c>
    </row>
    <row r="41" spans="1:9">
      <c r="B41" s="95" t="s">
        <v>165</v>
      </c>
      <c r="C41" s="103">
        <f>SUM(D41:I41)</f>
        <v>0</v>
      </c>
      <c r="D41" s="103">
        <f t="shared" ref="D41:I41" si="11">D18</f>
        <v>0</v>
      </c>
      <c r="E41" s="103">
        <f t="shared" si="11"/>
        <v>0</v>
      </c>
      <c r="F41" s="103">
        <f t="shared" si="11"/>
        <v>0</v>
      </c>
      <c r="G41" s="103">
        <f t="shared" si="11"/>
        <v>0</v>
      </c>
      <c r="H41" s="103">
        <f t="shared" si="11"/>
        <v>0</v>
      </c>
      <c r="I41" s="103">
        <f t="shared" si="11"/>
        <v>0</v>
      </c>
    </row>
    <row r="42" spans="1:9">
      <c r="C42" s="109"/>
      <c r="D42" s="109"/>
      <c r="E42" s="109"/>
      <c r="F42" s="109"/>
      <c r="G42" s="109"/>
      <c r="H42" s="109"/>
      <c r="I42" s="109"/>
    </row>
    <row r="43" spans="1:9">
      <c r="B43" s="95" t="s">
        <v>166</v>
      </c>
      <c r="C43" s="103">
        <f>SUM(D43:I43)</f>
        <v>5736664600</v>
      </c>
      <c r="D43" s="103">
        <f t="shared" ref="D43:I43" si="12">D40+D41</f>
        <v>2443693182</v>
      </c>
      <c r="E43" s="103">
        <f t="shared" si="12"/>
        <v>596650260</v>
      </c>
      <c r="F43" s="103">
        <f t="shared" si="12"/>
        <v>1428694952.9999998</v>
      </c>
      <c r="G43" s="103">
        <f t="shared" si="12"/>
        <v>1105372136</v>
      </c>
      <c r="H43" s="103">
        <f t="shared" si="12"/>
        <v>137126304</v>
      </c>
      <c r="I43" s="103">
        <f t="shared" si="12"/>
        <v>25127765</v>
      </c>
    </row>
    <row r="44" spans="1:9" s="108" customFormat="1">
      <c r="A44" s="115"/>
      <c r="B44" s="107" t="s">
        <v>168</v>
      </c>
      <c r="C44" s="110">
        <f>SUM(D44:I44)</f>
        <v>-82830117</v>
      </c>
      <c r="D44" s="110">
        <f t="shared" ref="D44:I44" si="13">D21</f>
        <v>-65215151</v>
      </c>
      <c r="E44" s="110">
        <f t="shared" si="13"/>
        <v>-8249024</v>
      </c>
      <c r="F44" s="110">
        <f t="shared" si="13"/>
        <v>-9466682</v>
      </c>
      <c r="G44" s="110">
        <f t="shared" si="13"/>
        <v>0</v>
      </c>
      <c r="H44" s="110">
        <f t="shared" si="13"/>
        <v>100740</v>
      </c>
      <c r="I44" s="110">
        <f t="shared" si="13"/>
        <v>0</v>
      </c>
    </row>
    <row r="45" spans="1:9">
      <c r="C45" s="109"/>
      <c r="D45" s="109"/>
      <c r="E45" s="109"/>
      <c r="F45" s="109"/>
      <c r="G45" s="109"/>
      <c r="H45" s="109"/>
      <c r="I45" s="109"/>
    </row>
    <row r="46" spans="1:9">
      <c r="B46" s="95" t="s">
        <v>169</v>
      </c>
      <c r="C46" s="103">
        <f>IF(ROUND(SUM(D46:I46),3)&lt;&gt;ROUND(SUM(C43:C44),3),#VALUE!,SUM(D46:I46))</f>
        <v>5653834483</v>
      </c>
      <c r="D46" s="103">
        <f t="shared" ref="D46:I46" si="14">D43+D44</f>
        <v>2378478031</v>
      </c>
      <c r="E46" s="103">
        <f t="shared" si="14"/>
        <v>588401236</v>
      </c>
      <c r="F46" s="103">
        <f t="shared" si="14"/>
        <v>1419228270.9999998</v>
      </c>
      <c r="G46" s="103">
        <f t="shared" si="14"/>
        <v>1105372136</v>
      </c>
      <c r="H46" s="103">
        <f t="shared" si="14"/>
        <v>137227044</v>
      </c>
      <c r="I46" s="103">
        <f t="shared" si="14"/>
        <v>25127765</v>
      </c>
    </row>
    <row r="47" spans="1:9">
      <c r="C47" s="103"/>
      <c r="D47" s="103"/>
      <c r="E47" s="103"/>
      <c r="F47" s="103"/>
      <c r="G47" s="103"/>
      <c r="H47" s="103"/>
      <c r="I47" s="103"/>
    </row>
    <row r="48" spans="1:9">
      <c r="B48" s="95" t="s">
        <v>170</v>
      </c>
      <c r="C48" s="103"/>
      <c r="D48" s="103">
        <f>D25</f>
        <v>2462067</v>
      </c>
      <c r="E48" s="103">
        <f>E25</f>
        <v>364551.99999999994</v>
      </c>
      <c r="F48" s="103">
        <f>F25</f>
        <v>24110</v>
      </c>
      <c r="G48" s="103">
        <f>G25</f>
        <v>252</v>
      </c>
      <c r="H48" s="103">
        <f>H25</f>
        <v>29215.99999999996</v>
      </c>
      <c r="I48" s="103"/>
    </row>
    <row r="49" spans="1:14">
      <c r="B49" s="95" t="s">
        <v>171</v>
      </c>
      <c r="C49" s="103"/>
      <c r="D49" s="103"/>
      <c r="E49" s="103"/>
      <c r="F49" s="103"/>
      <c r="G49" s="103"/>
      <c r="H49" s="103"/>
      <c r="I49" s="103"/>
    </row>
    <row r="50" spans="1:14">
      <c r="B50" s="95" t="s">
        <v>172</v>
      </c>
      <c r="C50" s="103"/>
      <c r="D50" s="103"/>
      <c r="E50" s="103">
        <f>E27</f>
        <v>402284</v>
      </c>
      <c r="F50" s="103">
        <f>F27</f>
        <v>2748136</v>
      </c>
      <c r="G50" s="103">
        <f>G27</f>
        <v>1276783</v>
      </c>
      <c r="H50" s="103"/>
      <c r="I50" s="103"/>
    </row>
    <row r="51" spans="1:14" s="96" customFormat="1">
      <c r="A51" s="93"/>
      <c r="C51" s="111"/>
      <c r="D51" s="111"/>
      <c r="E51" s="111"/>
      <c r="F51" s="111"/>
      <c r="G51" s="111"/>
      <c r="H51" s="111"/>
      <c r="I51" s="111"/>
    </row>
    <row r="52" spans="1:14" s="96" customFormat="1">
      <c r="A52" s="93"/>
      <c r="C52" s="111"/>
      <c r="D52" s="111"/>
      <c r="E52" s="111"/>
      <c r="F52" s="111"/>
      <c r="G52" s="111"/>
      <c r="H52" s="111"/>
      <c r="I52" s="111"/>
    </row>
    <row r="53" spans="1:14" s="96" customFormat="1" ht="27.75" customHeight="1">
      <c r="A53" s="93"/>
      <c r="C53" s="111"/>
      <c r="D53" s="111"/>
      <c r="E53" s="111"/>
      <c r="F53" s="111"/>
      <c r="G53" s="111"/>
      <c r="H53" s="111"/>
      <c r="I53" s="111"/>
    </row>
    <row r="54" spans="1:14" s="96" customFormat="1">
      <c r="A54" s="93"/>
      <c r="C54" s="111"/>
      <c r="D54" s="111"/>
      <c r="E54" s="111"/>
      <c r="F54" s="111"/>
      <c r="G54" s="111"/>
      <c r="H54" s="111"/>
      <c r="I54" s="111"/>
    </row>
    <row r="55" spans="1:14" s="96" customFormat="1">
      <c r="A55" s="93"/>
      <c r="C55" s="111"/>
      <c r="D55" s="117">
        <v>1</v>
      </c>
      <c r="E55" s="117">
        <v>2</v>
      </c>
      <c r="F55" s="117">
        <v>3</v>
      </c>
      <c r="G55" s="117">
        <v>4</v>
      </c>
      <c r="H55" s="117">
        <v>5</v>
      </c>
      <c r="I55" s="117">
        <v>6</v>
      </c>
      <c r="L55" s="118">
        <f>SUMPRODUCT(--(ISBLANK(D55:I55)))</f>
        <v>0</v>
      </c>
    </row>
    <row r="56" spans="1:14" s="96" customFormat="1">
      <c r="A56" s="93" t="s">
        <v>147</v>
      </c>
      <c r="C56" s="96" t="s">
        <v>96</v>
      </c>
      <c r="D56" s="96" t="s">
        <v>101</v>
      </c>
      <c r="E56" s="96" t="s">
        <v>103</v>
      </c>
      <c r="F56" s="96" t="s">
        <v>105</v>
      </c>
      <c r="G56" s="96" t="s">
        <v>107</v>
      </c>
      <c r="H56" s="96" t="s">
        <v>109</v>
      </c>
      <c r="I56" s="96" t="s">
        <v>111</v>
      </c>
      <c r="L56" s="95" t="str">
        <f ca="1">"selected in cell "&amp;CELL("address",Base1_Billing2)&amp;":"</f>
        <v>selected in cell $N$8:</v>
      </c>
    </row>
    <row r="57" spans="1:14" s="96" customFormat="1">
      <c r="A57" s="93" t="s">
        <v>148</v>
      </c>
      <c r="C57" s="97" t="s">
        <v>87</v>
      </c>
      <c r="D57" s="97" t="s">
        <v>102</v>
      </c>
      <c r="E57" s="97" t="s">
        <v>104</v>
      </c>
      <c r="F57" s="97" t="s">
        <v>106</v>
      </c>
      <c r="G57" s="97" t="s">
        <v>108</v>
      </c>
      <c r="H57" s="97" t="s">
        <v>110</v>
      </c>
      <c r="I57" s="97" t="s">
        <v>112</v>
      </c>
      <c r="L57" s="113" t="str">
        <f>N10</f>
        <v>Base</v>
      </c>
    </row>
    <row r="58" spans="1:14" ht="12.75">
      <c r="B58" s="99" t="s">
        <v>174</v>
      </c>
      <c r="L58" s="95" t="str">
        <f>"Rates_"&amp;$L$57&amp;"_Present"</f>
        <v>Rates_Base_Present</v>
      </c>
      <c r="N58" s="119" t="s">
        <v>175</v>
      </c>
    </row>
    <row r="59" spans="1:14">
      <c r="A59" s="93" t="s">
        <v>379</v>
      </c>
      <c r="B59" s="95" t="s">
        <v>177</v>
      </c>
      <c r="D59" s="642">
        <v>8.5</v>
      </c>
      <c r="E59" s="642">
        <v>18</v>
      </c>
      <c r="F59" s="642">
        <v>0</v>
      </c>
      <c r="G59" s="642">
        <v>0</v>
      </c>
      <c r="H59" s="642">
        <v>18</v>
      </c>
      <c r="I59" s="120">
        <v>0</v>
      </c>
      <c r="K59" s="121">
        <v>1</v>
      </c>
      <c r="L59" s="95" t="str">
        <f>"Rates_"&amp;$L$57&amp;"_Proposed"</f>
        <v>Rates_Base_Proposed</v>
      </c>
      <c r="N59" s="119" t="s">
        <v>178</v>
      </c>
    </row>
    <row r="60" spans="1:14" ht="12.75">
      <c r="B60" s="95" t="s">
        <v>179</v>
      </c>
      <c r="D60" s="640"/>
      <c r="E60" s="639"/>
      <c r="F60" s="639"/>
      <c r="G60" s="639"/>
      <c r="H60" s="639"/>
    </row>
    <row r="62" spans="1:14">
      <c r="A62" s="93" t="s">
        <v>379</v>
      </c>
      <c r="B62" s="95" t="s">
        <v>180</v>
      </c>
      <c r="D62" s="643">
        <v>7.5250000000000004</v>
      </c>
      <c r="E62" s="643">
        <v>11.507</v>
      </c>
      <c r="F62" s="643">
        <v>7.24</v>
      </c>
      <c r="G62" s="643">
        <v>5.6159999999999997</v>
      </c>
      <c r="H62" s="643">
        <v>9.7119999999999997</v>
      </c>
      <c r="I62" s="123">
        <v>0</v>
      </c>
      <c r="K62" s="121">
        <v>2</v>
      </c>
    </row>
    <row r="63" spans="1:14">
      <c r="A63" s="93" t="s">
        <v>379</v>
      </c>
      <c r="B63" s="95" t="s">
        <v>181</v>
      </c>
      <c r="D63" s="643">
        <v>8.7550000000000008</v>
      </c>
      <c r="E63" s="643">
        <v>8.4550000000000001</v>
      </c>
      <c r="F63" s="643">
        <v>6.4749999999999996</v>
      </c>
      <c r="G63" s="643">
        <v>5.0529999999999999</v>
      </c>
      <c r="H63" s="643">
        <v>6.9359999999999999</v>
      </c>
      <c r="I63" s="123">
        <v>0</v>
      </c>
      <c r="K63" s="121">
        <v>3</v>
      </c>
    </row>
    <row r="64" spans="1:14">
      <c r="A64" s="93" t="s">
        <v>379</v>
      </c>
      <c r="B64" s="95" t="s">
        <v>182</v>
      </c>
      <c r="D64" s="643">
        <v>10.263999999999999</v>
      </c>
      <c r="E64" s="643">
        <v>0</v>
      </c>
      <c r="F64" s="643">
        <v>0</v>
      </c>
      <c r="G64" s="643">
        <v>4.32</v>
      </c>
      <c r="H64" s="643">
        <v>0</v>
      </c>
      <c r="I64" s="123">
        <v>0</v>
      </c>
      <c r="K64" s="121">
        <v>4</v>
      </c>
    </row>
    <row r="65" spans="1:12">
      <c r="B65" s="95" t="s">
        <v>183</v>
      </c>
      <c r="D65" s="641"/>
      <c r="E65" s="641"/>
      <c r="F65" s="641"/>
      <c r="G65" s="641"/>
      <c r="H65" s="641"/>
      <c r="I65" s="124"/>
      <c r="K65" s="121">
        <v>5</v>
      </c>
    </row>
    <row r="66" spans="1:12">
      <c r="D66" s="124"/>
      <c r="E66" s="124"/>
      <c r="F66" s="124"/>
      <c r="G66" s="124"/>
      <c r="H66" s="124"/>
      <c r="I66" s="124"/>
    </row>
    <row r="67" spans="1:12">
      <c r="B67" s="95" t="s">
        <v>184</v>
      </c>
      <c r="D67" s="649">
        <v>8.1846000002466752</v>
      </c>
      <c r="E67" s="649">
        <v>10.561245460615403</v>
      </c>
      <c r="F67" s="649">
        <v>7.1507754755818773</v>
      </c>
      <c r="G67" s="649"/>
      <c r="H67" s="649">
        <v>7.9720166453257555</v>
      </c>
      <c r="I67" s="123"/>
    </row>
    <row r="68" spans="1:12">
      <c r="D68" s="647"/>
      <c r="E68" s="647"/>
      <c r="F68" s="647"/>
      <c r="G68" s="647"/>
      <c r="H68" s="647"/>
      <c r="I68" s="124"/>
    </row>
    <row r="69" spans="1:12" s="122" customFormat="1">
      <c r="A69" s="93" t="s">
        <v>379</v>
      </c>
      <c r="B69" s="122" t="s">
        <v>185</v>
      </c>
      <c r="D69" s="648">
        <v>0</v>
      </c>
      <c r="E69" s="648">
        <v>0</v>
      </c>
      <c r="F69" s="648">
        <v>500</v>
      </c>
      <c r="G69" s="648">
        <v>21000</v>
      </c>
      <c r="H69" s="648">
        <v>0</v>
      </c>
      <c r="I69" s="120">
        <v>0</v>
      </c>
      <c r="K69" s="121">
        <v>6</v>
      </c>
    </row>
    <row r="70" spans="1:12" s="122" customFormat="1">
      <c r="A70" s="93" t="s">
        <v>379</v>
      </c>
      <c r="B70" s="122" t="s">
        <v>186</v>
      </c>
      <c r="D70" s="648">
        <v>0</v>
      </c>
      <c r="E70" s="648">
        <v>6</v>
      </c>
      <c r="F70" s="648">
        <v>6</v>
      </c>
      <c r="G70" s="648">
        <v>6</v>
      </c>
      <c r="H70" s="648">
        <v>0</v>
      </c>
      <c r="I70" s="120">
        <v>0</v>
      </c>
      <c r="K70" s="121">
        <v>7</v>
      </c>
    </row>
    <row r="71" spans="1:12">
      <c r="D71" s="647"/>
      <c r="E71" s="647"/>
      <c r="F71" s="647"/>
      <c r="G71" s="647"/>
      <c r="H71" s="647"/>
      <c r="I71" s="124"/>
    </row>
    <row r="72" spans="1:12">
      <c r="D72" s="647"/>
      <c r="E72" s="647"/>
      <c r="F72" s="647"/>
      <c r="G72" s="647"/>
      <c r="H72" s="647"/>
      <c r="I72" s="124"/>
    </row>
    <row r="73" spans="1:12">
      <c r="D73" s="647"/>
      <c r="E73" s="647"/>
      <c r="F73" s="647"/>
      <c r="G73" s="647"/>
      <c r="H73" s="647"/>
      <c r="I73" s="124"/>
    </row>
    <row r="74" spans="1:12">
      <c r="D74" s="647"/>
      <c r="E74" s="647"/>
      <c r="F74" s="647"/>
      <c r="G74" s="647"/>
      <c r="H74" s="647"/>
      <c r="I74" s="124"/>
    </row>
    <row r="75" spans="1:12" ht="12.75">
      <c r="B75" s="99" t="s">
        <v>187</v>
      </c>
      <c r="D75" s="644"/>
      <c r="E75" s="644"/>
      <c r="F75" s="644"/>
      <c r="G75" s="644"/>
      <c r="H75" s="644"/>
    </row>
    <row r="76" spans="1:12">
      <c r="B76" s="95" t="s">
        <v>177</v>
      </c>
      <c r="D76" s="648">
        <v>8.5</v>
      </c>
      <c r="E76" s="648">
        <v>18</v>
      </c>
      <c r="F76" s="648"/>
      <c r="G76" s="648"/>
      <c r="H76" s="648">
        <v>18</v>
      </c>
      <c r="I76" s="120"/>
      <c r="K76" s="121">
        <v>1</v>
      </c>
      <c r="L76" s="125"/>
    </row>
    <row r="77" spans="1:12" ht="12.75">
      <c r="B77" s="95" t="s">
        <v>179</v>
      </c>
      <c r="D77" s="646"/>
      <c r="E77" s="644"/>
      <c r="F77" s="644"/>
      <c r="G77" s="644"/>
      <c r="H77" s="644"/>
    </row>
    <row r="79" spans="1:12">
      <c r="B79" s="95" t="s">
        <v>180</v>
      </c>
      <c r="C79" s="126"/>
      <c r="D79" s="649">
        <v>7.5250000000000004</v>
      </c>
      <c r="E79" s="649">
        <v>11.507</v>
      </c>
      <c r="F79" s="649">
        <v>7.24</v>
      </c>
      <c r="G79" s="649">
        <v>5.6159999999999997</v>
      </c>
      <c r="H79" s="649">
        <v>9.7119999999999997</v>
      </c>
      <c r="I79" s="123"/>
      <c r="K79" s="121">
        <v>2</v>
      </c>
    </row>
    <row r="80" spans="1:12">
      <c r="B80" s="95" t="s">
        <v>181</v>
      </c>
      <c r="C80" s="126"/>
      <c r="D80" s="649">
        <v>8.7550000000000008</v>
      </c>
      <c r="E80" s="649">
        <v>8.4550000000000001</v>
      </c>
      <c r="F80" s="649">
        <v>6.4749999999999996</v>
      </c>
      <c r="G80" s="649">
        <v>5.0529999999999999</v>
      </c>
      <c r="H80" s="649">
        <v>6.9359999999999999</v>
      </c>
      <c r="I80" s="123"/>
      <c r="K80" s="121">
        <v>3</v>
      </c>
    </row>
    <row r="81" spans="1:11">
      <c r="B81" s="95" t="s">
        <v>182</v>
      </c>
      <c r="C81" s="126"/>
      <c r="D81" s="649">
        <v>10.263999999999999</v>
      </c>
      <c r="E81" s="649"/>
      <c r="F81" s="649"/>
      <c r="G81" s="649">
        <v>4.32</v>
      </c>
      <c r="H81" s="649"/>
      <c r="I81" s="123"/>
      <c r="K81" s="121">
        <v>4</v>
      </c>
    </row>
    <row r="82" spans="1:11">
      <c r="B82" s="95" t="s">
        <v>183</v>
      </c>
      <c r="D82" s="647"/>
      <c r="E82" s="647"/>
      <c r="F82" s="647"/>
      <c r="G82" s="647"/>
      <c r="H82" s="647"/>
      <c r="I82" s="124"/>
      <c r="K82" s="121">
        <v>5</v>
      </c>
    </row>
    <row r="83" spans="1:11">
      <c r="D83" s="647"/>
      <c r="E83" s="647"/>
      <c r="F83" s="647"/>
      <c r="G83" s="647"/>
      <c r="H83" s="647"/>
      <c r="I83" s="124"/>
    </row>
    <row r="84" spans="1:11">
      <c r="B84" s="95" t="s">
        <v>184</v>
      </c>
      <c r="D84" s="649">
        <v>8.1846000002466752</v>
      </c>
      <c r="E84" s="649">
        <v>10.561245460615403</v>
      </c>
      <c r="F84" s="649">
        <v>7.1507754755818773</v>
      </c>
      <c r="G84" s="649"/>
      <c r="H84" s="649">
        <v>7.9720166453257555</v>
      </c>
      <c r="I84" s="123"/>
    </row>
    <row r="85" spans="1:11">
      <c r="D85" s="647"/>
      <c r="E85" s="647"/>
      <c r="F85" s="647"/>
      <c r="G85" s="647"/>
      <c r="H85" s="647"/>
      <c r="I85" s="124"/>
    </row>
    <row r="86" spans="1:11" s="122" customFormat="1">
      <c r="A86" s="93"/>
      <c r="B86" s="122" t="s">
        <v>185</v>
      </c>
      <c r="D86" s="648"/>
      <c r="E86" s="648"/>
      <c r="F86" s="648">
        <v>500</v>
      </c>
      <c r="G86" s="648">
        <v>21000</v>
      </c>
      <c r="H86" s="648"/>
      <c r="I86" s="120"/>
      <c r="K86" s="121">
        <v>6</v>
      </c>
    </row>
    <row r="87" spans="1:11" s="122" customFormat="1">
      <c r="A87" s="93"/>
      <c r="B87" s="122" t="s">
        <v>186</v>
      </c>
      <c r="D87" s="648"/>
      <c r="E87" s="648">
        <v>6</v>
      </c>
      <c r="F87" s="648">
        <v>6</v>
      </c>
      <c r="G87" s="648">
        <v>6</v>
      </c>
      <c r="H87" s="648"/>
      <c r="I87" s="120"/>
      <c r="K87" s="121">
        <v>7</v>
      </c>
    </row>
    <row r="88" spans="1:11" s="122" customFormat="1">
      <c r="A88" s="93"/>
      <c r="D88" s="645"/>
      <c r="E88" s="646"/>
      <c r="F88" s="646"/>
      <c r="G88" s="646"/>
      <c r="H88" s="646"/>
    </row>
    <row r="89" spans="1:11" s="122" customFormat="1">
      <c r="A89" s="93"/>
      <c r="D89" s="95"/>
    </row>
    <row r="90" spans="1:11" s="122" customFormat="1">
      <c r="A90" s="93"/>
      <c r="D90" s="95"/>
    </row>
    <row r="91" spans="1:11" s="122" customFormat="1">
      <c r="A91" s="93"/>
      <c r="D91" s="95"/>
    </row>
    <row r="92" spans="1:11" s="122" customFormat="1">
      <c r="A92" s="93"/>
      <c r="D92" s="95"/>
    </row>
    <row r="93" spans="1:11" s="122" customFormat="1">
      <c r="A93" s="93"/>
      <c r="D93" s="95"/>
    </row>
    <row r="94" spans="1:11" s="122" customFormat="1">
      <c r="A94" s="93"/>
      <c r="D94" s="95"/>
    </row>
    <row r="95" spans="1:11" s="122" customFormat="1">
      <c r="A95" s="93"/>
      <c r="B95" s="949" t="str">
        <f>CHOOSE(Base1_Billing2,"Note: Rates do not include BPA Residential Exchange Program Schedule 59, Energy Efficiency Rider Adjustment Schedule 91, or Power Cost Surcharge Schedule 93.","")</f>
        <v>Note: Rates do not include BPA Residential Exchange Program Schedule 59, Energy Efficiency Rider Adjustment Schedule 91, or Power Cost Surcharge Schedule 93.</v>
      </c>
      <c r="C95" s="950"/>
      <c r="D95" s="950"/>
      <c r="E95" s="950"/>
      <c r="F95" s="950"/>
      <c r="G95" s="950"/>
      <c r="H95" s="950"/>
    </row>
    <row r="96" spans="1:11" s="122" customFormat="1">
      <c r="A96" s="93"/>
      <c r="B96" s="950"/>
      <c r="C96" s="950"/>
      <c r="D96" s="950"/>
      <c r="E96" s="950"/>
      <c r="F96" s="950"/>
      <c r="G96" s="950"/>
      <c r="H96" s="950"/>
    </row>
    <row r="97" spans="1:9" s="122" customFormat="1">
      <c r="A97" s="93"/>
      <c r="D97" s="95"/>
    </row>
    <row r="98" spans="1:9" s="122" customFormat="1">
      <c r="A98" s="93"/>
      <c r="D98" s="95"/>
    </row>
    <row r="99" spans="1:9" s="122" customFormat="1">
      <c r="A99" s="93"/>
      <c r="D99" s="95"/>
    </row>
    <row r="100" spans="1:9" s="122" customFormat="1">
      <c r="A100" s="93"/>
      <c r="D100" s="95"/>
    </row>
    <row r="101" spans="1:9" s="122" customFormat="1">
      <c r="A101" s="93"/>
      <c r="D101" s="95"/>
    </row>
    <row r="102" spans="1:9" s="122" customFormat="1">
      <c r="A102" s="93"/>
      <c r="D102" s="95"/>
    </row>
    <row r="103" spans="1:9" s="122" customFormat="1">
      <c r="A103" s="93"/>
      <c r="D103" s="95"/>
    </row>
    <row r="104" spans="1:9" s="122" customFormat="1">
      <c r="A104" s="93"/>
      <c r="D104" s="95"/>
    </row>
    <row r="105" spans="1:9" s="122" customFormat="1">
      <c r="A105" s="93"/>
      <c r="D105" s="95"/>
    </row>
    <row r="106" spans="1:9" s="122" customFormat="1">
      <c r="A106" s="93"/>
      <c r="D106" s="95"/>
    </row>
    <row r="107" spans="1:9" s="96" customFormat="1">
      <c r="A107" s="93" t="s">
        <v>147</v>
      </c>
      <c r="C107" s="96" t="s">
        <v>96</v>
      </c>
      <c r="D107" s="96" t="s">
        <v>101</v>
      </c>
      <c r="E107" s="96" t="s">
        <v>103</v>
      </c>
      <c r="F107" s="96" t="s">
        <v>105</v>
      </c>
      <c r="G107" s="96" t="s">
        <v>107</v>
      </c>
      <c r="H107" s="96" t="s">
        <v>109</v>
      </c>
      <c r="I107" s="96" t="s">
        <v>111</v>
      </c>
    </row>
    <row r="108" spans="1:9" s="96" customFormat="1">
      <c r="A108" s="93" t="s">
        <v>148</v>
      </c>
      <c r="C108" s="97" t="s">
        <v>87</v>
      </c>
      <c r="D108" s="97" t="s">
        <v>102</v>
      </c>
      <c r="E108" s="97" t="s">
        <v>104</v>
      </c>
      <c r="F108" s="97" t="s">
        <v>106</v>
      </c>
      <c r="G108" s="97" t="s">
        <v>108</v>
      </c>
      <c r="H108" s="97" t="s">
        <v>110</v>
      </c>
      <c r="I108" s="97" t="s">
        <v>112</v>
      </c>
    </row>
    <row r="109" spans="1:9" ht="12.75">
      <c r="B109" s="99" t="s">
        <v>188</v>
      </c>
      <c r="C109" s="106"/>
      <c r="D109" s="106"/>
      <c r="E109" s="106"/>
      <c r="F109" s="106"/>
      <c r="G109" s="106"/>
      <c r="H109" s="106"/>
      <c r="I109" s="106"/>
    </row>
    <row r="110" spans="1:9">
      <c r="B110" s="95" t="str">
        <f>UPPER(CHOOSE(Base1_Billing2,$N$9,$N$10))&amp;" REVENUE"</f>
        <v>BASE TARIFF REVENUE</v>
      </c>
      <c r="C110" s="106"/>
      <c r="D110" s="106"/>
      <c r="E110" s="106"/>
      <c r="F110" s="106"/>
      <c r="G110" s="106"/>
      <c r="H110" s="106"/>
      <c r="I110" s="106"/>
    </row>
    <row r="111" spans="1:9">
      <c r="B111" s="127" t="s">
        <v>177</v>
      </c>
      <c r="C111" s="106">
        <f t="shared" ref="C111:C122" si="15">SUM(D111:I111)</f>
        <v>28015393.5</v>
      </c>
      <c r="D111" s="106">
        <f>D25*D59</f>
        <v>20927569.5</v>
      </c>
      <c r="E111" s="106">
        <f>E25*E59</f>
        <v>6561935.9999999991</v>
      </c>
      <c r="F111" s="106"/>
      <c r="G111" s="106"/>
      <c r="H111" s="106">
        <f>H25*H59</f>
        <v>525887.9999999993</v>
      </c>
      <c r="I111" s="106"/>
    </row>
    <row r="112" spans="1:9">
      <c r="B112" s="127" t="s">
        <v>179</v>
      </c>
      <c r="C112" s="103">
        <f t="shared" si="15"/>
        <v>0</v>
      </c>
      <c r="D112" s="103"/>
      <c r="E112" s="103"/>
      <c r="F112" s="103"/>
      <c r="G112" s="103"/>
      <c r="H112" s="103"/>
      <c r="I112" s="103"/>
    </row>
    <row r="113" spans="1:9">
      <c r="B113" s="127" t="s">
        <v>156</v>
      </c>
      <c r="C113" s="103">
        <f t="shared" si="15"/>
        <v>268348176.25999996</v>
      </c>
      <c r="D113" s="103">
        <f t="shared" ref="D113:H115" si="16">ROUND(D8*D62/100,2)</f>
        <v>117547296.88</v>
      </c>
      <c r="E113" s="103">
        <f t="shared" si="16"/>
        <v>47381237.579999998</v>
      </c>
      <c r="F113" s="103">
        <f t="shared" si="16"/>
        <v>91373249.200000003</v>
      </c>
      <c r="G113" s="103">
        <f t="shared" si="16"/>
        <v>7076160</v>
      </c>
      <c r="H113" s="103">
        <f t="shared" si="16"/>
        <v>4970232.5999999996</v>
      </c>
      <c r="I113" s="103"/>
    </row>
    <row r="114" spans="1:9">
      <c r="B114" s="127" t="s">
        <v>158</v>
      </c>
      <c r="C114" s="103">
        <f t="shared" si="15"/>
        <v>107204438.40000001</v>
      </c>
      <c r="D114" s="103">
        <f t="shared" si="16"/>
        <v>46580209.079999998</v>
      </c>
      <c r="E114" s="103">
        <f t="shared" si="16"/>
        <v>15632460.92</v>
      </c>
      <c r="F114" s="103">
        <f t="shared" si="16"/>
        <v>10789519.119999999</v>
      </c>
      <c r="G114" s="103">
        <f t="shared" si="16"/>
        <v>28240750.100000001</v>
      </c>
      <c r="H114" s="103">
        <f t="shared" si="16"/>
        <v>5961499.1799999997</v>
      </c>
      <c r="I114" s="103"/>
    </row>
    <row r="115" spans="1:9">
      <c r="B115" s="127" t="s">
        <v>161</v>
      </c>
      <c r="C115" s="103">
        <f t="shared" si="15"/>
        <v>54043801.659999996</v>
      </c>
      <c r="D115" s="103">
        <f>ROUND(D10*D64/100,2)</f>
        <v>35879006.219999999</v>
      </c>
      <c r="E115" s="103"/>
      <c r="F115" s="103"/>
      <c r="G115" s="103">
        <f t="shared" si="16"/>
        <v>18164795.440000001</v>
      </c>
      <c r="H115" s="103"/>
      <c r="I115" s="103"/>
    </row>
    <row r="116" spans="1:9">
      <c r="B116" s="127" t="s">
        <v>162</v>
      </c>
      <c r="C116" s="103">
        <f t="shared" si="15"/>
        <v>0</v>
      </c>
      <c r="D116" s="103"/>
      <c r="E116" s="103"/>
      <c r="F116" s="103"/>
      <c r="G116" s="103"/>
      <c r="H116" s="103"/>
      <c r="I116" s="103"/>
    </row>
    <row r="117" spans="1:9">
      <c r="B117" s="127" t="s">
        <v>185</v>
      </c>
      <c r="C117" s="103">
        <f t="shared" si="15"/>
        <v>17347000</v>
      </c>
      <c r="D117" s="103"/>
      <c r="E117" s="103"/>
      <c r="F117" s="103">
        <f>F25*F69</f>
        <v>12055000</v>
      </c>
      <c r="G117" s="103">
        <f>G25*G69</f>
        <v>5292000</v>
      </c>
      <c r="H117" s="103"/>
      <c r="I117" s="103"/>
    </row>
    <row r="118" spans="1:9">
      <c r="B118" s="127" t="s">
        <v>186</v>
      </c>
      <c r="C118" s="103">
        <f t="shared" si="15"/>
        <v>26563218</v>
      </c>
      <c r="D118" s="103"/>
      <c r="E118" s="103">
        <f>E27*E70</f>
        <v>2413704</v>
      </c>
      <c r="F118" s="103">
        <f>F27*F70</f>
        <v>16488816</v>
      </c>
      <c r="G118" s="103">
        <f>G27*G70</f>
        <v>7660698</v>
      </c>
      <c r="H118" s="103"/>
      <c r="I118" s="103"/>
    </row>
    <row r="119" spans="1:9">
      <c r="A119" s="93" t="s">
        <v>380</v>
      </c>
      <c r="B119" s="127" t="s">
        <v>189</v>
      </c>
      <c r="C119" s="103">
        <f t="shared" si="15"/>
        <v>139528</v>
      </c>
      <c r="D119" s="103"/>
      <c r="E119" s="655">
        <v>7411.5</v>
      </c>
      <c r="F119" s="655">
        <v>127296.5</v>
      </c>
      <c r="G119" s="655"/>
      <c r="H119" s="655">
        <v>4820</v>
      </c>
      <c r="I119" s="652"/>
    </row>
    <row r="120" spans="1:9">
      <c r="A120" s="93" t="s">
        <v>381</v>
      </c>
      <c r="B120" s="127" t="s">
        <v>190</v>
      </c>
      <c r="C120" s="103">
        <f t="shared" si="15"/>
        <v>-1310530.5</v>
      </c>
      <c r="D120" s="103"/>
      <c r="E120" s="652"/>
      <c r="F120" s="656">
        <v>-70490</v>
      </c>
      <c r="G120" s="652">
        <v>-1240040.5</v>
      </c>
      <c r="H120" s="652"/>
      <c r="I120" s="652"/>
    </row>
    <row r="121" spans="1:9" ht="12.75">
      <c r="A121" s="392"/>
      <c r="B121" s="127" t="s">
        <v>191</v>
      </c>
      <c r="C121" s="103">
        <f t="shared" si="15"/>
        <v>0</v>
      </c>
      <c r="D121" s="103"/>
      <c r="E121" s="652"/>
      <c r="F121" s="652"/>
      <c r="G121" s="652"/>
      <c r="H121" s="652"/>
      <c r="I121" s="652"/>
    </row>
    <row r="122" spans="1:9">
      <c r="A122" s="93" t="s">
        <v>192</v>
      </c>
      <c r="B122" s="127" t="s">
        <v>193</v>
      </c>
      <c r="C122" s="105">
        <f t="shared" si="15"/>
        <v>7019745.6002651993</v>
      </c>
      <c r="D122" s="130"/>
      <c r="E122" s="653"/>
      <c r="F122" s="653"/>
      <c r="G122" s="653"/>
      <c r="H122" s="653"/>
      <c r="I122" s="654">
        <v>7019745.6002651993</v>
      </c>
    </row>
    <row r="123" spans="1:9">
      <c r="C123" s="106"/>
      <c r="D123" s="106"/>
      <c r="E123" s="106"/>
      <c r="F123" s="106"/>
      <c r="G123" s="106"/>
      <c r="H123" s="106"/>
      <c r="I123" s="106"/>
    </row>
    <row r="124" spans="1:9">
      <c r="B124" s="95" t="s">
        <v>164</v>
      </c>
      <c r="C124" s="106">
        <f>IF(ROUND(SUM(C111:C122),3)&lt;&gt;ROUND(SUM(D124:I124),3),#VALUE!,SUM(D124:I124))</f>
        <v>507370770.92026514</v>
      </c>
      <c r="D124" s="106">
        <f t="shared" ref="D124:I124" si="17">SUM(D111:D122)</f>
        <v>220934081.67999998</v>
      </c>
      <c r="E124" s="106">
        <f t="shared" si="17"/>
        <v>71996750</v>
      </c>
      <c r="F124" s="106">
        <f t="shared" si="17"/>
        <v>130763390.82000001</v>
      </c>
      <c r="G124" s="106">
        <f t="shared" si="17"/>
        <v>65194363.040000007</v>
      </c>
      <c r="H124" s="106">
        <f t="shared" si="17"/>
        <v>11462439.779999997</v>
      </c>
      <c r="I124" s="106">
        <f t="shared" si="17"/>
        <v>7019745.6002651993</v>
      </c>
    </row>
    <row r="125" spans="1:9">
      <c r="B125" s="107"/>
      <c r="C125" s="105">
        <f>SUM(D125:I125)</f>
        <v>0</v>
      </c>
      <c r="D125" s="105">
        <f>ROUND(D15*D67/100,2)</f>
        <v>0</v>
      </c>
      <c r="E125" s="105">
        <f t="shared" ref="E125:H125" si="18">ROUND(E15*E67/100,2)</f>
        <v>0</v>
      </c>
      <c r="F125" s="105">
        <f t="shared" si="18"/>
        <v>0</v>
      </c>
      <c r="G125" s="105">
        <f>ROUND(G15*G63/100,2)</f>
        <v>0</v>
      </c>
      <c r="H125" s="105">
        <f t="shared" si="18"/>
        <v>0</v>
      </c>
      <c r="I125" s="105"/>
    </row>
    <row r="126" spans="1:9">
      <c r="C126" s="106"/>
      <c r="D126" s="106"/>
      <c r="E126" s="106"/>
      <c r="F126" s="106"/>
      <c r="G126" s="106"/>
      <c r="H126" s="106"/>
      <c r="I126" s="106"/>
    </row>
    <row r="127" spans="1:9">
      <c r="B127" s="95" t="s">
        <v>164</v>
      </c>
      <c r="C127" s="106">
        <f>SUM(D127:I127)</f>
        <v>507370770.92026514</v>
      </c>
      <c r="D127" s="106">
        <f t="shared" ref="D127:I127" si="19">D124+D125</f>
        <v>220934081.67999998</v>
      </c>
      <c r="E127" s="106">
        <f t="shared" si="19"/>
        <v>71996750</v>
      </c>
      <c r="F127" s="106">
        <f t="shared" si="19"/>
        <v>130763390.82000001</v>
      </c>
      <c r="G127" s="106">
        <f t="shared" si="19"/>
        <v>65194363.040000007</v>
      </c>
      <c r="H127" s="106">
        <f t="shared" si="19"/>
        <v>11462439.779999997</v>
      </c>
      <c r="I127" s="106">
        <f t="shared" si="19"/>
        <v>7019745.6002651993</v>
      </c>
    </row>
    <row r="128" spans="1:9">
      <c r="B128" s="95" t="s">
        <v>194</v>
      </c>
      <c r="C128" s="105">
        <f>SUM(D128:I128)</f>
        <v>0</v>
      </c>
      <c r="D128" s="105">
        <f>ROUND(D18*D67/100,2)</f>
        <v>0</v>
      </c>
      <c r="E128" s="105">
        <f t="shared" ref="E128:I128" si="20">ROUND(E18*E67/100,2)</f>
        <v>0</v>
      </c>
      <c r="F128" s="105">
        <f t="shared" si="20"/>
        <v>0</v>
      </c>
      <c r="G128" s="105">
        <f t="shared" si="20"/>
        <v>0</v>
      </c>
      <c r="H128" s="105">
        <f t="shared" si="20"/>
        <v>0</v>
      </c>
      <c r="I128" s="105">
        <f t="shared" si="20"/>
        <v>0</v>
      </c>
    </row>
    <row r="129" spans="1:9">
      <c r="C129" s="106"/>
      <c r="D129" s="106"/>
      <c r="E129" s="106"/>
      <c r="F129" s="106"/>
      <c r="G129" s="106"/>
      <c r="H129" s="106"/>
      <c r="I129" s="106"/>
    </row>
    <row r="130" spans="1:9">
      <c r="B130" s="95" t="str">
        <f>"TOTAL "&amp;UPPER(CHOOSE(Base1_Billing2,$N$9,$N$10))&amp;" REVENUE"</f>
        <v>TOTAL BASE TARIFF REVENUE</v>
      </c>
      <c r="C130" s="106">
        <f>IF(ROUND(SUM(D130:I130),3)&lt;&gt;ROUND(SUM(C127:C128),3),#VALUE!,SUM(D130:I130))</f>
        <v>507370770.92026514</v>
      </c>
      <c r="D130" s="106">
        <f t="shared" ref="D130:I130" si="21">D127+D128</f>
        <v>220934081.67999998</v>
      </c>
      <c r="E130" s="106">
        <f t="shared" si="21"/>
        <v>71996750</v>
      </c>
      <c r="F130" s="106">
        <f t="shared" si="21"/>
        <v>130763390.82000001</v>
      </c>
      <c r="G130" s="106">
        <f t="shared" si="21"/>
        <v>65194363.040000007</v>
      </c>
      <c r="H130" s="106">
        <f t="shared" si="21"/>
        <v>11462439.779999997</v>
      </c>
      <c r="I130" s="106">
        <f t="shared" si="21"/>
        <v>7019745.6002651993</v>
      </c>
    </row>
    <row r="131" spans="1:9">
      <c r="C131" s="106"/>
      <c r="D131" s="106"/>
      <c r="E131" s="106"/>
      <c r="F131" s="106"/>
      <c r="G131" s="106"/>
      <c r="H131" s="106"/>
      <c r="I131" s="106"/>
    </row>
    <row r="132" spans="1:9">
      <c r="B132" s="95" t="s">
        <v>195</v>
      </c>
      <c r="C132" s="106"/>
      <c r="D132" s="106"/>
      <c r="E132" s="106"/>
      <c r="F132" s="106"/>
      <c r="G132" s="106"/>
      <c r="H132" s="106"/>
      <c r="I132" s="106"/>
    </row>
    <row r="133" spans="1:9">
      <c r="B133" s="131" t="s">
        <v>196</v>
      </c>
      <c r="C133" s="106"/>
      <c r="D133" s="106"/>
      <c r="E133" s="106"/>
      <c r="F133" s="106"/>
      <c r="G133" s="106"/>
      <c r="H133" s="106"/>
      <c r="I133" s="106"/>
    </row>
    <row r="134" spans="1:9" s="103" customFormat="1">
      <c r="A134" s="132" t="s">
        <v>382</v>
      </c>
      <c r="B134" s="133" t="s">
        <v>197</v>
      </c>
      <c r="C134" s="103">
        <f>SUM(D134:I134)</f>
        <v>-2786906</v>
      </c>
      <c r="D134" s="657">
        <v>-3326043</v>
      </c>
      <c r="E134" s="657">
        <v>230343</v>
      </c>
      <c r="F134" s="657">
        <v>208054</v>
      </c>
      <c r="G134" s="657"/>
      <c r="H134" s="657">
        <v>100740</v>
      </c>
      <c r="I134" s="410"/>
    </row>
    <row r="135" spans="1:9" s="124" customFormat="1">
      <c r="A135" s="93" t="s">
        <v>198</v>
      </c>
      <c r="B135" s="134" t="s">
        <v>199</v>
      </c>
      <c r="D135" s="124">
        <f>D67</f>
        <v>8.1846000002466752</v>
      </c>
      <c r="E135" s="124">
        <f>E67</f>
        <v>10.561245460615403</v>
      </c>
      <c r="F135" s="124">
        <f>F67</f>
        <v>7.1507754755818773</v>
      </c>
      <c r="H135" s="135">
        <f>H67</f>
        <v>7.9720166453257555</v>
      </c>
    </row>
    <row r="136" spans="1:9" s="106" customFormat="1">
      <c r="A136" s="93"/>
      <c r="B136" s="136" t="s">
        <v>200</v>
      </c>
      <c r="C136" s="106">
        <f>SUM(D136:I136)</f>
        <v>-224987.75</v>
      </c>
      <c r="D136" s="137">
        <f>ROUND(D134*D135/100,2)</f>
        <v>-272223.32</v>
      </c>
      <c r="E136" s="137">
        <f>ROUND(E134*E135/100,2)</f>
        <v>24327.09</v>
      </c>
      <c r="F136" s="137">
        <f>ROUND(F134*F135/100,2)</f>
        <v>14877.47</v>
      </c>
      <c r="G136" s="137"/>
      <c r="H136" s="137">
        <f>ROUND(H134*H135/100,2)</f>
        <v>8031.01</v>
      </c>
      <c r="I136" s="137"/>
    </row>
    <row r="137" spans="1:9" s="106" customFormat="1">
      <c r="A137" s="93"/>
      <c r="B137" s="136"/>
    </row>
    <row r="138" spans="1:9" s="108" customFormat="1">
      <c r="A138" s="93" t="s">
        <v>201</v>
      </c>
      <c r="B138" s="136" t="s">
        <v>202</v>
      </c>
      <c r="C138" s="110">
        <f>SUM(D138:I138)</f>
        <v>0</v>
      </c>
      <c r="D138" s="411">
        <v>0</v>
      </c>
      <c r="E138" s="411">
        <v>0</v>
      </c>
      <c r="F138" s="411">
        <v>0</v>
      </c>
      <c r="G138" s="138"/>
      <c r="H138" s="138"/>
      <c r="I138" s="138"/>
    </row>
    <row r="139" spans="1:9" s="124" customFormat="1">
      <c r="A139" s="93" t="s">
        <v>198</v>
      </c>
      <c r="B139" s="134" t="s">
        <v>203</v>
      </c>
      <c r="D139" s="135">
        <f>I226</f>
        <v>9.4051426186336364</v>
      </c>
      <c r="E139" s="135">
        <f>I245</f>
        <v>8.4550000000000018</v>
      </c>
      <c r="F139" s="124">
        <f>I278</f>
        <v>6.4750000000000005</v>
      </c>
    </row>
    <row r="140" spans="1:9" s="106" customFormat="1">
      <c r="A140" s="93"/>
      <c r="B140" s="136" t="s">
        <v>204</v>
      </c>
      <c r="C140" s="106">
        <f>SUM(D140:I140)</f>
        <v>0</v>
      </c>
      <c r="D140" s="139">
        <f>ROUND(D138*D139/100,2)</f>
        <v>0</v>
      </c>
      <c r="E140" s="139">
        <f>ROUND(E138*E139/100,2)</f>
        <v>0</v>
      </c>
      <c r="F140" s="139">
        <f>ROUND(F138*F139/100,2)</f>
        <v>0</v>
      </c>
      <c r="G140" s="137"/>
      <c r="H140" s="137"/>
      <c r="I140" s="137"/>
    </row>
    <row r="141" spans="1:9" s="106" customFormat="1">
      <c r="A141" s="93"/>
      <c r="B141" s="136"/>
      <c r="D141" s="140"/>
      <c r="E141" s="140"/>
    </row>
    <row r="142" spans="1:9" s="111" customFormat="1">
      <c r="A142" s="132" t="s">
        <v>382</v>
      </c>
      <c r="B142" s="141" t="s">
        <v>205</v>
      </c>
      <c r="C142" s="103">
        <f>IF(ROUND(C134+C138,3)&lt;&gt;ROUND(SUM(D142:I142),3),#VALUE!,C134+C138)</f>
        <v>-2786906</v>
      </c>
      <c r="D142" s="128">
        <f>D134+D138</f>
        <v>-3326043</v>
      </c>
      <c r="E142" s="128">
        <f>E134+E138</f>
        <v>230343</v>
      </c>
      <c r="F142" s="103">
        <f>F134+F138</f>
        <v>208054</v>
      </c>
      <c r="G142" s="103"/>
      <c r="H142" s="103">
        <f>H134+H138</f>
        <v>100740</v>
      </c>
      <c r="I142" s="103">
        <f>I134+I138</f>
        <v>0</v>
      </c>
    </row>
    <row r="143" spans="1:9" s="106" customFormat="1">
      <c r="A143" s="93"/>
      <c r="B143" s="136" t="s">
        <v>206</v>
      </c>
      <c r="C143" s="106">
        <f>IF(ROUND(C136+C140,3)&lt;&gt;ROUND(SUM(D143:I143),3),#VALUE!,C136+C140)</f>
        <v>-224987.75</v>
      </c>
      <c r="D143" s="140">
        <f>D136+D140</f>
        <v>-272223.32</v>
      </c>
      <c r="E143" s="140">
        <f>E136+E140</f>
        <v>24327.09</v>
      </c>
      <c r="F143" s="106">
        <f>F136+F140</f>
        <v>14877.47</v>
      </c>
      <c r="H143" s="106">
        <f>H136+H140</f>
        <v>8031.01</v>
      </c>
    </row>
    <row r="144" spans="1:9" ht="12.75">
      <c r="A144" s="392"/>
      <c r="B144" s="131" t="s">
        <v>207</v>
      </c>
      <c r="C144" s="106"/>
      <c r="D144" s="140"/>
      <c r="E144" s="140"/>
      <c r="F144" s="106"/>
      <c r="G144" s="106"/>
      <c r="H144" s="106"/>
      <c r="I144" s="106"/>
    </row>
    <row r="145" spans="1:9" s="108" customFormat="1">
      <c r="A145" s="132" t="s">
        <v>383</v>
      </c>
      <c r="B145" s="134" t="s">
        <v>202</v>
      </c>
      <c r="C145" s="108">
        <f>SUM(D145:I145)</f>
        <v>-80043211</v>
      </c>
      <c r="D145" s="659">
        <v>-61889108</v>
      </c>
      <c r="E145" s="659">
        <v>-8479367</v>
      </c>
      <c r="F145" s="660">
        <v>-9674736</v>
      </c>
      <c r="G145" s="659"/>
      <c r="H145" s="658"/>
      <c r="I145" s="658"/>
    </row>
    <row r="146" spans="1:9" s="124" customFormat="1">
      <c r="A146" s="93" t="s">
        <v>198</v>
      </c>
      <c r="B146" s="134" t="s">
        <v>203</v>
      </c>
      <c r="C146" s="142"/>
      <c r="D146" s="124">
        <f>I226</f>
        <v>9.4051426186336364</v>
      </c>
      <c r="E146" s="124">
        <f>I245</f>
        <v>8.4550000000000018</v>
      </c>
      <c r="F146" s="124">
        <f>I278</f>
        <v>6.4750000000000005</v>
      </c>
    </row>
    <row r="147" spans="1:9" s="106" customFormat="1">
      <c r="A147" s="93"/>
      <c r="B147" s="136" t="s">
        <v>204</v>
      </c>
      <c r="C147" s="106">
        <f>SUM(D147:I147)</f>
        <v>-7164128.5099999998</v>
      </c>
      <c r="D147" s="137">
        <f>ROUND(D145*D146/100,2)</f>
        <v>-5820758.8700000001</v>
      </c>
      <c r="E147" s="137">
        <f>ROUND(E145*E146/100,2)</f>
        <v>-716930.48</v>
      </c>
      <c r="F147" s="137">
        <f>ROUND(F145*F146/100,2)</f>
        <v>-626439.16</v>
      </c>
      <c r="G147" s="137"/>
      <c r="H147" s="137"/>
      <c r="I147" s="137"/>
    </row>
    <row r="148" spans="1:9">
      <c r="C148" s="106"/>
      <c r="D148" s="106"/>
      <c r="E148" s="106"/>
      <c r="F148" s="106"/>
      <c r="G148" s="106"/>
      <c r="H148" s="106"/>
      <c r="I148" s="106"/>
    </row>
    <row r="149" spans="1:9">
      <c r="B149" s="95" t="s">
        <v>208</v>
      </c>
      <c r="C149" s="106">
        <f>IF(ROUND(C143+C147,3)&lt;&gt;ROUND(SUM(D149:I149),3),#VALUE!,C143+C147)</f>
        <v>-7389116.2599999998</v>
      </c>
      <c r="D149" s="106">
        <f>D147+D143</f>
        <v>-6092982.1900000004</v>
      </c>
      <c r="E149" s="106">
        <f>E147+E143</f>
        <v>-692603.39</v>
      </c>
      <c r="F149" s="106">
        <f>F147+F143</f>
        <v>-611561.69000000006</v>
      </c>
      <c r="G149" s="106"/>
      <c r="H149" s="106">
        <f>H147+H143</f>
        <v>8031.01</v>
      </c>
      <c r="I149" s="106"/>
    </row>
    <row r="150" spans="1:9">
      <c r="B150" s="127" t="s">
        <v>426</v>
      </c>
      <c r="C150" s="103">
        <f t="shared" ref="C150:I150" si="22">C130</f>
        <v>507370770.92026514</v>
      </c>
      <c r="D150" s="103">
        <f t="shared" si="22"/>
        <v>220934081.67999998</v>
      </c>
      <c r="E150" s="103">
        <f t="shared" si="22"/>
        <v>71996750</v>
      </c>
      <c r="F150" s="103">
        <f t="shared" si="22"/>
        <v>130763390.82000001</v>
      </c>
      <c r="G150" s="103">
        <f t="shared" si="22"/>
        <v>65194363.040000007</v>
      </c>
      <c r="H150" s="103">
        <f t="shared" si="22"/>
        <v>11462439.779999997</v>
      </c>
      <c r="I150" s="103">
        <f t="shared" si="22"/>
        <v>7019745.6002651993</v>
      </c>
    </row>
    <row r="151" spans="1:9">
      <c r="C151" s="137"/>
      <c r="D151" s="137"/>
      <c r="E151" s="137"/>
      <c r="F151" s="137"/>
      <c r="G151" s="137"/>
      <c r="H151" s="137"/>
      <c r="I151" s="137"/>
    </row>
    <row r="152" spans="1:9">
      <c r="B152" s="127" t="s">
        <v>161</v>
      </c>
      <c r="C152" s="106">
        <f>IF(ROUND(C149+C150,3)&lt;&gt;ROUND(SUM(D152:I152),3),#VALUE!,SUM(D152:I152))</f>
        <v>499981654.66026521</v>
      </c>
      <c r="D152" s="106">
        <f t="shared" ref="D152:I152" si="23">D149+D150</f>
        <v>214841099.48999998</v>
      </c>
      <c r="E152" s="106">
        <f t="shared" si="23"/>
        <v>71304146.609999999</v>
      </c>
      <c r="F152" s="106">
        <f t="shared" si="23"/>
        <v>130151829.13000001</v>
      </c>
      <c r="G152" s="106">
        <f t="shared" si="23"/>
        <v>65194363.040000007</v>
      </c>
      <c r="H152" s="106">
        <f t="shared" si="23"/>
        <v>11470470.789999997</v>
      </c>
      <c r="I152" s="106">
        <f t="shared" si="23"/>
        <v>7019745.6002651993</v>
      </c>
    </row>
    <row r="153" spans="1:9">
      <c r="C153" s="106"/>
      <c r="D153" s="106"/>
      <c r="E153" s="143"/>
      <c r="F153" s="106"/>
      <c r="G153" s="106"/>
      <c r="H153" s="106"/>
      <c r="I153" s="106"/>
    </row>
    <row r="154" spans="1:9">
      <c r="B154" s="134" t="s">
        <v>611</v>
      </c>
      <c r="C154" s="106"/>
      <c r="D154" s="106"/>
      <c r="E154" s="106"/>
      <c r="F154" s="106"/>
      <c r="G154" s="106"/>
      <c r="H154" s="106"/>
      <c r="I154" s="106"/>
    </row>
    <row r="155" spans="1:9">
      <c r="C155" s="106"/>
      <c r="D155" s="106"/>
      <c r="E155" s="106"/>
      <c r="F155" s="106"/>
      <c r="G155" s="106"/>
      <c r="H155" s="106"/>
      <c r="I155" s="106"/>
    </row>
    <row r="156" spans="1:9">
      <c r="C156" s="106"/>
      <c r="D156" s="106"/>
      <c r="E156" s="106"/>
      <c r="F156" s="106"/>
      <c r="G156" s="106"/>
      <c r="H156" s="106"/>
      <c r="I156" s="106"/>
    </row>
    <row r="157" spans="1:9">
      <c r="C157" s="106"/>
      <c r="D157" s="106"/>
      <c r="E157" s="106"/>
      <c r="F157" s="106"/>
      <c r="G157" s="106"/>
      <c r="H157" s="106"/>
      <c r="I157" s="106"/>
    </row>
    <row r="158" spans="1:9">
      <c r="C158" s="106"/>
      <c r="D158" s="106"/>
      <c r="E158" s="106"/>
      <c r="F158" s="106"/>
      <c r="G158" s="106"/>
      <c r="H158" s="106"/>
      <c r="I158" s="106"/>
    </row>
    <row r="159" spans="1:9">
      <c r="C159" s="106"/>
      <c r="D159" s="106"/>
      <c r="E159" s="106"/>
      <c r="F159" s="106"/>
      <c r="G159" s="106"/>
      <c r="H159" s="106"/>
      <c r="I159" s="106"/>
    </row>
    <row r="160" spans="1:9" s="96" customFormat="1">
      <c r="A160" s="93" t="s">
        <v>147</v>
      </c>
      <c r="C160" s="96" t="s">
        <v>96</v>
      </c>
      <c r="D160" s="96" t="s">
        <v>101</v>
      </c>
      <c r="E160" s="96" t="s">
        <v>103</v>
      </c>
      <c r="F160" s="96" t="s">
        <v>105</v>
      </c>
      <c r="G160" s="96" t="s">
        <v>107</v>
      </c>
      <c r="H160" s="96" t="s">
        <v>109</v>
      </c>
      <c r="I160" s="96" t="s">
        <v>111</v>
      </c>
    </row>
    <row r="161" spans="1:9" s="96" customFormat="1">
      <c r="A161" s="93" t="s">
        <v>148</v>
      </c>
      <c r="C161" s="97" t="s">
        <v>87</v>
      </c>
      <c r="D161" s="97" t="s">
        <v>102</v>
      </c>
      <c r="E161" s="97" t="s">
        <v>104</v>
      </c>
      <c r="F161" s="97" t="s">
        <v>106</v>
      </c>
      <c r="G161" s="97" t="s">
        <v>108</v>
      </c>
      <c r="H161" s="97" t="s">
        <v>110</v>
      </c>
      <c r="I161" s="97" t="s">
        <v>112</v>
      </c>
    </row>
    <row r="162" spans="1:9" ht="12.75">
      <c r="B162" s="99" t="s">
        <v>210</v>
      </c>
      <c r="C162" s="106"/>
      <c r="D162" s="106"/>
      <c r="E162" s="106"/>
      <c r="F162" s="106"/>
      <c r="G162" s="106"/>
      <c r="H162" s="106"/>
      <c r="I162" s="106"/>
    </row>
    <row r="163" spans="1:9">
      <c r="B163" s="95" t="str">
        <f>UPPER(CHOOSE(Base1_Billing2,$N$9,$N$10))&amp;" REVENUE"</f>
        <v>BASE TARIFF REVENUE</v>
      </c>
      <c r="C163" s="106"/>
      <c r="D163" s="106"/>
      <c r="E163" s="106"/>
      <c r="F163" s="106"/>
      <c r="G163" s="106"/>
      <c r="H163" s="106"/>
      <c r="I163" s="106"/>
    </row>
    <row r="164" spans="1:9">
      <c r="B164" s="127" t="s">
        <v>426</v>
      </c>
      <c r="C164" s="106">
        <f t="shared" ref="C164:C175" si="24">SUM(D164:I164)</f>
        <v>28015393.5</v>
      </c>
      <c r="D164" s="106">
        <f>D48*D76</f>
        <v>20927569.5</v>
      </c>
      <c r="E164" s="106">
        <f>E48*E76</f>
        <v>6561935.9999999991</v>
      </c>
      <c r="F164" s="106"/>
      <c r="G164" s="106"/>
      <c r="H164" s="106">
        <f>H48*H76</f>
        <v>525887.9999999993</v>
      </c>
      <c r="I164" s="106"/>
    </row>
    <row r="165" spans="1:9">
      <c r="B165" s="127" t="s">
        <v>179</v>
      </c>
      <c r="C165" s="103">
        <f t="shared" si="24"/>
        <v>0</v>
      </c>
      <c r="D165" s="103">
        <f>D49*D77</f>
        <v>0</v>
      </c>
      <c r="E165" s="103"/>
      <c r="F165" s="103"/>
      <c r="G165" s="103"/>
      <c r="H165" s="103"/>
      <c r="I165" s="103"/>
    </row>
    <row r="166" spans="1:9">
      <c r="B166" s="127" t="s">
        <v>607</v>
      </c>
      <c r="C166" s="103">
        <f t="shared" si="24"/>
        <v>268348176.25999996</v>
      </c>
      <c r="D166" s="103">
        <f t="shared" ref="D166:H168" si="25">ROUND(D31*D79/100,2)</f>
        <v>117547296.88</v>
      </c>
      <c r="E166" s="103">
        <f t="shared" si="25"/>
        <v>47381237.579999998</v>
      </c>
      <c r="F166" s="103">
        <f t="shared" si="25"/>
        <v>91373249.200000003</v>
      </c>
      <c r="G166" s="103">
        <f t="shared" si="25"/>
        <v>7076160</v>
      </c>
      <c r="H166" s="103">
        <f>ROUND(H31*H79/100,2)</f>
        <v>4970232.5999999996</v>
      </c>
      <c r="I166" s="103"/>
    </row>
    <row r="167" spans="1:9">
      <c r="B167" s="127" t="s">
        <v>158</v>
      </c>
      <c r="C167" s="103">
        <f t="shared" si="24"/>
        <v>107204438.40000001</v>
      </c>
      <c r="D167" s="103">
        <f t="shared" si="25"/>
        <v>46580209.079999998</v>
      </c>
      <c r="E167" s="103">
        <f t="shared" si="25"/>
        <v>15632460.92</v>
      </c>
      <c r="F167" s="103">
        <f t="shared" si="25"/>
        <v>10789519.119999999</v>
      </c>
      <c r="G167" s="103">
        <f t="shared" si="25"/>
        <v>28240750.100000001</v>
      </c>
      <c r="H167" s="103">
        <f t="shared" si="25"/>
        <v>5961499.1799999997</v>
      </c>
      <c r="I167" s="103"/>
    </row>
    <row r="168" spans="1:9">
      <c r="B168" s="127" t="s">
        <v>161</v>
      </c>
      <c r="C168" s="103">
        <f t="shared" si="24"/>
        <v>54043801.659999996</v>
      </c>
      <c r="D168" s="103">
        <f>ROUND(D33*D81/100,2)</f>
        <v>35879006.219999999</v>
      </c>
      <c r="E168" s="103"/>
      <c r="F168" s="103"/>
      <c r="G168" s="103">
        <f t="shared" si="25"/>
        <v>18164795.440000001</v>
      </c>
      <c r="H168" s="103"/>
      <c r="I168" s="103"/>
    </row>
    <row r="169" spans="1:9">
      <c r="B169" s="127" t="s">
        <v>162</v>
      </c>
      <c r="C169" s="103">
        <f t="shared" si="24"/>
        <v>0</v>
      </c>
      <c r="D169" s="103">
        <f>ROUND(D34*D82/100,2)</f>
        <v>0</v>
      </c>
      <c r="E169" s="103"/>
      <c r="F169" s="103"/>
      <c r="G169" s="103"/>
      <c r="H169" s="103"/>
      <c r="I169" s="103"/>
    </row>
    <row r="170" spans="1:9">
      <c r="B170" s="127" t="s">
        <v>609</v>
      </c>
      <c r="C170" s="103">
        <f t="shared" si="24"/>
        <v>17347000</v>
      </c>
      <c r="D170" s="103"/>
      <c r="E170" s="103"/>
      <c r="F170" s="103">
        <f>ROUND(F48*F86,2)</f>
        <v>12055000</v>
      </c>
      <c r="G170" s="103">
        <f>ROUND(G48*G86,2)</f>
        <v>5292000</v>
      </c>
      <c r="H170" s="103"/>
      <c r="I170" s="103"/>
    </row>
    <row r="171" spans="1:9">
      <c r="B171" s="127" t="s">
        <v>186</v>
      </c>
      <c r="C171" s="103">
        <f t="shared" si="24"/>
        <v>26563218</v>
      </c>
      <c r="D171" s="103"/>
      <c r="E171" s="103">
        <f>ROUND(E50*E87,2)</f>
        <v>2413704</v>
      </c>
      <c r="F171" s="103">
        <f>ROUND(F50*F87,2)</f>
        <v>16488816</v>
      </c>
      <c r="G171" s="103">
        <f>ROUND(G50*G87,2)</f>
        <v>7660698</v>
      </c>
      <c r="H171" s="103"/>
      <c r="I171" s="103"/>
    </row>
    <row r="172" spans="1:9">
      <c r="B172" s="134" t="s">
        <v>611</v>
      </c>
      <c r="C172" s="103">
        <f t="shared" si="24"/>
        <v>139528</v>
      </c>
      <c r="D172" s="103"/>
      <c r="E172" s="103">
        <f>E119</f>
        <v>7411.5</v>
      </c>
      <c r="F172" s="103">
        <f>F119</f>
        <v>127296.5</v>
      </c>
      <c r="G172" s="103"/>
      <c r="H172" s="103">
        <f>H119</f>
        <v>4820</v>
      </c>
      <c r="I172" s="103"/>
    </row>
    <row r="173" spans="1:9">
      <c r="B173" s="127" t="s">
        <v>190</v>
      </c>
      <c r="C173" s="103">
        <f t="shared" si="24"/>
        <v>-1310530.5</v>
      </c>
      <c r="D173" s="103"/>
      <c r="E173" s="103"/>
      <c r="F173" s="103">
        <f>F120</f>
        <v>-70490</v>
      </c>
      <c r="G173" s="662">
        <v>-1240040.5</v>
      </c>
      <c r="H173" s="103"/>
      <c r="I173" s="103"/>
    </row>
    <row r="174" spans="1:9">
      <c r="B174" s="127" t="s">
        <v>191</v>
      </c>
      <c r="C174" s="103">
        <f t="shared" si="24"/>
        <v>0</v>
      </c>
      <c r="D174" s="103"/>
      <c r="E174" s="103"/>
      <c r="F174" s="103"/>
      <c r="G174" s="103"/>
      <c r="H174" s="103"/>
      <c r="I174" s="103"/>
    </row>
    <row r="175" spans="1:9">
      <c r="A175" s="93" t="s">
        <v>192</v>
      </c>
      <c r="B175" s="127" t="s">
        <v>193</v>
      </c>
      <c r="C175" s="105">
        <f t="shared" si="24"/>
        <v>7019745.6005999986</v>
      </c>
      <c r="D175" s="105"/>
      <c r="E175" s="130"/>
      <c r="F175" s="130"/>
      <c r="G175" s="130"/>
      <c r="H175" s="130"/>
      <c r="I175" s="661">
        <v>7019745.6005999986</v>
      </c>
    </row>
    <row r="176" spans="1:9">
      <c r="B176" s="95" t="s">
        <v>608</v>
      </c>
      <c r="C176" s="106"/>
      <c r="D176" s="106"/>
      <c r="E176" s="106"/>
      <c r="F176" s="106"/>
      <c r="G176" s="106"/>
      <c r="H176" s="106"/>
      <c r="I176" s="106"/>
    </row>
    <row r="177" spans="1:9">
      <c r="B177" s="95" t="s">
        <v>164</v>
      </c>
      <c r="C177" s="106">
        <f>IF(ROUND(SUM(C164:C175),3)&lt;&gt;ROUND(SUM(D177:I177),3),#VALUE!,SUM(D177:I177))</f>
        <v>507370770.92059994</v>
      </c>
      <c r="D177" s="106">
        <f t="shared" ref="D177:I177" si="26">SUM(D164:D175)</f>
        <v>220934081.67999998</v>
      </c>
      <c r="E177" s="106">
        <f t="shared" si="26"/>
        <v>71996750</v>
      </c>
      <c r="F177" s="106">
        <f t="shared" si="26"/>
        <v>130763390.82000001</v>
      </c>
      <c r="G177" s="106">
        <f t="shared" si="26"/>
        <v>65194363.040000007</v>
      </c>
      <c r="H177" s="106">
        <f t="shared" si="26"/>
        <v>11462439.779999997</v>
      </c>
      <c r="I177" s="106">
        <f t="shared" si="26"/>
        <v>7019745.6005999986</v>
      </c>
    </row>
    <row r="178" spans="1:9">
      <c r="B178" s="107"/>
      <c r="C178" s="105">
        <f>SUM(D178:I178)</f>
        <v>0</v>
      </c>
      <c r="D178" s="105">
        <f>ROUND(D38*D84/100,2)</f>
        <v>0</v>
      </c>
      <c r="E178" s="105">
        <f t="shared" ref="E178:H178" si="27">ROUND(E38*E84/100,2)</f>
        <v>0</v>
      </c>
      <c r="F178" s="105">
        <f t="shared" si="27"/>
        <v>0</v>
      </c>
      <c r="G178" s="105">
        <f>ROUND(G38*G80/100,2)</f>
        <v>0</v>
      </c>
      <c r="H178" s="105">
        <f t="shared" si="27"/>
        <v>0</v>
      </c>
      <c r="I178" s="105">
        <v>0</v>
      </c>
    </row>
    <row r="179" spans="1:9">
      <c r="C179" s="106"/>
      <c r="D179" s="106"/>
      <c r="E179" s="144"/>
      <c r="F179" s="144"/>
      <c r="G179" s="106"/>
      <c r="H179" s="106"/>
      <c r="I179" s="106"/>
    </row>
    <row r="180" spans="1:9">
      <c r="B180" s="95" t="s">
        <v>164</v>
      </c>
      <c r="C180" s="106">
        <f>SUM(D180:I180)</f>
        <v>507370770.92059994</v>
      </c>
      <c r="D180" s="106">
        <f t="shared" ref="D180:I180" si="28">D177+D178</f>
        <v>220934081.67999998</v>
      </c>
      <c r="E180" s="106">
        <f t="shared" si="28"/>
        <v>71996750</v>
      </c>
      <c r="F180" s="106">
        <f t="shared" si="28"/>
        <v>130763390.82000001</v>
      </c>
      <c r="G180" s="106">
        <f t="shared" si="28"/>
        <v>65194363.040000007</v>
      </c>
      <c r="H180" s="106">
        <f t="shared" si="28"/>
        <v>11462439.779999997</v>
      </c>
      <c r="I180" s="106">
        <f t="shared" si="28"/>
        <v>7019745.6005999986</v>
      </c>
    </row>
    <row r="181" spans="1:9">
      <c r="B181" s="95" t="s">
        <v>194</v>
      </c>
      <c r="C181" s="103">
        <f>SUM(D181:I181)</f>
        <v>0</v>
      </c>
      <c r="D181" s="103">
        <f t="shared" ref="D181:I181" si="29">ROUND(D41*D84/100,2)</f>
        <v>0</v>
      </c>
      <c r="E181" s="103">
        <f t="shared" si="29"/>
        <v>0</v>
      </c>
      <c r="F181" s="103">
        <f t="shared" si="29"/>
        <v>0</v>
      </c>
      <c r="G181" s="103">
        <f t="shared" si="29"/>
        <v>0</v>
      </c>
      <c r="H181" s="103">
        <f t="shared" si="29"/>
        <v>0</v>
      </c>
      <c r="I181" s="103">
        <f t="shared" si="29"/>
        <v>0</v>
      </c>
    </row>
    <row r="182" spans="1:9">
      <c r="C182" s="137"/>
      <c r="D182" s="137"/>
      <c r="E182" s="137"/>
      <c r="F182" s="137"/>
      <c r="G182" s="137"/>
      <c r="H182" s="137"/>
      <c r="I182" s="137"/>
    </row>
    <row r="183" spans="1:9">
      <c r="B183" s="95" t="str">
        <f>"SUBTOTAL "&amp;UPPER(CHOOSE(Base1_Billing2,$N$9,$N$10))&amp;" REVENUE"</f>
        <v>SUBTOTAL BASE TARIFF REVENUE</v>
      </c>
      <c r="C183" s="106">
        <f>IF(ROUND(SUM(D183:I183),3)&lt;&gt;ROUND(SUM(C180:C181),3),#VALUE!,SUM(D183:I183))</f>
        <v>507370770.92059994</v>
      </c>
      <c r="D183" s="106">
        <f t="shared" ref="D183:I183" si="30">D180+D181</f>
        <v>220934081.67999998</v>
      </c>
      <c r="E183" s="106">
        <f t="shared" si="30"/>
        <v>71996750</v>
      </c>
      <c r="F183" s="106">
        <f t="shared" si="30"/>
        <v>130763390.82000001</v>
      </c>
      <c r="G183" s="106">
        <f t="shared" si="30"/>
        <v>65194363.040000007</v>
      </c>
      <c r="H183" s="106">
        <f t="shared" si="30"/>
        <v>11462439.779999997</v>
      </c>
      <c r="I183" s="106">
        <f t="shared" si="30"/>
        <v>7019745.6005999986</v>
      </c>
    </row>
    <row r="184" spans="1:9">
      <c r="C184" s="106"/>
      <c r="D184" s="106"/>
      <c r="E184" s="106"/>
      <c r="F184" s="106"/>
      <c r="G184" s="106"/>
      <c r="H184" s="106"/>
      <c r="I184" s="106"/>
    </row>
    <row r="185" spans="1:9">
      <c r="B185" s="95" t="s">
        <v>195</v>
      </c>
      <c r="C185" s="106"/>
      <c r="D185" s="106"/>
      <c r="E185" s="106"/>
      <c r="F185" s="106"/>
      <c r="G185" s="106"/>
      <c r="H185" s="106"/>
      <c r="I185" s="106"/>
    </row>
    <row r="186" spans="1:9">
      <c r="B186" s="131" t="s">
        <v>607</v>
      </c>
      <c r="C186" s="106"/>
      <c r="D186" s="106"/>
      <c r="E186" s="106"/>
      <c r="F186" s="106"/>
      <c r="G186" s="106"/>
      <c r="H186" s="106"/>
      <c r="I186" s="106"/>
    </row>
    <row r="187" spans="1:9" s="108" customFormat="1">
      <c r="A187" s="93"/>
      <c r="B187" s="134" t="s">
        <v>197</v>
      </c>
      <c r="C187" s="110">
        <f>SUM(D187:I187)</f>
        <v>-2786906</v>
      </c>
      <c r="D187" s="103">
        <f>D134</f>
        <v>-3326043</v>
      </c>
      <c r="E187" s="103">
        <f>E134</f>
        <v>230343</v>
      </c>
      <c r="F187" s="103">
        <f>F134</f>
        <v>208054</v>
      </c>
      <c r="G187" s="103"/>
      <c r="H187" s="103">
        <f>H134</f>
        <v>100740</v>
      </c>
      <c r="I187" s="110"/>
    </row>
    <row r="188" spans="1:9" s="124" customFormat="1">
      <c r="A188" s="93"/>
      <c r="B188" s="134" t="s">
        <v>610</v>
      </c>
      <c r="D188" s="124">
        <f t="shared" ref="D188:E188" si="31">D84</f>
        <v>8.1846000002466752</v>
      </c>
      <c r="E188" s="124">
        <f t="shared" si="31"/>
        <v>10.561245460615403</v>
      </c>
      <c r="F188" s="124">
        <f>F84</f>
        <v>7.1507754755818773</v>
      </c>
      <c r="H188" s="135">
        <f>H84</f>
        <v>7.9720166453257555</v>
      </c>
    </row>
    <row r="189" spans="1:9" s="106" customFormat="1">
      <c r="A189" s="93"/>
      <c r="B189" s="134" t="s">
        <v>200</v>
      </c>
      <c r="C189" s="106">
        <f>SUM(D189:I189)</f>
        <v>-224987.75</v>
      </c>
      <c r="D189" s="137">
        <f>ROUND(D187*D188/100,2)</f>
        <v>-272223.32</v>
      </c>
      <c r="E189" s="137">
        <f>ROUND(E187*E188/100,2)</f>
        <v>24327.09</v>
      </c>
      <c r="F189" s="137">
        <f>ROUND(F187*F188/100,2)</f>
        <v>14877.47</v>
      </c>
      <c r="G189" s="137"/>
      <c r="H189" s="137">
        <f>ROUND(H187*H188/100,2)</f>
        <v>8031.01</v>
      </c>
      <c r="I189" s="137"/>
    </row>
    <row r="190" spans="1:9" s="106" customFormat="1">
      <c r="A190" s="93"/>
      <c r="B190" s="127" t="s">
        <v>609</v>
      </c>
    </row>
    <row r="191" spans="1:9" s="108" customFormat="1">
      <c r="A191" s="93"/>
      <c r="B191" s="134" t="s">
        <v>202</v>
      </c>
      <c r="C191" s="110">
        <f>SUM(D191:I191)</f>
        <v>0</v>
      </c>
      <c r="D191" s="110">
        <f>D138</f>
        <v>0</v>
      </c>
      <c r="E191" s="110">
        <f>E138</f>
        <v>0</v>
      </c>
      <c r="F191" s="110">
        <f>F138</f>
        <v>0</v>
      </c>
      <c r="G191" s="110"/>
      <c r="H191" s="110"/>
      <c r="I191" s="110"/>
    </row>
    <row r="192" spans="1:9" s="124" customFormat="1" ht="15">
      <c r="A192" s="93"/>
      <c r="B192" s="732" t="s">
        <v>611</v>
      </c>
      <c r="D192" s="124">
        <f>I235</f>
        <v>9.4051426186336364</v>
      </c>
      <c r="E192" s="124">
        <f>I253</f>
        <v>8.4550000000000018</v>
      </c>
      <c r="F192" s="124">
        <f>I286</f>
        <v>6.4750000000000005</v>
      </c>
    </row>
    <row r="193" spans="1:15" s="106" customFormat="1">
      <c r="A193" s="93"/>
      <c r="B193" s="134" t="s">
        <v>204</v>
      </c>
      <c r="C193" s="106">
        <f>SUM(D193:I193)</f>
        <v>0</v>
      </c>
      <c r="D193" s="137">
        <f>ROUND(D191*D192/100,2)</f>
        <v>0</v>
      </c>
      <c r="E193" s="137">
        <f>ROUND(E191*E192/100,2)</f>
        <v>0</v>
      </c>
      <c r="F193" s="137">
        <f>ROUND(F191*F192/100,2)</f>
        <v>0</v>
      </c>
      <c r="G193" s="137"/>
      <c r="H193" s="137"/>
      <c r="I193" s="137"/>
    </row>
    <row r="194" spans="1:15" s="106" customFormat="1">
      <c r="A194" s="93"/>
      <c r="B194" s="134"/>
    </row>
    <row r="195" spans="1:15" s="111" customFormat="1">
      <c r="A195" s="93"/>
      <c r="B195" s="134" t="s">
        <v>205</v>
      </c>
      <c r="C195" s="103">
        <f>IF(ROUND(C187+C191,3)&lt;&gt;ROUND(SUM(D195:I195),3),#VALUE!,SUM(D195:I195))</f>
        <v>-2786906</v>
      </c>
      <c r="D195" s="103">
        <f>D187+D191</f>
        <v>-3326043</v>
      </c>
      <c r="E195" s="103">
        <f>E187+E191</f>
        <v>230343</v>
      </c>
      <c r="F195" s="103">
        <f>F187+F191</f>
        <v>208054</v>
      </c>
      <c r="G195" s="103"/>
      <c r="H195" s="103">
        <f>H187+H191</f>
        <v>100740</v>
      </c>
      <c r="I195" s="103"/>
    </row>
    <row r="196" spans="1:15" s="106" customFormat="1">
      <c r="A196" s="93"/>
      <c r="B196" s="134" t="s">
        <v>608</v>
      </c>
      <c r="C196" s="106">
        <f>IF(ROUND(C189+C193,3)&lt;&gt;ROUND(SUM(D196:I196),3),#VALUE!,SUM(D196:I196))</f>
        <v>-224987.75</v>
      </c>
      <c r="D196" s="106">
        <f>D189+D193</f>
        <v>-272223.32</v>
      </c>
      <c r="E196" s="106">
        <f>E189+E193</f>
        <v>24327.09</v>
      </c>
      <c r="F196" s="106">
        <f>F189+F193</f>
        <v>14877.47</v>
      </c>
      <c r="H196" s="106">
        <f>H189+H193</f>
        <v>8031.01</v>
      </c>
    </row>
    <row r="197" spans="1:15">
      <c r="B197" s="131" t="s">
        <v>207</v>
      </c>
      <c r="C197" s="106"/>
      <c r="D197" s="106"/>
      <c r="E197" s="106"/>
      <c r="F197" s="106"/>
      <c r="G197" s="106"/>
      <c r="H197" s="106"/>
      <c r="I197" s="106"/>
    </row>
    <row r="198" spans="1:15" s="108" customFormat="1">
      <c r="A198" s="93"/>
      <c r="B198" s="134" t="s">
        <v>202</v>
      </c>
      <c r="C198" s="110">
        <f>SUM(D198:I198)</f>
        <v>-80043211</v>
      </c>
      <c r="D198" s="110">
        <f>D145</f>
        <v>-61889108</v>
      </c>
      <c r="E198" s="110">
        <f>E145</f>
        <v>-8479367</v>
      </c>
      <c r="F198" s="110">
        <f>F145</f>
        <v>-9674736</v>
      </c>
      <c r="G198" s="110"/>
      <c r="H198" s="110"/>
      <c r="I198" s="110"/>
    </row>
    <row r="199" spans="1:15" s="124" customFormat="1">
      <c r="A199" s="93"/>
      <c r="B199" s="134" t="s">
        <v>203</v>
      </c>
      <c r="C199" s="142" t="s">
        <v>96</v>
      </c>
      <c r="D199" s="124">
        <f>I235</f>
        <v>9.4051426186336364</v>
      </c>
      <c r="E199" s="124">
        <f>I253</f>
        <v>8.4550000000000018</v>
      </c>
      <c r="F199" s="124">
        <f>I286</f>
        <v>6.4750000000000005</v>
      </c>
    </row>
    <row r="200" spans="1:15" s="106" customFormat="1">
      <c r="A200" s="93"/>
      <c r="B200" s="136" t="s">
        <v>204</v>
      </c>
      <c r="C200" s="106">
        <f>SUM(D200:I200)</f>
        <v>-7164128.5099999998</v>
      </c>
      <c r="D200" s="137">
        <f>ROUND(D198*D199/100,2)</f>
        <v>-5820758.8700000001</v>
      </c>
      <c r="E200" s="137">
        <f>ROUND(E198*E199/100,2)</f>
        <v>-716930.48</v>
      </c>
      <c r="F200" s="137">
        <f>ROUND(F198*F199/100,2)</f>
        <v>-626439.16</v>
      </c>
      <c r="G200" s="137"/>
      <c r="H200" s="137"/>
      <c r="I200" s="137"/>
    </row>
    <row r="201" spans="1:15" s="106" customFormat="1">
      <c r="A201" s="93"/>
      <c r="C201" s="144"/>
      <c r="D201" s="144"/>
      <c r="E201" s="144"/>
      <c r="F201" s="144"/>
      <c r="G201" s="144"/>
      <c r="H201" s="144"/>
      <c r="I201" s="144"/>
    </row>
    <row r="202" spans="1:15">
      <c r="B202" s="95" t="s">
        <v>208</v>
      </c>
      <c r="C202" s="137">
        <f>IF(ROUND(SUM(D202:I202),3)&lt;&gt;ROUND(C196+C200,3),#VALUE!,SUM(D202:I202))</f>
        <v>-7389116.2600000007</v>
      </c>
      <c r="D202" s="137">
        <f>D200+D196</f>
        <v>-6092982.1900000004</v>
      </c>
      <c r="E202" s="137">
        <f>E200+E196</f>
        <v>-692603.39</v>
      </c>
      <c r="F202" s="137">
        <f>F200+F196</f>
        <v>-611561.69000000006</v>
      </c>
      <c r="G202" s="137"/>
      <c r="H202" s="137">
        <f>H200+H196</f>
        <v>8031.01</v>
      </c>
      <c r="I202" s="137"/>
    </row>
    <row r="203" spans="1:15">
      <c r="B203" s="95" t="str">
        <f>"TOTAL "&amp;UPPER(CHOOSE(Base1_Billing2,$N$9,$N$10))&amp;" REVENUE"</f>
        <v>TOTAL BASE TARIFF REVENUE</v>
      </c>
      <c r="C203" s="103">
        <f>SUM(D203:I203)</f>
        <v>507370770.92059994</v>
      </c>
      <c r="D203" s="103">
        <f t="shared" ref="D203:I203" si="32">D183</f>
        <v>220934081.67999998</v>
      </c>
      <c r="E203" s="103">
        <f t="shared" si="32"/>
        <v>71996750</v>
      </c>
      <c r="F203" s="103">
        <f t="shared" si="32"/>
        <v>130763390.82000001</v>
      </c>
      <c r="G203" s="103">
        <f t="shared" si="32"/>
        <v>65194363.040000007</v>
      </c>
      <c r="H203" s="103">
        <f t="shared" si="32"/>
        <v>11462439.779999997</v>
      </c>
      <c r="I203" s="103">
        <f t="shared" si="32"/>
        <v>7019745.6005999986</v>
      </c>
    </row>
    <row r="204" spans="1:15">
      <c r="B204" s="95" t="s">
        <v>211</v>
      </c>
      <c r="C204" s="137">
        <f>IF(ROUND(SUM(D204:I204),3)&lt;&gt;ROUND(SUM(C202:C203),3),#VALUE!,SUM(D204:I204))</f>
        <v>499981654.66060001</v>
      </c>
      <c r="D204" s="137">
        <f t="shared" ref="D204:I204" si="33">D202+D203</f>
        <v>214841099.48999998</v>
      </c>
      <c r="E204" s="137">
        <f t="shared" si="33"/>
        <v>71304146.609999999</v>
      </c>
      <c r="F204" s="137">
        <f t="shared" si="33"/>
        <v>130151829.13000001</v>
      </c>
      <c r="G204" s="137">
        <f t="shared" si="33"/>
        <v>65194363.040000007</v>
      </c>
      <c r="H204" s="137">
        <f t="shared" si="33"/>
        <v>11470470.789999997</v>
      </c>
      <c r="I204" s="137">
        <f t="shared" si="33"/>
        <v>7019745.6005999986</v>
      </c>
      <c r="L204" s="106"/>
      <c r="O204" s="106"/>
    </row>
    <row r="205" spans="1:15">
      <c r="B205" s="95" t="s">
        <v>209</v>
      </c>
      <c r="C205" s="106">
        <f>SUM(D205:I205)</f>
        <v>499981654.66026521</v>
      </c>
      <c r="D205" s="106">
        <f t="shared" ref="D205:H205" si="34">D152</f>
        <v>214841099.48999998</v>
      </c>
      <c r="E205" s="106">
        <f t="shared" si="34"/>
        <v>71304146.609999999</v>
      </c>
      <c r="F205" s="106">
        <f t="shared" si="34"/>
        <v>130151829.13000001</v>
      </c>
      <c r="G205" s="106">
        <f t="shared" si="34"/>
        <v>65194363.040000007</v>
      </c>
      <c r="H205" s="106">
        <f t="shared" si="34"/>
        <v>11470470.789999997</v>
      </c>
      <c r="I205" s="106">
        <f>I152</f>
        <v>7019745.6002651993</v>
      </c>
      <c r="L205" s="106"/>
      <c r="O205" s="106"/>
    </row>
    <row r="206" spans="1:15">
      <c r="C206" s="145"/>
      <c r="D206" s="145"/>
      <c r="E206" s="145"/>
      <c r="F206" s="145"/>
      <c r="G206" s="145"/>
      <c r="H206" s="145"/>
      <c r="I206" s="145"/>
    </row>
    <row r="207" spans="1:15" s="113" customFormat="1">
      <c r="A207" s="112"/>
      <c r="B207" s="113" t="s">
        <v>212</v>
      </c>
      <c r="C207" s="146">
        <f>SUM(D207:I207)</f>
        <v>3.3479928970336914E-4</v>
      </c>
      <c r="D207" s="146">
        <f t="shared" ref="D207:I207" si="35">D204-D205</f>
        <v>0</v>
      </c>
      <c r="E207" s="146">
        <f t="shared" si="35"/>
        <v>0</v>
      </c>
      <c r="F207" s="146">
        <f t="shared" si="35"/>
        <v>0</v>
      </c>
      <c r="G207" s="146">
        <f t="shared" si="35"/>
        <v>0</v>
      </c>
      <c r="H207" s="146">
        <f t="shared" si="35"/>
        <v>0</v>
      </c>
      <c r="I207" s="146">
        <f t="shared" si="35"/>
        <v>3.3479928970336914E-4</v>
      </c>
      <c r="L207" s="146"/>
      <c r="O207" s="146"/>
    </row>
    <row r="208" spans="1:15" s="113" customFormat="1">
      <c r="A208" s="112"/>
      <c r="B208" s="113" t="s">
        <v>213</v>
      </c>
      <c r="C208" s="147">
        <f t="shared" ref="C208:H208" si="36">C207/C205</f>
        <v>6.6962314833503924E-13</v>
      </c>
      <c r="D208" s="147">
        <f>D207/D205</f>
        <v>0</v>
      </c>
      <c r="E208" s="147">
        <f t="shared" si="36"/>
        <v>0</v>
      </c>
      <c r="F208" s="147">
        <f t="shared" si="36"/>
        <v>0</v>
      </c>
      <c r="G208" s="147">
        <f t="shared" si="36"/>
        <v>0</v>
      </c>
      <c r="H208" s="147">
        <f t="shared" si="36"/>
        <v>0</v>
      </c>
      <c r="I208" s="147">
        <f>I207/I205</f>
        <v>4.7693934904239371E-11</v>
      </c>
      <c r="J208" s="147"/>
      <c r="L208" s="147"/>
      <c r="O208" s="146"/>
    </row>
    <row r="209" spans="1:9" s="96" customFormat="1" ht="12.75">
      <c r="A209" s="93"/>
      <c r="B209" s="148" t="str">
        <f>IF(Base1_Billing2=2,"Pres and Prop Revenues may be incorrect due to Sch 59--for example all of Sch 11 gets benefit of Sch 59 but it s/only be Sch 12; see Billing Rev on Exhibit page for fix","")</f>
        <v/>
      </c>
      <c r="C209" s="149"/>
      <c r="D209" s="150"/>
      <c r="E209" s="150"/>
      <c r="F209" s="150"/>
      <c r="G209" s="150"/>
      <c r="H209" s="150"/>
      <c r="I209" s="150"/>
    </row>
    <row r="210" spans="1:9" s="96" customFormat="1" ht="12.75">
      <c r="A210" s="93"/>
      <c r="C210" s="392" t="str">
        <f>C4</f>
        <v xml:space="preserve"> </v>
      </c>
      <c r="D210" s="392"/>
      <c r="E210" s="143"/>
      <c r="F210" s="149"/>
      <c r="G210" s="149"/>
      <c r="H210" s="149"/>
      <c r="I210" s="149"/>
    </row>
    <row r="211" spans="1:9" s="96" customFormat="1" ht="12.75">
      <c r="A211" s="93"/>
      <c r="C211" s="392"/>
      <c r="D211" s="392"/>
      <c r="E211" s="143"/>
      <c r="F211" s="149"/>
      <c r="G211" s="149"/>
      <c r="H211" s="149"/>
      <c r="I211" s="149"/>
    </row>
    <row r="212" spans="1:9" s="96" customFormat="1" ht="12.75">
      <c r="A212" s="93"/>
      <c r="C212" s="392"/>
      <c r="D212" s="392"/>
      <c r="E212" s="143"/>
      <c r="F212" s="149"/>
      <c r="G212" s="149"/>
      <c r="H212" s="149"/>
      <c r="I212" s="149"/>
    </row>
    <row r="213" spans="1:9" s="96" customFormat="1" ht="12.75">
      <c r="A213" s="93"/>
      <c r="C213" s="392"/>
      <c r="D213" s="392"/>
      <c r="E213" s="143"/>
      <c r="F213" s="149"/>
      <c r="G213" s="149"/>
      <c r="H213" s="149"/>
      <c r="I213" s="149"/>
    </row>
    <row r="214" spans="1:9" s="96" customFormat="1" ht="12.75">
      <c r="A214" s="93"/>
      <c r="C214" s="392"/>
      <c r="D214" s="392"/>
      <c r="E214" s="143"/>
      <c r="F214" s="149"/>
      <c r="G214" s="149"/>
      <c r="H214" s="149"/>
      <c r="I214" s="149"/>
    </row>
    <row r="215" spans="1:9" s="96" customFormat="1">
      <c r="A215" s="93"/>
      <c r="C215" s="149"/>
      <c r="D215" s="149"/>
      <c r="E215" s="149"/>
      <c r="F215" s="149"/>
      <c r="G215" s="149"/>
      <c r="H215" s="149"/>
      <c r="I215" s="149"/>
    </row>
    <row r="216" spans="1:9" s="96" customFormat="1">
      <c r="A216" s="93" t="s">
        <v>147</v>
      </c>
      <c r="C216" s="96" t="s">
        <v>96</v>
      </c>
      <c r="D216" s="96" t="s">
        <v>87</v>
      </c>
      <c r="E216" s="96" t="s">
        <v>87</v>
      </c>
      <c r="F216" s="96" t="s">
        <v>214</v>
      </c>
      <c r="G216" s="96" t="s">
        <v>214</v>
      </c>
      <c r="H216" s="96" t="s">
        <v>215</v>
      </c>
      <c r="I216" s="96" t="s">
        <v>215</v>
      </c>
    </row>
    <row r="217" spans="1:9" s="96" customFormat="1">
      <c r="A217" s="93" t="s">
        <v>148</v>
      </c>
      <c r="C217" s="97" t="s">
        <v>216</v>
      </c>
      <c r="D217" s="97" t="s">
        <v>217</v>
      </c>
      <c r="E217" s="97" t="s">
        <v>218</v>
      </c>
      <c r="F217" s="97" t="s">
        <v>217</v>
      </c>
      <c r="G217" s="97" t="s">
        <v>218</v>
      </c>
      <c r="H217" s="97" t="s">
        <v>217</v>
      </c>
      <c r="I217" s="97" t="s">
        <v>218</v>
      </c>
    </row>
    <row r="219" spans="1:9">
      <c r="B219" s="151" t="s">
        <v>219</v>
      </c>
    </row>
    <row r="220" spans="1:9">
      <c r="B220" s="113" t="s">
        <v>102</v>
      </c>
    </row>
    <row r="221" spans="1:9">
      <c r="B221" s="127" t="s">
        <v>220</v>
      </c>
      <c r="C221" s="124">
        <f>D62</f>
        <v>7.5250000000000004</v>
      </c>
      <c r="D221" s="103">
        <f>D8</f>
        <v>1562090323.9480615</v>
      </c>
      <c r="E221" s="106">
        <f>C221*D221/100</f>
        <v>117547296.87709163</v>
      </c>
      <c r="F221" s="103">
        <f>MIN(D221,F225)</f>
        <v>1562090323.9480615</v>
      </c>
      <c r="G221" s="106">
        <f>F221*C221/100</f>
        <v>117547296.87709163</v>
      </c>
      <c r="H221" s="103">
        <f>D221-F221</f>
        <v>0</v>
      </c>
      <c r="I221" s="106">
        <f>H221*C221/100</f>
        <v>0</v>
      </c>
    </row>
    <row r="222" spans="1:9">
      <c r="B222" s="127" t="s">
        <v>221</v>
      </c>
      <c r="C222" s="124">
        <f>D63</f>
        <v>8.7550000000000008</v>
      </c>
      <c r="D222" s="103">
        <f>D9</f>
        <v>532041223.03140402</v>
      </c>
      <c r="E222" s="106">
        <f>C222*D222/100</f>
        <v>46580209.076399423</v>
      </c>
      <c r="F222" s="103">
        <f>MIN(F225-F221,D222)</f>
        <v>70260097.051938534</v>
      </c>
      <c r="G222" s="106">
        <f>F222*C222/100</f>
        <v>6151271.4968972197</v>
      </c>
      <c r="H222" s="103">
        <f>D222-F222</f>
        <v>461781125.97946548</v>
      </c>
      <c r="I222" s="106">
        <f>H222*C222/100</f>
        <v>40428937.579502203</v>
      </c>
    </row>
    <row r="223" spans="1:9">
      <c r="B223" s="127" t="s">
        <v>222</v>
      </c>
      <c r="C223" s="124">
        <f>D64</f>
        <v>10.263999999999999</v>
      </c>
      <c r="D223" s="103">
        <f>D10</f>
        <v>349561635.02053469</v>
      </c>
      <c r="E223" s="106">
        <f>C223*D223/100</f>
        <v>35879006.218507677</v>
      </c>
      <c r="F223" s="103">
        <f>MIN(F225-F221-F222,D223)</f>
        <v>0</v>
      </c>
      <c r="G223" s="106">
        <f>F223*C223/100</f>
        <v>0</v>
      </c>
      <c r="H223" s="103">
        <f>D223-F223</f>
        <v>349561635.02053469</v>
      </c>
      <c r="I223" s="106">
        <f>H223*C223/100</f>
        <v>35879006.218507677</v>
      </c>
    </row>
    <row r="224" spans="1:9">
      <c r="D224" s="109"/>
      <c r="E224" s="152"/>
      <c r="F224" s="109"/>
      <c r="G224" s="152"/>
      <c r="H224" s="109"/>
      <c r="I224" s="152"/>
    </row>
    <row r="225" spans="2:9">
      <c r="B225" s="95" t="s">
        <v>87</v>
      </c>
      <c r="D225" s="103">
        <f t="shared" ref="D225:I225" si="37">D221+D222+D223</f>
        <v>2443693182</v>
      </c>
      <c r="E225" s="106">
        <f t="shared" si="37"/>
        <v>200006512.17199874</v>
      </c>
      <c r="F225" s="129">
        <f>663*D25</f>
        <v>1632350421</v>
      </c>
      <c r="G225" s="106">
        <f t="shared" si="37"/>
        <v>123698568.37398885</v>
      </c>
      <c r="H225" s="103">
        <f t="shared" si="37"/>
        <v>811342761.00000024</v>
      </c>
      <c r="I225" s="106">
        <f t="shared" si="37"/>
        <v>76307943.798009872</v>
      </c>
    </row>
    <row r="226" spans="2:9">
      <c r="B226" s="95" t="s">
        <v>223</v>
      </c>
      <c r="D226" s="103"/>
      <c r="E226" s="124">
        <f>E225/D225*100</f>
        <v>8.18459999991925</v>
      </c>
      <c r="F226" s="124"/>
      <c r="G226" s="124">
        <f>G225/F225*100</f>
        <v>7.5779420143261538</v>
      </c>
      <c r="H226" s="103"/>
      <c r="I226" s="124">
        <f>I225/H225*100</f>
        <v>9.4051426186336364</v>
      </c>
    </row>
    <row r="227" spans="2:9">
      <c r="D227" s="103"/>
      <c r="F227" s="103"/>
      <c r="H227" s="103"/>
    </row>
    <row r="228" spans="2:9" hidden="1">
      <c r="B228" s="151" t="s">
        <v>224</v>
      </c>
      <c r="D228" s="103"/>
      <c r="F228" s="103"/>
      <c r="H228" s="103"/>
    </row>
    <row r="229" spans="2:9" hidden="1">
      <c r="B229" s="113" t="s">
        <v>102</v>
      </c>
      <c r="D229" s="103"/>
      <c r="F229" s="103"/>
      <c r="H229" s="103"/>
    </row>
    <row r="230" spans="2:9" hidden="1">
      <c r="B230" s="127" t="s">
        <v>220</v>
      </c>
      <c r="C230" s="124">
        <f>D79</f>
        <v>7.5250000000000004</v>
      </c>
      <c r="D230" s="103">
        <f>D221</f>
        <v>1562090323.9480615</v>
      </c>
      <c r="E230" s="106">
        <f>C230*D230/100</f>
        <v>117547296.87709163</v>
      </c>
      <c r="F230" s="103">
        <f>MIN(D230,F234)</f>
        <v>1562090323.9480615</v>
      </c>
      <c r="G230" s="106">
        <f>F230*C230/100</f>
        <v>117547296.87709163</v>
      </c>
      <c r="H230" s="103">
        <f>H221</f>
        <v>0</v>
      </c>
      <c r="I230" s="106">
        <f>H230*C230/100</f>
        <v>0</v>
      </c>
    </row>
    <row r="231" spans="2:9" hidden="1">
      <c r="B231" s="127" t="s">
        <v>221</v>
      </c>
      <c r="C231" s="124">
        <f>D80</f>
        <v>8.7550000000000008</v>
      </c>
      <c r="D231" s="103">
        <f>D222</f>
        <v>532041223.03140402</v>
      </c>
      <c r="E231" s="106">
        <f>C231*D231/100</f>
        <v>46580209.076399423</v>
      </c>
      <c r="F231" s="103">
        <f>MIN(F234-F230,D231)</f>
        <v>70260097.051938534</v>
      </c>
      <c r="G231" s="106">
        <f>F231*C231/100</f>
        <v>6151271.4968972197</v>
      </c>
      <c r="H231" s="103">
        <f>H222</f>
        <v>461781125.97946548</v>
      </c>
      <c r="I231" s="106">
        <f>H231*C231/100</f>
        <v>40428937.579502203</v>
      </c>
    </row>
    <row r="232" spans="2:9" hidden="1">
      <c r="B232" s="127" t="s">
        <v>222</v>
      </c>
      <c r="C232" s="124">
        <f>D81</f>
        <v>10.263999999999999</v>
      </c>
      <c r="D232" s="103">
        <f>D223</f>
        <v>349561635.02053469</v>
      </c>
      <c r="E232" s="106">
        <f>C232*D232/100</f>
        <v>35879006.218507677</v>
      </c>
      <c r="F232" s="103">
        <f>MIN(F234-F230-F231,D232)</f>
        <v>0</v>
      </c>
      <c r="G232" s="106">
        <f>F232*C232/100</f>
        <v>0</v>
      </c>
      <c r="H232" s="103">
        <f>H223</f>
        <v>349561635.02053469</v>
      </c>
      <c r="I232" s="106">
        <f>H232*C232/100</f>
        <v>35879006.218507677</v>
      </c>
    </row>
    <row r="233" spans="2:9" hidden="1">
      <c r="D233" s="109"/>
      <c r="E233" s="152"/>
      <c r="F233" s="109"/>
      <c r="G233" s="152"/>
      <c r="H233" s="109"/>
      <c r="I233" s="152"/>
    </row>
    <row r="234" spans="2:9" hidden="1">
      <c r="B234" s="95" t="s">
        <v>87</v>
      </c>
      <c r="D234" s="103">
        <f t="shared" ref="D234:I234" si="38">D230+D231+D232</f>
        <v>2443693182</v>
      </c>
      <c r="E234" s="106">
        <f t="shared" si="38"/>
        <v>200006512.17199874</v>
      </c>
      <c r="F234" s="103">
        <f>F225</f>
        <v>1632350421</v>
      </c>
      <c r="G234" s="106">
        <f t="shared" si="38"/>
        <v>123698568.37398885</v>
      </c>
      <c r="H234" s="103">
        <f t="shared" si="38"/>
        <v>811342761.00000024</v>
      </c>
      <c r="I234" s="106">
        <f t="shared" si="38"/>
        <v>76307943.798009872</v>
      </c>
    </row>
    <row r="235" spans="2:9" hidden="1">
      <c r="B235" s="95" t="s">
        <v>223</v>
      </c>
      <c r="D235" s="103"/>
      <c r="E235" s="124">
        <f t="shared" ref="E235" si="39">E234/D234*100</f>
        <v>8.18459999991925</v>
      </c>
      <c r="F235" s="124"/>
      <c r="G235" s="124">
        <f>G234/F234*100</f>
        <v>7.5779420143261538</v>
      </c>
      <c r="H235" s="103"/>
      <c r="I235" s="124">
        <f>I234/H234*100</f>
        <v>9.4051426186336364</v>
      </c>
    </row>
    <row r="236" spans="2:9" hidden="1">
      <c r="D236" s="103"/>
      <c r="F236" s="103"/>
      <c r="G236" s="124"/>
      <c r="H236" s="103"/>
      <c r="I236" s="124"/>
    </row>
    <row r="237" spans="2:9" hidden="1">
      <c r="D237" s="103"/>
      <c r="F237" s="103"/>
      <c r="H237" s="103"/>
    </row>
    <row r="238" spans="2:9">
      <c r="D238" s="103"/>
      <c r="F238" s="103"/>
      <c r="H238" s="103"/>
    </row>
    <row r="239" spans="2:9">
      <c r="B239" s="151" t="s">
        <v>219</v>
      </c>
      <c r="D239" s="103"/>
      <c r="F239" s="103"/>
      <c r="H239" s="103"/>
    </row>
    <row r="240" spans="2:9">
      <c r="B240" s="113" t="s">
        <v>225</v>
      </c>
      <c r="D240" s="103"/>
      <c r="F240" s="103"/>
      <c r="H240" s="103"/>
    </row>
    <row r="241" spans="2:9">
      <c r="B241" s="127" t="s">
        <v>226</v>
      </c>
      <c r="C241" s="124">
        <f>E62</f>
        <v>11.507</v>
      </c>
      <c r="D241" s="103">
        <f>E8</f>
        <v>411760124.95869529</v>
      </c>
      <c r="E241" s="106">
        <f>C241*D241/100</f>
        <v>47381237.578997068</v>
      </c>
      <c r="F241" s="103">
        <f>MIN(D241,F244)</f>
        <v>411760124.95869529</v>
      </c>
      <c r="G241" s="106">
        <f>F241*C241/100</f>
        <v>47381237.578997068</v>
      </c>
      <c r="H241" s="103">
        <f>D241-F241</f>
        <v>0</v>
      </c>
      <c r="I241" s="106">
        <f>H241*C241/100</f>
        <v>0</v>
      </c>
    </row>
    <row r="242" spans="2:9">
      <c r="B242" s="127" t="s">
        <v>227</v>
      </c>
      <c r="C242" s="124">
        <f>E63</f>
        <v>8.4550000000000001</v>
      </c>
      <c r="D242" s="103">
        <f>E9</f>
        <v>184890135.04130465</v>
      </c>
      <c r="E242" s="106">
        <f>C242*D242/100</f>
        <v>15632460.917742306</v>
      </c>
      <c r="F242" s="103">
        <f>MIN(F244-F241,D242)</f>
        <v>76010451.041304648</v>
      </c>
      <c r="G242" s="106">
        <f>F242*C242/100</f>
        <v>6426683.635542308</v>
      </c>
      <c r="H242" s="103">
        <f>D242-F242</f>
        <v>108879684</v>
      </c>
      <c r="I242" s="105">
        <f>H242*C242/100</f>
        <v>9205777.2822000012</v>
      </c>
    </row>
    <row r="243" spans="2:9">
      <c r="D243" s="109"/>
      <c r="E243" s="152"/>
      <c r="F243" s="109"/>
      <c r="G243" s="152"/>
      <c r="H243" s="109"/>
      <c r="I243" s="729"/>
    </row>
    <row r="244" spans="2:9">
      <c r="B244" s="95" t="s">
        <v>87</v>
      </c>
      <c r="D244" s="103">
        <f t="shared" ref="D244:H244" si="40">D241+D242</f>
        <v>596650260</v>
      </c>
      <c r="E244" s="106">
        <f t="shared" si="40"/>
        <v>63013698.496739373</v>
      </c>
      <c r="F244" s="129">
        <f>1338*E25</f>
        <v>487770575.99999994</v>
      </c>
      <c r="G244" s="106">
        <f t="shared" si="40"/>
        <v>53807921.214539379</v>
      </c>
      <c r="H244" s="103">
        <f t="shared" si="40"/>
        <v>108879684</v>
      </c>
      <c r="I244" s="106">
        <f>I241+I242</f>
        <v>9205777.2822000012</v>
      </c>
    </row>
    <row r="245" spans="2:9">
      <c r="B245" s="95" t="s">
        <v>223</v>
      </c>
      <c r="D245" s="103"/>
      <c r="E245" s="124">
        <f t="shared" ref="E245" si="41">E244/D244*100</f>
        <v>10.561245460068914</v>
      </c>
      <c r="F245" s="124"/>
      <c r="G245" s="124">
        <f>G244/F244*100</f>
        <v>11.031399568173088</v>
      </c>
      <c r="H245" s="103"/>
      <c r="I245" s="124">
        <f>I244/H244*100</f>
        <v>8.4550000000000018</v>
      </c>
    </row>
    <row r="246" spans="2:9">
      <c r="D246" s="103"/>
      <c r="F246" s="103"/>
      <c r="G246" s="124"/>
      <c r="H246" s="103"/>
      <c r="I246" s="124"/>
    </row>
    <row r="247" spans="2:9" hidden="1">
      <c r="B247" s="151" t="s">
        <v>224</v>
      </c>
      <c r="D247" s="103"/>
      <c r="F247" s="103"/>
      <c r="H247" s="103"/>
    </row>
    <row r="248" spans="2:9" hidden="1">
      <c r="B248" s="113" t="s">
        <v>225</v>
      </c>
      <c r="D248" s="103"/>
      <c r="F248" s="103"/>
      <c r="H248" s="103"/>
    </row>
    <row r="249" spans="2:9" hidden="1">
      <c r="B249" s="127" t="s">
        <v>226</v>
      </c>
      <c r="C249" s="124">
        <f>E79</f>
        <v>11.507</v>
      </c>
      <c r="D249" s="103">
        <f>E31</f>
        <v>411760124.95869529</v>
      </c>
      <c r="E249" s="106">
        <f>C249*D249/100</f>
        <v>47381237.578997068</v>
      </c>
      <c r="F249" s="103">
        <f>MIN(D249,F252)</f>
        <v>411760124.95869529</v>
      </c>
      <c r="G249" s="106">
        <f>F249*C249/100</f>
        <v>47381237.578997068</v>
      </c>
      <c r="H249" s="103">
        <f>D249-F249</f>
        <v>0</v>
      </c>
      <c r="I249" s="106">
        <f>H249*C249/100</f>
        <v>0</v>
      </c>
    </row>
    <row r="250" spans="2:9" hidden="1">
      <c r="B250" s="127" t="s">
        <v>227</v>
      </c>
      <c r="C250" s="124">
        <f>E80</f>
        <v>8.4550000000000001</v>
      </c>
      <c r="D250" s="103">
        <f>E32</f>
        <v>184890135.04130465</v>
      </c>
      <c r="E250" s="106">
        <f>C250*D250/100</f>
        <v>15632460.917742306</v>
      </c>
      <c r="F250" s="103">
        <f>MIN(F252-F249,D250)</f>
        <v>76010451.041304648</v>
      </c>
      <c r="G250" s="106">
        <f>F250*C250/100</f>
        <v>6426683.635542308</v>
      </c>
      <c r="H250" s="103">
        <f>D250-F250</f>
        <v>108879684</v>
      </c>
      <c r="I250" s="106">
        <f>H250*C250/100</f>
        <v>9205777.2822000012</v>
      </c>
    </row>
    <row r="251" spans="2:9" hidden="1">
      <c r="D251" s="109"/>
      <c r="E251" s="152"/>
      <c r="F251" s="109"/>
      <c r="G251" s="152"/>
      <c r="H251" s="109"/>
      <c r="I251" s="152"/>
    </row>
    <row r="252" spans="2:9" hidden="1">
      <c r="B252" s="95" t="s">
        <v>87</v>
      </c>
      <c r="D252" s="103">
        <f t="shared" ref="D252:I252" si="42">D249+D250</f>
        <v>596650260</v>
      </c>
      <c r="E252" s="106">
        <f t="shared" si="42"/>
        <v>63013698.496739373</v>
      </c>
      <c r="F252" s="103">
        <f>F244</f>
        <v>487770575.99999994</v>
      </c>
      <c r="G252" s="106">
        <f t="shared" si="42"/>
        <v>53807921.214539379</v>
      </c>
      <c r="H252" s="103">
        <f t="shared" si="42"/>
        <v>108879684</v>
      </c>
      <c r="I252" s="106">
        <f t="shared" si="42"/>
        <v>9205777.2822000012</v>
      </c>
    </row>
    <row r="253" spans="2:9" hidden="1">
      <c r="B253" s="95" t="s">
        <v>223</v>
      </c>
      <c r="E253" s="124">
        <f t="shared" ref="E253" si="43">E252/D252*100</f>
        <v>10.561245460068914</v>
      </c>
      <c r="F253" s="124"/>
      <c r="G253" s="124">
        <f>G252/F252*100</f>
        <v>11.031399568173088</v>
      </c>
      <c r="I253" s="124">
        <f>I252/H252*100</f>
        <v>8.4550000000000018</v>
      </c>
    </row>
    <row r="254" spans="2:9" hidden="1"/>
    <row r="255" spans="2:9" hidden="1"/>
    <row r="256" spans="2:9" hidden="1"/>
    <row r="257" spans="1:9" hidden="1"/>
    <row r="258" spans="1:9" hidden="1"/>
    <row r="261" spans="1:9">
      <c r="B261" s="153" t="s">
        <v>384</v>
      </c>
      <c r="C261" s="153"/>
      <c r="D261" s="153"/>
      <c r="E261" s="153"/>
      <c r="F261" s="153"/>
    </row>
    <row r="262" spans="1:9">
      <c r="B262" s="95" t="str">
        <f>"663 X "&amp;TEXT(D25,"#,##0")&amp;" = "&amp;TEXT(F225,"#,##0")</f>
        <v>663 X 2,462,067 = 1,632,350,421</v>
      </c>
    </row>
    <row r="263" spans="1:9">
      <c r="B263" s="95" t="str">
        <f>"Total Base Load for Sch. 11 = 1,338 X "&amp;TEXT(E25,"#,##0")&amp;" = "&amp;TEXT(F244,"#,##0")</f>
        <v>Total Base Load for Sch. 11 = 1,338 X 364,552 = 487,770,576</v>
      </c>
    </row>
    <row r="264" spans="1:9" s="96" customFormat="1" ht="12.75">
      <c r="A264" s="93"/>
      <c r="B264" s="148" t="str">
        <f>IF(Base1_Billing2=2,"Pres and Prop Revenues may be incorrect due to Sch 59--for example all of Sch 11 gets benefit of Sch 59 but it s/only be Sch 12; see Billing Rev on Exhibit page for fix","")</f>
        <v/>
      </c>
      <c r="C264" s="149"/>
      <c r="D264" s="392"/>
      <c r="E264" s="392"/>
      <c r="F264" s="392"/>
      <c r="G264" s="392"/>
      <c r="H264" s="392"/>
      <c r="I264" s="392"/>
    </row>
    <row r="265" spans="1:9" s="96" customFormat="1" ht="12.75">
      <c r="A265" s="93"/>
      <c r="C265" s="392"/>
      <c r="D265" s="392"/>
      <c r="E265" s="143"/>
      <c r="F265" s="149"/>
      <c r="G265" s="149"/>
      <c r="H265" s="149"/>
      <c r="I265" s="149"/>
    </row>
    <row r="266" spans="1:9" s="96" customFormat="1" ht="12.75">
      <c r="A266" s="93"/>
      <c r="C266" s="392"/>
      <c r="D266" s="392"/>
      <c r="E266" s="143"/>
      <c r="F266" s="149"/>
      <c r="G266" s="149"/>
      <c r="H266" s="149"/>
      <c r="I266" s="149"/>
    </row>
    <row r="267" spans="1:9" s="96" customFormat="1" ht="12.75">
      <c r="A267" s="93"/>
      <c r="C267" s="392"/>
      <c r="D267" s="392"/>
      <c r="E267" s="143"/>
      <c r="F267" s="149"/>
      <c r="G267" s="149"/>
      <c r="H267" s="149"/>
      <c r="I267" s="149"/>
    </row>
    <row r="268" spans="1:9" s="96" customFormat="1">
      <c r="A268" s="93"/>
      <c r="C268" s="149"/>
      <c r="D268" s="149"/>
      <c r="E268" s="149"/>
      <c r="F268" s="149"/>
      <c r="G268" s="149"/>
      <c r="H268" s="149"/>
      <c r="I268" s="149"/>
    </row>
    <row r="269" spans="1:9" s="96" customFormat="1">
      <c r="A269" s="93" t="s">
        <v>147</v>
      </c>
      <c r="C269" s="96" t="s">
        <v>96</v>
      </c>
      <c r="D269" s="96" t="s">
        <v>87</v>
      </c>
      <c r="E269" s="96" t="s">
        <v>87</v>
      </c>
      <c r="F269" s="96" t="s">
        <v>214</v>
      </c>
      <c r="G269" s="96" t="s">
        <v>214</v>
      </c>
      <c r="H269" s="96" t="s">
        <v>215</v>
      </c>
      <c r="I269" s="96" t="s">
        <v>215</v>
      </c>
    </row>
    <row r="270" spans="1:9" s="96" customFormat="1">
      <c r="A270" s="93" t="s">
        <v>148</v>
      </c>
      <c r="C270" s="97" t="s">
        <v>216</v>
      </c>
      <c r="D270" s="97" t="s">
        <v>217</v>
      </c>
      <c r="E270" s="97" t="s">
        <v>218</v>
      </c>
      <c r="F270" s="97" t="s">
        <v>217</v>
      </c>
      <c r="G270" s="97" t="s">
        <v>218</v>
      </c>
      <c r="H270" s="97" t="s">
        <v>217</v>
      </c>
      <c r="I270" s="97" t="s">
        <v>218</v>
      </c>
    </row>
    <row r="272" spans="1:9">
      <c r="B272" s="151" t="s">
        <v>219</v>
      </c>
    </row>
    <row r="273" spans="2:9">
      <c r="B273" s="113" t="s">
        <v>228</v>
      </c>
    </row>
    <row r="274" spans="2:9">
      <c r="B274" s="127" t="s">
        <v>229</v>
      </c>
      <c r="C274" s="124">
        <f>F62</f>
        <v>7.24</v>
      </c>
      <c r="D274" s="103">
        <f>F8</f>
        <v>1262061453.0310712</v>
      </c>
      <c r="E274" s="106">
        <f>C274*D274/100</f>
        <v>91373249.199449554</v>
      </c>
      <c r="F274" s="103">
        <f>MIN(D274,F277)</f>
        <v>1262061453.0310712</v>
      </c>
      <c r="G274" s="106">
        <f>F274*C274/100</f>
        <v>91373249.199449554</v>
      </c>
      <c r="H274" s="103">
        <f>D274-F274</f>
        <v>0</v>
      </c>
      <c r="I274" s="106">
        <f>H274*C274/100</f>
        <v>0</v>
      </c>
    </row>
    <row r="275" spans="2:9">
      <c r="B275" s="127" t="s">
        <v>230</v>
      </c>
      <c r="C275" s="124">
        <f>F63</f>
        <v>6.4749999999999996</v>
      </c>
      <c r="D275" s="103">
        <f>F9</f>
        <v>166633499.96892866</v>
      </c>
      <c r="E275" s="106">
        <f>C275*D275/100</f>
        <v>10789519.122988131</v>
      </c>
      <c r="F275" s="103">
        <f>MIN(F277-F274,D275)</f>
        <v>35056546.968928814</v>
      </c>
      <c r="G275" s="106">
        <f>F275*C275/100</f>
        <v>2269911.4162381403</v>
      </c>
      <c r="H275" s="103">
        <f>D275-F275</f>
        <v>131576952.99999985</v>
      </c>
      <c r="I275" s="106">
        <f>H275*C275/100</f>
        <v>8519607.7067499906</v>
      </c>
    </row>
    <row r="276" spans="2:9">
      <c r="D276" s="109"/>
      <c r="E276" s="152"/>
      <c r="F276" s="109"/>
      <c r="G276" s="152"/>
      <c r="H276" s="109"/>
      <c r="I276" s="152"/>
    </row>
    <row r="277" spans="2:9">
      <c r="B277" s="95" t="s">
        <v>87</v>
      </c>
      <c r="D277" s="103">
        <f>D274+D275</f>
        <v>1428694952.9999998</v>
      </c>
      <c r="E277" s="103">
        <f>E274+E275</f>
        <v>102162768.32243769</v>
      </c>
      <c r="F277" s="129">
        <f>53800*F25</f>
        <v>1297118000</v>
      </c>
      <c r="G277" s="103">
        <f>G274+G275</f>
        <v>93643160.615687698</v>
      </c>
      <c r="H277" s="103">
        <f>H274+H275</f>
        <v>131576952.99999985</v>
      </c>
      <c r="I277" s="103">
        <f>I274+I275</f>
        <v>8519607.7067499906</v>
      </c>
    </row>
    <row r="278" spans="2:9">
      <c r="B278" s="95" t="s">
        <v>223</v>
      </c>
      <c r="D278" s="103"/>
      <c r="E278" s="124">
        <f t="shared" ref="E278" si="44">E277/D277*100</f>
        <v>7.1507754757524991</v>
      </c>
      <c r="F278" s="103"/>
      <c r="G278" s="124">
        <f>G277/F277*100</f>
        <v>7.2193247349653378</v>
      </c>
      <c r="H278" s="103"/>
      <c r="I278" s="124">
        <f>I277/H277*100</f>
        <v>6.4750000000000005</v>
      </c>
    </row>
    <row r="279" spans="2:9">
      <c r="D279" s="103"/>
      <c r="F279" s="103"/>
      <c r="H279" s="103"/>
    </row>
    <row r="280" spans="2:9" hidden="1">
      <c r="B280" s="151" t="s">
        <v>224</v>
      </c>
      <c r="D280" s="103"/>
      <c r="F280" s="103"/>
      <c r="H280" s="103"/>
    </row>
    <row r="281" spans="2:9" hidden="1">
      <c r="B281" s="113" t="s">
        <v>228</v>
      </c>
      <c r="D281" s="103"/>
      <c r="F281" s="103"/>
      <c r="H281" s="103"/>
    </row>
    <row r="282" spans="2:9" hidden="1">
      <c r="B282" s="127" t="s">
        <v>229</v>
      </c>
      <c r="C282" s="124">
        <f>F79</f>
        <v>7.24</v>
      </c>
      <c r="D282" s="103">
        <f>D274</f>
        <v>1262061453.0310712</v>
      </c>
      <c r="E282" s="106">
        <f>C282*D282/100</f>
        <v>91373249.199449554</v>
      </c>
      <c r="F282" s="103">
        <f>MIN(D282,F285)</f>
        <v>1262061453.0310712</v>
      </c>
      <c r="G282" s="106">
        <f>F282*C282/100</f>
        <v>91373249.199449554</v>
      </c>
      <c r="H282" s="103">
        <f>H274</f>
        <v>0</v>
      </c>
      <c r="I282" s="106">
        <f>H282*C282/100</f>
        <v>0</v>
      </c>
    </row>
    <row r="283" spans="2:9" hidden="1">
      <c r="B283" s="127" t="s">
        <v>230</v>
      </c>
      <c r="C283" s="124">
        <f>F80</f>
        <v>6.4749999999999996</v>
      </c>
      <c r="D283" s="103">
        <f>D275</f>
        <v>166633499.96892866</v>
      </c>
      <c r="E283" s="106">
        <f>C283*D283/100</f>
        <v>10789519.122988131</v>
      </c>
      <c r="F283" s="103">
        <f>MIN(F285-F282,D283)</f>
        <v>35056546.968928814</v>
      </c>
      <c r="G283" s="106">
        <f>F283*C283/100</f>
        <v>2269911.4162381403</v>
      </c>
      <c r="H283" s="103">
        <f>H275</f>
        <v>131576952.99999985</v>
      </c>
      <c r="I283" s="106">
        <f>H283*C283/100</f>
        <v>8519607.7067499906</v>
      </c>
    </row>
    <row r="284" spans="2:9" hidden="1">
      <c r="D284" s="109"/>
      <c r="E284" s="152"/>
      <c r="F284" s="109"/>
      <c r="G284" s="152"/>
      <c r="H284" s="109"/>
      <c r="I284" s="152"/>
    </row>
    <row r="285" spans="2:9" hidden="1">
      <c r="B285" s="95" t="s">
        <v>87</v>
      </c>
      <c r="D285" s="103">
        <f>D282+D283</f>
        <v>1428694952.9999998</v>
      </c>
      <c r="E285" s="103">
        <f>E282+E283</f>
        <v>102162768.32243769</v>
      </c>
      <c r="F285" s="103">
        <f>F277</f>
        <v>1297118000</v>
      </c>
      <c r="G285" s="103">
        <f>G282+G283</f>
        <v>93643160.615687698</v>
      </c>
      <c r="H285" s="103">
        <f>H282+H283</f>
        <v>131576952.99999985</v>
      </c>
      <c r="I285" s="103">
        <f>I282+I283</f>
        <v>8519607.7067499906</v>
      </c>
    </row>
    <row r="286" spans="2:9" hidden="1">
      <c r="B286" s="95" t="s">
        <v>223</v>
      </c>
      <c r="D286" s="103"/>
      <c r="F286" s="103"/>
      <c r="G286" s="124">
        <f>G285/F285*100</f>
        <v>7.2193247349653378</v>
      </c>
      <c r="H286" s="103"/>
      <c r="I286" s="124">
        <f>I285/H285*100</f>
        <v>6.4750000000000005</v>
      </c>
    </row>
    <row r="287" spans="2:9" hidden="1"/>
    <row r="288" spans="2:9" hidden="1"/>
    <row r="289" spans="2:9" hidden="1"/>
    <row r="290" spans="2:9" hidden="1"/>
    <row r="294" spans="2:9">
      <c r="B294" s="153" t="s">
        <v>385</v>
      </c>
      <c r="C294" s="153"/>
      <c r="D294" s="153"/>
      <c r="E294" s="153"/>
      <c r="F294" s="153"/>
    </row>
    <row r="295" spans="2:9">
      <c r="B295" s="95" t="str">
        <f>"53,800 X "&amp;TEXT(F25,"#,##0")&amp;" = "&amp;TEXT(F277,"#,##0")</f>
        <v>53,800 X 24,110 = 1,297,118,000</v>
      </c>
    </row>
    <row r="299" spans="2:9">
      <c r="D299" s="122">
        <f>D207/D48</f>
        <v>0</v>
      </c>
      <c r="E299" s="122">
        <f>E207/E48</f>
        <v>0</v>
      </c>
      <c r="F299" s="122">
        <f>F207/F48</f>
        <v>0</v>
      </c>
      <c r="G299" s="122">
        <f>G207/G48</f>
        <v>0</v>
      </c>
      <c r="H299" s="122">
        <f>H207/H48</f>
        <v>0</v>
      </c>
      <c r="I299" s="122"/>
    </row>
    <row r="300" spans="2:9">
      <c r="D300" s="108">
        <f>D23/D25</f>
        <v>966.04927120179912</v>
      </c>
    </row>
  </sheetData>
  <mergeCells count="2">
    <mergeCell ref="P6:R11"/>
    <mergeCell ref="B95:H96"/>
  </mergeCells>
  <conditionalFormatting sqref="L55">
    <cfRule type="cellIs" dxfId="0" priority="1" stopIfTrue="1" operator="greaterThan">
      <formula>0</formula>
    </cfRule>
  </conditionalFormatting>
  <pageMargins left="0.75" right="0.75" top="0.5" bottom="0.5" header="0.25" footer="0.5"/>
  <pageSetup scale="90" orientation="landscape" horizontalDpi="360" r:id="rId1"/>
  <headerFooter alignWithMargins="0">
    <oddHeader>&amp;C&amp;"Arial,Bold"&amp;9AVISTA UTILITIES
WASHINGTON ELECTRIC
PRO FORMA REVENUE UNDER PRESENT AND PROPOSED BASE TARIFF RATES
12 MONTHS ENDED SEPTEMBER 30, 2014</oddHeader>
  </headerFooter>
  <rowBreaks count="4" manualBreakCount="4">
    <brk id="51" max="8" man="1"/>
    <brk id="100" max="8" man="1"/>
    <brk id="154" max="8" man="1"/>
    <brk id="209" max="8"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59999389629810485"/>
    <pageSetUpPr autoPageBreaks="0" fitToPage="1"/>
  </sheetPr>
  <dimension ref="A1:J243"/>
  <sheetViews>
    <sheetView workbookViewId="0">
      <selection activeCell="I55" sqref="I55"/>
    </sheetView>
  </sheetViews>
  <sheetFormatPr defaultColWidth="9.140625" defaultRowHeight="12.75"/>
  <cols>
    <col min="1" max="1" width="13.140625" style="4" customWidth="1"/>
    <col min="2" max="2" width="11.28515625" style="4" customWidth="1"/>
    <col min="3" max="3" width="4.28515625" style="4" customWidth="1"/>
    <col min="4" max="4" width="3.85546875" style="4" customWidth="1"/>
    <col min="5" max="5" width="4.42578125" style="4" customWidth="1"/>
    <col min="6" max="6" width="6.7109375" style="4" customWidth="1"/>
    <col min="7" max="7" width="13.5703125" style="331" customWidth="1"/>
    <col min="8" max="8" width="16.140625" style="331" customWidth="1"/>
    <col min="9" max="9" width="19.140625" style="4" bestFit="1" customWidth="1"/>
    <col min="10" max="16384" width="9.140625" style="4"/>
  </cols>
  <sheetData>
    <row r="1" spans="1:10">
      <c r="A1" s="650" t="s">
        <v>527</v>
      </c>
      <c r="J1" s="4" t="s">
        <v>534</v>
      </c>
    </row>
    <row r="2" spans="1:10" ht="15">
      <c r="A2" s="3" t="s">
        <v>2</v>
      </c>
    </row>
    <row r="3" spans="1:10">
      <c r="G3" s="388" t="s">
        <v>31</v>
      </c>
      <c r="H3" s="388" t="s">
        <v>360</v>
      </c>
    </row>
    <row r="4" spans="1:10">
      <c r="G4" s="332">
        <v>2016</v>
      </c>
      <c r="H4" s="332">
        <v>2016</v>
      </c>
    </row>
    <row r="5" spans="1:10">
      <c r="A5" s="606" t="s">
        <v>43</v>
      </c>
      <c r="G5" s="332"/>
      <c r="H5" s="332"/>
    </row>
    <row r="6" spans="1:10">
      <c r="A6" s="622" t="s">
        <v>33</v>
      </c>
      <c r="B6" s="7"/>
      <c r="C6" s="7"/>
      <c r="D6" s="7"/>
      <c r="E6" s="7"/>
      <c r="F6" s="7"/>
      <c r="G6" s="616">
        <v>209394.33333333334</v>
      </c>
      <c r="H6" s="333">
        <f>G6*12</f>
        <v>2512732</v>
      </c>
      <c r="J6" s="4" t="s">
        <v>535</v>
      </c>
    </row>
    <row r="7" spans="1:10">
      <c r="A7" s="622" t="s">
        <v>37</v>
      </c>
      <c r="B7" s="7"/>
      <c r="C7" s="7"/>
      <c r="D7" s="7"/>
      <c r="E7" s="7"/>
      <c r="F7" s="7"/>
      <c r="G7" s="616">
        <v>22339.232387966422</v>
      </c>
      <c r="H7" s="333">
        <f t="shared" ref="H7:H25" si="0">G7*12</f>
        <v>268070.78865559708</v>
      </c>
      <c r="J7" s="4" t="s">
        <v>536</v>
      </c>
    </row>
    <row r="8" spans="1:10">
      <c r="A8" s="622" t="s">
        <v>34</v>
      </c>
      <c r="B8" s="7"/>
      <c r="C8" s="7"/>
      <c r="D8" s="7"/>
      <c r="E8" s="7"/>
      <c r="F8" s="7"/>
      <c r="G8" s="616">
        <v>9270.25</v>
      </c>
      <c r="H8" s="333">
        <f t="shared" si="0"/>
        <v>111243</v>
      </c>
      <c r="J8" s="4" t="s">
        <v>537</v>
      </c>
    </row>
    <row r="9" spans="1:10">
      <c r="A9" s="622" t="s">
        <v>38</v>
      </c>
      <c r="B9" s="7"/>
      <c r="C9" s="7"/>
      <c r="D9" s="7"/>
      <c r="E9" s="7"/>
      <c r="F9" s="7"/>
      <c r="G9" s="616">
        <v>1964.1555167003778</v>
      </c>
      <c r="H9" s="333">
        <f t="shared" si="0"/>
        <v>23569.866200404533</v>
      </c>
      <c r="J9" s="4" t="s">
        <v>538</v>
      </c>
    </row>
    <row r="10" spans="1:10">
      <c r="A10" s="622" t="s">
        <v>35</v>
      </c>
      <c r="B10" s="7"/>
      <c r="C10" s="7"/>
      <c r="D10" s="7"/>
      <c r="E10" s="7"/>
      <c r="F10" s="7"/>
      <c r="G10" s="616">
        <v>54.618041666666663</v>
      </c>
      <c r="H10" s="333">
        <f t="shared" si="0"/>
        <v>655.41649999999993</v>
      </c>
      <c r="J10" s="4" t="s">
        <v>539</v>
      </c>
    </row>
    <row r="11" spans="1:10">
      <c r="A11" s="622" t="s">
        <v>39</v>
      </c>
      <c r="B11" s="7"/>
      <c r="C11" s="7"/>
      <c r="D11" s="7"/>
      <c r="E11" s="7"/>
      <c r="F11" s="7"/>
      <c r="G11" s="616">
        <v>20.974075673563011</v>
      </c>
      <c r="H11" s="333">
        <f t="shared" si="0"/>
        <v>251.68890808275614</v>
      </c>
      <c r="J11" s="4" t="s">
        <v>540</v>
      </c>
    </row>
    <row r="12" spans="1:10">
      <c r="A12" s="622" t="s">
        <v>41</v>
      </c>
      <c r="B12" s="7"/>
      <c r="C12" s="7"/>
      <c r="D12" s="7"/>
      <c r="E12" s="7"/>
      <c r="F12" s="7"/>
      <c r="G12" s="616">
        <v>0</v>
      </c>
      <c r="H12" s="333">
        <f t="shared" si="0"/>
        <v>0</v>
      </c>
      <c r="J12" s="4" t="s">
        <v>541</v>
      </c>
    </row>
    <row r="13" spans="1:10">
      <c r="A13" s="622" t="s">
        <v>40</v>
      </c>
      <c r="B13" s="7"/>
      <c r="C13" s="7"/>
      <c r="D13" s="7"/>
      <c r="E13" s="7"/>
      <c r="F13" s="7"/>
      <c r="G13" s="616">
        <v>1256.8935910567657</v>
      </c>
      <c r="H13" s="333">
        <f t="shared" si="0"/>
        <v>15082.723092681188</v>
      </c>
      <c r="J13" s="4" t="s">
        <v>542</v>
      </c>
    </row>
    <row r="14" spans="1:10">
      <c r="A14" s="622" t="s">
        <v>36</v>
      </c>
      <c r="B14" s="7"/>
      <c r="C14" s="7"/>
      <c r="D14" s="7"/>
      <c r="E14" s="7"/>
      <c r="F14" s="7"/>
      <c r="G14" s="616">
        <v>1218.806325</v>
      </c>
      <c r="H14" s="333">
        <f t="shared" si="0"/>
        <v>14625.6759</v>
      </c>
      <c r="J14" s="4" t="s">
        <v>543</v>
      </c>
    </row>
    <row r="15" spans="1:10">
      <c r="A15" s="622" t="s">
        <v>42</v>
      </c>
      <c r="B15" s="7"/>
      <c r="C15" s="7"/>
      <c r="D15" s="7"/>
      <c r="E15" s="7"/>
      <c r="F15" s="7"/>
      <c r="G15" s="616">
        <v>397.44294999999994</v>
      </c>
      <c r="H15" s="333">
        <f t="shared" si="0"/>
        <v>4769.3153999999995</v>
      </c>
      <c r="J15" s="4" t="s">
        <v>544</v>
      </c>
    </row>
    <row r="16" spans="1:10">
      <c r="A16" s="622" t="s">
        <v>261</v>
      </c>
      <c r="B16" s="7"/>
      <c r="C16" s="7"/>
      <c r="D16" s="7"/>
      <c r="E16" s="7"/>
      <c r="F16" s="7"/>
      <c r="G16" s="616">
        <v>105892.70273403819</v>
      </c>
      <c r="H16" s="333">
        <f t="shared" si="0"/>
        <v>1270712.4328084583</v>
      </c>
      <c r="J16" s="4" t="s">
        <v>545</v>
      </c>
    </row>
    <row r="17" spans="1:10">
      <c r="A17" s="622" t="s">
        <v>266</v>
      </c>
      <c r="B17" s="7"/>
      <c r="C17" s="7"/>
      <c r="D17" s="7"/>
      <c r="E17" s="7"/>
      <c r="F17" s="7"/>
      <c r="G17" s="616">
        <v>16007.131658333334</v>
      </c>
      <c r="H17" s="333">
        <f t="shared" si="0"/>
        <v>192085.57990000001</v>
      </c>
      <c r="J17" s="4" t="s">
        <v>546</v>
      </c>
    </row>
    <row r="18" spans="1:10">
      <c r="A18" s="622" t="s">
        <v>262</v>
      </c>
      <c r="B18" s="7"/>
      <c r="C18" s="7"/>
      <c r="D18" s="7"/>
      <c r="E18" s="7"/>
      <c r="F18" s="7"/>
      <c r="G18" s="616">
        <v>5277.75</v>
      </c>
      <c r="H18" s="333">
        <f t="shared" si="0"/>
        <v>63333</v>
      </c>
      <c r="J18" s="4" t="s">
        <v>547</v>
      </c>
    </row>
    <row r="19" spans="1:10">
      <c r="A19" s="622" t="s">
        <v>267</v>
      </c>
      <c r="B19" s="7"/>
      <c r="C19" s="8"/>
      <c r="D19" s="7"/>
      <c r="E19" s="7"/>
      <c r="F19" s="7"/>
      <c r="G19" s="616">
        <v>1133.5452936413924</v>
      </c>
      <c r="H19" s="333">
        <f t="shared" si="0"/>
        <v>13602.54352369671</v>
      </c>
      <c r="J19" s="4" t="s">
        <v>548</v>
      </c>
    </row>
    <row r="20" spans="1:10">
      <c r="A20" s="622" t="s">
        <v>263</v>
      </c>
      <c r="B20" s="7"/>
      <c r="C20" s="7"/>
      <c r="D20" s="7"/>
      <c r="E20" s="7"/>
      <c r="F20" s="7"/>
      <c r="G20" s="616">
        <v>21.445034499375708</v>
      </c>
      <c r="H20" s="333">
        <f t="shared" si="0"/>
        <v>257.3404139925085</v>
      </c>
      <c r="J20" s="4" t="s">
        <v>549</v>
      </c>
    </row>
    <row r="21" spans="1:10">
      <c r="A21" s="622" t="s">
        <v>268</v>
      </c>
      <c r="B21" s="7"/>
      <c r="C21" s="7"/>
      <c r="D21" s="7"/>
      <c r="E21" s="7"/>
      <c r="F21" s="7"/>
      <c r="G21" s="616">
        <v>9</v>
      </c>
      <c r="H21" s="333">
        <f t="shared" si="0"/>
        <v>108</v>
      </c>
      <c r="J21" s="4" t="s">
        <v>550</v>
      </c>
    </row>
    <row r="22" spans="1:10">
      <c r="A22" s="622" t="s">
        <v>270</v>
      </c>
      <c r="B22" s="7"/>
      <c r="C22" s="7"/>
      <c r="D22" s="7"/>
      <c r="E22" s="7"/>
      <c r="F22" s="7"/>
      <c r="G22" s="616">
        <v>1</v>
      </c>
      <c r="H22" s="333">
        <f t="shared" si="0"/>
        <v>12</v>
      </c>
      <c r="J22" s="4" t="s">
        <v>551</v>
      </c>
    </row>
    <row r="23" spans="1:10">
      <c r="A23" s="622" t="s">
        <v>269</v>
      </c>
      <c r="G23" s="616">
        <v>729.54100833333325</v>
      </c>
      <c r="H23" s="333">
        <f t="shared" si="0"/>
        <v>8754.4920999999995</v>
      </c>
      <c r="J23" s="4" t="s">
        <v>552</v>
      </c>
    </row>
    <row r="24" spans="1:10">
      <c r="A24" s="622" t="s">
        <v>264</v>
      </c>
      <c r="G24" s="616">
        <v>685.10282500000005</v>
      </c>
      <c r="H24" s="333">
        <f t="shared" si="0"/>
        <v>8221.2339000000011</v>
      </c>
      <c r="J24" s="4" t="s">
        <v>553</v>
      </c>
    </row>
    <row r="25" spans="1:10">
      <c r="A25" s="622" t="s">
        <v>265</v>
      </c>
      <c r="B25" s="7"/>
      <c r="C25" s="7"/>
      <c r="G25" s="616">
        <v>147</v>
      </c>
      <c r="H25" s="333">
        <f t="shared" si="0"/>
        <v>1764</v>
      </c>
      <c r="J25" s="4" t="s">
        <v>554</v>
      </c>
    </row>
    <row r="26" spans="1:10">
      <c r="A26" s="619"/>
      <c r="B26" s="7"/>
      <c r="C26" s="7"/>
      <c r="G26" s="333"/>
      <c r="H26" s="333"/>
    </row>
    <row r="27" spans="1:10">
      <c r="A27" s="606" t="s">
        <v>359</v>
      </c>
      <c r="B27" s="7"/>
      <c r="C27" s="7"/>
      <c r="G27" s="333"/>
      <c r="H27" s="333"/>
    </row>
    <row r="28" spans="1:10" s="9" customFormat="1">
      <c r="A28" s="631" t="s">
        <v>32</v>
      </c>
      <c r="B28" s="10"/>
      <c r="C28" s="10"/>
      <c r="G28" s="504">
        <f>SUM(G6:G15)</f>
        <v>245916.70622139712</v>
      </c>
      <c r="H28" s="334">
        <f>SUM(H6:H15)</f>
        <v>2951000.4746567663</v>
      </c>
      <c r="J28" s="4" t="s">
        <v>557</v>
      </c>
    </row>
    <row r="29" spans="1:10" s="9" customFormat="1">
      <c r="A29" s="612" t="s">
        <v>260</v>
      </c>
      <c r="B29" s="10"/>
      <c r="C29" s="10"/>
      <c r="G29" s="504">
        <f>SUM(G16:G25)</f>
        <v>129904.21855384563</v>
      </c>
      <c r="H29" s="334">
        <f>SUM(H16:H25)</f>
        <v>1558850.6226461476</v>
      </c>
      <c r="J29" s="4" t="s">
        <v>558</v>
      </c>
    </row>
    <row r="30" spans="1:10" s="9" customFormat="1">
      <c r="A30" s="624"/>
      <c r="B30" s="10"/>
      <c r="C30" s="10"/>
      <c r="G30" s="504"/>
      <c r="H30" s="334"/>
      <c r="J30" s="4"/>
    </row>
    <row r="31" spans="1:10">
      <c r="A31" s="634" t="s">
        <v>358</v>
      </c>
      <c r="B31" s="5"/>
      <c r="C31" s="7"/>
      <c r="G31" s="505">
        <f>SUM(G6:G25)</f>
        <v>375820.92477524281</v>
      </c>
      <c r="H31" s="333">
        <f>SUM(H6:H25)</f>
        <v>4509851.0973029146</v>
      </c>
      <c r="J31" s="4" t="s">
        <v>560</v>
      </c>
    </row>
    <row r="32" spans="1:10">
      <c r="A32"/>
      <c r="B32"/>
      <c r="C32"/>
      <c r="D32"/>
      <c r="E32"/>
      <c r="F32"/>
      <c r="G32"/>
      <c r="H32"/>
    </row>
    <row r="33" spans="1:10">
      <c r="A33"/>
      <c r="B33"/>
      <c r="C33"/>
      <c r="D33"/>
      <c r="E33"/>
      <c r="F33"/>
      <c r="G33"/>
      <c r="H33"/>
    </row>
    <row r="34" spans="1:10">
      <c r="A34"/>
      <c r="B34"/>
      <c r="C34"/>
      <c r="D34"/>
      <c r="E34"/>
      <c r="F34"/>
      <c r="G34" s="389" t="s">
        <v>8</v>
      </c>
      <c r="H34"/>
    </row>
    <row r="35" spans="1:10">
      <c r="B35" s="10"/>
      <c r="C35" s="10"/>
      <c r="D35" s="11"/>
      <c r="E35" s="9"/>
      <c r="F35" s="9"/>
      <c r="G35" s="489">
        <v>2016</v>
      </c>
      <c r="H35" s="333"/>
    </row>
    <row r="36" spans="1:10" hidden="1">
      <c r="A36" s="6" t="s">
        <v>44</v>
      </c>
      <c r="G36" s="335"/>
      <c r="H36" s="333"/>
    </row>
    <row r="37" spans="1:10" hidden="1">
      <c r="B37" s="7" t="s">
        <v>32</v>
      </c>
      <c r="G37" s="335">
        <v>5752629623.1252184</v>
      </c>
      <c r="H37" s="333"/>
    </row>
    <row r="38" spans="1:10" hidden="1">
      <c r="G38" s="336"/>
      <c r="H38" s="333"/>
    </row>
    <row r="39" spans="1:10">
      <c r="H39" s="333"/>
    </row>
    <row r="40" spans="1:10" ht="15">
      <c r="A40" s="630" t="s">
        <v>45</v>
      </c>
      <c r="B40" s="626"/>
      <c r="C40"/>
      <c r="D40"/>
      <c r="E40"/>
      <c r="F40"/>
      <c r="G40" s="332"/>
      <c r="H40" s="333"/>
    </row>
    <row r="41" spans="1:10">
      <c r="A41" s="633" t="s">
        <v>46</v>
      </c>
      <c r="B41" s="626"/>
      <c r="C41"/>
      <c r="D41"/>
      <c r="E41"/>
      <c r="F41"/>
      <c r="G41" s="333"/>
      <c r="H41" s="333"/>
    </row>
    <row r="42" spans="1:10">
      <c r="A42" s="615" t="s">
        <v>37</v>
      </c>
      <c r="B42" s="623" t="s">
        <v>361</v>
      </c>
      <c r="C42"/>
      <c r="D42"/>
      <c r="E42"/>
      <c r="F42"/>
      <c r="G42" s="637">
        <v>356508.5</v>
      </c>
      <c r="H42" s="333"/>
      <c r="J42" s="4" t="s">
        <v>561</v>
      </c>
    </row>
    <row r="43" spans="1:10">
      <c r="A43" s="615" t="s">
        <v>34</v>
      </c>
      <c r="B43" s="623" t="s">
        <v>361</v>
      </c>
      <c r="C43"/>
      <c r="D43"/>
      <c r="E43"/>
      <c r="F43"/>
      <c r="G43" s="637">
        <v>8132.5</v>
      </c>
      <c r="H43" s="333"/>
      <c r="J43" s="4" t="s">
        <v>562</v>
      </c>
    </row>
    <row r="44" spans="1:10">
      <c r="A44" s="615" t="s">
        <v>38</v>
      </c>
      <c r="B44" s="623" t="s">
        <v>362</v>
      </c>
      <c r="C44"/>
      <c r="D44"/>
      <c r="E44"/>
      <c r="F44"/>
      <c r="G44" s="637">
        <v>2643570.541666667</v>
      </c>
      <c r="H44" s="333"/>
      <c r="J44" s="4" t="s">
        <v>563</v>
      </c>
    </row>
    <row r="45" spans="1:10">
      <c r="A45" s="615" t="s">
        <v>35</v>
      </c>
      <c r="B45" s="623" t="s">
        <v>362</v>
      </c>
      <c r="C45"/>
      <c r="D45"/>
      <c r="E45"/>
      <c r="F45"/>
      <c r="G45" s="637">
        <v>53982.5</v>
      </c>
      <c r="H45" s="333"/>
      <c r="J45" s="4" t="s">
        <v>564</v>
      </c>
    </row>
    <row r="46" spans="1:10">
      <c r="A46" s="615" t="s">
        <v>39</v>
      </c>
      <c r="B46" s="623" t="s">
        <v>363</v>
      </c>
      <c r="C46"/>
      <c r="D46"/>
      <c r="E46"/>
      <c r="F46"/>
      <c r="G46" s="637">
        <v>1168073</v>
      </c>
      <c r="H46" s="333"/>
      <c r="J46" s="4" t="s">
        <v>565</v>
      </c>
    </row>
    <row r="47" spans="1:10">
      <c r="A47" s="615" t="s">
        <v>266</v>
      </c>
      <c r="B47" s="623" t="s">
        <v>361</v>
      </c>
      <c r="C47"/>
      <c r="D47"/>
      <c r="E47"/>
      <c r="F47"/>
      <c r="G47" s="637">
        <v>227091.75</v>
      </c>
      <c r="H47" s="333"/>
      <c r="J47" s="4" t="s">
        <v>566</v>
      </c>
    </row>
    <row r="48" spans="1:10">
      <c r="A48" s="615" t="s">
        <v>262</v>
      </c>
      <c r="B48" s="623" t="s">
        <v>361</v>
      </c>
      <c r="C48"/>
      <c r="D48"/>
      <c r="E48"/>
      <c r="F48"/>
      <c r="G48" s="637">
        <v>8132.5</v>
      </c>
      <c r="H48" s="333"/>
      <c r="J48" s="4" t="s">
        <v>567</v>
      </c>
    </row>
    <row r="49" spans="1:10">
      <c r="A49" s="615" t="s">
        <v>267</v>
      </c>
      <c r="B49" s="623" t="s">
        <v>362</v>
      </c>
      <c r="C49"/>
      <c r="D49"/>
      <c r="E49"/>
      <c r="F49"/>
      <c r="G49" s="637">
        <v>1286037.25</v>
      </c>
      <c r="H49" s="333"/>
      <c r="J49" s="4" t="s">
        <v>568</v>
      </c>
    </row>
    <row r="50" spans="1:10">
      <c r="A50" s="615" t="s">
        <v>263</v>
      </c>
      <c r="B50" s="623" t="s">
        <v>362</v>
      </c>
      <c r="C50"/>
      <c r="D50"/>
      <c r="E50"/>
      <c r="F50"/>
      <c r="G50" s="637">
        <v>15704.958333333334</v>
      </c>
      <c r="H50" s="333"/>
      <c r="J50" s="4" t="s">
        <v>569</v>
      </c>
    </row>
    <row r="51" spans="1:10">
      <c r="A51" s="615" t="s">
        <v>268</v>
      </c>
      <c r="B51" s="623" t="s">
        <v>363</v>
      </c>
      <c r="C51"/>
      <c r="D51"/>
      <c r="E51"/>
      <c r="F51"/>
      <c r="G51" s="637">
        <v>270260.5</v>
      </c>
      <c r="H51" s="333"/>
      <c r="J51" s="4" t="s">
        <v>570</v>
      </c>
    </row>
    <row r="52" spans="1:10">
      <c r="A52" s="615" t="s">
        <v>270</v>
      </c>
      <c r="B52" s="623" t="s">
        <v>363</v>
      </c>
      <c r="C52"/>
      <c r="D52"/>
      <c r="E52"/>
      <c r="F52"/>
      <c r="G52" s="637">
        <v>649540</v>
      </c>
      <c r="H52" s="333"/>
      <c r="J52" s="4" t="s">
        <v>571</v>
      </c>
    </row>
    <row r="53" spans="1:10">
      <c r="A53" s="331"/>
      <c r="B53" s="390"/>
      <c r="C53" s="236"/>
      <c r="D53" s="236"/>
      <c r="E53" s="236"/>
      <c r="F53" s="236"/>
      <c r="G53" s="333"/>
      <c r="H53" s="333"/>
    </row>
    <row r="54" spans="1:10">
      <c r="A54"/>
      <c r="B54"/>
      <c r="C54"/>
      <c r="D54"/>
      <c r="E54"/>
      <c r="F54"/>
      <c r="G54"/>
      <c r="H54" s="333"/>
    </row>
    <row r="55" spans="1:10">
      <c r="A55" s="383" t="s">
        <v>47</v>
      </c>
      <c r="B55"/>
      <c r="C55"/>
      <c r="D55"/>
      <c r="E55"/>
      <c r="F55"/>
      <c r="G55"/>
      <c r="H55" s="333"/>
    </row>
    <row r="56" spans="1:10" s="9" customFormat="1">
      <c r="A56" s="384" t="s">
        <v>32</v>
      </c>
      <c r="B56"/>
      <c r="C56"/>
      <c r="D56"/>
      <c r="E56"/>
      <c r="F56"/>
      <c r="G56" s="2">
        <f>SUM(G42:G46)</f>
        <v>4230267.041666667</v>
      </c>
      <c r="H56" s="333"/>
      <c r="J56" s="4" t="s">
        <v>572</v>
      </c>
    </row>
    <row r="57" spans="1:10" s="9" customFormat="1">
      <c r="A57" s="385" t="s">
        <v>260</v>
      </c>
      <c r="B57"/>
      <c r="C57"/>
      <c r="D57"/>
      <c r="E57"/>
      <c r="F57"/>
      <c r="G57" s="2">
        <f>SUM(G47:G52)</f>
        <v>2456766.958333333</v>
      </c>
      <c r="H57" s="333"/>
      <c r="J57" s="4" t="s">
        <v>573</v>
      </c>
    </row>
    <row r="58" spans="1:10">
      <c r="A58" s="386"/>
      <c r="B58"/>
      <c r="C58"/>
      <c r="D58"/>
      <c r="E58"/>
      <c r="F58"/>
      <c r="G58"/>
      <c r="H58" s="333"/>
    </row>
    <row r="59" spans="1:10">
      <c r="A59" s="387" t="s">
        <v>358</v>
      </c>
      <c r="B59"/>
      <c r="C59"/>
      <c r="D59"/>
      <c r="E59"/>
      <c r="F59"/>
      <c r="G59" s="2">
        <f>SUM(G42:G52)</f>
        <v>6687034</v>
      </c>
      <c r="H59" s="333"/>
      <c r="J59" s="4" t="s">
        <v>574</v>
      </c>
    </row>
    <row r="192" spans="2:2" ht="15">
      <c r="B192" s="731"/>
    </row>
    <row r="242" spans="9:9">
      <c r="I242" s="728"/>
    </row>
    <row r="243" spans="9:9">
      <c r="I243" s="728"/>
    </row>
  </sheetData>
  <phoneticPr fontId="53" type="noConversion"/>
  <pageMargins left="0.99" right="0.25" top="0.5" bottom="0.5" header="0.5" footer="0.3"/>
  <pageSetup fitToHeight="2" orientation="portrait" r:id="rId1"/>
  <headerFooter alignWithMargins="0">
    <oddFooter>&amp;C&amp;F / &amp;A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N243"/>
  <sheetViews>
    <sheetView workbookViewId="0">
      <selection activeCell="I55" sqref="I55"/>
    </sheetView>
  </sheetViews>
  <sheetFormatPr defaultRowHeight="12.75"/>
  <cols>
    <col min="2" max="2" width="22.85546875" customWidth="1"/>
    <col min="4" max="4" width="16.7109375" bestFit="1" customWidth="1"/>
    <col min="7" max="7" width="10.140625" customWidth="1"/>
    <col min="8" max="8" width="2.7109375" customWidth="1"/>
    <col min="10" max="10" width="20.7109375" customWidth="1"/>
    <col min="12" max="12" width="11.140625" customWidth="1"/>
  </cols>
  <sheetData>
    <row r="1" spans="1:14">
      <c r="A1" s="650" t="s">
        <v>527</v>
      </c>
      <c r="I1" s="644"/>
      <c r="J1" s="644"/>
      <c r="K1" s="644"/>
      <c r="L1" s="644"/>
      <c r="M1" s="644"/>
      <c r="N1" s="644"/>
    </row>
    <row r="2" spans="1:14">
      <c r="F2" s="650" t="s">
        <v>528</v>
      </c>
      <c r="I2" s="644"/>
      <c r="J2" s="644"/>
      <c r="K2" s="644"/>
      <c r="L2" s="644"/>
      <c r="M2" s="644"/>
      <c r="N2" s="644"/>
    </row>
    <row r="3" spans="1:14">
      <c r="I3" s="644"/>
      <c r="J3" s="644"/>
      <c r="K3" s="644"/>
      <c r="L3" s="644"/>
      <c r="M3" s="644"/>
      <c r="N3" s="644"/>
    </row>
    <row r="4" spans="1:14">
      <c r="A4" s="621" t="s">
        <v>271</v>
      </c>
      <c r="D4" s="651">
        <v>2016</v>
      </c>
      <c r="I4" s="644"/>
      <c r="J4" s="644"/>
      <c r="K4" s="644"/>
      <c r="L4" s="644"/>
      <c r="M4" s="644"/>
      <c r="N4" s="644"/>
    </row>
    <row r="5" spans="1:14">
      <c r="A5" s="614" t="s">
        <v>33</v>
      </c>
      <c r="D5" s="620">
        <v>2447894612.94909</v>
      </c>
      <c r="F5" s="650" t="s">
        <v>541</v>
      </c>
      <c r="G5" s="650"/>
      <c r="I5" s="644"/>
      <c r="J5" s="644"/>
      <c r="K5" s="644"/>
      <c r="L5" s="644"/>
      <c r="M5" s="644"/>
      <c r="N5" s="644"/>
    </row>
    <row r="6" spans="1:14">
      <c r="A6" s="614" t="s">
        <v>37</v>
      </c>
      <c r="D6" s="613">
        <v>533190763.92359316</v>
      </c>
      <c r="F6" s="650" t="s">
        <v>542</v>
      </c>
      <c r="G6" s="650"/>
      <c r="I6" s="644"/>
      <c r="J6" s="644"/>
      <c r="K6" s="644"/>
      <c r="L6" s="644"/>
      <c r="M6" s="644"/>
      <c r="N6" s="644"/>
    </row>
    <row r="7" spans="1:14">
      <c r="A7" s="614" t="s">
        <v>34</v>
      </c>
      <c r="D7" s="613">
        <v>58198159.318362407</v>
      </c>
      <c r="F7" s="650" t="s">
        <v>543</v>
      </c>
      <c r="G7" s="650"/>
      <c r="I7" s="644"/>
      <c r="J7" s="644"/>
      <c r="K7" s="644"/>
      <c r="L7" s="644"/>
      <c r="M7" s="644"/>
      <c r="N7" s="644"/>
    </row>
    <row r="8" spans="1:14">
      <c r="A8" s="614" t="s">
        <v>38</v>
      </c>
      <c r="D8" s="613">
        <v>1394199937.4331989</v>
      </c>
      <c r="F8" s="650" t="s">
        <v>544</v>
      </c>
      <c r="G8" s="650"/>
      <c r="I8" s="644"/>
      <c r="J8" s="644"/>
      <c r="K8" s="644"/>
      <c r="L8" s="644"/>
      <c r="M8" s="644"/>
      <c r="N8" s="644"/>
    </row>
    <row r="9" spans="1:14">
      <c r="A9" s="614" t="s">
        <v>35</v>
      </c>
      <c r="D9" s="613">
        <v>36949668.457222924</v>
      </c>
      <c r="F9" s="650" t="s">
        <v>545</v>
      </c>
      <c r="G9" s="650"/>
      <c r="I9" s="644"/>
      <c r="J9" s="644"/>
      <c r="K9" s="644"/>
      <c r="L9" s="644"/>
      <c r="M9" s="644"/>
      <c r="N9" s="644"/>
    </row>
    <row r="10" spans="1:14">
      <c r="A10" s="614" t="s">
        <v>39</v>
      </c>
      <c r="D10" s="613">
        <v>1114987712.0720894</v>
      </c>
      <c r="F10" s="650" t="s">
        <v>546</v>
      </c>
      <c r="G10" s="650"/>
      <c r="I10" s="644"/>
      <c r="J10" s="644"/>
      <c r="K10" s="644"/>
      <c r="L10" s="644"/>
      <c r="M10" s="644"/>
      <c r="N10" s="644"/>
    </row>
    <row r="11" spans="1:14">
      <c r="A11" s="614" t="s">
        <v>41</v>
      </c>
      <c r="D11" s="613">
        <v>0</v>
      </c>
      <c r="F11" s="650" t="s">
        <v>547</v>
      </c>
      <c r="G11" s="650"/>
      <c r="I11" s="644"/>
      <c r="J11" s="644"/>
      <c r="K11" s="644"/>
      <c r="L11" s="644"/>
      <c r="M11" s="644"/>
      <c r="N11" s="644"/>
    </row>
    <row r="12" spans="1:14">
      <c r="A12" s="614" t="s">
        <v>40</v>
      </c>
      <c r="D12" s="613">
        <v>123625944.32330225</v>
      </c>
      <c r="F12" s="650" t="s">
        <v>548</v>
      </c>
      <c r="G12" s="650"/>
      <c r="I12" s="644"/>
      <c r="J12" s="644"/>
      <c r="K12" s="644"/>
      <c r="L12" s="644"/>
      <c r="M12" s="644"/>
      <c r="N12" s="644"/>
    </row>
    <row r="13" spans="1:14">
      <c r="A13" s="614" t="s">
        <v>36</v>
      </c>
      <c r="D13" s="613">
        <v>8099403.0397304203</v>
      </c>
      <c r="F13" s="650" t="s">
        <v>549</v>
      </c>
      <c r="G13" s="650"/>
      <c r="I13" s="644"/>
      <c r="J13" s="644"/>
      <c r="K13" s="644"/>
      <c r="L13" s="644"/>
      <c r="M13" s="644"/>
      <c r="N13" s="644"/>
    </row>
    <row r="14" spans="1:14">
      <c r="A14" s="636" t="s">
        <v>42</v>
      </c>
      <c r="D14" s="613">
        <v>24890112.090452805</v>
      </c>
      <c r="F14" s="650" t="s">
        <v>550</v>
      </c>
      <c r="G14" s="650"/>
      <c r="I14" s="644"/>
      <c r="J14" s="644"/>
      <c r="K14" s="644"/>
      <c r="L14" s="644"/>
      <c r="M14" s="644"/>
      <c r="N14" s="644"/>
    </row>
    <row r="15" spans="1:14">
      <c r="A15" s="614" t="s">
        <v>261</v>
      </c>
      <c r="D15" s="613">
        <v>1202461977.0101345</v>
      </c>
      <c r="F15" s="650" t="s">
        <v>551</v>
      </c>
      <c r="G15" s="650"/>
      <c r="I15" s="644"/>
      <c r="J15" s="644"/>
      <c r="K15" s="644"/>
      <c r="L15" s="644"/>
      <c r="M15" s="644"/>
      <c r="N15" s="644"/>
    </row>
    <row r="16" spans="1:14">
      <c r="A16" s="614" t="s">
        <v>266</v>
      </c>
      <c r="D16" s="613">
        <v>338210070.58827966</v>
      </c>
      <c r="F16" s="650" t="s">
        <v>552</v>
      </c>
      <c r="G16" s="650"/>
      <c r="I16" s="644"/>
      <c r="J16" s="644"/>
      <c r="K16" s="644"/>
      <c r="L16" s="644"/>
      <c r="M16" s="644"/>
      <c r="N16" s="644"/>
    </row>
    <row r="17" spans="1:14">
      <c r="A17" s="614" t="s">
        <v>262</v>
      </c>
      <c r="D17" s="613">
        <v>25811535.578046337</v>
      </c>
      <c r="F17" s="650" t="s">
        <v>553</v>
      </c>
      <c r="G17" s="650"/>
      <c r="I17" s="644"/>
      <c r="J17" s="644"/>
      <c r="K17" s="644"/>
      <c r="L17" s="644"/>
      <c r="M17" s="644"/>
      <c r="N17" s="644"/>
    </row>
    <row r="18" spans="1:14">
      <c r="A18" s="614" t="s">
        <v>267</v>
      </c>
      <c r="D18" s="613">
        <v>675583052.13072968</v>
      </c>
      <c r="F18" s="650" t="s">
        <v>554</v>
      </c>
      <c r="G18" s="650"/>
      <c r="I18" s="644"/>
      <c r="J18" s="644"/>
      <c r="K18" s="644"/>
      <c r="L18" s="644"/>
      <c r="M18" s="644"/>
      <c r="N18" s="644"/>
    </row>
    <row r="19" spans="1:14">
      <c r="A19" s="614" t="s">
        <v>263</v>
      </c>
      <c r="D19" s="613">
        <v>10480484.077333149</v>
      </c>
      <c r="F19" s="650" t="s">
        <v>555</v>
      </c>
      <c r="G19" s="650"/>
      <c r="I19" s="644"/>
      <c r="J19" s="644"/>
      <c r="K19" s="644"/>
      <c r="L19" s="644"/>
      <c r="M19" s="644"/>
      <c r="N19" s="644"/>
    </row>
    <row r="20" spans="1:14">
      <c r="A20" s="614" t="s">
        <v>268</v>
      </c>
      <c r="D20" s="613">
        <v>331839388</v>
      </c>
      <c r="F20" s="650" t="s">
        <v>556</v>
      </c>
      <c r="G20" s="650"/>
      <c r="I20" s="644"/>
      <c r="J20" s="644"/>
      <c r="K20" s="644"/>
      <c r="L20" s="644"/>
      <c r="M20" s="644"/>
      <c r="N20" s="644"/>
    </row>
    <row r="21" spans="1:14">
      <c r="A21" s="614" t="s">
        <v>270</v>
      </c>
      <c r="D21" s="613">
        <v>452814683</v>
      </c>
      <c r="F21" s="650" t="s">
        <v>557</v>
      </c>
      <c r="G21" s="650"/>
      <c r="I21" s="644"/>
      <c r="J21" s="644"/>
      <c r="K21" s="644"/>
      <c r="L21" s="644"/>
      <c r="M21" s="644"/>
      <c r="N21" s="644"/>
    </row>
    <row r="22" spans="1:14">
      <c r="A22" s="614" t="s">
        <v>269</v>
      </c>
      <c r="D22" s="613">
        <v>50391402.280106425</v>
      </c>
      <c r="F22" s="650" t="s">
        <v>558</v>
      </c>
      <c r="G22" s="650"/>
      <c r="I22" s="644"/>
      <c r="J22" s="644"/>
      <c r="K22" s="644"/>
      <c r="L22" s="644"/>
      <c r="M22" s="644"/>
      <c r="N22" s="644"/>
    </row>
    <row r="23" spans="1:14">
      <c r="A23" s="614" t="s">
        <v>264</v>
      </c>
      <c r="D23" s="613">
        <v>5213090.2355687255</v>
      </c>
      <c r="F23" s="650" t="s">
        <v>559</v>
      </c>
      <c r="G23" s="650"/>
      <c r="I23" s="644"/>
      <c r="J23" s="644"/>
      <c r="K23" s="644"/>
      <c r="L23" s="644"/>
      <c r="M23" s="644"/>
      <c r="N23" s="644"/>
    </row>
    <row r="24" spans="1:14">
      <c r="A24" s="636" t="s">
        <v>265</v>
      </c>
      <c r="D24" s="613">
        <v>13880887</v>
      </c>
      <c r="F24" s="650" t="s">
        <v>560</v>
      </c>
      <c r="G24" s="650"/>
      <c r="I24" s="644"/>
      <c r="J24" s="644"/>
      <c r="K24" s="644"/>
      <c r="L24" s="644"/>
      <c r="M24" s="644"/>
      <c r="N24" s="644"/>
    </row>
    <row r="25" spans="1:14">
      <c r="A25" s="608"/>
      <c r="D25" s="618"/>
      <c r="F25" s="650"/>
      <c r="G25" s="650"/>
      <c r="I25" s="644"/>
      <c r="J25" s="644"/>
      <c r="K25" s="644"/>
      <c r="L25" s="644"/>
      <c r="M25" s="644"/>
      <c r="N25" s="644"/>
    </row>
    <row r="26" spans="1:14">
      <c r="A26" s="621" t="s">
        <v>272</v>
      </c>
      <c r="D26" s="635"/>
      <c r="F26" s="650"/>
      <c r="G26" s="650"/>
      <c r="I26" s="644"/>
      <c r="J26" s="644"/>
      <c r="K26" s="644"/>
      <c r="L26" s="644"/>
      <c r="M26" s="644"/>
      <c r="N26" s="644"/>
    </row>
    <row r="27" spans="1:14">
      <c r="A27" s="607" t="s">
        <v>32</v>
      </c>
      <c r="D27" s="613">
        <f>SUM(D5:D14)</f>
        <v>5742036313.6070423</v>
      </c>
      <c r="F27" s="650" t="s">
        <v>575</v>
      </c>
      <c r="G27" s="650"/>
      <c r="I27" s="644"/>
      <c r="J27" s="644"/>
      <c r="K27" s="644"/>
      <c r="L27" s="644"/>
      <c r="M27" s="644"/>
      <c r="N27" s="644"/>
    </row>
    <row r="28" spans="1:14">
      <c r="A28" s="605" t="s">
        <v>260</v>
      </c>
      <c r="D28" s="613">
        <f>SUM(D15:D24)</f>
        <v>3106686569.900198</v>
      </c>
      <c r="F28" s="650" t="s">
        <v>576</v>
      </c>
      <c r="G28" s="650"/>
      <c r="I28" s="644"/>
      <c r="J28" s="644"/>
      <c r="K28" s="644"/>
      <c r="L28" s="644"/>
      <c r="M28" s="644"/>
      <c r="N28" s="644"/>
    </row>
    <row r="29" spans="1:14">
      <c r="A29" s="629"/>
      <c r="D29" s="618"/>
      <c r="F29" s="650"/>
      <c r="G29" s="650"/>
      <c r="I29" s="644"/>
      <c r="J29" s="644"/>
      <c r="K29" s="644"/>
      <c r="L29" s="644"/>
      <c r="M29" s="644"/>
      <c r="N29" s="644"/>
    </row>
    <row r="30" spans="1:14">
      <c r="A30" s="617" t="s">
        <v>358</v>
      </c>
      <c r="D30" s="613">
        <f>D27+D28</f>
        <v>8848722883.5072403</v>
      </c>
      <c r="F30" s="650" t="s">
        <v>577</v>
      </c>
      <c r="G30" s="650"/>
      <c r="I30" s="644"/>
      <c r="J30" s="644"/>
      <c r="K30" s="644"/>
      <c r="L30" s="644"/>
      <c r="M30" s="644"/>
      <c r="N30" s="644"/>
    </row>
    <row r="31" spans="1:14">
      <c r="A31" s="629"/>
      <c r="D31" s="610">
        <v>8.3914183815001694E-3</v>
      </c>
      <c r="F31" s="650" t="s">
        <v>578</v>
      </c>
      <c r="G31" s="650"/>
      <c r="I31" s="644"/>
      <c r="J31" s="644"/>
      <c r="K31" s="644"/>
      <c r="L31" s="644"/>
      <c r="M31" s="644"/>
      <c r="N31" s="644"/>
    </row>
    <row r="32" spans="1:14">
      <c r="A32" s="629"/>
      <c r="D32" s="632"/>
      <c r="F32" s="650"/>
      <c r="G32" s="650"/>
      <c r="I32" s="644"/>
      <c r="J32" s="644"/>
      <c r="K32" s="644"/>
      <c r="L32" s="644"/>
      <c r="M32" s="644"/>
      <c r="N32" s="644"/>
    </row>
    <row r="33" spans="1:14">
      <c r="A33" s="629"/>
      <c r="D33" s="632"/>
      <c r="F33" s="650"/>
      <c r="G33" s="650"/>
      <c r="I33" s="644"/>
      <c r="J33" s="644"/>
      <c r="K33" s="644"/>
      <c r="L33" s="644"/>
      <c r="M33" s="644"/>
      <c r="N33" s="644"/>
    </row>
    <row r="34" spans="1:14">
      <c r="A34" s="628" t="s">
        <v>529</v>
      </c>
      <c r="D34" s="632"/>
      <c r="F34" s="650"/>
      <c r="G34" s="650"/>
      <c r="I34" s="644"/>
      <c r="J34" s="644"/>
      <c r="K34" s="644"/>
      <c r="L34" s="644"/>
      <c r="M34" s="644"/>
      <c r="N34" s="644"/>
    </row>
    <row r="35" spans="1:14">
      <c r="A35" s="629" t="s">
        <v>530</v>
      </c>
      <c r="D35" s="613">
        <v>9434612307.8230515</v>
      </c>
      <c r="F35" s="650" t="s">
        <v>579</v>
      </c>
      <c r="G35" s="650"/>
    </row>
    <row r="36" spans="1:14">
      <c r="A36" s="629" t="s">
        <v>531</v>
      </c>
      <c r="D36" s="613">
        <v>585889424.31581163</v>
      </c>
      <c r="F36" s="650" t="s">
        <v>580</v>
      </c>
      <c r="G36" s="650"/>
    </row>
    <row r="37" spans="1:14">
      <c r="F37" s="650"/>
      <c r="G37" s="650"/>
    </row>
    <row r="38" spans="1:14">
      <c r="A38" s="629" t="s">
        <v>532</v>
      </c>
      <c r="D38" s="613">
        <f>D35-D36</f>
        <v>8848722883.5072403</v>
      </c>
      <c r="F38" s="650" t="s">
        <v>581</v>
      </c>
      <c r="G38" s="650"/>
    </row>
    <row r="39" spans="1:14">
      <c r="F39" s="650"/>
      <c r="G39" s="650"/>
    </row>
    <row r="40" spans="1:14">
      <c r="A40" s="611" t="s">
        <v>533</v>
      </c>
      <c r="D40" s="625">
        <f>D38-D30</f>
        <v>0</v>
      </c>
      <c r="F40" s="650" t="s">
        <v>582</v>
      </c>
      <c r="G40" s="650"/>
    </row>
    <row r="150" spans="2:2">
      <c r="B150" s="644"/>
    </row>
    <row r="152" spans="2:2">
      <c r="B152" s="644"/>
    </row>
    <row r="154" spans="2:2">
      <c r="B154" s="644"/>
    </row>
    <row r="164" spans="2:2">
      <c r="B164" s="644"/>
    </row>
    <row r="166" spans="2:2">
      <c r="B166" s="644"/>
    </row>
    <row r="170" spans="2:2">
      <c r="B170" s="644"/>
    </row>
    <row r="172" spans="2:2">
      <c r="B172" s="644"/>
    </row>
    <row r="176" spans="2:2">
      <c r="B176" s="644"/>
    </row>
    <row r="186" spans="2:2">
      <c r="B186" s="644"/>
    </row>
    <row r="188" spans="2:2">
      <c r="B188" s="644"/>
    </row>
    <row r="190" spans="2:2">
      <c r="B190" s="644"/>
    </row>
    <row r="192" spans="2:2" ht="15">
      <c r="B192" s="730"/>
    </row>
    <row r="196" spans="2:2">
      <c r="B196" s="644"/>
    </row>
    <row r="242" spans="9:9">
      <c r="I242" s="727"/>
    </row>
    <row r="243" spans="9:9">
      <c r="I243" s="727"/>
    </row>
  </sheetData>
  <pageMargins left="0.7" right="0.7" top="0.75" bottom="0.75" header="0.3" footer="0.55000000000000004"/>
  <pageSetup orientation="portrait" r:id="rId1"/>
  <headerFooter>
    <oddFooter>&amp;C&amp;F / &amp;A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Q47"/>
  <sheetViews>
    <sheetView topLeftCell="A16" zoomScaleNormal="100" workbookViewId="0">
      <selection activeCell="I55" sqref="I55"/>
    </sheetView>
  </sheetViews>
  <sheetFormatPr defaultColWidth="9.140625" defaultRowHeight="12.75"/>
  <cols>
    <col min="1" max="1" width="22.140625" style="458" customWidth="1"/>
    <col min="2" max="2" width="9.140625" style="458"/>
    <col min="3" max="3" width="9.42578125" style="458" customWidth="1"/>
    <col min="4" max="4" width="9.85546875" style="458" customWidth="1"/>
    <col min="5" max="5" width="8" style="458" customWidth="1"/>
    <col min="6" max="6" width="12.140625" style="458" customWidth="1"/>
    <col min="7" max="7" width="3.7109375" style="458" customWidth="1"/>
    <col min="8" max="8" width="59.140625" style="75" customWidth="1"/>
    <col min="9" max="11" width="9.140625" style="75"/>
    <col min="12" max="12" width="14.7109375" style="75" customWidth="1"/>
    <col min="13" max="17" width="9.140625" style="75"/>
    <col min="18" max="16384" width="9.140625" style="458"/>
  </cols>
  <sheetData>
    <row r="1" spans="1:17">
      <c r="A1" s="55" t="s">
        <v>6</v>
      </c>
      <c r="B1" s="55"/>
      <c r="C1" s="55"/>
      <c r="D1" s="55"/>
      <c r="E1" s="55"/>
      <c r="F1" s="55"/>
      <c r="G1" s="55"/>
      <c r="H1" s="798"/>
    </row>
    <row r="2" spans="1:17">
      <c r="A2" s="55" t="s">
        <v>126</v>
      </c>
      <c r="B2" s="55"/>
      <c r="C2" s="55"/>
      <c r="D2" s="55"/>
      <c r="E2" s="55"/>
      <c r="F2" s="55"/>
      <c r="G2" s="55"/>
      <c r="H2" s="798"/>
    </row>
    <row r="3" spans="1:17">
      <c r="A3" s="56" t="s">
        <v>645</v>
      </c>
      <c r="B3" s="55"/>
      <c r="C3" s="55"/>
      <c r="D3" s="55"/>
      <c r="E3" s="55"/>
      <c r="F3" s="55"/>
      <c r="G3" s="55"/>
      <c r="H3" s="798"/>
    </row>
    <row r="4" spans="1:17">
      <c r="G4" s="72"/>
      <c r="L4" s="799"/>
      <c r="M4" s="799"/>
      <c r="N4" s="799"/>
      <c r="O4" s="799"/>
    </row>
    <row r="5" spans="1:17">
      <c r="D5" s="794" t="s">
        <v>660</v>
      </c>
      <c r="G5" s="72"/>
      <c r="L5" s="799"/>
      <c r="M5" s="799"/>
      <c r="N5" s="799"/>
      <c r="O5" s="799"/>
    </row>
    <row r="6" spans="1:17">
      <c r="D6" s="459" t="s">
        <v>89</v>
      </c>
      <c r="E6" s="459"/>
      <c r="F6" s="459" t="s">
        <v>8</v>
      </c>
      <c r="G6" s="72"/>
      <c r="L6" s="795"/>
      <c r="M6" s="795"/>
      <c r="N6" s="795"/>
      <c r="O6" s="799"/>
    </row>
    <row r="7" spans="1:17">
      <c r="D7" s="459" t="s">
        <v>88</v>
      </c>
      <c r="E7" s="459"/>
      <c r="F7" s="459" t="s">
        <v>5</v>
      </c>
      <c r="G7" s="72"/>
      <c r="L7" s="795"/>
      <c r="M7" s="795"/>
      <c r="N7" s="795"/>
      <c r="O7" s="799"/>
    </row>
    <row r="8" spans="1:17">
      <c r="D8" s="58" t="s">
        <v>98</v>
      </c>
      <c r="E8" s="58"/>
      <c r="F8" s="58" t="s">
        <v>127</v>
      </c>
      <c r="G8" s="73"/>
      <c r="L8" s="554"/>
      <c r="M8" s="554"/>
      <c r="N8" s="554"/>
      <c r="O8" s="799"/>
    </row>
    <row r="9" spans="1:17">
      <c r="A9" s="458" t="s">
        <v>9</v>
      </c>
      <c r="E9" s="1"/>
      <c r="F9" s="839">
        <v>0.64710000000000001</v>
      </c>
      <c r="G9" s="74"/>
      <c r="L9" s="799"/>
      <c r="M9" s="800"/>
      <c r="N9" s="800"/>
      <c r="O9" s="799"/>
    </row>
    <row r="10" spans="1:17">
      <c r="G10" s="72"/>
      <c r="L10" s="799"/>
      <c r="M10" s="799"/>
      <c r="N10" s="799"/>
      <c r="O10" s="799"/>
    </row>
    <row r="11" spans="1:17">
      <c r="A11" s="458" t="s">
        <v>10</v>
      </c>
      <c r="D11" s="59">
        <v>94264</v>
      </c>
      <c r="E11" s="59"/>
      <c r="F11" s="59">
        <f>ROUND(F$9*D11,0)</f>
        <v>60998</v>
      </c>
      <c r="G11" s="65"/>
      <c r="H11" s="801"/>
      <c r="L11" s="802"/>
      <c r="M11" s="802"/>
      <c r="N11" s="802"/>
      <c r="O11" s="799"/>
    </row>
    <row r="12" spans="1:17">
      <c r="A12" s="458" t="s">
        <v>11</v>
      </c>
      <c r="D12" s="60">
        <v>475</v>
      </c>
      <c r="E12" s="60"/>
      <c r="F12" s="60">
        <f>ROUND(F$9*D12,0)</f>
        <v>307</v>
      </c>
      <c r="G12" s="62"/>
      <c r="H12" s="801"/>
      <c r="L12" s="803"/>
      <c r="M12" s="803"/>
      <c r="N12" s="803"/>
      <c r="O12" s="799"/>
    </row>
    <row r="13" spans="1:17">
      <c r="A13" s="458" t="s">
        <v>12</v>
      </c>
      <c r="D13" s="60">
        <v>0</v>
      </c>
      <c r="E13" s="60"/>
      <c r="F13" s="60">
        <f t="shared" ref="F13:F17" si="0">ROUND(F$9*D13,0)</f>
        <v>0</v>
      </c>
      <c r="G13" s="62"/>
      <c r="H13" s="801"/>
      <c r="L13" s="803"/>
      <c r="M13" s="803"/>
      <c r="N13" s="803"/>
      <c r="O13" s="799"/>
    </row>
    <row r="14" spans="1:17">
      <c r="A14" s="458" t="s">
        <v>404</v>
      </c>
      <c r="C14" s="597" t="s">
        <v>98</v>
      </c>
      <c r="D14" s="352">
        <f>16406-D15-D16</f>
        <v>16264</v>
      </c>
      <c r="E14" s="60"/>
      <c r="F14" s="60">
        <f t="shared" si="0"/>
        <v>10524</v>
      </c>
      <c r="G14" s="62"/>
      <c r="H14" s="801"/>
      <c r="I14" s="804"/>
      <c r="J14" s="804"/>
      <c r="K14" s="805"/>
      <c r="L14" s="805"/>
      <c r="N14" s="803"/>
      <c r="O14" s="799"/>
    </row>
    <row r="15" spans="1:17" s="597" customFormat="1">
      <c r="A15" s="597" t="s">
        <v>404</v>
      </c>
      <c r="C15" s="597" t="s">
        <v>522</v>
      </c>
      <c r="D15" s="352">
        <v>98</v>
      </c>
      <c r="E15" s="60"/>
      <c r="F15" s="60">
        <f>D15</f>
        <v>98</v>
      </c>
      <c r="G15" s="62"/>
      <c r="H15" s="806"/>
      <c r="I15" s="38"/>
      <c r="J15" s="38"/>
      <c r="K15" s="38"/>
      <c r="L15" s="803"/>
      <c r="M15" s="803"/>
      <c r="N15" s="803"/>
      <c r="O15" s="799"/>
      <c r="P15" s="75"/>
      <c r="Q15" s="75"/>
    </row>
    <row r="16" spans="1:17" s="597" customFormat="1">
      <c r="A16" s="597" t="s">
        <v>404</v>
      </c>
      <c r="C16" s="597" t="s">
        <v>523</v>
      </c>
      <c r="D16" s="352">
        <v>44</v>
      </c>
      <c r="E16" s="60"/>
      <c r="F16" s="60">
        <v>0</v>
      </c>
      <c r="G16" s="62"/>
      <c r="H16" s="806"/>
      <c r="I16" s="38"/>
      <c r="J16" s="38"/>
      <c r="K16" s="38"/>
      <c r="L16" s="803"/>
      <c r="M16" s="803"/>
      <c r="N16" s="803"/>
      <c r="O16" s="799"/>
      <c r="P16" s="75"/>
      <c r="Q16" s="75"/>
    </row>
    <row r="17" spans="1:15">
      <c r="A17" s="458" t="s">
        <v>13</v>
      </c>
      <c r="D17" s="781">
        <f>4169-D18</f>
        <v>4006</v>
      </c>
      <c r="E17" s="60"/>
      <c r="F17" s="60">
        <f t="shared" si="0"/>
        <v>2592</v>
      </c>
      <c r="G17" s="62"/>
      <c r="H17" s="801"/>
      <c r="L17" s="803"/>
      <c r="M17" s="803"/>
      <c r="N17" s="803"/>
      <c r="O17" s="799"/>
    </row>
    <row r="18" spans="1:15">
      <c r="A18" s="458" t="s">
        <v>128</v>
      </c>
      <c r="D18" s="353">
        <v>163</v>
      </c>
      <c r="E18" s="62"/>
      <c r="F18" s="60">
        <f>D18</f>
        <v>163</v>
      </c>
      <c r="G18" s="62"/>
      <c r="H18" s="801"/>
      <c r="L18" s="803"/>
      <c r="M18" s="803"/>
      <c r="N18" s="803"/>
      <c r="O18" s="799"/>
    </row>
    <row r="19" spans="1:15">
      <c r="A19" s="458" t="s">
        <v>14</v>
      </c>
      <c r="D19" s="60">
        <f>SUM(D11:D18)</f>
        <v>115314</v>
      </c>
      <c r="E19" s="62"/>
      <c r="F19" s="466">
        <f>SUM(F11:F18)</f>
        <v>74682</v>
      </c>
      <c r="G19" s="62"/>
      <c r="H19" s="801"/>
      <c r="L19" s="803"/>
      <c r="M19" s="803"/>
      <c r="N19" s="803"/>
      <c r="O19" s="799"/>
    </row>
    <row r="20" spans="1:15">
      <c r="D20" s="60"/>
      <c r="E20" s="62"/>
      <c r="F20" s="60"/>
      <c r="G20" s="62"/>
      <c r="H20" s="801"/>
      <c r="L20" s="803"/>
      <c r="M20" s="803"/>
      <c r="N20" s="803"/>
      <c r="O20" s="799"/>
    </row>
    <row r="21" spans="1:15">
      <c r="D21" s="60"/>
      <c r="E21" s="62"/>
      <c r="F21" s="60"/>
      <c r="G21" s="62"/>
      <c r="H21" s="801"/>
      <c r="L21" s="803"/>
      <c r="M21" s="803"/>
      <c r="N21" s="803"/>
      <c r="O21" s="799"/>
    </row>
    <row r="22" spans="1:15">
      <c r="A22" s="458" t="s">
        <v>15</v>
      </c>
      <c r="D22" s="60">
        <v>27420</v>
      </c>
      <c r="E22" s="62"/>
      <c r="F22" s="60">
        <f t="shared" ref="F22:F32" si="1">ROUND(F$9*D22,0)</f>
        <v>17743</v>
      </c>
      <c r="G22" s="62"/>
      <c r="H22" s="801"/>
      <c r="L22" s="803"/>
      <c r="M22" s="803"/>
      <c r="N22" s="803"/>
      <c r="O22" s="799"/>
    </row>
    <row r="23" spans="1:15">
      <c r="A23" s="458" t="s">
        <v>16</v>
      </c>
      <c r="D23" s="60">
        <v>0</v>
      </c>
      <c r="E23" s="62"/>
      <c r="F23" s="60">
        <f t="shared" si="1"/>
        <v>0</v>
      </c>
      <c r="G23" s="62"/>
      <c r="H23" s="801"/>
      <c r="L23" s="803"/>
      <c r="M23" s="803"/>
      <c r="N23" s="803"/>
      <c r="O23" s="799"/>
    </row>
    <row r="24" spans="1:15">
      <c r="A24" s="458" t="s">
        <v>17</v>
      </c>
      <c r="D24" s="60">
        <v>55782</v>
      </c>
      <c r="E24" s="62"/>
      <c r="F24" s="60">
        <f t="shared" si="1"/>
        <v>36097</v>
      </c>
      <c r="G24" s="62"/>
      <c r="H24" s="801"/>
      <c r="L24" s="803"/>
      <c r="M24" s="803"/>
      <c r="N24" s="803"/>
      <c r="O24" s="799"/>
    </row>
    <row r="25" spans="1:15">
      <c r="A25" s="458" t="s">
        <v>18</v>
      </c>
      <c r="D25" s="60">
        <v>983</v>
      </c>
      <c r="E25" s="62"/>
      <c r="F25" s="60">
        <f t="shared" si="1"/>
        <v>636</v>
      </c>
      <c r="G25" s="62"/>
      <c r="H25" s="801"/>
      <c r="L25" s="803"/>
      <c r="M25" s="803"/>
      <c r="N25" s="803"/>
      <c r="O25" s="799"/>
    </row>
    <row r="26" spans="1:15">
      <c r="A26" s="458" t="s">
        <v>19</v>
      </c>
      <c r="D26" s="60">
        <v>180254</v>
      </c>
      <c r="E26" s="62"/>
      <c r="F26" s="60">
        <f>ROUND(F$9*D26,0)-1</f>
        <v>116641</v>
      </c>
      <c r="G26" s="62"/>
      <c r="H26" s="801"/>
      <c r="L26" s="803"/>
      <c r="M26" s="803"/>
      <c r="N26" s="803"/>
      <c r="O26" s="799"/>
    </row>
    <row r="27" spans="1:15">
      <c r="A27" s="458" t="s">
        <v>20</v>
      </c>
      <c r="D27" s="60">
        <v>0</v>
      </c>
      <c r="E27" s="62"/>
      <c r="F27" s="60">
        <f t="shared" si="1"/>
        <v>0</v>
      </c>
      <c r="G27" s="62"/>
      <c r="H27" s="801"/>
      <c r="I27" s="38"/>
      <c r="J27" s="38"/>
      <c r="K27" s="38"/>
      <c r="L27" s="803"/>
      <c r="M27" s="803"/>
      <c r="N27" s="803"/>
      <c r="O27" s="799"/>
    </row>
    <row r="28" spans="1:15">
      <c r="A28" s="458" t="s">
        <v>21</v>
      </c>
      <c r="D28" s="60">
        <v>0</v>
      </c>
      <c r="E28" s="62"/>
      <c r="F28" s="60">
        <f t="shared" si="1"/>
        <v>0</v>
      </c>
      <c r="G28" s="62"/>
      <c r="H28" s="801"/>
      <c r="I28" s="38"/>
      <c r="J28" s="38"/>
      <c r="K28" s="38"/>
      <c r="L28" s="803"/>
      <c r="M28" s="803"/>
      <c r="N28" s="803"/>
      <c r="O28" s="799"/>
    </row>
    <row r="29" spans="1:15">
      <c r="A29" s="458" t="s">
        <v>22</v>
      </c>
      <c r="D29" s="60">
        <v>0</v>
      </c>
      <c r="E29" s="62"/>
      <c r="F29" s="60">
        <f t="shared" si="1"/>
        <v>0</v>
      </c>
      <c r="G29" s="62"/>
      <c r="H29" s="801"/>
      <c r="I29" s="38"/>
      <c r="J29" s="38"/>
      <c r="K29" s="38"/>
      <c r="L29" s="803"/>
      <c r="M29" s="803"/>
      <c r="N29" s="803"/>
      <c r="O29" s="799"/>
    </row>
    <row r="30" spans="1:15">
      <c r="A30" s="458" t="s">
        <v>23</v>
      </c>
      <c r="D30" s="352">
        <f>2977-D31</f>
        <v>581</v>
      </c>
      <c r="E30" s="62"/>
      <c r="F30" s="60">
        <f t="shared" si="1"/>
        <v>376</v>
      </c>
      <c r="G30" s="62"/>
      <c r="H30" s="807"/>
      <c r="I30" s="809"/>
      <c r="J30" s="809"/>
      <c r="K30" s="809"/>
      <c r="L30" s="809"/>
      <c r="M30" s="803"/>
      <c r="N30" s="803"/>
      <c r="O30" s="799"/>
    </row>
    <row r="31" spans="1:15">
      <c r="A31" s="458" t="s">
        <v>129</v>
      </c>
      <c r="D31" s="352">
        <f>735+1661</f>
        <v>2396</v>
      </c>
      <c r="E31" s="62"/>
      <c r="F31" s="60">
        <f>D31</f>
        <v>2396</v>
      </c>
      <c r="G31" s="62"/>
      <c r="H31" s="807"/>
      <c r="I31" s="809"/>
      <c r="J31" s="809"/>
      <c r="K31" s="809"/>
      <c r="L31" s="809"/>
      <c r="M31" s="803"/>
      <c r="N31" s="803"/>
      <c r="O31" s="799"/>
    </row>
    <row r="32" spans="1:15">
      <c r="A32" s="458" t="s">
        <v>24</v>
      </c>
      <c r="D32" s="60">
        <v>18896</v>
      </c>
      <c r="E32" s="62"/>
      <c r="F32" s="60">
        <f t="shared" si="1"/>
        <v>12228</v>
      </c>
      <c r="G32" s="62"/>
      <c r="H32" s="801"/>
      <c r="I32" s="38"/>
      <c r="J32" s="38"/>
      <c r="K32" s="38"/>
      <c r="L32" s="803"/>
      <c r="M32" s="803"/>
      <c r="N32" s="803"/>
      <c r="O32" s="799"/>
    </row>
    <row r="33" spans="1:17" s="671" customFormat="1" ht="12.75" customHeight="1">
      <c r="A33" s="840" t="s">
        <v>591</v>
      </c>
      <c r="B33" s="840"/>
      <c r="C33" s="840"/>
      <c r="D33" s="841">
        <v>0</v>
      </c>
      <c r="E33" s="842"/>
      <c r="F33" s="841">
        <f>F$9*D33</f>
        <v>0</v>
      </c>
      <c r="G33" s="842"/>
      <c r="H33" s="843" t="s">
        <v>713</v>
      </c>
      <c r="I33" s="810"/>
      <c r="J33" s="810"/>
      <c r="K33" s="810"/>
      <c r="L33" s="810"/>
      <c r="M33" s="38"/>
      <c r="N33" s="75"/>
      <c r="O33" s="75"/>
      <c r="P33" s="75"/>
      <c r="Q33" s="75"/>
    </row>
    <row r="34" spans="1:17" s="671" customFormat="1" ht="12.75" customHeight="1">
      <c r="A34" s="840" t="s">
        <v>592</v>
      </c>
      <c r="B34" s="840"/>
      <c r="C34" s="840"/>
      <c r="D34" s="841">
        <v>0</v>
      </c>
      <c r="E34" s="842"/>
      <c r="F34" s="841">
        <f>F$9*D34</f>
        <v>0</v>
      </c>
      <c r="G34" s="842"/>
      <c r="H34" s="843" t="s">
        <v>713</v>
      </c>
      <c r="I34" s="810"/>
      <c r="J34" s="810"/>
      <c r="K34" s="810"/>
      <c r="L34" s="810"/>
      <c r="M34" s="38"/>
      <c r="N34" s="75"/>
      <c r="O34" s="75"/>
      <c r="P34" s="75"/>
      <c r="Q34" s="75"/>
    </row>
    <row r="35" spans="1:17">
      <c r="A35" s="458" t="s">
        <v>25</v>
      </c>
      <c r="D35" s="63">
        <f>SUM(D22:D34)</f>
        <v>286312</v>
      </c>
      <c r="E35" s="62"/>
      <c r="F35" s="63">
        <f>SUM(F22:F34)</f>
        <v>186117</v>
      </c>
      <c r="G35" s="62"/>
      <c r="H35" s="801"/>
      <c r="I35" s="38"/>
      <c r="J35" s="38"/>
      <c r="K35" s="38"/>
      <c r="L35" s="803"/>
      <c r="M35" s="803"/>
      <c r="N35" s="803"/>
      <c r="O35" s="799"/>
    </row>
    <row r="36" spans="1:17">
      <c r="G36" s="72"/>
      <c r="H36" s="801"/>
      <c r="I36" s="38"/>
      <c r="J36" s="38"/>
      <c r="K36" s="38"/>
      <c r="L36" s="799"/>
      <c r="M36" s="799"/>
      <c r="N36" s="799"/>
      <c r="O36" s="799"/>
    </row>
    <row r="37" spans="1:17">
      <c r="A37" s="458" t="s">
        <v>26</v>
      </c>
      <c r="D37" s="60">
        <f>D19-D35</f>
        <v>-170998</v>
      </c>
      <c r="E37" s="60"/>
      <c r="F37" s="60">
        <f>F19-F35</f>
        <v>-111435</v>
      </c>
      <c r="G37" s="62"/>
      <c r="H37" s="801"/>
      <c r="L37" s="803"/>
      <c r="M37" s="803"/>
      <c r="N37" s="803"/>
      <c r="O37" s="799"/>
    </row>
    <row r="38" spans="1:17">
      <c r="E38" s="60"/>
      <c r="F38" s="60"/>
      <c r="G38" s="60"/>
      <c r="L38" s="799"/>
      <c r="M38" s="803"/>
      <c r="N38" s="803"/>
      <c r="O38" s="799"/>
    </row>
    <row r="39" spans="1:17">
      <c r="A39" s="458" t="s">
        <v>27</v>
      </c>
      <c r="C39" s="64">
        <v>0.35</v>
      </c>
      <c r="E39" s="65"/>
      <c r="F39" s="61">
        <f>C39*F37</f>
        <v>-39002.25</v>
      </c>
      <c r="G39" s="59"/>
      <c r="L39" s="799"/>
      <c r="M39" s="802"/>
      <c r="N39" s="803"/>
      <c r="O39" s="799"/>
    </row>
    <row r="40" spans="1:17">
      <c r="E40" s="65"/>
      <c r="F40" s="59"/>
      <c r="G40" s="59"/>
      <c r="L40" s="799"/>
      <c r="M40" s="802"/>
      <c r="N40" s="802"/>
      <c r="O40" s="799"/>
    </row>
    <row r="41" spans="1:17">
      <c r="A41" s="458" t="s">
        <v>28</v>
      </c>
      <c r="E41" s="60"/>
      <c r="F41" s="59">
        <f>F37-F39</f>
        <v>-72432.75</v>
      </c>
      <c r="G41" s="60"/>
      <c r="L41" s="799"/>
      <c r="M41" s="803"/>
      <c r="N41" s="802"/>
      <c r="O41" s="799"/>
    </row>
    <row r="42" spans="1:17">
      <c r="E42" s="60"/>
      <c r="F42" s="60"/>
      <c r="G42" s="60"/>
      <c r="L42" s="799"/>
      <c r="M42" s="799"/>
      <c r="N42" s="799"/>
      <c r="O42" s="799"/>
    </row>
    <row r="43" spans="1:17">
      <c r="A43" s="75"/>
      <c r="L43" s="799"/>
      <c r="M43" s="799"/>
      <c r="N43" s="799"/>
      <c r="O43" s="799"/>
    </row>
    <row r="44" spans="1:17">
      <c r="A44" s="75"/>
      <c r="L44" s="799"/>
      <c r="M44" s="799"/>
      <c r="N44" s="799"/>
      <c r="O44" s="799"/>
    </row>
    <row r="45" spans="1:17">
      <c r="A45" s="75"/>
      <c r="L45" s="799"/>
      <c r="M45" s="799"/>
      <c r="N45" s="799"/>
      <c r="O45" s="799"/>
    </row>
    <row r="46" spans="1:17">
      <c r="A46" s="840" t="s">
        <v>591</v>
      </c>
      <c r="B46" s="840"/>
      <c r="C46" s="840"/>
      <c r="D46" s="841">
        <v>5764</v>
      </c>
      <c r="E46" s="842"/>
      <c r="F46" s="841">
        <f>F$9*D46</f>
        <v>3729.8843999999999</v>
      </c>
      <c r="G46" s="842"/>
      <c r="H46" s="843" t="s">
        <v>713</v>
      </c>
      <c r="L46" s="799"/>
      <c r="M46" s="799"/>
      <c r="N46" s="799"/>
      <c r="O46" s="799"/>
    </row>
    <row r="47" spans="1:17">
      <c r="A47" s="840" t="s">
        <v>592</v>
      </c>
      <c r="B47" s="840"/>
      <c r="C47" s="840"/>
      <c r="D47" s="841">
        <v>12979</v>
      </c>
      <c r="E47" s="842"/>
      <c r="F47" s="841">
        <f>F$9*D47</f>
        <v>8398.7109</v>
      </c>
      <c r="G47" s="842"/>
      <c r="H47" s="843" t="s">
        <v>713</v>
      </c>
    </row>
  </sheetData>
  <pageMargins left="1.05" right="0.34" top="0.75" bottom="0.77" header="0.5" footer="0.77"/>
  <pageSetup scale="69" orientation="portrait" r:id="rId1"/>
  <headerFooter alignWithMargins="0">
    <oddFooter>&amp;C&amp;F / &amp;A</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J34"/>
  <sheetViews>
    <sheetView workbookViewId="0">
      <selection activeCell="I55" sqref="I55"/>
    </sheetView>
  </sheetViews>
  <sheetFormatPr defaultColWidth="8.85546875" defaultRowHeight="12.75"/>
  <cols>
    <col min="1" max="1" width="11.28515625" style="734" bestFit="1" customWidth="1"/>
    <col min="2" max="2" width="41" style="734" bestFit="1" customWidth="1"/>
    <col min="3" max="3" width="19.7109375" style="734" bestFit="1" customWidth="1"/>
    <col min="4" max="4" width="11.140625" style="734" bestFit="1" customWidth="1"/>
    <col min="5" max="5" width="20.7109375" style="734" customWidth="1"/>
    <col min="6" max="6" width="10.28515625" style="734" customWidth="1"/>
    <col min="7" max="7" width="12.7109375" style="734" bestFit="1" customWidth="1"/>
    <col min="8" max="8" width="18.28515625" style="734" customWidth="1"/>
    <col min="9" max="9" width="14.5703125" style="734" customWidth="1"/>
    <col min="10" max="10" width="12.7109375" style="734" customWidth="1"/>
    <col min="11" max="16384" width="8.85546875" style="734"/>
  </cols>
  <sheetData>
    <row r="1" spans="1:10">
      <c r="A1" s="236" t="s">
        <v>662</v>
      </c>
      <c r="B1" s="236"/>
      <c r="C1" s="236"/>
      <c r="D1" s="236"/>
      <c r="E1" s="236"/>
      <c r="F1" s="236"/>
      <c r="G1" s="236"/>
      <c r="H1" s="236"/>
    </row>
    <row r="2" spans="1:10">
      <c r="A2" s="236"/>
      <c r="B2" s="236"/>
      <c r="C2" s="236"/>
      <c r="D2" s="236"/>
      <c r="E2" s="236"/>
      <c r="F2" s="236"/>
      <c r="G2" s="236"/>
      <c r="H2" s="236"/>
    </row>
    <row r="3" spans="1:10">
      <c r="A3" s="749" t="s">
        <v>613</v>
      </c>
      <c r="B3" s="750" t="s">
        <v>614</v>
      </c>
      <c r="C3" s="236"/>
      <c r="D3" s="236"/>
      <c r="E3" s="236"/>
      <c r="F3" s="236"/>
      <c r="G3" s="236"/>
      <c r="H3" s="236"/>
    </row>
    <row r="4" spans="1:10">
      <c r="A4" s="236"/>
      <c r="B4" s="236"/>
      <c r="C4" s="236"/>
      <c r="D4" s="236"/>
      <c r="E4" s="236"/>
      <c r="F4" s="236"/>
      <c r="G4" s="236"/>
      <c r="H4" s="236"/>
    </row>
    <row r="5" spans="1:10">
      <c r="A5" s="751"/>
      <c r="B5" s="752"/>
      <c r="C5" s="753"/>
      <c r="D5" s="754"/>
      <c r="E5" s="755" t="s">
        <v>615</v>
      </c>
      <c r="F5" s="756"/>
      <c r="G5" s="756"/>
      <c r="H5" s="757"/>
      <c r="I5" s="771" t="s">
        <v>89</v>
      </c>
      <c r="J5" s="771" t="s">
        <v>699</v>
      </c>
    </row>
    <row r="6" spans="1:10" ht="14.25">
      <c r="A6" s="758"/>
      <c r="B6" s="759"/>
      <c r="C6" s="760"/>
      <c r="D6" s="761" t="s">
        <v>616</v>
      </c>
      <c r="E6" s="761" t="s">
        <v>617</v>
      </c>
      <c r="F6" s="761" t="s">
        <v>260</v>
      </c>
      <c r="G6" s="761" t="s">
        <v>32</v>
      </c>
      <c r="H6" s="762" t="s">
        <v>618</v>
      </c>
      <c r="I6" s="771" t="s">
        <v>88</v>
      </c>
      <c r="J6" s="771"/>
    </row>
    <row r="7" spans="1:10" ht="14.25">
      <c r="A7" s="761" t="s">
        <v>619</v>
      </c>
      <c r="B7" s="761" t="s">
        <v>663</v>
      </c>
      <c r="C7" s="761" t="s">
        <v>620</v>
      </c>
      <c r="D7" s="763"/>
      <c r="E7" s="763"/>
      <c r="F7" s="763"/>
      <c r="G7" s="763"/>
      <c r="H7" s="763"/>
    </row>
    <row r="8" spans="1:10" ht="14.25">
      <c r="A8" s="764" t="s">
        <v>664</v>
      </c>
      <c r="B8" s="764" t="s">
        <v>665</v>
      </c>
      <c r="C8" s="761" t="s">
        <v>666</v>
      </c>
      <c r="D8" s="763"/>
      <c r="E8" s="765">
        <v>10582</v>
      </c>
      <c r="F8" s="765" t="s">
        <v>623</v>
      </c>
      <c r="G8" s="765" t="s">
        <v>623</v>
      </c>
      <c r="H8" s="765">
        <v>10582</v>
      </c>
    </row>
    <row r="9" spans="1:10" ht="14.25">
      <c r="A9" s="766"/>
      <c r="B9" s="766"/>
      <c r="C9" s="761" t="s">
        <v>667</v>
      </c>
      <c r="D9" s="763"/>
      <c r="E9" s="765">
        <v>889279.74</v>
      </c>
      <c r="F9" s="765" t="s">
        <v>623</v>
      </c>
      <c r="G9" s="765" t="s">
        <v>623</v>
      </c>
      <c r="H9" s="765">
        <v>889279.74</v>
      </c>
    </row>
    <row r="10" spans="1:10" ht="14.25">
      <c r="A10" s="766"/>
      <c r="B10" s="767"/>
      <c r="C10" s="761" t="s">
        <v>668</v>
      </c>
      <c r="D10" s="763"/>
      <c r="E10" s="765">
        <v>3679.62</v>
      </c>
      <c r="F10" s="765">
        <v>683.02</v>
      </c>
      <c r="G10" s="765">
        <v>38699.56</v>
      </c>
      <c r="H10" s="765">
        <v>43062.200000000004</v>
      </c>
    </row>
    <row r="11" spans="1:10" ht="14.25">
      <c r="A11" s="766"/>
      <c r="B11" s="761" t="s">
        <v>669</v>
      </c>
      <c r="C11" s="761" t="s">
        <v>670</v>
      </c>
      <c r="D11" s="763"/>
      <c r="E11" s="765">
        <v>16978.95</v>
      </c>
      <c r="F11" s="765" t="s">
        <v>623</v>
      </c>
      <c r="G11" s="765" t="s">
        <v>623</v>
      </c>
      <c r="H11" s="765">
        <v>16978.95</v>
      </c>
    </row>
    <row r="12" spans="1:10" ht="14.25">
      <c r="A12" s="766"/>
      <c r="B12" s="764" t="s">
        <v>671</v>
      </c>
      <c r="C12" s="761" t="s">
        <v>672</v>
      </c>
      <c r="D12" s="763"/>
      <c r="E12" s="765">
        <v>6800</v>
      </c>
      <c r="F12" s="765" t="s">
        <v>623</v>
      </c>
      <c r="G12" s="765" t="s">
        <v>623</v>
      </c>
      <c r="H12" s="765">
        <v>6800</v>
      </c>
    </row>
    <row r="13" spans="1:10" ht="14.25">
      <c r="A13" s="766"/>
      <c r="B13" s="766"/>
      <c r="C13" s="761" t="s">
        <v>673</v>
      </c>
      <c r="D13" s="763"/>
      <c r="E13" s="765">
        <v>7023.6900000000005</v>
      </c>
      <c r="F13" s="765" t="s">
        <v>623</v>
      </c>
      <c r="G13" s="765" t="s">
        <v>623</v>
      </c>
      <c r="H13" s="765">
        <v>7023.6900000000005</v>
      </c>
    </row>
    <row r="14" spans="1:10" ht="14.25">
      <c r="A14" s="766"/>
      <c r="B14" s="766"/>
      <c r="C14" s="761" t="s">
        <v>674</v>
      </c>
      <c r="D14" s="763"/>
      <c r="E14" s="765">
        <v>666530.53</v>
      </c>
      <c r="F14" s="765" t="s">
        <v>623</v>
      </c>
      <c r="G14" s="765" t="s">
        <v>623</v>
      </c>
      <c r="H14" s="765">
        <v>666530.53</v>
      </c>
    </row>
    <row r="15" spans="1:10" ht="14.25">
      <c r="A15" s="766"/>
      <c r="B15" s="767"/>
      <c r="C15" s="761" t="s">
        <v>675</v>
      </c>
      <c r="D15" s="763"/>
      <c r="E15" s="765">
        <v>456.12</v>
      </c>
      <c r="F15" s="765" t="s">
        <v>623</v>
      </c>
      <c r="G15" s="765" t="s">
        <v>623</v>
      </c>
      <c r="H15" s="765">
        <v>456.12</v>
      </c>
    </row>
    <row r="16" spans="1:10" ht="14.25">
      <c r="A16" s="767"/>
      <c r="B16" s="761" t="s">
        <v>676</v>
      </c>
      <c r="C16" s="761" t="s">
        <v>677</v>
      </c>
      <c r="D16" s="763"/>
      <c r="E16" s="765">
        <v>46995</v>
      </c>
      <c r="F16" s="765" t="s">
        <v>623</v>
      </c>
      <c r="G16" s="765" t="s">
        <v>623</v>
      </c>
      <c r="H16" s="765">
        <v>46995</v>
      </c>
    </row>
    <row r="17" spans="1:10" ht="14.25">
      <c r="A17" s="764" t="s">
        <v>678</v>
      </c>
      <c r="B17" s="764" t="s">
        <v>679</v>
      </c>
      <c r="C17" s="761" t="s">
        <v>680</v>
      </c>
      <c r="D17" s="763"/>
      <c r="E17" s="765">
        <v>-7723892.5</v>
      </c>
      <c r="F17" s="765" t="s">
        <v>623</v>
      </c>
      <c r="G17" s="765" t="s">
        <v>623</v>
      </c>
      <c r="H17" s="765">
        <v>-7723892.5</v>
      </c>
      <c r="I17" s="772">
        <f>H17</f>
        <v>-7723892.5</v>
      </c>
    </row>
    <row r="18" spans="1:10" ht="14.25">
      <c r="A18" s="766"/>
      <c r="B18" s="766"/>
      <c r="C18" s="761" t="s">
        <v>681</v>
      </c>
      <c r="D18" s="763"/>
      <c r="E18" s="765">
        <v>-2718369.75</v>
      </c>
      <c r="F18" s="765" t="s">
        <v>623</v>
      </c>
      <c r="G18" s="765" t="s">
        <v>623</v>
      </c>
      <c r="H18" s="765">
        <v>-2718369.75</v>
      </c>
      <c r="I18" s="772">
        <f t="shared" ref="I18:I23" si="0">H18</f>
        <v>-2718369.75</v>
      </c>
    </row>
    <row r="19" spans="1:10" ht="14.25">
      <c r="A19" s="767"/>
      <c r="B19" s="767"/>
      <c r="C19" s="761" t="s">
        <v>682</v>
      </c>
      <c r="D19" s="763"/>
      <c r="E19" s="765">
        <v>24.8</v>
      </c>
      <c r="F19" s="765" t="s">
        <v>623</v>
      </c>
      <c r="G19" s="765" t="s">
        <v>623</v>
      </c>
      <c r="H19" s="765">
        <v>24.8</v>
      </c>
      <c r="I19" s="772">
        <f t="shared" si="0"/>
        <v>24.8</v>
      </c>
    </row>
    <row r="20" spans="1:10" ht="14.25">
      <c r="A20" s="764" t="s">
        <v>683</v>
      </c>
      <c r="B20" s="764" t="s">
        <v>679</v>
      </c>
      <c r="C20" s="761" t="s">
        <v>684</v>
      </c>
      <c r="D20" s="763"/>
      <c r="E20" s="765">
        <v>855810.15</v>
      </c>
      <c r="F20" s="765" t="s">
        <v>623</v>
      </c>
      <c r="G20" s="765" t="s">
        <v>623</v>
      </c>
      <c r="H20" s="765">
        <v>855810.15</v>
      </c>
      <c r="I20" s="772">
        <f t="shared" si="0"/>
        <v>855810.15</v>
      </c>
    </row>
    <row r="21" spans="1:10" ht="14.25">
      <c r="A21" s="767"/>
      <c r="B21" s="767"/>
      <c r="C21" s="761" t="s">
        <v>685</v>
      </c>
      <c r="D21" s="763"/>
      <c r="E21" s="765">
        <v>29287951.550000001</v>
      </c>
      <c r="F21" s="765" t="s">
        <v>623</v>
      </c>
      <c r="G21" s="765" t="s">
        <v>623</v>
      </c>
      <c r="H21" s="765">
        <v>29287951.550000001</v>
      </c>
      <c r="I21" s="772">
        <f t="shared" si="0"/>
        <v>29287951.550000001</v>
      </c>
    </row>
    <row r="22" spans="1:10" ht="14.25">
      <c r="A22" s="764" t="s">
        <v>686</v>
      </c>
      <c r="B22" s="764" t="s">
        <v>687</v>
      </c>
      <c r="C22" s="761" t="s">
        <v>688</v>
      </c>
      <c r="D22" s="763"/>
      <c r="E22" s="765">
        <v>4006377.64</v>
      </c>
      <c r="F22" s="765" t="s">
        <v>623</v>
      </c>
      <c r="G22" s="765" t="s">
        <v>623</v>
      </c>
      <c r="H22" s="765">
        <v>4006377.64</v>
      </c>
      <c r="I22" s="772">
        <f t="shared" si="0"/>
        <v>4006377.64</v>
      </c>
    </row>
    <row r="23" spans="1:10" ht="14.25">
      <c r="A23" s="767"/>
      <c r="B23" s="767"/>
      <c r="C23" s="761" t="s">
        <v>689</v>
      </c>
      <c r="D23" s="763"/>
      <c r="E23" s="765" t="s">
        <v>623</v>
      </c>
      <c r="F23" s="765" t="s">
        <v>623</v>
      </c>
      <c r="G23" s="765">
        <v>162500</v>
      </c>
      <c r="H23" s="765">
        <v>162500</v>
      </c>
      <c r="I23" s="772">
        <f t="shared" si="0"/>
        <v>162500</v>
      </c>
    </row>
    <row r="24" spans="1:10" ht="14.25">
      <c r="A24" s="761" t="s">
        <v>621</v>
      </c>
      <c r="B24" s="761" t="s">
        <v>690</v>
      </c>
      <c r="C24" s="761" t="s">
        <v>622</v>
      </c>
      <c r="D24" s="763"/>
      <c r="E24" s="765">
        <v>60244.08</v>
      </c>
      <c r="F24" s="765" t="s">
        <v>623</v>
      </c>
      <c r="G24" s="765" t="s">
        <v>623</v>
      </c>
      <c r="H24" s="765">
        <v>60244.08</v>
      </c>
      <c r="J24" s="772">
        <f>H24</f>
        <v>60244.08</v>
      </c>
    </row>
    <row r="25" spans="1:10" ht="14.25">
      <c r="A25" s="761" t="s">
        <v>691</v>
      </c>
      <c r="B25" s="761" t="s">
        <v>692</v>
      </c>
      <c r="C25" s="761" t="s">
        <v>693</v>
      </c>
      <c r="D25" s="763"/>
      <c r="E25" s="765">
        <v>529103.25</v>
      </c>
      <c r="F25" s="765" t="s">
        <v>623</v>
      </c>
      <c r="G25" s="765" t="s">
        <v>623</v>
      </c>
      <c r="H25" s="765">
        <v>529103.25</v>
      </c>
      <c r="I25" s="782"/>
      <c r="J25" s="772">
        <f>H25</f>
        <v>529103.25</v>
      </c>
    </row>
    <row r="26" spans="1:10" ht="14.25">
      <c r="A26" s="761" t="s">
        <v>624</v>
      </c>
      <c r="B26" s="761" t="s">
        <v>690</v>
      </c>
      <c r="C26" s="761" t="s">
        <v>625</v>
      </c>
      <c r="D26" s="763"/>
      <c r="E26" s="765">
        <v>11553981.52</v>
      </c>
      <c r="F26" s="765" t="s">
        <v>623</v>
      </c>
      <c r="G26" s="765" t="s">
        <v>623</v>
      </c>
      <c r="H26" s="765">
        <v>11553981.52</v>
      </c>
      <c r="J26" s="772">
        <f>H26</f>
        <v>11553981.52</v>
      </c>
    </row>
    <row r="27" spans="1:10" ht="14.25">
      <c r="A27" s="761" t="s">
        <v>626</v>
      </c>
      <c r="B27" s="761" t="s">
        <v>690</v>
      </c>
      <c r="C27" s="761" t="s">
        <v>627</v>
      </c>
      <c r="D27" s="763"/>
      <c r="E27" s="765">
        <v>3192000</v>
      </c>
      <c r="F27" s="765" t="s">
        <v>623</v>
      </c>
      <c r="G27" s="765" t="s">
        <v>623</v>
      </c>
      <c r="H27" s="765">
        <v>3192000</v>
      </c>
      <c r="J27" s="772">
        <f t="shared" ref="J27:J29" si="1">H27</f>
        <v>3192000</v>
      </c>
    </row>
    <row r="28" spans="1:10" ht="14.25">
      <c r="A28" s="761" t="s">
        <v>628</v>
      </c>
      <c r="B28" s="761" t="s">
        <v>690</v>
      </c>
      <c r="C28" s="761" t="s">
        <v>629</v>
      </c>
      <c r="D28" s="763"/>
      <c r="E28" s="765" t="s">
        <v>623</v>
      </c>
      <c r="F28" s="765">
        <v>44019.49</v>
      </c>
      <c r="G28" s="765">
        <v>97939.56</v>
      </c>
      <c r="H28" s="765">
        <v>141959.05000000002</v>
      </c>
      <c r="J28" s="772">
        <f t="shared" si="1"/>
        <v>141959.05000000002</v>
      </c>
    </row>
    <row r="29" spans="1:10" ht="14.25">
      <c r="A29" s="761" t="s">
        <v>630</v>
      </c>
      <c r="B29" s="761" t="s">
        <v>690</v>
      </c>
      <c r="C29" s="761" t="s">
        <v>631</v>
      </c>
      <c r="D29" s="763"/>
      <c r="E29" s="765">
        <v>928944</v>
      </c>
      <c r="F29" s="765" t="s">
        <v>623</v>
      </c>
      <c r="G29" s="765" t="s">
        <v>623</v>
      </c>
      <c r="H29" s="765">
        <v>928944</v>
      </c>
      <c r="J29" s="772">
        <f t="shared" si="1"/>
        <v>928944</v>
      </c>
    </row>
    <row r="30" spans="1:10" ht="14.25">
      <c r="A30" s="761" t="s">
        <v>694</v>
      </c>
      <c r="B30" s="761" t="s">
        <v>679</v>
      </c>
      <c r="C30" s="761" t="s">
        <v>695</v>
      </c>
      <c r="D30" s="763"/>
      <c r="E30" s="765">
        <v>-44500</v>
      </c>
      <c r="F30" s="765" t="s">
        <v>623</v>
      </c>
      <c r="G30" s="765" t="s">
        <v>623</v>
      </c>
      <c r="H30" s="765">
        <v>-44500</v>
      </c>
      <c r="I30" s="772">
        <f t="shared" ref="I30:I32" si="2">H30</f>
        <v>-44500</v>
      </c>
    </row>
    <row r="31" spans="1:10" ht="14.25">
      <c r="A31" s="761" t="s">
        <v>696</v>
      </c>
      <c r="B31" s="761" t="s">
        <v>679</v>
      </c>
      <c r="C31" s="761" t="s">
        <v>695</v>
      </c>
      <c r="D31" s="763"/>
      <c r="E31" s="765">
        <v>44500</v>
      </c>
      <c r="F31" s="765" t="s">
        <v>623</v>
      </c>
      <c r="G31" s="765" t="s">
        <v>623</v>
      </c>
      <c r="H31" s="765">
        <v>44500</v>
      </c>
      <c r="I31" s="772">
        <f t="shared" si="2"/>
        <v>44500</v>
      </c>
    </row>
    <row r="32" spans="1:10" ht="14.25">
      <c r="A32" s="761" t="s">
        <v>697</v>
      </c>
      <c r="B32" s="761" t="s">
        <v>679</v>
      </c>
      <c r="C32" s="761" t="s">
        <v>698</v>
      </c>
      <c r="D32" s="763"/>
      <c r="E32" s="765">
        <v>67420725.560000002</v>
      </c>
      <c r="F32" s="765" t="s">
        <v>623</v>
      </c>
      <c r="G32" s="765" t="s">
        <v>623</v>
      </c>
      <c r="H32" s="765">
        <v>67420725.560000002</v>
      </c>
      <c r="I32" s="772">
        <f t="shared" si="2"/>
        <v>67420725.560000002</v>
      </c>
    </row>
    <row r="33" spans="1:10">
      <c r="A33" s="768" t="s">
        <v>632</v>
      </c>
      <c r="B33" s="769"/>
      <c r="C33" s="770"/>
      <c r="D33" s="763"/>
      <c r="E33" s="765">
        <v>109041225.95</v>
      </c>
      <c r="F33" s="765">
        <v>44702.51</v>
      </c>
      <c r="G33" s="765">
        <v>299139.12</v>
      </c>
      <c r="H33" s="765">
        <v>109385067.58</v>
      </c>
    </row>
    <row r="34" spans="1:10">
      <c r="I34" s="772">
        <f>SUM(I17:I32)</f>
        <v>91291127.450000003</v>
      </c>
      <c r="J34" s="844">
        <f>SUM(J17:J32)</f>
        <v>16406231.9</v>
      </c>
    </row>
  </sheetData>
  <pageMargins left="0.75" right="0.75" top="1" bottom="1" header="0.5" footer="0.5"/>
  <pageSetup scale="7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3"/>
  <sheetViews>
    <sheetView workbookViewId="0">
      <selection activeCell="I55" sqref="I55"/>
    </sheetView>
  </sheetViews>
  <sheetFormatPr defaultColWidth="9.140625" defaultRowHeight="12.75"/>
  <cols>
    <col min="1" max="1" width="6.7109375" style="156" customWidth="1"/>
    <col min="2" max="2" width="3.42578125" style="156" customWidth="1"/>
    <col min="3" max="3" width="36.7109375" style="156" customWidth="1"/>
    <col min="4" max="4" width="9.28515625" style="156" bestFit="1" customWidth="1"/>
    <col min="5" max="5" width="13.5703125" style="156" customWidth="1"/>
    <col min="6" max="6" width="2.42578125" style="156" customWidth="1"/>
    <col min="7" max="7" width="11.42578125" style="156" customWidth="1"/>
    <col min="8" max="8" width="10.7109375" style="156" customWidth="1"/>
    <col min="9" max="9" width="11.140625" style="156" customWidth="1"/>
    <col min="10" max="10" width="10.28515625" style="156" customWidth="1"/>
    <col min="11" max="16384" width="9.140625" style="156"/>
  </cols>
  <sheetData>
    <row r="1" spans="1:10" ht="42" customHeight="1">
      <c r="A1" s="951" t="s">
        <v>249</v>
      </c>
      <c r="B1" s="951"/>
      <c r="C1" s="951"/>
      <c r="D1" s="951"/>
      <c r="E1" s="951"/>
      <c r="F1" s="951"/>
    </row>
    <row r="2" spans="1:10">
      <c r="A2" s="952" t="s">
        <v>93</v>
      </c>
      <c r="B2" s="952"/>
      <c r="C2" s="952"/>
      <c r="D2" s="952"/>
      <c r="E2" s="952"/>
      <c r="F2" s="952"/>
      <c r="G2" s="773"/>
    </row>
    <row r="3" spans="1:10">
      <c r="A3" s="158"/>
      <c r="B3" s="158"/>
      <c r="C3" s="158"/>
      <c r="D3" s="158"/>
      <c r="E3" s="158"/>
      <c r="F3" s="158"/>
    </row>
    <row r="4" spans="1:10">
      <c r="E4" s="158" t="s">
        <v>48</v>
      </c>
      <c r="G4" s="599" t="s">
        <v>89</v>
      </c>
      <c r="H4" s="599" t="s">
        <v>89</v>
      </c>
      <c r="I4" s="599" t="s">
        <v>587</v>
      </c>
      <c r="J4" s="599"/>
    </row>
    <row r="5" spans="1:10">
      <c r="E5" s="167" t="s">
        <v>119</v>
      </c>
      <c r="G5" s="599" t="s">
        <v>251</v>
      </c>
      <c r="H5" s="599" t="s">
        <v>251</v>
      </c>
      <c r="I5" s="599" t="s">
        <v>89</v>
      </c>
      <c r="J5" s="599" t="s">
        <v>588</v>
      </c>
    </row>
    <row r="6" spans="1:10">
      <c r="A6" s="158" t="s">
        <v>3</v>
      </c>
      <c r="E6" s="158" t="s">
        <v>250</v>
      </c>
      <c r="G6" s="599" t="s">
        <v>584</v>
      </c>
      <c r="H6" s="599" t="s">
        <v>586</v>
      </c>
      <c r="I6" s="599" t="s">
        <v>88</v>
      </c>
      <c r="J6" s="599" t="s">
        <v>48</v>
      </c>
    </row>
    <row r="7" spans="1:10">
      <c r="A7" s="159" t="s">
        <v>90</v>
      </c>
      <c r="C7" s="160" t="s">
        <v>4</v>
      </c>
      <c r="D7" s="158" t="s">
        <v>234</v>
      </c>
      <c r="E7" s="159" t="s">
        <v>251</v>
      </c>
      <c r="G7" s="627" t="s">
        <v>585</v>
      </c>
      <c r="H7" s="627" t="s">
        <v>585</v>
      </c>
      <c r="I7" s="627" t="s">
        <v>277</v>
      </c>
      <c r="J7" s="627" t="s">
        <v>119</v>
      </c>
    </row>
    <row r="8" spans="1:10">
      <c r="A8" s="158"/>
      <c r="F8" s="208"/>
      <c r="G8" s="208"/>
      <c r="H8" s="208"/>
      <c r="I8" s="208"/>
    </row>
    <row r="9" spans="1:10">
      <c r="A9" s="158"/>
      <c r="B9" s="156" t="s">
        <v>86</v>
      </c>
      <c r="F9" s="208"/>
      <c r="G9" s="208"/>
      <c r="H9" s="208"/>
      <c r="I9" s="208"/>
    </row>
    <row r="10" spans="1:10">
      <c r="A10" s="158">
        <v>1</v>
      </c>
      <c r="B10" s="156" t="s">
        <v>85</v>
      </c>
      <c r="D10" s="161"/>
      <c r="E10" s="162">
        <f>I10+J10</f>
        <v>6545.4046678869499</v>
      </c>
      <c r="F10" s="208"/>
      <c r="G10" s="208"/>
      <c r="H10" s="209"/>
      <c r="I10" s="208"/>
      <c r="J10" s="162">
        <f>'Attrition 09.2014 to 2016'!N7*'Attrition 09.2014 to 2016'!K7</f>
        <v>6545.4046678869499</v>
      </c>
    </row>
    <row r="11" spans="1:10">
      <c r="A11" s="158">
        <v>2</v>
      </c>
      <c r="B11" s="156" t="s">
        <v>84</v>
      </c>
      <c r="E11" s="162">
        <f>I11+J11</f>
        <v>12.092460032444531</v>
      </c>
      <c r="F11" s="208"/>
      <c r="G11" s="208"/>
      <c r="H11" s="208"/>
      <c r="I11" s="208"/>
      <c r="J11" s="162">
        <f>'Attrition 09.2014 to 2016'!N8*'Attrition 09.2014 to 2016'!K8</f>
        <v>12.092460032444531</v>
      </c>
    </row>
    <row r="12" spans="1:10">
      <c r="A12" s="158">
        <v>3</v>
      </c>
      <c r="B12" s="156" t="s">
        <v>83</v>
      </c>
      <c r="E12" s="162">
        <f>I12+J12</f>
        <v>-2595</v>
      </c>
      <c r="F12" s="208"/>
      <c r="G12" s="162">
        <f>ROUND('PF Power Supply 09.2014 load'!F11,0)</f>
        <v>53757</v>
      </c>
      <c r="H12" s="162">
        <f>ROUND('PF Power Supply 2016 load'!F11,0)</f>
        <v>51162</v>
      </c>
      <c r="I12" s="569">
        <f>H12-G12</f>
        <v>-2595</v>
      </c>
    </row>
    <row r="13" spans="1:10">
      <c r="A13" s="158">
        <v>4</v>
      </c>
      <c r="B13" s="156" t="s">
        <v>82</v>
      </c>
      <c r="E13" s="609">
        <f>SUM(E10:E12)</f>
        <v>3962.4971279193942</v>
      </c>
      <c r="F13" s="208"/>
      <c r="G13" s="609">
        <f>SUM(G10:G12)</f>
        <v>53757</v>
      </c>
      <c r="H13" s="609">
        <f>SUM(H10:H12)</f>
        <v>51162</v>
      </c>
      <c r="I13" s="609">
        <f>SUM(I10:I12)</f>
        <v>-2595</v>
      </c>
      <c r="J13" s="609">
        <f>SUM(J10:J12)</f>
        <v>6557.4971279193942</v>
      </c>
    </row>
    <row r="14" spans="1:10">
      <c r="A14" s="158">
        <v>5</v>
      </c>
      <c r="B14" s="156" t="s">
        <v>81</v>
      </c>
      <c r="E14" s="162">
        <f>I14+J14</f>
        <v>125.31984256280101</v>
      </c>
      <c r="F14" s="208"/>
      <c r="G14" s="163">
        <f>ROUND('PF Power Supply 09.2014 load'!F19-'incremental load expense'!G13,0)</f>
        <v>10529</v>
      </c>
      <c r="H14" s="163">
        <f>ROUND('PF Power Supply 2016 load'!F19-H12,0)</f>
        <v>10529</v>
      </c>
      <c r="I14" s="569">
        <f>H14-G14</f>
        <v>0</v>
      </c>
      <c r="J14" s="162">
        <f>'Attrition 09.2014 to 2016'!N11*'Attrition 09.2014 to 2016'!K11</f>
        <v>125.31984256280101</v>
      </c>
    </row>
    <row r="15" spans="1:10">
      <c r="A15" s="158">
        <v>6</v>
      </c>
      <c r="B15" s="156" t="s">
        <v>80</v>
      </c>
      <c r="E15" s="609">
        <f>E13+E14</f>
        <v>4087.8169704821953</v>
      </c>
      <c r="F15" s="208"/>
      <c r="G15" s="162">
        <f>G13+G14</f>
        <v>64286</v>
      </c>
      <c r="H15" s="162">
        <f>H13+H14</f>
        <v>61691</v>
      </c>
      <c r="I15" s="609">
        <f>I13+I14</f>
        <v>-2595</v>
      </c>
      <c r="J15" s="609">
        <f>J13+J14</f>
        <v>6682.8169704821948</v>
      </c>
    </row>
    <row r="16" spans="1:10">
      <c r="A16" s="158"/>
      <c r="E16" s="162"/>
      <c r="F16" s="208"/>
      <c r="G16" s="162"/>
      <c r="H16" s="162"/>
      <c r="I16" s="162"/>
      <c r="J16" s="162"/>
    </row>
    <row r="17" spans="1:10">
      <c r="A17" s="158"/>
      <c r="B17" s="156" t="s">
        <v>79</v>
      </c>
      <c r="E17" s="162"/>
      <c r="F17" s="208"/>
      <c r="G17" s="162"/>
      <c r="H17" s="162"/>
      <c r="I17" s="162"/>
      <c r="J17" s="162"/>
    </row>
    <row r="18" spans="1:10">
      <c r="A18" s="158"/>
      <c r="B18" s="156" t="s">
        <v>78</v>
      </c>
      <c r="E18" s="162"/>
      <c r="F18" s="208"/>
      <c r="G18" s="162"/>
      <c r="H18" s="162"/>
      <c r="I18" s="162"/>
      <c r="J18" s="162"/>
    </row>
    <row r="19" spans="1:10">
      <c r="A19" s="158">
        <v>7</v>
      </c>
      <c r="C19" s="156" t="s">
        <v>70</v>
      </c>
      <c r="E19" s="162">
        <f>I19+J19</f>
        <v>0</v>
      </c>
      <c r="F19" s="208"/>
      <c r="G19" s="162">
        <f>ROUND('PF Power Supply 09.2014 load'!F35-'incremental load expense'!G20,0)</f>
        <v>89306</v>
      </c>
      <c r="H19" s="162">
        <f>ROUND('PF Power Supply 2016 load'!F35-H20,0)-1</f>
        <v>89306</v>
      </c>
      <c r="I19" s="569">
        <f>H19-G19</f>
        <v>0</v>
      </c>
      <c r="J19" s="162"/>
    </row>
    <row r="20" spans="1:10">
      <c r="A20" s="158">
        <v>8</v>
      </c>
      <c r="C20" s="156" t="s">
        <v>77</v>
      </c>
      <c r="E20" s="162">
        <f>I20+J20</f>
        <v>1907</v>
      </c>
      <c r="F20" s="208"/>
      <c r="G20" s="162">
        <f>ROUND('PF Power Supply 09.2014 load'!F26,0)</f>
        <v>75611</v>
      </c>
      <c r="H20" s="162">
        <f>ROUND('PF Power Supply 2016 load'!F26,0)</f>
        <v>77518</v>
      </c>
      <c r="I20" s="569">
        <f>H20-G20</f>
        <v>1907</v>
      </c>
      <c r="J20" s="162"/>
    </row>
    <row r="21" spans="1:10">
      <c r="A21" s="158">
        <v>9</v>
      </c>
      <c r="C21" s="156" t="s">
        <v>137</v>
      </c>
      <c r="E21" s="162"/>
      <c r="F21" s="208"/>
      <c r="G21" s="162"/>
      <c r="H21" s="162"/>
      <c r="I21" s="162"/>
      <c r="J21" s="162"/>
    </row>
    <row r="22" spans="1:10">
      <c r="A22" s="158">
        <v>10</v>
      </c>
      <c r="C22" s="156" t="s">
        <v>138</v>
      </c>
      <c r="E22" s="162"/>
      <c r="F22" s="208"/>
      <c r="G22" s="162"/>
      <c r="H22" s="162"/>
      <c r="I22" s="162"/>
      <c r="J22" s="162"/>
    </row>
    <row r="23" spans="1:10">
      <c r="A23" s="158">
        <v>11</v>
      </c>
      <c r="C23" s="156" t="s">
        <v>69</v>
      </c>
      <c r="E23" s="163"/>
      <c r="F23" s="208"/>
      <c r="G23" s="163"/>
      <c r="H23" s="163"/>
      <c r="I23" s="163"/>
      <c r="J23" s="163"/>
    </row>
    <row r="24" spans="1:10">
      <c r="A24" s="158">
        <v>12</v>
      </c>
      <c r="B24" s="156" t="s">
        <v>76</v>
      </c>
      <c r="E24" s="162">
        <f>SUM(E19:E23)</f>
        <v>1907</v>
      </c>
      <c r="F24" s="208"/>
      <c r="G24" s="162">
        <f>SUM(G19:G23)</f>
        <v>164917</v>
      </c>
      <c r="H24" s="162">
        <f>SUM(H19:H23)</f>
        <v>166824</v>
      </c>
      <c r="I24" s="162">
        <f>SUM(I19:I23)</f>
        <v>1907</v>
      </c>
      <c r="J24" s="162">
        <f>SUM(J19:J23)</f>
        <v>0</v>
      </c>
    </row>
    <row r="25" spans="1:10">
      <c r="A25" s="158"/>
      <c r="E25" s="162"/>
      <c r="F25" s="208"/>
      <c r="G25" s="162"/>
      <c r="H25" s="162"/>
      <c r="I25" s="162"/>
      <c r="J25" s="162"/>
    </row>
    <row r="26" spans="1:10">
      <c r="A26" s="158"/>
      <c r="B26" s="156" t="s">
        <v>56</v>
      </c>
      <c r="E26" s="162"/>
      <c r="G26" s="162"/>
      <c r="H26" s="162"/>
      <c r="I26" s="162"/>
      <c r="J26" s="162"/>
    </row>
    <row r="27" spans="1:10">
      <c r="A27" s="158">
        <v>13</v>
      </c>
      <c r="C27" s="156" t="s">
        <v>70</v>
      </c>
      <c r="E27" s="162"/>
      <c r="G27" s="162"/>
      <c r="H27" s="162"/>
      <c r="I27" s="162"/>
      <c r="J27" s="162"/>
    </row>
    <row r="28" spans="1:10">
      <c r="A28" s="158">
        <v>14</v>
      </c>
      <c r="C28" s="156" t="s">
        <v>139</v>
      </c>
      <c r="E28" s="162"/>
      <c r="G28" s="162"/>
      <c r="H28" s="162"/>
      <c r="I28" s="162"/>
      <c r="J28" s="162"/>
    </row>
    <row r="29" spans="1:10">
      <c r="A29" s="158">
        <v>15</v>
      </c>
      <c r="C29" s="156" t="s">
        <v>69</v>
      </c>
      <c r="D29" s="460">
        <f>ROR!L16</f>
        <v>3.8526999999999999E-2</v>
      </c>
      <c r="E29" s="162">
        <f>I29+J29</f>
        <v>252.1748056396805</v>
      </c>
      <c r="G29" s="163"/>
      <c r="H29" s="163"/>
      <c r="I29" s="163"/>
      <c r="J29" s="163">
        <f>J10*D29</f>
        <v>252.1748056396805</v>
      </c>
    </row>
    <row r="30" spans="1:10">
      <c r="A30" s="158">
        <v>16</v>
      </c>
      <c r="B30" s="156" t="s">
        <v>75</v>
      </c>
      <c r="E30" s="609">
        <f>SUM(E27:E29)</f>
        <v>252.1748056396805</v>
      </c>
      <c r="G30" s="162">
        <f>SUM(G27:G29)</f>
        <v>0</v>
      </c>
      <c r="H30" s="162">
        <f>SUM(H27:H29)</f>
        <v>0</v>
      </c>
      <c r="I30" s="162">
        <f>SUM(I27:I29)</f>
        <v>0</v>
      </c>
      <c r="J30" s="162">
        <f>SUM(J27:J29)</f>
        <v>252.1748056396805</v>
      </c>
    </row>
    <row r="31" spans="1:10">
      <c r="A31" s="158"/>
      <c r="E31" s="162"/>
      <c r="G31" s="162"/>
      <c r="H31" s="162"/>
      <c r="I31" s="162"/>
      <c r="J31" s="162"/>
    </row>
    <row r="32" spans="1:10">
      <c r="A32" s="158">
        <v>17</v>
      </c>
      <c r="B32" s="156" t="s">
        <v>74</v>
      </c>
      <c r="D32" s="460">
        <f>ROR!L12</f>
        <v>5.3530000000000001E-3</v>
      </c>
      <c r="E32" s="162">
        <f>I32+J32</f>
        <v>35.037551187198844</v>
      </c>
      <c r="G32" s="162"/>
      <c r="H32" s="162"/>
      <c r="I32" s="162"/>
      <c r="J32" s="162">
        <f>J10*D32</f>
        <v>35.037551187198844</v>
      </c>
    </row>
    <row r="33" spans="1:10">
      <c r="A33" s="158">
        <v>18</v>
      </c>
      <c r="B33" s="156" t="s">
        <v>73</v>
      </c>
      <c r="E33" s="162"/>
      <c r="G33" s="162"/>
      <c r="H33" s="162"/>
      <c r="I33" s="162"/>
      <c r="J33" s="162"/>
    </row>
    <row r="34" spans="1:10">
      <c r="A34" s="158">
        <v>19</v>
      </c>
      <c r="B34" s="156" t="s">
        <v>72</v>
      </c>
      <c r="E34" s="162"/>
      <c r="G34" s="162"/>
      <c r="H34" s="162"/>
      <c r="I34" s="162"/>
      <c r="J34" s="162"/>
    </row>
    <row r="35" spans="1:10">
      <c r="A35" s="158"/>
      <c r="E35" s="162"/>
      <c r="G35" s="162"/>
      <c r="H35" s="162"/>
      <c r="I35" s="162"/>
      <c r="J35" s="162"/>
    </row>
    <row r="36" spans="1:10">
      <c r="A36" s="158"/>
      <c r="B36" s="156" t="s">
        <v>71</v>
      </c>
      <c r="E36" s="162"/>
      <c r="G36" s="162"/>
      <c r="H36" s="162"/>
      <c r="I36" s="162"/>
      <c r="J36" s="162"/>
    </row>
    <row r="37" spans="1:10">
      <c r="A37" s="158">
        <v>20</v>
      </c>
      <c r="C37" s="156" t="s">
        <v>70</v>
      </c>
      <c r="D37" s="460">
        <f>ROR!L14</f>
        <v>2E-3</v>
      </c>
      <c r="E37" s="162">
        <f>I37+J37</f>
        <v>13.090809335773899</v>
      </c>
      <c r="G37" s="162"/>
      <c r="H37" s="162"/>
      <c r="I37" s="162"/>
      <c r="J37" s="162">
        <f>J10*D37</f>
        <v>13.090809335773899</v>
      </c>
    </row>
    <row r="38" spans="1:10">
      <c r="A38" s="158">
        <v>21</v>
      </c>
      <c r="C38" s="156" t="s">
        <v>139</v>
      </c>
      <c r="E38" s="162"/>
      <c r="G38" s="162"/>
      <c r="H38" s="162"/>
      <c r="I38" s="162"/>
      <c r="J38" s="162"/>
    </row>
    <row r="39" spans="1:10">
      <c r="A39" s="158">
        <v>22</v>
      </c>
      <c r="C39" s="156" t="s">
        <v>69</v>
      </c>
      <c r="E39" s="163"/>
      <c r="G39" s="163"/>
      <c r="H39" s="163"/>
      <c r="I39" s="163"/>
      <c r="J39" s="163"/>
    </row>
    <row r="40" spans="1:10">
      <c r="A40" s="158">
        <v>23</v>
      </c>
      <c r="B40" s="156" t="s">
        <v>68</v>
      </c>
      <c r="E40" s="164">
        <f>SUM(E37:E39)</f>
        <v>13.090809335773899</v>
      </c>
      <c r="G40" s="164">
        <f>SUM(G37:G39)</f>
        <v>0</v>
      </c>
      <c r="H40" s="164">
        <f>SUM(H37:H39)</f>
        <v>0</v>
      </c>
      <c r="I40" s="164">
        <f>SUM(I37:I39)</f>
        <v>0</v>
      </c>
      <c r="J40" s="164">
        <f>SUM(J37:J39)</f>
        <v>13.090809335773899</v>
      </c>
    </row>
    <row r="41" spans="1:10">
      <c r="A41" s="158">
        <v>24</v>
      </c>
      <c r="B41" s="156" t="s">
        <v>67</v>
      </c>
      <c r="E41" s="164">
        <f>E24+E30+E32+E33+E34+E40</f>
        <v>2207.3031661626533</v>
      </c>
      <c r="G41" s="164">
        <f>G24+G30+G32+G33+G34+G40</f>
        <v>164917</v>
      </c>
      <c r="H41" s="164">
        <f>H24+H30+H32+H33+H34+H40</f>
        <v>166824</v>
      </c>
      <c r="I41" s="164">
        <f>I24+I30+I32+I33+I34+I40</f>
        <v>1907</v>
      </c>
      <c r="J41" s="164">
        <f>J24+J30+J32+J33+J34+J40</f>
        <v>300.30316616265321</v>
      </c>
    </row>
    <row r="42" spans="1:10">
      <c r="A42" s="158"/>
      <c r="E42" s="162"/>
      <c r="G42" s="162"/>
      <c r="H42" s="162"/>
      <c r="I42" s="162"/>
      <c r="J42" s="162"/>
    </row>
    <row r="43" spans="1:10">
      <c r="A43" s="158">
        <v>25</v>
      </c>
      <c r="B43" s="156" t="s">
        <v>66</v>
      </c>
      <c r="E43" s="162">
        <f>E15-E41</f>
        <v>1880.513804319542</v>
      </c>
      <c r="G43" s="162">
        <f>G15-G41</f>
        <v>-100631</v>
      </c>
      <c r="H43" s="162">
        <f>H15-H41</f>
        <v>-105133</v>
      </c>
      <c r="I43" s="162">
        <f>I15-I41</f>
        <v>-4502</v>
      </c>
      <c r="J43" s="162">
        <f>J15-J41</f>
        <v>6382.513804319542</v>
      </c>
    </row>
    <row r="44" spans="1:10">
      <c r="A44" s="158"/>
      <c r="E44" s="162"/>
      <c r="G44" s="162"/>
      <c r="H44" s="162"/>
      <c r="I44" s="162"/>
      <c r="J44" s="162"/>
    </row>
    <row r="45" spans="1:10">
      <c r="A45" s="158"/>
      <c r="B45" s="156" t="s">
        <v>65</v>
      </c>
      <c r="E45" s="162"/>
      <c r="G45" s="162"/>
      <c r="H45" s="162"/>
      <c r="I45" s="162"/>
      <c r="J45" s="162"/>
    </row>
    <row r="46" spans="1:10">
      <c r="A46" s="158">
        <v>26</v>
      </c>
      <c r="B46" s="156" t="s">
        <v>140</v>
      </c>
      <c r="E46" s="162">
        <f>ROUND(0.35*E43,0)</f>
        <v>658</v>
      </c>
      <c r="G46" s="162">
        <f>ROUND(0.35*G43,0)</f>
        <v>-35221</v>
      </c>
      <c r="H46" s="162">
        <f>ROUND(0.35*H43,0)</f>
        <v>-36797</v>
      </c>
      <c r="I46" s="162">
        <f>ROUND(0.35*I43,0)</f>
        <v>-1576</v>
      </c>
      <c r="J46" s="162">
        <f>ROUND(0.35*J43,0)</f>
        <v>2234</v>
      </c>
    </row>
    <row r="47" spans="1:10">
      <c r="A47" s="158">
        <v>27</v>
      </c>
      <c r="B47" s="156" t="s">
        <v>141</v>
      </c>
      <c r="E47" s="162"/>
      <c r="G47" s="162"/>
      <c r="H47" s="162"/>
      <c r="I47" s="162"/>
      <c r="J47" s="162"/>
    </row>
    <row r="48" spans="1:10">
      <c r="A48" s="158">
        <v>28</v>
      </c>
      <c r="B48" s="156" t="s">
        <v>64</v>
      </c>
      <c r="E48" s="162"/>
      <c r="G48" s="162"/>
      <c r="H48" s="162"/>
      <c r="I48" s="162"/>
      <c r="J48" s="162"/>
    </row>
    <row r="49" spans="1:10">
      <c r="A49" s="158">
        <v>29</v>
      </c>
      <c r="B49" s="156" t="s">
        <v>63</v>
      </c>
      <c r="E49" s="163"/>
      <c r="G49" s="163"/>
      <c r="H49" s="163"/>
      <c r="I49" s="163"/>
      <c r="J49" s="163"/>
    </row>
    <row r="50" spans="1:10">
      <c r="A50" s="158"/>
      <c r="E50" s="162"/>
      <c r="G50" s="162"/>
      <c r="H50" s="162"/>
      <c r="I50" s="162"/>
      <c r="J50" s="162"/>
    </row>
    <row r="51" spans="1:10">
      <c r="A51" s="158">
        <v>30</v>
      </c>
      <c r="B51" s="156" t="s">
        <v>62</v>
      </c>
      <c r="E51" s="162">
        <f>E43-E46-E47-E48-E49</f>
        <v>1222.513804319542</v>
      </c>
      <c r="G51" s="162">
        <f>G43-G46-G47-G48-G49</f>
        <v>-65410</v>
      </c>
      <c r="H51" s="162">
        <f>H43-H46-H47-H48-H49</f>
        <v>-68336</v>
      </c>
      <c r="I51" s="162">
        <f>I43-I46-I47-I48-I49</f>
        <v>-2926</v>
      </c>
      <c r="J51" s="162">
        <f>J43-J46-J47-J48-J49</f>
        <v>4148.513804319542</v>
      </c>
    </row>
    <row r="52" spans="1:10">
      <c r="A52" s="158"/>
    </row>
    <row r="53" spans="1:10">
      <c r="B53" s="156" t="s">
        <v>589</v>
      </c>
    </row>
  </sheetData>
  <sheetProtection selectLockedCells="1"/>
  <mergeCells count="2">
    <mergeCell ref="A1:F1"/>
    <mergeCell ref="A2:F2"/>
  </mergeCells>
  <phoneticPr fontId="55" type="noConversion"/>
  <pageMargins left="0.7" right="0.7" top="0.33" bottom="0.82" header="0.17" footer="0.59"/>
  <pageSetup scale="77" orientation="landscape" r:id="rId1"/>
  <headerFooter>
    <oddFooter>&amp;C&amp;F /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workbookViewId="0">
      <selection activeCell="I55" sqref="I55"/>
    </sheetView>
  </sheetViews>
  <sheetFormatPr defaultRowHeight="12.75"/>
  <cols>
    <col min="1" max="3" width="9.140625" style="734"/>
    <col min="4" max="4" width="10.28515625" style="734" bestFit="1" customWidth="1"/>
    <col min="5" max="6" width="9.140625" style="734"/>
    <col min="7" max="7" width="12.28515625" style="734" customWidth="1"/>
    <col min="8" max="8" width="7.85546875" style="734" customWidth="1"/>
    <col min="9" max="12" width="9.140625" style="734"/>
    <col min="13" max="13" width="11" style="734" customWidth="1"/>
    <col min="14" max="16384" width="9.140625" style="734"/>
  </cols>
  <sheetData>
    <row r="1" spans="1:14" ht="15.75">
      <c r="A1" s="848" t="s">
        <v>736</v>
      </c>
    </row>
    <row r="2" spans="1:14">
      <c r="A2" s="812" t="s">
        <v>718</v>
      </c>
    </row>
    <row r="3" spans="1:14" ht="13.5" thickBot="1">
      <c r="D3" s="816" t="s">
        <v>719</v>
      </c>
      <c r="E3" s="816"/>
      <c r="F3" s="816" t="s">
        <v>720</v>
      </c>
      <c r="G3" s="816" t="s">
        <v>725</v>
      </c>
    </row>
    <row r="4" spans="1:14">
      <c r="A4" s="849" t="s">
        <v>591</v>
      </c>
      <c r="B4" s="850"/>
      <c r="C4" s="850"/>
      <c r="D4" s="851">
        <f>'12.2014 CB Power Supply'!F46</f>
        <v>3729.8843999999999</v>
      </c>
      <c r="E4" s="851"/>
      <c r="F4" s="851">
        <f>'PF Power Supply 09.2014 load'!F45</f>
        <v>6040.6785</v>
      </c>
      <c r="G4" s="851">
        <f>F4-D4</f>
        <v>2310.7941000000001</v>
      </c>
      <c r="H4" s="852" t="s">
        <v>721</v>
      </c>
      <c r="I4" s="853"/>
      <c r="J4" s="853"/>
      <c r="K4" s="853"/>
      <c r="L4" s="853"/>
      <c r="M4" s="853"/>
      <c r="N4" s="853"/>
    </row>
    <row r="5" spans="1:14" ht="13.5" thickBot="1">
      <c r="A5" s="854" t="s">
        <v>592</v>
      </c>
      <c r="B5" s="855"/>
      <c r="C5" s="855"/>
      <c r="D5" s="856">
        <f>'12.2014 CB Power Supply'!F47</f>
        <v>8398.7109</v>
      </c>
      <c r="E5" s="856"/>
      <c r="F5" s="856">
        <f>'PF Power Supply 09.2014 load'!F46</f>
        <v>9709.7355000000007</v>
      </c>
      <c r="G5" s="856">
        <f>F5-D5</f>
        <v>1311.0246000000006</v>
      </c>
      <c r="H5" s="857" t="s">
        <v>721</v>
      </c>
      <c r="I5" s="853"/>
      <c r="J5" s="853"/>
      <c r="K5" s="853"/>
      <c r="L5" s="853"/>
      <c r="M5" s="853"/>
      <c r="N5" s="853"/>
    </row>
    <row r="6" spans="1:14">
      <c r="A6" s="796"/>
      <c r="B6" s="796"/>
      <c r="C6" s="796"/>
      <c r="D6" s="60">
        <f>SUM(D4:D5)</f>
        <v>12128.595300000001</v>
      </c>
      <c r="E6" s="796"/>
      <c r="F6" s="60">
        <f>SUM(F4:F5)</f>
        <v>15750.414000000001</v>
      </c>
      <c r="G6" s="815">
        <f>F6-D6</f>
        <v>3621.8186999999998</v>
      </c>
    </row>
    <row r="7" spans="1:14">
      <c r="H7" s="814"/>
    </row>
    <row r="8" spans="1:14">
      <c r="C8" s="813" t="s">
        <v>722</v>
      </c>
      <c r="D8" s="817">
        <f>100%+'Cost Trends'!N186</f>
        <v>1.0609</v>
      </c>
      <c r="H8" s="814"/>
    </row>
    <row r="9" spans="1:14">
      <c r="H9" s="858" t="s">
        <v>724</v>
      </c>
      <c r="I9" s="859"/>
      <c r="J9" s="859"/>
      <c r="K9" s="859"/>
      <c r="L9" s="859"/>
      <c r="M9" s="859"/>
    </row>
    <row r="10" spans="1:14">
      <c r="C10" s="813" t="s">
        <v>723</v>
      </c>
      <c r="D10" s="818">
        <f>D6*D8</f>
        <v>12867.226753770001</v>
      </c>
      <c r="F10" s="819">
        <f>F6</f>
        <v>15750.414000000001</v>
      </c>
      <c r="H10" s="860">
        <f>F10-D10</f>
        <v>2883.1872462299998</v>
      </c>
      <c r="I10" s="859"/>
      <c r="J10" s="861"/>
      <c r="K10" s="859"/>
      <c r="L10" s="859"/>
      <c r="M10" s="859"/>
    </row>
    <row r="11" spans="1:14">
      <c r="H11" s="814"/>
    </row>
    <row r="12" spans="1:14">
      <c r="H12" s="814"/>
    </row>
    <row r="13" spans="1:14">
      <c r="H13" s="814"/>
    </row>
    <row r="14" spans="1:14">
      <c r="H14" s="814"/>
    </row>
  </sheetData>
  <pageMargins left="0.7" right="0.7" top="0.75" bottom="0.75" header="0.3" footer="0.3"/>
  <pageSetup scale="94"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K46"/>
  <sheetViews>
    <sheetView zoomScaleNormal="100" workbookViewId="0">
      <selection activeCell="I55" sqref="I55"/>
    </sheetView>
  </sheetViews>
  <sheetFormatPr defaultColWidth="9.140625" defaultRowHeight="12.75"/>
  <cols>
    <col min="1" max="1" width="22.140625" style="15" customWidth="1"/>
    <col min="2" max="2" width="9.140625" style="15"/>
    <col min="3" max="3" width="11.28515625" style="15" customWidth="1"/>
    <col min="4" max="4" width="9.85546875" style="15" customWidth="1"/>
    <col min="5" max="5" width="8" style="15" customWidth="1"/>
    <col min="6" max="6" width="12.140625" style="15" customWidth="1"/>
    <col min="7" max="7" width="3.7109375" style="15" customWidth="1"/>
    <col min="8" max="8" width="55.42578125" style="15" customWidth="1"/>
    <col min="9" max="16384" width="9.140625" style="15"/>
  </cols>
  <sheetData>
    <row r="1" spans="1:11">
      <c r="A1" s="55" t="s">
        <v>6</v>
      </c>
      <c r="B1" s="55"/>
      <c r="C1" s="55"/>
      <c r="D1" s="55"/>
      <c r="E1" s="55"/>
      <c r="F1" s="55"/>
      <c r="G1" s="55"/>
      <c r="H1" s="55"/>
    </row>
    <row r="2" spans="1:11">
      <c r="A2" s="55" t="s">
        <v>126</v>
      </c>
      <c r="B2" s="55"/>
      <c r="C2" s="55"/>
      <c r="D2" s="55"/>
      <c r="E2" s="55"/>
      <c r="F2" s="55"/>
      <c r="G2" s="55"/>
      <c r="H2" s="55"/>
    </row>
    <row r="3" spans="1:11">
      <c r="A3" s="56" t="s">
        <v>521</v>
      </c>
      <c r="B3" s="55"/>
      <c r="C3" s="55"/>
      <c r="D3" s="55"/>
      <c r="E3" s="55"/>
      <c r="F3" s="55"/>
      <c r="G3" s="55"/>
      <c r="H3" s="55"/>
    </row>
    <row r="4" spans="1:11">
      <c r="G4" s="72"/>
    </row>
    <row r="5" spans="1:11">
      <c r="C5" s="845"/>
      <c r="D5" s="846" t="s">
        <v>642</v>
      </c>
      <c r="E5" s="845"/>
      <c r="G5" s="72"/>
      <c r="H5" s="840" t="s">
        <v>702</v>
      </c>
    </row>
    <row r="6" spans="1:11">
      <c r="D6" s="57" t="s">
        <v>89</v>
      </c>
      <c r="E6" s="57"/>
      <c r="F6" s="57" t="s">
        <v>8</v>
      </c>
      <c r="G6" s="72"/>
    </row>
    <row r="7" spans="1:11">
      <c r="D7" s="57" t="s">
        <v>88</v>
      </c>
      <c r="E7" s="57"/>
      <c r="F7" s="57" t="s">
        <v>5</v>
      </c>
      <c r="G7" s="72"/>
    </row>
    <row r="8" spans="1:11">
      <c r="D8" s="58" t="s">
        <v>98</v>
      </c>
      <c r="E8" s="58"/>
      <c r="F8" s="58" t="s">
        <v>127</v>
      </c>
      <c r="G8" s="73"/>
    </row>
    <row r="9" spans="1:11">
      <c r="A9" s="15" t="s">
        <v>9</v>
      </c>
      <c r="E9" s="1"/>
      <c r="F9" s="839">
        <v>0.64710000000000001</v>
      </c>
      <c r="G9" s="74"/>
      <c r="H9" s="237"/>
      <c r="K9" s="237"/>
    </row>
    <row r="10" spans="1:11">
      <c r="G10" s="72"/>
    </row>
    <row r="11" spans="1:11">
      <c r="A11" s="15" t="s">
        <v>10</v>
      </c>
      <c r="D11" s="59">
        <v>83074</v>
      </c>
      <c r="E11" s="59"/>
      <c r="F11" s="59">
        <f>F$9*D11</f>
        <v>53757.185400000002</v>
      </c>
      <c r="G11" s="65"/>
      <c r="H11" s="59"/>
    </row>
    <row r="12" spans="1:11">
      <c r="A12" s="15" t="s">
        <v>11</v>
      </c>
      <c r="D12" s="60">
        <v>466</v>
      </c>
      <c r="E12" s="60"/>
      <c r="F12" s="60">
        <f>F$9*D12</f>
        <v>301.54860000000002</v>
      </c>
      <c r="G12" s="62"/>
      <c r="H12" s="59"/>
    </row>
    <row r="13" spans="1:11">
      <c r="A13" s="15" t="s">
        <v>12</v>
      </c>
      <c r="D13" s="60">
        <v>0</v>
      </c>
      <c r="E13" s="60"/>
      <c r="F13" s="60">
        <f>F$9*D13</f>
        <v>0</v>
      </c>
      <c r="G13" s="62"/>
      <c r="H13" s="59"/>
    </row>
    <row r="14" spans="1:11" s="458" customFormat="1">
      <c r="A14" s="663" t="s">
        <v>404</v>
      </c>
      <c r="B14" s="663"/>
      <c r="C14" s="663" t="s">
        <v>98</v>
      </c>
      <c r="D14" s="352">
        <f>15801-D15-D16</f>
        <v>15650</v>
      </c>
      <c r="E14" s="60"/>
      <c r="F14" s="60">
        <f>F$9*D14</f>
        <v>10127.115</v>
      </c>
      <c r="G14" s="62"/>
      <c r="H14" s="774" t="s">
        <v>700</v>
      </c>
    </row>
    <row r="15" spans="1:11" s="663" customFormat="1">
      <c r="A15" s="663" t="s">
        <v>404</v>
      </c>
      <c r="C15" s="663" t="s">
        <v>522</v>
      </c>
      <c r="D15" s="352">
        <v>100</v>
      </c>
      <c r="E15" s="60"/>
      <c r="F15" s="62">
        <f>D15</f>
        <v>100</v>
      </c>
      <c r="G15" s="62"/>
      <c r="H15" s="775" t="s">
        <v>701</v>
      </c>
    </row>
    <row r="16" spans="1:11" s="663" customFormat="1">
      <c r="A16" s="663" t="s">
        <v>404</v>
      </c>
      <c r="C16" s="663" t="s">
        <v>523</v>
      </c>
      <c r="D16" s="352">
        <v>51</v>
      </c>
      <c r="E16" s="60"/>
      <c r="F16" s="62">
        <v>0</v>
      </c>
      <c r="G16" s="62"/>
      <c r="H16" s="775" t="s">
        <v>699</v>
      </c>
    </row>
    <row r="17" spans="1:8">
      <c r="A17" s="15" t="s">
        <v>13</v>
      </c>
      <c r="D17" s="60">
        <v>0</v>
      </c>
      <c r="E17" s="60"/>
      <c r="F17" s="60">
        <f>F$9*D17</f>
        <v>0</v>
      </c>
      <c r="G17" s="62"/>
      <c r="H17" s="59"/>
    </row>
    <row r="18" spans="1:8">
      <c r="A18" s="15" t="s">
        <v>128</v>
      </c>
      <c r="D18" s="61">
        <v>0</v>
      </c>
      <c r="E18" s="62"/>
      <c r="F18" s="61">
        <f>D18</f>
        <v>0</v>
      </c>
      <c r="G18" s="62"/>
      <c r="H18" s="59"/>
    </row>
    <row r="19" spans="1:8">
      <c r="A19" s="15" t="s">
        <v>14</v>
      </c>
      <c r="D19" s="60">
        <f>SUM(D11:D18)</f>
        <v>99341</v>
      </c>
      <c r="E19" s="62"/>
      <c r="F19" s="60">
        <f>SUM(F11:F18)</f>
        <v>64285.849000000002</v>
      </c>
      <c r="G19" s="62"/>
      <c r="H19" s="59"/>
    </row>
    <row r="20" spans="1:8">
      <c r="D20" s="60"/>
      <c r="E20" s="62"/>
      <c r="F20" s="60"/>
      <c r="G20" s="62"/>
      <c r="H20" s="59"/>
    </row>
    <row r="21" spans="1:8">
      <c r="D21" s="60"/>
      <c r="E21" s="62"/>
      <c r="F21" s="60"/>
      <c r="G21" s="62"/>
      <c r="H21" s="59"/>
    </row>
    <row r="22" spans="1:8">
      <c r="A22" s="15" t="s">
        <v>15</v>
      </c>
      <c r="D22" s="60">
        <v>29696</v>
      </c>
      <c r="E22" s="62"/>
      <c r="F22" s="60">
        <f t="shared" ref="F22:F30" si="0">F$9*D22</f>
        <v>19216.281600000002</v>
      </c>
      <c r="G22" s="62"/>
      <c r="H22" s="59"/>
    </row>
    <row r="23" spans="1:8">
      <c r="A23" s="15" t="s">
        <v>16</v>
      </c>
      <c r="D23" s="60">
        <v>0</v>
      </c>
      <c r="E23" s="62"/>
      <c r="F23" s="60">
        <f t="shared" si="0"/>
        <v>0</v>
      </c>
      <c r="G23" s="62"/>
      <c r="H23" s="59"/>
    </row>
    <row r="24" spans="1:8">
      <c r="A24" s="15" t="s">
        <v>17</v>
      </c>
      <c r="D24" s="60">
        <v>92175</v>
      </c>
      <c r="E24" s="62"/>
      <c r="F24" s="60">
        <f t="shared" si="0"/>
        <v>59646.442499999997</v>
      </c>
      <c r="G24" s="62"/>
      <c r="H24" s="59"/>
    </row>
    <row r="25" spans="1:8">
      <c r="A25" s="15" t="s">
        <v>18</v>
      </c>
      <c r="D25" s="60">
        <v>1001</v>
      </c>
      <c r="E25" s="62"/>
      <c r="F25" s="60">
        <f t="shared" si="0"/>
        <v>647.74710000000005</v>
      </c>
      <c r="G25" s="62"/>
      <c r="H25" s="59"/>
    </row>
    <row r="26" spans="1:8">
      <c r="A26" s="15" t="s">
        <v>19</v>
      </c>
      <c r="D26" s="60">
        <v>116846</v>
      </c>
      <c r="E26" s="62"/>
      <c r="F26" s="60">
        <f t="shared" si="0"/>
        <v>75611.046600000001</v>
      </c>
      <c r="G26" s="62"/>
      <c r="H26" s="59"/>
    </row>
    <row r="27" spans="1:8">
      <c r="A27" s="15" t="s">
        <v>20</v>
      </c>
      <c r="D27" s="60">
        <v>0</v>
      </c>
      <c r="E27" s="62"/>
      <c r="F27" s="352">
        <v>0</v>
      </c>
      <c r="G27" s="62"/>
    </row>
    <row r="28" spans="1:8">
      <c r="A28" s="15" t="s">
        <v>21</v>
      </c>
      <c r="D28" s="60">
        <v>0</v>
      </c>
      <c r="E28" s="62"/>
      <c r="F28" s="60">
        <f t="shared" si="0"/>
        <v>0</v>
      </c>
      <c r="G28" s="62"/>
      <c r="H28" s="59"/>
    </row>
    <row r="29" spans="1:8">
      <c r="A29" s="15" t="s">
        <v>22</v>
      </c>
      <c r="D29" s="60">
        <v>0</v>
      </c>
      <c r="E29" s="62"/>
      <c r="F29" s="60">
        <f t="shared" si="0"/>
        <v>0</v>
      </c>
      <c r="G29" s="62"/>
      <c r="H29" s="59"/>
    </row>
    <row r="30" spans="1:8">
      <c r="A30" s="15" t="s">
        <v>23</v>
      </c>
      <c r="D30" s="60">
        <v>690</v>
      </c>
      <c r="E30" s="62"/>
      <c r="F30" s="60">
        <f t="shared" si="0"/>
        <v>446.49900000000002</v>
      </c>
      <c r="G30" s="62"/>
      <c r="H30" s="59"/>
    </row>
    <row r="31" spans="1:8">
      <c r="A31" s="821" t="s">
        <v>734</v>
      </c>
      <c r="D31" s="60">
        <v>0</v>
      </c>
      <c r="E31" s="62"/>
      <c r="F31" s="841">
        <v>-1528</v>
      </c>
      <c r="G31" s="62"/>
      <c r="H31" s="843" t="s">
        <v>714</v>
      </c>
    </row>
    <row r="32" spans="1:8">
      <c r="A32" s="15" t="s">
        <v>24</v>
      </c>
      <c r="D32" s="60">
        <v>16809</v>
      </c>
      <c r="E32" s="62"/>
      <c r="F32" s="60">
        <f>F$9*D32</f>
        <v>10877.1039</v>
      </c>
      <c r="G32" s="62"/>
      <c r="H32" s="59"/>
    </row>
    <row r="33" spans="1:8" s="671" customFormat="1" ht="12.75" customHeight="1">
      <c r="A33" s="840" t="s">
        <v>591</v>
      </c>
      <c r="B33" s="840"/>
      <c r="C33" s="840"/>
      <c r="D33" s="841">
        <v>0</v>
      </c>
      <c r="E33" s="842"/>
      <c r="F33" s="841">
        <f>F$9*D33</f>
        <v>0</v>
      </c>
      <c r="G33" s="842"/>
      <c r="H33" s="843" t="s">
        <v>713</v>
      </c>
    </row>
    <row r="34" spans="1:8" s="671" customFormat="1" ht="12.75" customHeight="1">
      <c r="A34" s="840" t="s">
        <v>592</v>
      </c>
      <c r="B34" s="840"/>
      <c r="C34" s="840"/>
      <c r="D34" s="841">
        <v>0</v>
      </c>
      <c r="E34" s="842"/>
      <c r="F34" s="841">
        <f>F$9*D34</f>
        <v>0</v>
      </c>
      <c r="G34" s="842"/>
      <c r="H34" s="843" t="s">
        <v>713</v>
      </c>
    </row>
    <row r="35" spans="1:8">
      <c r="A35" s="15" t="s">
        <v>25</v>
      </c>
      <c r="D35" s="63">
        <f>SUM(D22:D34)</f>
        <v>257217</v>
      </c>
      <c r="E35" s="62"/>
      <c r="F35" s="63">
        <f>SUM(F22:F34)</f>
        <v>164917.12069999997</v>
      </c>
      <c r="G35" s="62"/>
      <c r="H35" s="59"/>
    </row>
    <row r="36" spans="1:8">
      <c r="G36" s="72"/>
      <c r="H36" s="59"/>
    </row>
    <row r="37" spans="1:8">
      <c r="A37" s="15" t="s">
        <v>26</v>
      </c>
      <c r="D37" s="60">
        <f>D19-D35</f>
        <v>-157876</v>
      </c>
      <c r="E37" s="60"/>
      <c r="F37" s="60">
        <f>F19-F35</f>
        <v>-100631.27169999997</v>
      </c>
      <c r="G37" s="62"/>
      <c r="H37" s="59"/>
    </row>
    <row r="38" spans="1:8">
      <c r="E38" s="60"/>
      <c r="F38" s="60"/>
      <c r="G38" s="60"/>
    </row>
    <row r="39" spans="1:8">
      <c r="A39" s="15" t="s">
        <v>27</v>
      </c>
      <c r="C39" s="64">
        <v>0.35</v>
      </c>
      <c r="E39" s="65"/>
      <c r="F39" s="61">
        <f>C39*F37</f>
        <v>-35220.945094999988</v>
      </c>
      <c r="G39" s="59"/>
    </row>
    <row r="40" spans="1:8">
      <c r="E40" s="65"/>
      <c r="F40" s="59"/>
      <c r="G40" s="59"/>
    </row>
    <row r="41" spans="1:8">
      <c r="A41" s="15" t="s">
        <v>28</v>
      </c>
      <c r="E41" s="60"/>
      <c r="F41" s="59">
        <f>F37-F39</f>
        <v>-65410.32660499998</v>
      </c>
      <c r="G41" s="60"/>
    </row>
    <row r="42" spans="1:8">
      <c r="E42" s="60"/>
      <c r="F42" s="60"/>
      <c r="G42" s="60"/>
    </row>
    <row r="43" spans="1:8">
      <c r="A43" s="75"/>
    </row>
    <row r="44" spans="1:8">
      <c r="A44" s="75"/>
    </row>
    <row r="45" spans="1:8">
      <c r="A45" s="783" t="s">
        <v>591</v>
      </c>
      <c r="B45" s="783"/>
      <c r="C45" s="783"/>
      <c r="D45" s="740">
        <v>9335</v>
      </c>
      <c r="E45" s="797"/>
      <c r="F45" s="740">
        <f>F$9*D45</f>
        <v>6040.6785</v>
      </c>
      <c r="G45" s="62"/>
      <c r="H45" s="808" t="s">
        <v>713</v>
      </c>
    </row>
    <row r="46" spans="1:8">
      <c r="A46" s="783" t="s">
        <v>592</v>
      </c>
      <c r="B46" s="783"/>
      <c r="C46" s="783"/>
      <c r="D46" s="740">
        <v>15005</v>
      </c>
      <c r="E46" s="797"/>
      <c r="F46" s="740">
        <f>F$9*D46</f>
        <v>9709.7355000000007</v>
      </c>
      <c r="G46" s="62"/>
      <c r="H46" s="808" t="s">
        <v>713</v>
      </c>
    </row>
  </sheetData>
  <phoneticPr fontId="53" type="noConversion"/>
  <pageMargins left="1.05" right="0.34" top="0.75" bottom="0.77" header="0.5" footer="0.52"/>
  <pageSetup scale="70" orientation="portrait" r:id="rId1"/>
  <headerFooter alignWithMargins="0">
    <oddFooter>&amp;LStaff_DR_059
Staff_DR_130-Attachment A</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H45"/>
  <sheetViews>
    <sheetView zoomScaleNormal="100" workbookViewId="0">
      <selection activeCell="I55" sqref="I55"/>
    </sheetView>
  </sheetViews>
  <sheetFormatPr defaultColWidth="9.140625" defaultRowHeight="12.75"/>
  <cols>
    <col min="1" max="1" width="22.140625" style="598" customWidth="1"/>
    <col min="2" max="2" width="10.42578125" style="598" customWidth="1"/>
    <col min="3" max="3" width="10.28515625" style="598" customWidth="1"/>
    <col min="4" max="4" width="9.85546875" style="598" customWidth="1"/>
    <col min="5" max="5" width="8" style="598" customWidth="1"/>
    <col min="6" max="6" width="12.140625" style="598" customWidth="1"/>
    <col min="7" max="7" width="3.7109375" style="598" customWidth="1"/>
    <col min="8" max="8" width="57.5703125" style="598" customWidth="1"/>
    <col min="9" max="16384" width="9.140625" style="598"/>
  </cols>
  <sheetData>
    <row r="1" spans="1:8">
      <c r="A1" s="55" t="s">
        <v>6</v>
      </c>
      <c r="B1" s="55"/>
      <c r="C1" s="55"/>
      <c r="D1" s="55"/>
      <c r="E1" s="55"/>
      <c r="F1" s="55"/>
      <c r="G1" s="55"/>
      <c r="H1" s="55"/>
    </row>
    <row r="2" spans="1:8">
      <c r="A2" s="55" t="s">
        <v>126</v>
      </c>
      <c r="B2" s="55"/>
      <c r="C2" s="55"/>
      <c r="D2" s="55"/>
      <c r="E2" s="55"/>
      <c r="F2" s="55"/>
      <c r="G2" s="55"/>
      <c r="H2" s="55"/>
    </row>
    <row r="3" spans="1:8">
      <c r="A3" s="56" t="s">
        <v>583</v>
      </c>
      <c r="B3" s="55"/>
      <c r="C3" s="55"/>
      <c r="D3" s="55"/>
      <c r="E3" s="55"/>
      <c r="F3" s="55"/>
      <c r="G3" s="55"/>
      <c r="H3" s="55"/>
    </row>
    <row r="4" spans="1:8">
      <c r="G4" s="72"/>
    </row>
    <row r="5" spans="1:8">
      <c r="D5" s="747" t="s">
        <v>703</v>
      </c>
      <c r="G5" s="72"/>
      <c r="H5" s="773" t="s">
        <v>704</v>
      </c>
    </row>
    <row r="6" spans="1:8">
      <c r="D6" s="350" t="s">
        <v>89</v>
      </c>
      <c r="E6" s="600"/>
      <c r="F6" s="600" t="s">
        <v>8</v>
      </c>
      <c r="G6" s="72"/>
    </row>
    <row r="7" spans="1:8">
      <c r="D7" s="350" t="s">
        <v>88</v>
      </c>
      <c r="E7" s="600"/>
      <c r="F7" s="600" t="s">
        <v>5</v>
      </c>
      <c r="G7" s="72"/>
    </row>
    <row r="8" spans="1:8">
      <c r="D8" s="776" t="s">
        <v>98</v>
      </c>
      <c r="E8" s="58"/>
      <c r="F8" s="58" t="s">
        <v>127</v>
      </c>
      <c r="G8" s="73"/>
    </row>
    <row r="9" spans="1:8">
      <c r="A9" s="598" t="s">
        <v>9</v>
      </c>
      <c r="D9" s="18"/>
      <c r="E9" s="1"/>
      <c r="F9" s="839">
        <v>0.64710000000000001</v>
      </c>
      <c r="G9" s="74"/>
    </row>
    <row r="10" spans="1:8">
      <c r="D10" s="18"/>
      <c r="G10" s="72"/>
    </row>
    <row r="11" spans="1:8">
      <c r="A11" s="598" t="s">
        <v>10</v>
      </c>
      <c r="D11" s="847">
        <f>66586+12478</f>
        <v>79064</v>
      </c>
      <c r="E11" s="59"/>
      <c r="F11" s="59">
        <f>F$9*D11</f>
        <v>51162.314400000003</v>
      </c>
      <c r="G11" s="65"/>
      <c r="H11" s="59"/>
    </row>
    <row r="12" spans="1:8">
      <c r="A12" s="598" t="s">
        <v>11</v>
      </c>
      <c r="D12" s="352">
        <v>466</v>
      </c>
      <c r="E12" s="60"/>
      <c r="F12" s="60">
        <f>F$9*D12</f>
        <v>301.54860000000002</v>
      </c>
      <c r="G12" s="62"/>
      <c r="H12" s="59"/>
    </row>
    <row r="13" spans="1:8">
      <c r="A13" s="598" t="s">
        <v>12</v>
      </c>
      <c r="D13" s="352">
        <v>0</v>
      </c>
      <c r="E13" s="60"/>
      <c r="F13" s="60">
        <f>F$9*D13</f>
        <v>0</v>
      </c>
      <c r="G13" s="62"/>
      <c r="H13" s="59"/>
    </row>
    <row r="14" spans="1:8">
      <c r="A14" s="663" t="s">
        <v>404</v>
      </c>
      <c r="B14" s="663"/>
      <c r="C14" s="663" t="s">
        <v>98</v>
      </c>
      <c r="D14" s="352">
        <f>15801-D15-D16</f>
        <v>15650</v>
      </c>
      <c r="E14" s="60"/>
      <c r="F14" s="60">
        <f>F$9*D14</f>
        <v>10127.115</v>
      </c>
      <c r="G14" s="62"/>
      <c r="H14" s="59"/>
    </row>
    <row r="15" spans="1:8" s="663" customFormat="1">
      <c r="A15" s="663" t="s">
        <v>404</v>
      </c>
      <c r="C15" s="663" t="s">
        <v>522</v>
      </c>
      <c r="D15" s="352">
        <v>100</v>
      </c>
      <c r="E15" s="60"/>
      <c r="F15" s="62">
        <f>D15</f>
        <v>100</v>
      </c>
      <c r="G15" s="62"/>
      <c r="H15" s="59"/>
    </row>
    <row r="16" spans="1:8" s="663" customFormat="1">
      <c r="A16" s="663" t="s">
        <v>404</v>
      </c>
      <c r="C16" s="663" t="s">
        <v>523</v>
      </c>
      <c r="D16" s="352">
        <v>51</v>
      </c>
      <c r="E16" s="60"/>
      <c r="F16" s="62">
        <v>0</v>
      </c>
      <c r="G16" s="62"/>
      <c r="H16" s="59"/>
    </row>
    <row r="17" spans="1:8">
      <c r="A17" s="598" t="s">
        <v>13</v>
      </c>
      <c r="D17" s="352">
        <v>0</v>
      </c>
      <c r="E17" s="60"/>
      <c r="F17" s="60">
        <f>F$9*D17</f>
        <v>0</v>
      </c>
      <c r="G17" s="62"/>
      <c r="H17" s="59"/>
    </row>
    <row r="18" spans="1:8">
      <c r="A18" s="598" t="s">
        <v>128</v>
      </c>
      <c r="D18" s="353">
        <v>0</v>
      </c>
      <c r="E18" s="62"/>
      <c r="F18" s="61">
        <f>D18</f>
        <v>0</v>
      </c>
      <c r="G18" s="62"/>
      <c r="H18" s="59"/>
    </row>
    <row r="19" spans="1:8">
      <c r="A19" s="598" t="s">
        <v>14</v>
      </c>
      <c r="D19" s="352">
        <f>SUM(D11:D18)</f>
        <v>95331</v>
      </c>
      <c r="E19" s="62"/>
      <c r="F19" s="60">
        <f>SUM(F11:F18)</f>
        <v>61690.978000000003</v>
      </c>
      <c r="G19" s="62"/>
      <c r="H19" s="59"/>
    </row>
    <row r="20" spans="1:8">
      <c r="D20" s="352"/>
      <c r="E20" s="62"/>
      <c r="F20" s="60"/>
      <c r="G20" s="62"/>
      <c r="H20" s="59"/>
    </row>
    <row r="21" spans="1:8">
      <c r="D21" s="352"/>
      <c r="E21" s="62"/>
      <c r="F21" s="60"/>
      <c r="G21" s="62"/>
      <c r="H21" s="59"/>
    </row>
    <row r="22" spans="1:8">
      <c r="A22" s="598" t="s">
        <v>15</v>
      </c>
      <c r="D22" s="352">
        <v>29696</v>
      </c>
      <c r="E22" s="62"/>
      <c r="F22" s="60">
        <f>F$9*D22+1</f>
        <v>19217.281600000002</v>
      </c>
      <c r="G22" s="62"/>
      <c r="H22" s="59"/>
    </row>
    <row r="23" spans="1:8">
      <c r="A23" s="598" t="s">
        <v>16</v>
      </c>
      <c r="D23" s="352">
        <v>0</v>
      </c>
      <c r="E23" s="62"/>
      <c r="F23" s="60">
        <f t="shared" ref="F23:F30" si="0">F$9*D23</f>
        <v>0</v>
      </c>
      <c r="G23" s="62"/>
      <c r="H23" s="59"/>
    </row>
    <row r="24" spans="1:8">
      <c r="A24" s="598" t="s">
        <v>17</v>
      </c>
      <c r="D24" s="352">
        <v>92175</v>
      </c>
      <c r="E24" s="62"/>
      <c r="F24" s="60">
        <f t="shared" si="0"/>
        <v>59646.442499999997</v>
      </c>
      <c r="G24" s="62"/>
      <c r="H24" s="59"/>
    </row>
    <row r="25" spans="1:8">
      <c r="A25" s="598" t="s">
        <v>18</v>
      </c>
      <c r="D25" s="352">
        <v>1001</v>
      </c>
      <c r="E25" s="62"/>
      <c r="F25" s="60">
        <f t="shared" si="0"/>
        <v>647.74710000000005</v>
      </c>
      <c r="G25" s="62"/>
      <c r="H25" s="59"/>
    </row>
    <row r="26" spans="1:8">
      <c r="A26" s="598" t="s">
        <v>19</v>
      </c>
      <c r="D26" s="841">
        <f>123406-3612</f>
        <v>119794</v>
      </c>
      <c r="E26" s="62"/>
      <c r="F26" s="60">
        <f>F$9*D26-1</f>
        <v>77517.697400000005</v>
      </c>
      <c r="G26" s="62"/>
      <c r="H26" s="59"/>
    </row>
    <row r="27" spans="1:8">
      <c r="A27" s="598" t="s">
        <v>20</v>
      </c>
      <c r="D27" s="352">
        <v>0</v>
      </c>
      <c r="E27" s="62"/>
      <c r="F27" s="352">
        <v>0</v>
      </c>
      <c r="G27" s="62"/>
    </row>
    <row r="28" spans="1:8">
      <c r="A28" s="598" t="s">
        <v>21</v>
      </c>
      <c r="D28" s="352">
        <v>0</v>
      </c>
      <c r="E28" s="62"/>
      <c r="F28" s="60">
        <f t="shared" si="0"/>
        <v>0</v>
      </c>
      <c r="G28" s="62"/>
      <c r="H28" s="59"/>
    </row>
    <row r="29" spans="1:8">
      <c r="A29" s="598" t="s">
        <v>22</v>
      </c>
      <c r="D29" s="352">
        <v>0</v>
      </c>
      <c r="E29" s="62"/>
      <c r="F29" s="60">
        <f t="shared" si="0"/>
        <v>0</v>
      </c>
      <c r="G29" s="62"/>
      <c r="H29" s="59"/>
    </row>
    <row r="30" spans="1:8">
      <c r="A30" s="598" t="s">
        <v>23</v>
      </c>
      <c r="D30" s="352">
        <v>690</v>
      </c>
      <c r="E30" s="62"/>
      <c r="F30" s="60">
        <f t="shared" si="0"/>
        <v>446.49900000000002</v>
      </c>
      <c r="G30" s="62"/>
      <c r="H30" s="59"/>
    </row>
    <row r="31" spans="1:8">
      <c r="A31" s="821" t="s">
        <v>733</v>
      </c>
      <c r="D31" s="352">
        <v>0</v>
      </c>
      <c r="E31" s="62"/>
      <c r="F31" s="841">
        <v>-1528</v>
      </c>
      <c r="G31" s="62"/>
      <c r="H31" s="843" t="s">
        <v>714</v>
      </c>
    </row>
    <row r="32" spans="1:8">
      <c r="A32" s="598" t="s">
        <v>24</v>
      </c>
      <c r="D32" s="352">
        <v>16809</v>
      </c>
      <c r="E32" s="62"/>
      <c r="F32" s="60">
        <f>F$9*D32</f>
        <v>10877.1039</v>
      </c>
      <c r="G32" s="62"/>
      <c r="H32" s="59"/>
    </row>
    <row r="33" spans="1:8" s="671" customFormat="1" ht="12.75" customHeight="1">
      <c r="A33" s="840" t="s">
        <v>591</v>
      </c>
      <c r="B33" s="840"/>
      <c r="C33" s="840"/>
      <c r="D33" s="841">
        <v>0</v>
      </c>
      <c r="E33" s="842"/>
      <c r="F33" s="841">
        <f>F$9*D33</f>
        <v>0</v>
      </c>
      <c r="G33" s="842"/>
      <c r="H33" s="843" t="s">
        <v>713</v>
      </c>
    </row>
    <row r="34" spans="1:8" s="671" customFormat="1" ht="12.75" customHeight="1">
      <c r="A34" s="840" t="s">
        <v>592</v>
      </c>
      <c r="B34" s="840"/>
      <c r="C34" s="840"/>
      <c r="D34" s="841">
        <v>0</v>
      </c>
      <c r="E34" s="842"/>
      <c r="F34" s="841">
        <f>F$9*D34</f>
        <v>0</v>
      </c>
      <c r="G34" s="842"/>
      <c r="H34" s="843" t="s">
        <v>713</v>
      </c>
    </row>
    <row r="35" spans="1:8">
      <c r="A35" s="598" t="s">
        <v>25</v>
      </c>
      <c r="D35" s="354">
        <f>SUM(D22:D34)</f>
        <v>260165</v>
      </c>
      <c r="E35" s="62"/>
      <c r="F35" s="63">
        <f>SUM(F22:F34)</f>
        <v>166824.77149999997</v>
      </c>
      <c r="G35" s="62"/>
      <c r="H35" s="59"/>
    </row>
    <row r="36" spans="1:8">
      <c r="D36" s="18"/>
      <c r="G36" s="72"/>
      <c r="H36" s="59"/>
    </row>
    <row r="37" spans="1:8">
      <c r="A37" s="598" t="s">
        <v>26</v>
      </c>
      <c r="D37" s="352">
        <f>D19-D35</f>
        <v>-164834</v>
      </c>
      <c r="E37" s="60"/>
      <c r="F37" s="60">
        <f>F19-F35</f>
        <v>-105133.79349999997</v>
      </c>
      <c r="G37" s="62"/>
      <c r="H37" s="59"/>
    </row>
    <row r="38" spans="1:8">
      <c r="D38" s="18"/>
      <c r="E38" s="60"/>
      <c r="F38" s="60"/>
      <c r="G38" s="60"/>
    </row>
    <row r="39" spans="1:8">
      <c r="A39" s="598" t="s">
        <v>27</v>
      </c>
      <c r="C39" s="64">
        <v>0.35</v>
      </c>
      <c r="D39" s="18"/>
      <c r="E39" s="65"/>
      <c r="F39" s="61">
        <f>C39*F37</f>
        <v>-36796.827724999988</v>
      </c>
      <c r="G39" s="59"/>
    </row>
    <row r="40" spans="1:8">
      <c r="D40" s="18"/>
      <c r="E40" s="65"/>
      <c r="F40" s="59"/>
      <c r="G40" s="59"/>
    </row>
    <row r="41" spans="1:8">
      <c r="A41" s="598" t="s">
        <v>28</v>
      </c>
      <c r="D41" s="18"/>
      <c r="E41" s="60"/>
      <c r="F41" s="59">
        <f>F37-F39</f>
        <v>-68336.96577499999</v>
      </c>
      <c r="G41" s="60"/>
    </row>
    <row r="42" spans="1:8">
      <c r="D42" s="18"/>
      <c r="E42" s="60"/>
      <c r="F42" s="60"/>
      <c r="G42" s="60"/>
    </row>
    <row r="43" spans="1:8">
      <c r="A43" s="75"/>
      <c r="D43" s="18"/>
    </row>
    <row r="44" spans="1:8">
      <c r="A44" s="783" t="s">
        <v>591</v>
      </c>
      <c r="B44" s="783"/>
      <c r="C44" s="783"/>
      <c r="D44" s="740">
        <v>9335</v>
      </c>
      <c r="E44" s="797"/>
      <c r="F44" s="740">
        <f>F$9*D44</f>
        <v>6040.6785</v>
      </c>
      <c r="G44" s="62"/>
      <c r="H44" s="808" t="s">
        <v>713</v>
      </c>
    </row>
    <row r="45" spans="1:8">
      <c r="A45" s="783" t="s">
        <v>592</v>
      </c>
      <c r="B45" s="783"/>
      <c r="C45" s="783"/>
      <c r="D45" s="740">
        <v>15005</v>
      </c>
      <c r="E45" s="797"/>
      <c r="F45" s="740">
        <f>F$9*D45</f>
        <v>9709.7355000000007</v>
      </c>
      <c r="G45" s="62"/>
      <c r="H45" s="808" t="s">
        <v>713</v>
      </c>
    </row>
  </sheetData>
  <pageMargins left="1.05" right="0.34" top="0.75" bottom="0.77" header="0.5" footer="0.52"/>
  <pageSetup scale="68" orientation="portrait" r:id="rId1"/>
  <headerFooter alignWithMargins="0">
    <oddFooter>&amp;C&amp;F / &amp;A</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S111"/>
  <sheetViews>
    <sheetView topLeftCell="D1" workbookViewId="0">
      <selection activeCell="I55" sqref="I55"/>
    </sheetView>
  </sheetViews>
  <sheetFormatPr defaultRowHeight="12.75"/>
  <cols>
    <col min="1" max="1" width="4.85546875" customWidth="1"/>
    <col min="2" max="2" width="4.7109375" customWidth="1"/>
    <col min="3" max="3" width="23" customWidth="1"/>
    <col min="4" max="4" width="4.5703125" customWidth="1"/>
    <col min="5" max="5" width="9.42578125" customWidth="1"/>
    <col min="6" max="14" width="9.7109375" bestFit="1" customWidth="1"/>
    <col min="15" max="15" width="10.7109375" bestFit="1" customWidth="1"/>
    <col min="16" max="16" width="10.5703125" customWidth="1"/>
    <col min="17" max="17" width="9.85546875" bestFit="1" customWidth="1"/>
    <col min="18" max="18" width="9.140625" customWidth="1"/>
    <col min="19" max="19" width="9.140625" style="644" customWidth="1"/>
  </cols>
  <sheetData>
    <row r="2" spans="1:19">
      <c r="A2" s="156" t="s">
        <v>94</v>
      </c>
      <c r="B2" s="156"/>
      <c r="C2" s="156"/>
      <c r="D2" s="156"/>
      <c r="E2" s="156"/>
      <c r="F2" s="156"/>
      <c r="G2" s="156"/>
      <c r="H2" s="156"/>
      <c r="I2" s="156"/>
      <c r="J2" s="156"/>
      <c r="K2" s="156"/>
      <c r="L2" s="156"/>
      <c r="M2" s="156"/>
      <c r="N2" s="156"/>
      <c r="O2" s="156"/>
      <c r="P2" s="156"/>
      <c r="Q2" s="156"/>
    </row>
    <row r="3" spans="1:19">
      <c r="A3" s="156" t="s">
        <v>134</v>
      </c>
      <c r="B3" s="156"/>
      <c r="C3" s="156"/>
      <c r="D3" s="156"/>
      <c r="E3" s="156"/>
      <c r="F3" s="156"/>
      <c r="G3" s="156"/>
      <c r="H3" s="156"/>
      <c r="I3" s="156"/>
      <c r="J3" s="156"/>
      <c r="K3" s="156"/>
      <c r="L3" s="156"/>
      <c r="M3" s="156"/>
      <c r="N3" s="156"/>
      <c r="O3" s="156"/>
      <c r="P3" s="156"/>
      <c r="Q3" s="156"/>
    </row>
    <row r="4" spans="1:19">
      <c r="A4" s="156" t="s">
        <v>507</v>
      </c>
      <c r="B4" s="156"/>
      <c r="C4" s="156"/>
      <c r="D4" s="156"/>
      <c r="E4" s="156"/>
      <c r="F4" s="156"/>
      <c r="G4" s="156"/>
      <c r="H4" s="156"/>
      <c r="I4" s="156"/>
      <c r="J4" s="156"/>
      <c r="K4" s="156"/>
      <c r="L4" s="156"/>
      <c r="M4" s="156"/>
      <c r="N4" s="156"/>
      <c r="O4" s="156"/>
      <c r="P4" s="156"/>
      <c r="Q4" s="156"/>
    </row>
    <row r="5" spans="1:19">
      <c r="A5" s="156" t="s">
        <v>93</v>
      </c>
      <c r="B5" s="156"/>
      <c r="C5" s="156"/>
      <c r="D5" s="156"/>
      <c r="E5" s="156"/>
      <c r="F5" s="156"/>
      <c r="G5" s="156"/>
      <c r="H5" s="156"/>
      <c r="I5" s="156"/>
      <c r="J5" s="156"/>
      <c r="K5" s="156"/>
      <c r="L5" s="156"/>
      <c r="M5" s="156"/>
      <c r="N5" s="156"/>
      <c r="O5" s="156"/>
      <c r="P5" s="156"/>
      <c r="Q5" s="156"/>
    </row>
    <row r="6" spans="1:19">
      <c r="A6" s="156"/>
      <c r="B6" s="156"/>
      <c r="C6" s="156"/>
      <c r="D6" s="156"/>
      <c r="E6" s="156"/>
      <c r="F6" s="156"/>
      <c r="G6" s="156"/>
      <c r="H6" s="156"/>
      <c r="I6" s="156"/>
      <c r="J6" s="156"/>
      <c r="K6" s="156"/>
      <c r="L6" s="156"/>
      <c r="M6" s="156"/>
      <c r="N6" s="156"/>
      <c r="O6" s="156"/>
      <c r="P6" s="156"/>
      <c r="Q6" s="156"/>
      <c r="S6" s="794" t="s">
        <v>712</v>
      </c>
    </row>
    <row r="7" spans="1:19">
      <c r="A7" s="156"/>
      <c r="B7" s="156"/>
      <c r="C7" s="156"/>
      <c r="D7" s="156"/>
      <c r="E7" s="165">
        <v>2000</v>
      </c>
      <c r="F7" s="165">
        <v>2001</v>
      </c>
      <c r="G7" s="165">
        <v>2002</v>
      </c>
      <c r="H7" s="165">
        <v>2003</v>
      </c>
      <c r="I7" s="165">
        <v>2004</v>
      </c>
      <c r="J7" s="165">
        <v>2005</v>
      </c>
      <c r="K7" s="165">
        <v>2006</v>
      </c>
      <c r="L7" s="165">
        <v>2007</v>
      </c>
      <c r="M7" s="165">
        <v>2008</v>
      </c>
      <c r="N7" s="165">
        <v>2009</v>
      </c>
      <c r="O7" s="165">
        <v>2010</v>
      </c>
      <c r="P7" s="165">
        <v>2011</v>
      </c>
      <c r="Q7" s="165">
        <v>2012</v>
      </c>
      <c r="R7" s="165">
        <v>2013</v>
      </c>
      <c r="S7" s="591">
        <v>2014</v>
      </c>
    </row>
    <row r="10" spans="1:19">
      <c r="S10" s="236"/>
    </row>
    <row r="11" spans="1:19">
      <c r="A11" s="12" t="s">
        <v>301</v>
      </c>
      <c r="E11" s="356">
        <f>'CBR Hist'!F24</f>
        <v>-3114</v>
      </c>
      <c r="F11" s="356">
        <f>'CBR Hist'!G24</f>
        <v>9152</v>
      </c>
      <c r="G11" s="356">
        <f>'CBR Hist'!H24</f>
        <v>13808</v>
      </c>
      <c r="H11" s="356">
        <f>'CBR Hist'!I24</f>
        <v>14915</v>
      </c>
      <c r="I11" s="356">
        <f>'CBR Hist'!J24</f>
        <v>22879</v>
      </c>
      <c r="J11" s="356">
        <f>'CBR Hist'!K24</f>
        <v>13812</v>
      </c>
      <c r="K11" s="356">
        <f>'CBR Hist'!L24</f>
        <v>25745</v>
      </c>
      <c r="L11" s="356">
        <f>'CBR Hist'!M24</f>
        <v>21795</v>
      </c>
      <c r="M11" s="356">
        <f>'CBR Hist'!N24</f>
        <v>22000</v>
      </c>
      <c r="N11" s="356">
        <f>'CBR Hist'!O24</f>
        <v>22266</v>
      </c>
      <c r="O11" s="356">
        <f>'CBR Hist'!P24</f>
        <v>22129</v>
      </c>
      <c r="P11" s="356">
        <f>'CBR Hist'!Q24</f>
        <v>25158</v>
      </c>
      <c r="Q11" s="356">
        <f>'CBR Hist'!R24+Q19</f>
        <v>25680</v>
      </c>
      <c r="R11" s="356">
        <f>'CBR Hist'!S24</f>
        <v>23284</v>
      </c>
      <c r="S11" s="777">
        <f>'CBR Hist'!T24</f>
        <v>23715</v>
      </c>
    </row>
    <row r="12" spans="1:19">
      <c r="A12" s="12" t="s">
        <v>302</v>
      </c>
      <c r="P12" s="356">
        <f>'CBR Hist'!Q25</f>
        <v>403</v>
      </c>
      <c r="Q12" s="356">
        <f>'CBR Hist'!R25-Q19</f>
        <v>-7744</v>
      </c>
      <c r="R12" s="356">
        <f>'CBR Hist'!S25</f>
        <v>8629</v>
      </c>
      <c r="S12" s="777">
        <f>'CBR Hist'!T25</f>
        <v>8101</v>
      </c>
    </row>
    <row r="13" spans="1:19">
      <c r="A13" s="12"/>
      <c r="S13" s="236"/>
    </row>
    <row r="14" spans="1:19">
      <c r="A14" s="12"/>
      <c r="B14" s="12"/>
      <c r="E14" s="358"/>
      <c r="F14" s="358"/>
      <c r="G14" s="358"/>
      <c r="H14" s="358"/>
      <c r="I14" s="358"/>
      <c r="J14" s="358"/>
      <c r="K14" s="358"/>
      <c r="L14" s="358"/>
      <c r="M14" s="358"/>
      <c r="N14" s="358"/>
      <c r="O14" s="358"/>
      <c r="P14" s="358"/>
      <c r="Q14" s="358"/>
      <c r="S14" s="236"/>
    </row>
    <row r="15" spans="1:19">
      <c r="A15" s="12"/>
      <c r="B15" s="12"/>
      <c r="E15" s="358"/>
      <c r="F15" s="358"/>
      <c r="G15" s="358"/>
      <c r="H15" s="358"/>
      <c r="I15" s="358"/>
      <c r="J15" s="358"/>
      <c r="K15" s="358"/>
      <c r="L15" s="358"/>
      <c r="M15" s="358"/>
      <c r="N15" s="358"/>
      <c r="O15" s="358"/>
      <c r="P15" s="358"/>
      <c r="Q15" s="358"/>
      <c r="S15" s="236"/>
    </row>
    <row r="16" spans="1:19">
      <c r="A16" s="12" t="s">
        <v>303</v>
      </c>
      <c r="E16" s="357">
        <f>10346-213</f>
        <v>10133</v>
      </c>
      <c r="F16" s="357">
        <f>10784-205</f>
        <v>10579</v>
      </c>
      <c r="G16" s="357">
        <f>12359+3035-228</f>
        <v>15166</v>
      </c>
      <c r="H16" s="357">
        <f>14152+1470-219</f>
        <v>15403</v>
      </c>
      <c r="I16" s="357">
        <f>15379+1705-113-221</f>
        <v>16750</v>
      </c>
      <c r="J16" s="357">
        <f>17205-154-219</f>
        <v>16832</v>
      </c>
      <c r="K16" s="357">
        <f>18582-216</f>
        <v>18366</v>
      </c>
      <c r="L16" s="357">
        <f>18487-225</f>
        <v>18262</v>
      </c>
      <c r="M16" s="357">
        <f>17022-195</f>
        <v>16827</v>
      </c>
      <c r="N16" s="357">
        <f>17556-193</f>
        <v>17363</v>
      </c>
      <c r="O16" s="357">
        <f>18188-191</f>
        <v>17997</v>
      </c>
      <c r="P16" s="357">
        <f>18013-191</f>
        <v>17822</v>
      </c>
      <c r="Q16" s="357">
        <f>18237</f>
        <v>18237</v>
      </c>
      <c r="R16" s="357">
        <v>16250</v>
      </c>
      <c r="S16" s="238">
        <v>16426</v>
      </c>
    </row>
    <row r="17" spans="1:19">
      <c r="A17" s="12" t="s">
        <v>304</v>
      </c>
      <c r="E17" s="357">
        <f>4492</f>
        <v>4492</v>
      </c>
      <c r="F17" s="357">
        <f>4393</f>
        <v>4393</v>
      </c>
      <c r="G17" s="357">
        <f>4780</f>
        <v>4780</v>
      </c>
      <c r="H17" s="357">
        <f>4891</f>
        <v>4891</v>
      </c>
      <c r="I17" s="357">
        <f>5220</f>
        <v>5220</v>
      </c>
      <c r="J17" s="357">
        <v>5531</v>
      </c>
      <c r="K17" s="357">
        <f>5957</f>
        <v>5957</v>
      </c>
      <c r="L17" s="357">
        <f>6352+1</f>
        <v>6353</v>
      </c>
      <c r="M17" s="357">
        <v>5969</v>
      </c>
      <c r="N17" s="357">
        <v>6116</v>
      </c>
      <c r="O17" s="357">
        <v>6354</v>
      </c>
      <c r="P17" s="357">
        <v>6681</v>
      </c>
      <c r="Q17" s="357">
        <v>6976</v>
      </c>
      <c r="R17" s="357">
        <v>6529</v>
      </c>
      <c r="S17" s="238">
        <v>6725</v>
      </c>
    </row>
    <row r="18" spans="1:19">
      <c r="A18" s="12" t="s">
        <v>305</v>
      </c>
      <c r="E18" s="357">
        <f>9+216</f>
        <v>225</v>
      </c>
      <c r="F18" s="357">
        <f>9+221</f>
        <v>230</v>
      </c>
      <c r="G18" s="357">
        <f>1+210</f>
        <v>211</v>
      </c>
      <c r="H18" s="357">
        <f>17+212</f>
        <v>229</v>
      </c>
      <c r="I18" s="357">
        <f>9+212+8+11+102</f>
        <v>342</v>
      </c>
      <c r="J18" s="357">
        <f>10+221+31+4</f>
        <v>266</v>
      </c>
      <c r="K18" s="357">
        <f>32+222</f>
        <v>254</v>
      </c>
      <c r="L18" s="357">
        <f>44+218</f>
        <v>262</v>
      </c>
      <c r="M18" s="357">
        <f>62+218</f>
        <v>280</v>
      </c>
      <c r="N18" s="357">
        <f>63+427</f>
        <v>490</v>
      </c>
      <c r="O18" s="357">
        <f>595+62</f>
        <v>657</v>
      </c>
      <c r="P18" s="357">
        <f>655</f>
        <v>655</v>
      </c>
      <c r="Q18" s="357">
        <v>659</v>
      </c>
      <c r="R18" s="357">
        <v>652</v>
      </c>
      <c r="S18" s="238">
        <v>710</v>
      </c>
    </row>
    <row r="19" spans="1:19">
      <c r="A19" s="12"/>
      <c r="E19" s="359" t="s">
        <v>327</v>
      </c>
      <c r="F19" s="357"/>
      <c r="G19" s="357"/>
      <c r="H19" s="357"/>
      <c r="I19" s="357"/>
      <c r="J19" s="357"/>
      <c r="K19" s="357"/>
      <c r="L19" s="357"/>
      <c r="M19" s="357"/>
      <c r="N19" s="357"/>
      <c r="O19" s="357"/>
      <c r="P19" s="357"/>
      <c r="Q19" s="357">
        <v>-192</v>
      </c>
      <c r="R19" s="357">
        <v>-147</v>
      </c>
      <c r="S19" s="238">
        <v>-146</v>
      </c>
    </row>
    <row r="20" spans="1:19">
      <c r="A20" s="12"/>
      <c r="B20" s="12" t="s">
        <v>325</v>
      </c>
      <c r="E20" s="360">
        <f>SUM(E16:E18)</f>
        <v>14850</v>
      </c>
      <c r="F20" s="360">
        <f t="shared" ref="F20:P20" si="0">SUM(F16:F18)</f>
        <v>15202</v>
      </c>
      <c r="G20" s="360">
        <f t="shared" si="0"/>
        <v>20157</v>
      </c>
      <c r="H20" s="360">
        <f t="shared" si="0"/>
        <v>20523</v>
      </c>
      <c r="I20" s="360">
        <f t="shared" si="0"/>
        <v>22312</v>
      </c>
      <c r="J20" s="360">
        <f t="shared" si="0"/>
        <v>22629</v>
      </c>
      <c r="K20" s="360">
        <f t="shared" si="0"/>
        <v>24577</v>
      </c>
      <c r="L20" s="360">
        <f t="shared" si="0"/>
        <v>24877</v>
      </c>
      <c r="M20" s="360">
        <f t="shared" si="0"/>
        <v>23076</v>
      </c>
      <c r="N20" s="360">
        <f t="shared" si="0"/>
        <v>23969</v>
      </c>
      <c r="O20" s="360">
        <f t="shared" si="0"/>
        <v>25008</v>
      </c>
      <c r="P20" s="360">
        <f t="shared" si="0"/>
        <v>25158</v>
      </c>
      <c r="Q20" s="360">
        <f>SUM(Q16:Q19)</f>
        <v>25680</v>
      </c>
      <c r="R20" s="360">
        <f>SUM(R16:R19)</f>
        <v>23284</v>
      </c>
      <c r="S20" s="778">
        <f>SUM(S16:S19)</f>
        <v>23715</v>
      </c>
    </row>
    <row r="21" spans="1:19">
      <c r="A21" s="12"/>
      <c r="E21" s="357"/>
      <c r="F21" s="357"/>
      <c r="G21" s="357"/>
      <c r="H21" s="357"/>
      <c r="I21" s="357"/>
      <c r="J21" s="357"/>
      <c r="K21" s="357"/>
      <c r="L21" s="357"/>
      <c r="M21" s="357"/>
      <c r="N21" s="357"/>
      <c r="O21" s="357"/>
      <c r="P21" s="357"/>
      <c r="Q21" s="357"/>
      <c r="S21" s="236"/>
    </row>
    <row r="22" spans="1:19">
      <c r="A22" s="12" t="s">
        <v>306</v>
      </c>
      <c r="D22" s="236"/>
      <c r="E22" s="238">
        <f>2448-2448</f>
        <v>0</v>
      </c>
      <c r="F22" s="238">
        <f>2448-2448</f>
        <v>0</v>
      </c>
      <c r="G22" s="238">
        <f>2481-31</f>
        <v>2450</v>
      </c>
      <c r="H22" s="238">
        <f>2450</f>
        <v>2450</v>
      </c>
      <c r="I22" s="238">
        <f>2450</f>
        <v>2450</v>
      </c>
      <c r="J22" s="238">
        <v>2450</v>
      </c>
      <c r="K22" s="238">
        <v>2450</v>
      </c>
      <c r="L22" s="238">
        <v>2450</v>
      </c>
      <c r="M22" s="238">
        <v>2450</v>
      </c>
      <c r="N22" s="238">
        <v>2450</v>
      </c>
      <c r="O22" s="238">
        <v>2450</v>
      </c>
      <c r="P22" s="238">
        <v>2450</v>
      </c>
      <c r="Q22" s="238">
        <v>2450</v>
      </c>
      <c r="R22" s="552">
        <v>2450</v>
      </c>
      <c r="S22" s="552">
        <v>2450</v>
      </c>
    </row>
    <row r="23" spans="1:19">
      <c r="A23" s="12" t="s">
        <v>307</v>
      </c>
      <c r="D23" s="236"/>
      <c r="E23" s="238">
        <f>32</f>
        <v>32</v>
      </c>
      <c r="F23" s="238">
        <f>32</f>
        <v>32</v>
      </c>
      <c r="G23" s="238">
        <f>32</f>
        <v>32</v>
      </c>
      <c r="H23" s="238">
        <f>32</f>
        <v>32</v>
      </c>
      <c r="I23" s="238">
        <f>32</f>
        <v>32</v>
      </c>
      <c r="J23" s="238">
        <f>32</f>
        <v>32</v>
      </c>
      <c r="K23" s="238">
        <f>32</f>
        <v>32</v>
      </c>
      <c r="L23" s="238">
        <f>32</f>
        <v>32</v>
      </c>
      <c r="M23" s="238">
        <f>32</f>
        <v>32</v>
      </c>
      <c r="N23" s="238">
        <f>32</f>
        <v>32</v>
      </c>
      <c r="O23" s="238">
        <f>32</f>
        <v>32</v>
      </c>
      <c r="P23" s="238">
        <f>32</f>
        <v>32</v>
      </c>
      <c r="Q23" s="238">
        <f>32</f>
        <v>32</v>
      </c>
      <c r="R23" s="552">
        <v>32</v>
      </c>
      <c r="S23" s="552">
        <v>32</v>
      </c>
    </row>
    <row r="24" spans="1:19">
      <c r="A24" s="12" t="s">
        <v>308</v>
      </c>
      <c r="D24" s="236"/>
      <c r="E24" s="238">
        <f>-15</f>
        <v>-15</v>
      </c>
      <c r="F24" s="238">
        <v>-3</v>
      </c>
      <c r="G24" s="238">
        <v>-3</v>
      </c>
      <c r="H24" s="238">
        <v>-2</v>
      </c>
      <c r="I24" s="238">
        <v>-4</v>
      </c>
      <c r="J24" s="238"/>
      <c r="K24" s="238"/>
      <c r="L24" s="238"/>
      <c r="M24" s="238"/>
      <c r="N24" s="238"/>
      <c r="O24" s="238"/>
      <c r="P24" s="238"/>
      <c r="Q24" s="238"/>
      <c r="R24" s="236"/>
      <c r="S24" s="236"/>
    </row>
    <row r="25" spans="1:19">
      <c r="A25" s="12" t="s">
        <v>309</v>
      </c>
      <c r="D25" s="587" t="s">
        <v>315</v>
      </c>
      <c r="E25" s="238">
        <f>-16644</f>
        <v>-16644</v>
      </c>
      <c r="F25" s="238">
        <f>-16636+16636</f>
        <v>0</v>
      </c>
      <c r="G25" s="238">
        <v>2</v>
      </c>
      <c r="H25" s="238"/>
      <c r="I25" s="238"/>
      <c r="J25" s="238"/>
      <c r="K25" s="238"/>
      <c r="L25" s="238"/>
      <c r="M25" s="238"/>
      <c r="N25" s="238"/>
      <c r="O25" s="238"/>
      <c r="P25" s="238"/>
      <c r="Q25" s="238"/>
      <c r="R25" s="236"/>
      <c r="S25" s="236"/>
    </row>
    <row r="26" spans="1:19">
      <c r="A26" s="12" t="s">
        <v>310</v>
      </c>
      <c r="D26" s="236"/>
      <c r="E26" s="238">
        <f>-729-444</f>
        <v>-1173</v>
      </c>
      <c r="F26" s="238">
        <f>-2915-1776</f>
        <v>-4691</v>
      </c>
      <c r="G26" s="238">
        <f>-2915+1139</f>
        <v>-1776</v>
      </c>
      <c r="H26" s="238">
        <v>-1776</v>
      </c>
      <c r="I26" s="238">
        <v>-1776</v>
      </c>
      <c r="J26" s="238">
        <v>-1776</v>
      </c>
      <c r="K26" s="238">
        <v>-1332</v>
      </c>
      <c r="L26" s="238"/>
      <c r="M26" s="238"/>
      <c r="N26" s="238"/>
      <c r="O26" s="238"/>
      <c r="P26" s="238"/>
      <c r="Q26" s="238"/>
      <c r="R26" s="236"/>
      <c r="S26" s="236"/>
    </row>
    <row r="27" spans="1:19">
      <c r="A27" s="12" t="s">
        <v>311</v>
      </c>
      <c r="D27" s="236"/>
      <c r="E27" s="236"/>
      <c r="F27" s="238">
        <f>193-1</f>
        <v>192</v>
      </c>
      <c r="G27" s="238">
        <v>191</v>
      </c>
      <c r="H27" s="238">
        <v>191</v>
      </c>
      <c r="I27" s="238"/>
      <c r="J27" s="238"/>
      <c r="K27" s="238"/>
      <c r="L27" s="238"/>
      <c r="M27" s="238"/>
      <c r="N27" s="238"/>
      <c r="O27" s="238"/>
      <c r="P27" s="238"/>
      <c r="Q27" s="238"/>
      <c r="R27" s="236"/>
      <c r="S27" s="236"/>
    </row>
    <row r="28" spans="1:19">
      <c r="A28" s="12" t="s">
        <v>312</v>
      </c>
      <c r="D28" s="587" t="s">
        <v>315</v>
      </c>
      <c r="E28" s="236"/>
      <c r="F28" s="238">
        <v>-1416</v>
      </c>
      <c r="G28" s="238">
        <v>-7512</v>
      </c>
      <c r="H28" s="238">
        <v>-6339</v>
      </c>
      <c r="I28" s="238">
        <f>-7160+7160</f>
        <v>0</v>
      </c>
      <c r="J28" s="238">
        <v>-9388</v>
      </c>
      <c r="K28" s="238">
        <f>-10285+10285</f>
        <v>0</v>
      </c>
      <c r="L28" s="238">
        <v>-5582</v>
      </c>
      <c r="M28" s="238">
        <v>-3576</v>
      </c>
      <c r="N28" s="238">
        <v>-4005</v>
      </c>
      <c r="O28" s="238">
        <v>-6244</v>
      </c>
      <c r="P28" s="238">
        <v>-4794</v>
      </c>
      <c r="Q28" s="238">
        <v>-8505</v>
      </c>
      <c r="R28" s="238">
        <v>0</v>
      </c>
      <c r="S28" s="238">
        <v>0</v>
      </c>
    </row>
    <row r="29" spans="1:19">
      <c r="A29" s="12" t="s">
        <v>313</v>
      </c>
      <c r="D29" s="236"/>
      <c r="E29" s="236"/>
      <c r="F29" s="238"/>
      <c r="G29" s="238">
        <v>431</v>
      </c>
      <c r="H29" s="238"/>
      <c r="I29" s="238"/>
      <c r="J29" s="238"/>
      <c r="K29" s="238">
        <v>153</v>
      </c>
      <c r="L29" s="238">
        <v>153</v>
      </c>
      <c r="M29" s="238">
        <v>153</v>
      </c>
      <c r="N29" s="238">
        <v>153</v>
      </c>
      <c r="O29" s="238">
        <v>153</v>
      </c>
      <c r="P29" s="238">
        <v>153</v>
      </c>
      <c r="Q29" s="238">
        <v>153</v>
      </c>
      <c r="R29" s="238">
        <v>153</v>
      </c>
      <c r="S29" s="238">
        <v>153</v>
      </c>
    </row>
    <row r="30" spans="1:19">
      <c r="A30" s="12" t="s">
        <v>314</v>
      </c>
      <c r="D30" s="236"/>
      <c r="E30" s="238">
        <v>-164</v>
      </c>
      <c r="F30" s="238">
        <v>-164</v>
      </c>
      <c r="G30" s="238">
        <v>-164</v>
      </c>
      <c r="H30" s="238">
        <v>-164</v>
      </c>
      <c r="I30" s="238">
        <v>-135</v>
      </c>
      <c r="J30" s="238">
        <v>-135</v>
      </c>
      <c r="K30" s="238">
        <v>-135</v>
      </c>
      <c r="L30" s="238">
        <v>-135</v>
      </c>
      <c r="M30" s="238">
        <v>-135</v>
      </c>
      <c r="N30" s="238">
        <v>-135</v>
      </c>
      <c r="O30" s="238">
        <v>-134</v>
      </c>
      <c r="P30" s="238">
        <v>-135</v>
      </c>
      <c r="Q30" s="238">
        <v>-135</v>
      </c>
      <c r="R30" s="238">
        <v>-135</v>
      </c>
      <c r="S30" s="238">
        <v>-135</v>
      </c>
    </row>
    <row r="31" spans="1:19">
      <c r="A31" s="12" t="s">
        <v>316</v>
      </c>
      <c r="D31" s="236"/>
      <c r="E31" s="236"/>
      <c r="F31" s="238"/>
      <c r="G31" s="238"/>
      <c r="H31" s="238"/>
      <c r="I31" s="238"/>
      <c r="J31" s="238"/>
      <c r="K31" s="238"/>
      <c r="L31" s="238"/>
      <c r="M31" s="238"/>
      <c r="N31" s="238">
        <f>-201+32-32+390-387</f>
        <v>-198</v>
      </c>
      <c r="O31" s="238">
        <f>20+133+553+45</f>
        <v>751</v>
      </c>
      <c r="P31" s="238">
        <f>73+142+608+152</f>
        <v>975</v>
      </c>
      <c r="Q31" s="238">
        <f>73+141+30+574+152</f>
        <v>970</v>
      </c>
      <c r="R31" s="236">
        <f>73+141+21+576+152</f>
        <v>963</v>
      </c>
      <c r="S31" s="236">
        <f>73+140+21+572+152</f>
        <v>958</v>
      </c>
    </row>
    <row r="32" spans="1:19">
      <c r="A32" s="12" t="s">
        <v>317</v>
      </c>
      <c r="D32" s="236"/>
      <c r="E32" s="236"/>
      <c r="F32" s="238"/>
      <c r="G32" s="238"/>
      <c r="H32" s="238"/>
      <c r="I32" s="238"/>
      <c r="J32" s="238"/>
      <c r="K32" s="238"/>
      <c r="L32" s="238"/>
      <c r="M32" s="238"/>
      <c r="N32" s="238"/>
      <c r="O32" s="238">
        <v>113</v>
      </c>
      <c r="P32" s="238">
        <v>1360</v>
      </c>
      <c r="Q32" s="238">
        <v>1360</v>
      </c>
      <c r="R32" s="238">
        <v>1360</v>
      </c>
      <c r="S32" s="238">
        <v>1360</v>
      </c>
    </row>
    <row r="33" spans="1:19">
      <c r="A33" s="12" t="s">
        <v>318</v>
      </c>
      <c r="D33" s="588" t="s">
        <v>315</v>
      </c>
      <c r="E33" s="236"/>
      <c r="F33" s="238"/>
      <c r="G33" s="238"/>
      <c r="H33" s="238"/>
      <c r="I33" s="238"/>
      <c r="J33" s="238"/>
      <c r="K33" s="238"/>
      <c r="L33" s="238"/>
      <c r="M33" s="238"/>
      <c r="N33" s="238"/>
      <c r="O33" s="238">
        <f>86-86</f>
        <v>0</v>
      </c>
      <c r="P33" s="238">
        <v>184</v>
      </c>
      <c r="Q33" s="238">
        <v>178</v>
      </c>
      <c r="R33" s="238">
        <v>0</v>
      </c>
      <c r="S33" s="238">
        <v>0</v>
      </c>
    </row>
    <row r="34" spans="1:19">
      <c r="A34" s="12" t="s">
        <v>319</v>
      </c>
      <c r="D34" s="236"/>
      <c r="E34" s="236"/>
      <c r="F34" s="238"/>
      <c r="G34" s="238"/>
      <c r="H34" s="238"/>
      <c r="I34" s="238"/>
      <c r="J34" s="238"/>
      <c r="K34" s="238"/>
      <c r="L34" s="238"/>
      <c r="M34" s="238"/>
      <c r="N34" s="238"/>
      <c r="O34" s="238"/>
      <c r="P34" s="238">
        <v>516</v>
      </c>
      <c r="Q34" s="238">
        <f>-129-4411</f>
        <v>-4540</v>
      </c>
      <c r="R34" s="238">
        <f>974</f>
        <v>974</v>
      </c>
      <c r="S34" s="238">
        <f>974</f>
        <v>974</v>
      </c>
    </row>
    <row r="35" spans="1:19">
      <c r="A35" s="12" t="s">
        <v>320</v>
      </c>
      <c r="D35" s="236"/>
      <c r="E35" s="236"/>
      <c r="F35" s="238"/>
      <c r="G35" s="238"/>
      <c r="H35" s="238"/>
      <c r="I35" s="238"/>
      <c r="J35" s="238"/>
      <c r="K35" s="238"/>
      <c r="L35" s="238"/>
      <c r="M35" s="238"/>
      <c r="N35" s="238"/>
      <c r="O35" s="238"/>
      <c r="P35" s="238">
        <v>-338</v>
      </c>
      <c r="Q35" s="238">
        <f>640-889</f>
        <v>-249</v>
      </c>
      <c r="R35" s="238">
        <f>726-206</f>
        <v>520</v>
      </c>
      <c r="S35" s="238">
        <v>67</v>
      </c>
    </row>
    <row r="36" spans="1:19">
      <c r="A36" s="12" t="s">
        <v>322</v>
      </c>
      <c r="D36" s="236"/>
      <c r="E36" s="236"/>
      <c r="F36" s="238"/>
      <c r="G36" s="238"/>
      <c r="H36" s="238"/>
      <c r="I36" s="238"/>
      <c r="J36" s="238"/>
      <c r="K36" s="238"/>
      <c r="L36" s="238"/>
      <c r="M36" s="238"/>
      <c r="N36" s="238"/>
      <c r="O36" s="238"/>
      <c r="P36" s="238"/>
      <c r="Q36" s="238">
        <v>472</v>
      </c>
      <c r="R36" s="238">
        <v>0</v>
      </c>
      <c r="S36" s="238">
        <v>0</v>
      </c>
    </row>
    <row r="37" spans="1:19">
      <c r="A37" s="12" t="s">
        <v>321</v>
      </c>
      <c r="D37" s="236"/>
      <c r="E37" s="236"/>
      <c r="F37" s="236"/>
      <c r="G37" s="236"/>
      <c r="H37" s="236"/>
      <c r="I37" s="236"/>
      <c r="J37" s="236"/>
      <c r="K37" s="236"/>
      <c r="L37" s="236"/>
      <c r="M37" s="236"/>
      <c r="N37" s="236"/>
      <c r="O37" s="236"/>
      <c r="P37" s="236"/>
      <c r="Q37" s="236">
        <v>165</v>
      </c>
      <c r="R37" s="238">
        <v>165</v>
      </c>
      <c r="S37" s="238">
        <v>165</v>
      </c>
    </row>
    <row r="38" spans="1:19">
      <c r="A38" s="12" t="s">
        <v>501</v>
      </c>
      <c r="D38" s="236"/>
      <c r="E38" s="236"/>
      <c r="F38" s="236"/>
      <c r="G38" s="236"/>
      <c r="H38" s="236"/>
      <c r="I38" s="236"/>
      <c r="J38" s="236"/>
      <c r="K38" s="236"/>
      <c r="L38" s="236"/>
      <c r="M38" s="236"/>
      <c r="N38" s="236"/>
      <c r="O38" s="236"/>
      <c r="P38" s="236"/>
      <c r="Q38" s="236"/>
      <c r="R38" s="238">
        <v>2082</v>
      </c>
      <c r="S38" s="238">
        <f>2082</f>
        <v>2082</v>
      </c>
    </row>
    <row r="39" spans="1:19">
      <c r="A39" s="12" t="s">
        <v>502</v>
      </c>
      <c r="D39" s="236"/>
      <c r="E39" s="236"/>
      <c r="F39" s="236"/>
      <c r="G39" s="236"/>
      <c r="H39" s="236"/>
      <c r="I39" s="236"/>
      <c r="J39" s="236"/>
      <c r="K39" s="236"/>
      <c r="L39" s="236"/>
      <c r="M39" s="236"/>
      <c r="N39" s="236"/>
      <c r="O39" s="236"/>
      <c r="P39" s="236"/>
      <c r="Q39" s="236"/>
      <c r="R39" s="238">
        <v>70</v>
      </c>
      <c r="S39" s="238">
        <v>0</v>
      </c>
    </row>
    <row r="40" spans="1:19">
      <c r="A40" s="12" t="s">
        <v>323</v>
      </c>
      <c r="D40" s="236"/>
      <c r="E40" s="236"/>
      <c r="F40" s="236"/>
      <c r="G40" s="236"/>
      <c r="H40" s="236"/>
      <c r="I40" s="236"/>
      <c r="J40" s="236"/>
      <c r="K40" s="236"/>
      <c r="L40" s="236"/>
      <c r="M40" s="236"/>
      <c r="N40" s="236"/>
      <c r="O40" s="236"/>
      <c r="P40" s="236"/>
      <c r="Q40" s="238">
        <v>-4</v>
      </c>
      <c r="R40" s="238">
        <v>-5</v>
      </c>
      <c r="S40" s="238">
        <v>-5</v>
      </c>
    </row>
    <row r="41" spans="1:19">
      <c r="A41" s="12" t="s">
        <v>324</v>
      </c>
      <c r="D41" s="236"/>
      <c r="E41" s="236"/>
      <c r="F41" s="236"/>
      <c r="G41" s="236"/>
      <c r="H41" s="236"/>
      <c r="I41" s="236"/>
      <c r="J41" s="236"/>
      <c r="K41" s="236"/>
      <c r="L41" s="236"/>
      <c r="M41" s="236"/>
      <c r="N41" s="236"/>
      <c r="O41" s="236"/>
      <c r="P41" s="236"/>
      <c r="Q41" s="238">
        <v>-91</v>
      </c>
      <c r="R41" s="238">
        <v>0</v>
      </c>
      <c r="S41" s="238">
        <v>0</v>
      </c>
    </row>
    <row r="42" spans="1:19">
      <c r="B42" s="361" t="s">
        <v>326</v>
      </c>
      <c r="D42" s="236"/>
      <c r="E42" s="589">
        <f>SUM(E22:E41)</f>
        <v>-17964</v>
      </c>
      <c r="F42" s="589">
        <f t="shared" ref="F42:P42" si="1">SUM(F22:F41)</f>
        <v>-6050</v>
      </c>
      <c r="G42" s="589">
        <f t="shared" si="1"/>
        <v>-6349</v>
      </c>
      <c r="H42" s="589">
        <f t="shared" si="1"/>
        <v>-5608</v>
      </c>
      <c r="I42" s="589">
        <f t="shared" si="1"/>
        <v>567</v>
      </c>
      <c r="J42" s="589">
        <f t="shared" si="1"/>
        <v>-8817</v>
      </c>
      <c r="K42" s="589">
        <f t="shared" si="1"/>
        <v>1168</v>
      </c>
      <c r="L42" s="589">
        <f t="shared" si="1"/>
        <v>-3082</v>
      </c>
      <c r="M42" s="589">
        <f t="shared" si="1"/>
        <v>-1076</v>
      </c>
      <c r="N42" s="589">
        <f t="shared" si="1"/>
        <v>-1703</v>
      </c>
      <c r="O42" s="589">
        <f t="shared" si="1"/>
        <v>-2879</v>
      </c>
      <c r="P42" s="589">
        <f t="shared" si="1"/>
        <v>403</v>
      </c>
      <c r="Q42" s="589">
        <f>SUM(Q22:Q41)</f>
        <v>-7744</v>
      </c>
      <c r="R42" s="589">
        <f>SUM(R22:R41)</f>
        <v>8629</v>
      </c>
      <c r="S42" s="589">
        <f>SUM(S22:S41)</f>
        <v>8101</v>
      </c>
    </row>
    <row r="43" spans="1:19">
      <c r="D43" s="236"/>
      <c r="E43" s="236"/>
      <c r="F43" s="236"/>
      <c r="G43" s="236"/>
      <c r="H43" s="236"/>
      <c r="I43" s="236"/>
      <c r="J43" s="236"/>
      <c r="K43" s="236"/>
      <c r="L43" s="236"/>
      <c r="M43" s="236"/>
      <c r="N43" s="236"/>
      <c r="O43" s="236"/>
      <c r="P43" s="236"/>
      <c r="Q43" s="236"/>
      <c r="R43" s="236"/>
      <c r="S43" s="236"/>
    </row>
    <row r="44" spans="1:19">
      <c r="B44" s="12" t="s">
        <v>328</v>
      </c>
      <c r="D44" s="236"/>
      <c r="E44" s="590">
        <f t="shared" ref="E44:P44" si="2">E20+E42</f>
        <v>-3114</v>
      </c>
      <c r="F44" s="590">
        <f t="shared" si="2"/>
        <v>9152</v>
      </c>
      <c r="G44" s="590">
        <f t="shared" si="2"/>
        <v>13808</v>
      </c>
      <c r="H44" s="590">
        <f t="shared" si="2"/>
        <v>14915</v>
      </c>
      <c r="I44" s="590">
        <f t="shared" si="2"/>
        <v>22879</v>
      </c>
      <c r="J44" s="590">
        <f t="shared" si="2"/>
        <v>13812</v>
      </c>
      <c r="K44" s="590">
        <f t="shared" si="2"/>
        <v>25745</v>
      </c>
      <c r="L44" s="590">
        <f t="shared" si="2"/>
        <v>21795</v>
      </c>
      <c r="M44" s="590">
        <f t="shared" si="2"/>
        <v>22000</v>
      </c>
      <c r="N44" s="590">
        <f t="shared" si="2"/>
        <v>22266</v>
      </c>
      <c r="O44" s="590">
        <f t="shared" si="2"/>
        <v>22129</v>
      </c>
      <c r="P44" s="590">
        <f t="shared" si="2"/>
        <v>25561</v>
      </c>
      <c r="Q44" s="590">
        <f>Q20+Q42</f>
        <v>17936</v>
      </c>
      <c r="R44" s="590">
        <f>R20+R42</f>
        <v>31913</v>
      </c>
      <c r="S44" s="590">
        <f>S20+S42</f>
        <v>31816</v>
      </c>
    </row>
    <row r="45" spans="1:19">
      <c r="D45" s="236"/>
      <c r="E45" s="236" t="str">
        <f t="shared" ref="E45:Q45" si="3">IF(E44=E11+E12,"","check")</f>
        <v/>
      </c>
      <c r="F45" s="236" t="str">
        <f t="shared" si="3"/>
        <v/>
      </c>
      <c r="G45" s="236" t="str">
        <f t="shared" si="3"/>
        <v/>
      </c>
      <c r="H45" s="236" t="str">
        <f t="shared" si="3"/>
        <v/>
      </c>
      <c r="I45" s="236" t="str">
        <f t="shared" si="3"/>
        <v/>
      </c>
      <c r="J45" s="236" t="str">
        <f t="shared" si="3"/>
        <v/>
      </c>
      <c r="K45" s="236" t="str">
        <f t="shared" si="3"/>
        <v/>
      </c>
      <c r="L45" s="236" t="str">
        <f t="shared" si="3"/>
        <v/>
      </c>
      <c r="M45" s="236" t="str">
        <f t="shared" si="3"/>
        <v/>
      </c>
      <c r="N45" s="236" t="str">
        <f t="shared" si="3"/>
        <v/>
      </c>
      <c r="O45" s="236" t="str">
        <f t="shared" si="3"/>
        <v/>
      </c>
      <c r="P45" s="236" t="str">
        <f t="shared" si="3"/>
        <v/>
      </c>
      <c r="Q45" s="236" t="str">
        <f t="shared" si="3"/>
        <v/>
      </c>
      <c r="R45" s="236"/>
      <c r="S45" s="236"/>
    </row>
    <row r="46" spans="1:19">
      <c r="B46" t="s">
        <v>329</v>
      </c>
      <c r="D46" s="236"/>
      <c r="E46" s="236"/>
      <c r="F46" s="236"/>
      <c r="G46" s="236"/>
      <c r="H46" s="236"/>
      <c r="I46" s="236"/>
      <c r="J46" s="236"/>
      <c r="K46" s="236"/>
      <c r="L46" s="236"/>
      <c r="M46" s="236"/>
      <c r="N46" s="236"/>
      <c r="O46" s="236"/>
      <c r="P46" s="236"/>
      <c r="Q46" s="236"/>
      <c r="R46" s="236"/>
      <c r="S46" s="236"/>
    </row>
    <row r="47" spans="1:19">
      <c r="D47" s="236"/>
      <c r="E47" s="590">
        <f>E42-E25</f>
        <v>-1320</v>
      </c>
      <c r="F47" s="590">
        <f>F42-F28</f>
        <v>-4634</v>
      </c>
      <c r="G47" s="590">
        <f t="shared" ref="G47:O47" si="4">G42-G28</f>
        <v>1163</v>
      </c>
      <c r="H47" s="590">
        <f t="shared" si="4"/>
        <v>731</v>
      </c>
      <c r="I47" s="590">
        <f t="shared" si="4"/>
        <v>567</v>
      </c>
      <c r="J47" s="590">
        <f t="shared" si="4"/>
        <v>571</v>
      </c>
      <c r="K47" s="590">
        <f>K42-K28</f>
        <v>1168</v>
      </c>
      <c r="L47" s="590">
        <f t="shared" si="4"/>
        <v>2500</v>
      </c>
      <c r="M47" s="590">
        <f t="shared" si="4"/>
        <v>2500</v>
      </c>
      <c r="N47" s="590">
        <f t="shared" si="4"/>
        <v>2302</v>
      </c>
      <c r="O47" s="590">
        <f t="shared" si="4"/>
        <v>3365</v>
      </c>
      <c r="P47" s="590">
        <f>P42-P28-P33</f>
        <v>5013</v>
      </c>
      <c r="Q47" s="590">
        <f>Q42-Q28-Q33</f>
        <v>583</v>
      </c>
      <c r="R47" s="590">
        <f>R42-R28</f>
        <v>8629</v>
      </c>
      <c r="S47" s="590">
        <f>S42-S28</f>
        <v>8101</v>
      </c>
    </row>
    <row r="48" spans="1:19">
      <c r="D48" s="236"/>
      <c r="E48" s="590"/>
      <c r="F48" s="590"/>
      <c r="G48" s="590"/>
      <c r="H48" s="590"/>
      <c r="I48" s="590"/>
      <c r="J48" s="590"/>
      <c r="K48" s="590"/>
      <c r="L48" s="590"/>
      <c r="M48" s="590"/>
      <c r="N48" s="590"/>
      <c r="O48" s="590"/>
      <c r="P48" s="590"/>
      <c r="Q48" s="590"/>
      <c r="R48" s="236"/>
      <c r="S48" s="236"/>
    </row>
    <row r="49" spans="1:19">
      <c r="D49" s="236"/>
      <c r="E49" s="591">
        <v>2000</v>
      </c>
      <c r="F49" s="591">
        <v>2001</v>
      </c>
      <c r="G49" s="591">
        <v>2002</v>
      </c>
      <c r="H49" s="591">
        <v>2003</v>
      </c>
      <c r="I49" s="591">
        <v>2004</v>
      </c>
      <c r="J49" s="591">
        <v>2005</v>
      </c>
      <c r="K49" s="591">
        <v>2006</v>
      </c>
      <c r="L49" s="591">
        <v>2007</v>
      </c>
      <c r="M49" s="591">
        <v>2008</v>
      </c>
      <c r="N49" s="591">
        <v>2009</v>
      </c>
      <c r="O49" s="591">
        <v>2010</v>
      </c>
      <c r="P49" s="591">
        <v>2011</v>
      </c>
      <c r="Q49" s="591">
        <v>2012</v>
      </c>
      <c r="R49" s="591">
        <v>2013</v>
      </c>
      <c r="S49" s="591">
        <v>2014</v>
      </c>
    </row>
    <row r="50" spans="1:19">
      <c r="A50" s="54"/>
      <c r="B50" s="40" t="s">
        <v>61</v>
      </c>
      <c r="C50" s="40"/>
      <c r="D50" s="40"/>
      <c r="E50" s="40"/>
      <c r="F50" s="41"/>
      <c r="G50" s="41"/>
      <c r="H50" s="41"/>
      <c r="I50" s="41"/>
      <c r="J50" s="41"/>
      <c r="K50" s="41"/>
      <c r="L50" s="41"/>
      <c r="M50" s="41"/>
      <c r="N50" s="41"/>
      <c r="O50" s="41"/>
      <c r="P50" s="41"/>
      <c r="Q50" s="41"/>
      <c r="R50" s="41"/>
      <c r="S50" s="41"/>
    </row>
    <row r="51" spans="1:19">
      <c r="A51" s="54"/>
      <c r="B51" s="40" t="s">
        <v>60</v>
      </c>
      <c r="C51" s="40"/>
      <c r="D51" s="40"/>
      <c r="E51" s="40"/>
      <c r="F51" s="41"/>
      <c r="G51" s="41"/>
      <c r="H51" s="41"/>
      <c r="I51" s="41"/>
      <c r="J51" s="41"/>
      <c r="K51" s="41"/>
      <c r="L51" s="41"/>
      <c r="M51" s="41"/>
      <c r="N51" s="41"/>
      <c r="O51" s="41"/>
      <c r="P51" s="41"/>
      <c r="Q51" s="41"/>
      <c r="R51" s="41"/>
      <c r="S51" s="41"/>
    </row>
    <row r="52" spans="1:19">
      <c r="A52" s="54">
        <v>31</v>
      </c>
      <c r="B52" s="40"/>
      <c r="C52" s="40" t="s">
        <v>59</v>
      </c>
      <c r="D52" s="40"/>
      <c r="E52" s="592">
        <f>'CBR Hist'!F58</f>
        <v>15127</v>
      </c>
      <c r="F52" s="592">
        <f>'CBR Hist'!G58</f>
        <v>16340</v>
      </c>
      <c r="G52" s="592">
        <f>'CBR Hist'!H58</f>
        <v>20910</v>
      </c>
      <c r="H52" s="592">
        <f>'CBR Hist'!I58</f>
        <v>21299</v>
      </c>
      <c r="I52" s="592">
        <f>'CBR Hist'!J58</f>
        <v>21374</v>
      </c>
      <c r="J52" s="592">
        <f>'CBR Hist'!K58</f>
        <v>22459</v>
      </c>
      <c r="K52" s="592">
        <f>'CBR Hist'!L58</f>
        <v>23458</v>
      </c>
      <c r="L52" s="592">
        <f>'CBR Hist'!M58</f>
        <v>20632</v>
      </c>
      <c r="M52" s="592">
        <f>'CBR Hist'!N58</f>
        <v>23321</v>
      </c>
      <c r="N52" s="592">
        <f>'CBR Hist'!O58</f>
        <v>57116</v>
      </c>
      <c r="O52" s="592">
        <f>'CBR Hist'!P58</f>
        <v>81955</v>
      </c>
      <c r="P52" s="592">
        <f>'CBR Hist'!Q58</f>
        <v>84081</v>
      </c>
      <c r="Q52" s="592">
        <f>'CBR Hist'!R58</f>
        <v>85247</v>
      </c>
      <c r="R52" s="592">
        <f>'CBR Hist'!S58</f>
        <v>91466</v>
      </c>
      <c r="S52" s="592">
        <f>'CBR Hist'!T58</f>
        <v>102620</v>
      </c>
    </row>
    <row r="53" spans="1:19">
      <c r="A53" s="54">
        <v>32</v>
      </c>
      <c r="B53" s="40"/>
      <c r="C53" s="40" t="s">
        <v>58</v>
      </c>
      <c r="D53" s="40"/>
      <c r="E53" s="194">
        <f>'CBR Hist'!F59</f>
        <v>369323</v>
      </c>
      <c r="F53" s="194">
        <f>'CBR Hist'!G59</f>
        <v>382522</v>
      </c>
      <c r="G53" s="194">
        <f>'CBR Hist'!H59</f>
        <v>598523</v>
      </c>
      <c r="H53" s="194">
        <f>'CBR Hist'!I59</f>
        <v>609668</v>
      </c>
      <c r="I53" s="194">
        <f>'CBR Hist'!J59</f>
        <v>651608</v>
      </c>
      <c r="J53" s="194">
        <f>'CBR Hist'!K59</f>
        <v>669043</v>
      </c>
      <c r="K53" s="194">
        <f>'CBR Hist'!L59</f>
        <v>703455</v>
      </c>
      <c r="L53" s="194">
        <f>'CBR Hist'!M59</f>
        <v>712962</v>
      </c>
      <c r="M53" s="194">
        <f>'CBR Hist'!N59</f>
        <v>724416</v>
      </c>
      <c r="N53" s="194">
        <f>'CBR Hist'!O59</f>
        <v>751055</v>
      </c>
      <c r="O53" s="194">
        <f>'CBR Hist'!P59</f>
        <v>767632</v>
      </c>
      <c r="P53" s="194">
        <f>'CBR Hist'!Q59</f>
        <v>706894</v>
      </c>
      <c r="Q53" s="194">
        <f>'CBR Hist'!R59</f>
        <v>717448</v>
      </c>
      <c r="R53" s="194">
        <f>'CBR Hist'!S59</f>
        <v>738315</v>
      </c>
      <c r="S53" s="194">
        <f>'CBR Hist'!T59</f>
        <v>746101</v>
      </c>
    </row>
    <row r="54" spans="1:19">
      <c r="A54" s="54">
        <v>33</v>
      </c>
      <c r="B54" s="40"/>
      <c r="C54" s="40" t="s">
        <v>57</v>
      </c>
      <c r="D54" s="40"/>
      <c r="E54" s="194">
        <f>'CBR Hist'!F60</f>
        <v>181627</v>
      </c>
      <c r="F54" s="194">
        <f>'CBR Hist'!G60</f>
        <v>191517</v>
      </c>
      <c r="G54" s="194">
        <f>'CBR Hist'!H60</f>
        <v>186550</v>
      </c>
      <c r="H54" s="194">
        <f>'CBR Hist'!I60</f>
        <v>196937</v>
      </c>
      <c r="I54" s="194">
        <f>'CBR Hist'!J60</f>
        <v>213539</v>
      </c>
      <c r="J54" s="194">
        <f>'CBR Hist'!K60</f>
        <v>224696</v>
      </c>
      <c r="K54" s="194">
        <f>'CBR Hist'!L60</f>
        <v>244435</v>
      </c>
      <c r="L54" s="194">
        <f>'CBR Hist'!M60</f>
        <v>259532</v>
      </c>
      <c r="M54" s="194">
        <f>'CBR Hist'!N60</f>
        <v>289302</v>
      </c>
      <c r="N54" s="194">
        <f>'CBR Hist'!O60</f>
        <v>301090</v>
      </c>
      <c r="O54" s="194">
        <f>'CBR Hist'!P60</f>
        <v>312505</v>
      </c>
      <c r="P54" s="194">
        <f>'CBR Hist'!Q60</f>
        <v>328012</v>
      </c>
      <c r="Q54" s="194">
        <f>'CBR Hist'!R60</f>
        <v>342382</v>
      </c>
      <c r="R54" s="194">
        <f>'CBR Hist'!S60</f>
        <v>359941</v>
      </c>
      <c r="S54" s="194">
        <f>'CBR Hist'!T60</f>
        <v>371971</v>
      </c>
    </row>
    <row r="55" spans="1:19">
      <c r="A55" s="54">
        <v>34</v>
      </c>
      <c r="B55" s="40"/>
      <c r="C55" s="40" t="s">
        <v>56</v>
      </c>
      <c r="D55" s="40"/>
      <c r="E55" s="194">
        <f>'CBR Hist'!F61</f>
        <v>398104</v>
      </c>
      <c r="F55" s="194">
        <f>'CBR Hist'!G61</f>
        <v>416427</v>
      </c>
      <c r="G55" s="194">
        <f>'CBR Hist'!H61</f>
        <v>429742</v>
      </c>
      <c r="H55" s="194">
        <f>'CBR Hist'!I61</f>
        <v>443424</v>
      </c>
      <c r="I55" s="194">
        <f>'CBR Hist'!J61</f>
        <v>459516</v>
      </c>
      <c r="J55" s="194">
        <f>'CBR Hist'!K61</f>
        <v>480638</v>
      </c>
      <c r="K55" s="194">
        <f>'CBR Hist'!L61</f>
        <v>502571</v>
      </c>
      <c r="L55" s="194">
        <f>'CBR Hist'!M61</f>
        <v>528809</v>
      </c>
      <c r="M55" s="194">
        <f>'CBR Hist'!N61</f>
        <v>561016</v>
      </c>
      <c r="N55" s="194">
        <f>'CBR Hist'!O61</f>
        <v>598884</v>
      </c>
      <c r="O55" s="194">
        <f>'CBR Hist'!P61</f>
        <v>638445</v>
      </c>
      <c r="P55" s="194">
        <f>'CBR Hist'!Q61</f>
        <v>696082</v>
      </c>
      <c r="Q55" s="194">
        <f>'CBR Hist'!R61</f>
        <v>743732</v>
      </c>
      <c r="R55" s="194">
        <f>'CBR Hist'!S61</f>
        <v>796640</v>
      </c>
      <c r="S55" s="194">
        <f>'CBR Hist'!T61</f>
        <v>842795</v>
      </c>
    </row>
    <row r="56" spans="1:19">
      <c r="A56" s="54">
        <v>35</v>
      </c>
      <c r="B56" s="40"/>
      <c r="C56" s="40" t="s">
        <v>55</v>
      </c>
      <c r="D56" s="40"/>
      <c r="E56" s="194">
        <f>'CBR Hist'!F62</f>
        <v>58402</v>
      </c>
      <c r="F56" s="194">
        <f>'CBR Hist'!G62</f>
        <v>59846</v>
      </c>
      <c r="G56" s="194">
        <f>'CBR Hist'!H62</f>
        <v>59771</v>
      </c>
      <c r="H56" s="194">
        <f>'CBR Hist'!I62</f>
        <v>60444</v>
      </c>
      <c r="I56" s="194">
        <f>'CBR Hist'!J62</f>
        <v>63155</v>
      </c>
      <c r="J56" s="194">
        <f>'CBR Hist'!K62</f>
        <v>65299</v>
      </c>
      <c r="K56" s="194">
        <f>'CBR Hist'!L62</f>
        <v>80110</v>
      </c>
      <c r="L56" s="194">
        <f>'CBR Hist'!M62</f>
        <v>81368</v>
      </c>
      <c r="M56" s="194">
        <f>'CBR Hist'!N62</f>
        <v>91205</v>
      </c>
      <c r="N56" s="194">
        <f>'CBR Hist'!O62</f>
        <v>98727</v>
      </c>
      <c r="O56" s="194">
        <f>'CBR Hist'!P62</f>
        <v>120996</v>
      </c>
      <c r="P56" s="194">
        <f>'CBR Hist'!Q62</f>
        <v>140218</v>
      </c>
      <c r="Q56" s="194">
        <f>'CBR Hist'!R62</f>
        <v>155104</v>
      </c>
      <c r="R56" s="194">
        <f>'CBR Hist'!S62</f>
        <v>179134</v>
      </c>
      <c r="S56" s="194">
        <f>'CBR Hist'!T62</f>
        <v>196867</v>
      </c>
    </row>
    <row r="57" spans="1:19">
      <c r="A57" s="54">
        <v>36</v>
      </c>
      <c r="B57" s="40" t="s">
        <v>54</v>
      </c>
      <c r="C57" s="40"/>
      <c r="D57" s="40"/>
      <c r="E57" s="427">
        <f>SUM(E52:E56)</f>
        <v>1022583</v>
      </c>
      <c r="F57" s="427">
        <f t="shared" ref="F57:O57" si="5">SUM(F52:F56)</f>
        <v>1066652</v>
      </c>
      <c r="G57" s="427">
        <f t="shared" si="5"/>
        <v>1295496</v>
      </c>
      <c r="H57" s="427">
        <f t="shared" si="5"/>
        <v>1331772</v>
      </c>
      <c r="I57" s="427">
        <f t="shared" si="5"/>
        <v>1409192</v>
      </c>
      <c r="J57" s="427">
        <f t="shared" si="5"/>
        <v>1462135</v>
      </c>
      <c r="K57" s="427">
        <f t="shared" si="5"/>
        <v>1554029</v>
      </c>
      <c r="L57" s="427">
        <f t="shared" si="5"/>
        <v>1603303</v>
      </c>
      <c r="M57" s="427">
        <f t="shared" si="5"/>
        <v>1689260</v>
      </c>
      <c r="N57" s="427">
        <f t="shared" si="5"/>
        <v>1806872</v>
      </c>
      <c r="O57" s="427">
        <f t="shared" si="5"/>
        <v>1921533</v>
      </c>
      <c r="P57" s="427">
        <f t="shared" ref="P57" si="6">SUM(P52:P56)</f>
        <v>1955287</v>
      </c>
      <c r="Q57" s="427">
        <f t="shared" ref="Q57:R57" si="7">SUM(Q52:Q56)</f>
        <v>2043913</v>
      </c>
      <c r="R57" s="427">
        <f t="shared" si="7"/>
        <v>2165496</v>
      </c>
      <c r="S57" s="427">
        <f t="shared" ref="S57" si="8">SUM(S52:S56)</f>
        <v>2260354</v>
      </c>
    </row>
    <row r="58" spans="1:19">
      <c r="A58" s="54"/>
      <c r="B58" s="40" t="s">
        <v>142</v>
      </c>
      <c r="C58" s="40"/>
      <c r="D58" s="40"/>
      <c r="E58" s="41"/>
      <c r="F58" s="41"/>
      <c r="G58" s="41"/>
      <c r="H58" s="41"/>
      <c r="I58" s="41"/>
      <c r="J58" s="41"/>
      <c r="K58" s="41"/>
      <c r="L58" s="41"/>
      <c r="M58" s="41"/>
      <c r="N58" s="41"/>
      <c r="O58" s="41"/>
      <c r="P58" s="41"/>
      <c r="Q58" s="41"/>
      <c r="R58" s="41"/>
      <c r="S58" s="41"/>
    </row>
    <row r="59" spans="1:19">
      <c r="A59" s="54">
        <v>37</v>
      </c>
      <c r="B59" s="40"/>
      <c r="C59" s="40" t="s">
        <v>59</v>
      </c>
      <c r="D59" s="40"/>
      <c r="E59" s="196" t="s">
        <v>280</v>
      </c>
      <c r="F59" s="196" t="s">
        <v>280</v>
      </c>
      <c r="G59" s="196" t="s">
        <v>280</v>
      </c>
      <c r="H59" s="196" t="s">
        <v>280</v>
      </c>
      <c r="I59" s="196" t="s">
        <v>280</v>
      </c>
      <c r="J59" s="196" t="s">
        <v>280</v>
      </c>
      <c r="K59" s="196" t="s">
        <v>280</v>
      </c>
      <c r="L59" s="196" t="s">
        <v>280</v>
      </c>
      <c r="M59" s="196" t="s">
        <v>280</v>
      </c>
      <c r="N59" s="196" t="s">
        <v>280</v>
      </c>
      <c r="O59" s="196" t="s">
        <v>280</v>
      </c>
      <c r="P59" s="194">
        <f>'CBR Hist'!Q65</f>
        <v>3744</v>
      </c>
      <c r="Q59" s="194">
        <f>'CBR Hist'!R65</f>
        <v>4369</v>
      </c>
      <c r="R59" s="194">
        <f>'CBR Hist'!S65</f>
        <v>17667</v>
      </c>
      <c r="S59" s="194">
        <f>'CBR Hist'!T65</f>
        <v>20242</v>
      </c>
    </row>
    <row r="60" spans="1:19">
      <c r="A60" s="54">
        <v>38</v>
      </c>
      <c r="B60" s="40"/>
      <c r="C60" s="40" t="s">
        <v>58</v>
      </c>
      <c r="D60" s="40"/>
      <c r="E60" s="196" t="s">
        <v>280</v>
      </c>
      <c r="F60" s="196" t="s">
        <v>280</v>
      </c>
      <c r="G60" s="196" t="s">
        <v>280</v>
      </c>
      <c r="H60" s="196" t="s">
        <v>280</v>
      </c>
      <c r="I60" s="196" t="s">
        <v>280</v>
      </c>
      <c r="J60" s="196" t="s">
        <v>280</v>
      </c>
      <c r="K60" s="196" t="s">
        <v>280</v>
      </c>
      <c r="L60" s="196" t="s">
        <v>280</v>
      </c>
      <c r="M60" s="196" t="s">
        <v>280</v>
      </c>
      <c r="N60" s="196" t="s">
        <v>280</v>
      </c>
      <c r="O60" s="196" t="s">
        <v>280</v>
      </c>
      <c r="P60" s="194">
        <f>'CBR Hist'!Q66</f>
        <v>286300</v>
      </c>
      <c r="Q60" s="194">
        <f>'CBR Hist'!R66</f>
        <v>300170</v>
      </c>
      <c r="R60" s="194">
        <f>'CBR Hist'!S66</f>
        <v>314599</v>
      </c>
      <c r="S60" s="194">
        <f>'CBR Hist'!T66</f>
        <v>325531</v>
      </c>
    </row>
    <row r="61" spans="1:19">
      <c r="A61" s="54">
        <v>39</v>
      </c>
      <c r="B61" s="40"/>
      <c r="C61" s="40" t="s">
        <v>57</v>
      </c>
      <c r="D61" s="40"/>
      <c r="E61" s="196" t="s">
        <v>280</v>
      </c>
      <c r="F61" s="196" t="s">
        <v>280</v>
      </c>
      <c r="G61" s="196" t="s">
        <v>280</v>
      </c>
      <c r="H61" s="196" t="s">
        <v>280</v>
      </c>
      <c r="I61" s="196" t="s">
        <v>280</v>
      </c>
      <c r="J61" s="196" t="s">
        <v>280</v>
      </c>
      <c r="K61" s="196" t="s">
        <v>280</v>
      </c>
      <c r="L61" s="196" t="s">
        <v>280</v>
      </c>
      <c r="M61" s="196" t="s">
        <v>280</v>
      </c>
      <c r="N61" s="196" t="s">
        <v>280</v>
      </c>
      <c r="O61" s="196" t="s">
        <v>280</v>
      </c>
      <c r="P61" s="194">
        <f>'CBR Hist'!Q67</f>
        <v>111144</v>
      </c>
      <c r="Q61" s="194">
        <f>'CBR Hist'!R67</f>
        <v>116316</v>
      </c>
      <c r="R61" s="194">
        <f>'CBR Hist'!S67</f>
        <v>122308</v>
      </c>
      <c r="S61" s="194">
        <f>'CBR Hist'!T67</f>
        <v>123869</v>
      </c>
    </row>
    <row r="62" spans="1:19">
      <c r="A62" s="54">
        <v>40</v>
      </c>
      <c r="B62" s="40"/>
      <c r="C62" s="40" t="s">
        <v>56</v>
      </c>
      <c r="D62" s="40"/>
      <c r="E62" s="196" t="s">
        <v>280</v>
      </c>
      <c r="F62" s="196" t="s">
        <v>280</v>
      </c>
      <c r="G62" s="196" t="s">
        <v>280</v>
      </c>
      <c r="H62" s="196" t="s">
        <v>280</v>
      </c>
      <c r="I62" s="196" t="s">
        <v>280</v>
      </c>
      <c r="J62" s="196" t="s">
        <v>280</v>
      </c>
      <c r="K62" s="196" t="s">
        <v>280</v>
      </c>
      <c r="L62" s="196" t="s">
        <v>280</v>
      </c>
      <c r="M62" s="196" t="s">
        <v>280</v>
      </c>
      <c r="N62" s="196" t="s">
        <v>280</v>
      </c>
      <c r="O62" s="196" t="s">
        <v>280</v>
      </c>
      <c r="P62" s="194">
        <f>'CBR Hist'!Q68</f>
        <v>209101</v>
      </c>
      <c r="Q62" s="194">
        <f>'CBR Hist'!R68</f>
        <v>221408</v>
      </c>
      <c r="R62" s="194">
        <f>'CBR Hist'!S68</f>
        <v>236201</v>
      </c>
      <c r="S62" s="194">
        <f>'CBR Hist'!T68</f>
        <v>252722</v>
      </c>
    </row>
    <row r="63" spans="1:19">
      <c r="A63" s="54">
        <v>41</v>
      </c>
      <c r="B63" s="40"/>
      <c r="C63" s="40" t="s">
        <v>55</v>
      </c>
      <c r="D63" s="40"/>
      <c r="E63" s="196" t="s">
        <v>280</v>
      </c>
      <c r="F63" s="196" t="s">
        <v>280</v>
      </c>
      <c r="G63" s="196" t="s">
        <v>280</v>
      </c>
      <c r="H63" s="196" t="s">
        <v>280</v>
      </c>
      <c r="I63" s="196" t="s">
        <v>280</v>
      </c>
      <c r="J63" s="196" t="s">
        <v>280</v>
      </c>
      <c r="K63" s="196" t="s">
        <v>280</v>
      </c>
      <c r="L63" s="196" t="s">
        <v>280</v>
      </c>
      <c r="M63" s="196" t="s">
        <v>280</v>
      </c>
      <c r="N63" s="196" t="s">
        <v>280</v>
      </c>
      <c r="O63" s="196" t="s">
        <v>280</v>
      </c>
      <c r="P63" s="194">
        <f>'CBR Hist'!Q69</f>
        <v>56694</v>
      </c>
      <c r="Q63" s="194">
        <f>'CBR Hist'!R69</f>
        <v>61871</v>
      </c>
      <c r="R63" s="194">
        <f>'CBR Hist'!S69</f>
        <v>58357</v>
      </c>
      <c r="S63" s="194">
        <f>'CBR Hist'!T69</f>
        <v>65720</v>
      </c>
    </row>
    <row r="64" spans="1:19">
      <c r="A64" s="54">
        <v>42</v>
      </c>
      <c r="B64" s="40" t="s">
        <v>143</v>
      </c>
      <c r="C64" s="40"/>
      <c r="D64" s="40"/>
      <c r="E64" s="194">
        <f>'CBR Hist'!F70</f>
        <v>348345</v>
      </c>
      <c r="F64" s="194">
        <f>'CBR Hist'!G70</f>
        <v>359654</v>
      </c>
      <c r="G64" s="194">
        <f>'CBR Hist'!H70</f>
        <v>418593</v>
      </c>
      <c r="H64" s="194">
        <f>'CBR Hist'!I70</f>
        <v>450096</v>
      </c>
      <c r="I64" s="194">
        <f>'CBR Hist'!J70</f>
        <v>475935</v>
      </c>
      <c r="J64" s="194">
        <f>'CBR Hist'!K70</f>
        <v>503194</v>
      </c>
      <c r="K64" s="194">
        <f>'CBR Hist'!L70</f>
        <v>536682</v>
      </c>
      <c r="L64" s="194">
        <f>'CBR Hist'!M70</f>
        <v>567320</v>
      </c>
      <c r="M64" s="194">
        <f>'CBR Hist'!N70</f>
        <v>600292</v>
      </c>
      <c r="N64" s="194">
        <f>'CBR Hist'!O70</f>
        <v>632110</v>
      </c>
      <c r="O64" s="194">
        <f>'CBR Hist'!P70</f>
        <v>676635</v>
      </c>
      <c r="P64" s="431">
        <f>SUM(P59:P63)</f>
        <v>666983</v>
      </c>
      <c r="Q64" s="431">
        <f>SUM(Q59:Q63)</f>
        <v>704134</v>
      </c>
      <c r="R64" s="431">
        <f>SUM(R59:R63)</f>
        <v>749132</v>
      </c>
      <c r="S64" s="431">
        <f>SUM(S59:S63)</f>
        <v>788084</v>
      </c>
    </row>
    <row r="65" spans="1:19">
      <c r="A65" s="54">
        <v>43</v>
      </c>
      <c r="B65" s="40" t="s">
        <v>144</v>
      </c>
      <c r="C65" s="40"/>
      <c r="D65" s="40"/>
      <c r="E65" s="430">
        <f t="shared" ref="E65" si="9">E57-E64</f>
        <v>674238</v>
      </c>
      <c r="F65" s="430">
        <f t="shared" ref="F65:O65" si="10">F57-F64</f>
        <v>706998</v>
      </c>
      <c r="G65" s="430">
        <f t="shared" si="10"/>
        <v>876903</v>
      </c>
      <c r="H65" s="430">
        <f t="shared" si="10"/>
        <v>881676</v>
      </c>
      <c r="I65" s="430">
        <f t="shared" si="10"/>
        <v>933257</v>
      </c>
      <c r="J65" s="430">
        <f t="shared" si="10"/>
        <v>958941</v>
      </c>
      <c r="K65" s="430">
        <f t="shared" si="10"/>
        <v>1017347</v>
      </c>
      <c r="L65" s="430">
        <f t="shared" si="10"/>
        <v>1035983</v>
      </c>
      <c r="M65" s="430">
        <f t="shared" si="10"/>
        <v>1088968</v>
      </c>
      <c r="N65" s="430">
        <f t="shared" si="10"/>
        <v>1174762</v>
      </c>
      <c r="O65" s="430">
        <f t="shared" si="10"/>
        <v>1244898</v>
      </c>
      <c r="P65" s="430">
        <f t="shared" ref="P65:Q65" si="11">P57-P64</f>
        <v>1288304</v>
      </c>
      <c r="Q65" s="430">
        <f t="shared" si="11"/>
        <v>1339779</v>
      </c>
      <c r="R65" s="430">
        <f t="shared" ref="R65:S65" si="12">R57-R64</f>
        <v>1416364</v>
      </c>
      <c r="S65" s="430">
        <f t="shared" si="12"/>
        <v>1472270</v>
      </c>
    </row>
    <row r="66" spans="1:19">
      <c r="A66" s="54"/>
      <c r="B66" s="40"/>
      <c r="C66" s="40"/>
      <c r="D66" s="40"/>
      <c r="E66" s="194"/>
      <c r="F66" s="194"/>
      <c r="G66" s="194"/>
      <c r="H66" s="194"/>
      <c r="I66" s="194"/>
      <c r="J66" s="194"/>
      <c r="K66" s="194"/>
      <c r="L66" s="194"/>
      <c r="M66" s="194"/>
      <c r="N66" s="194"/>
      <c r="O66" s="194"/>
      <c r="P66" s="194"/>
      <c r="Q66" s="194"/>
      <c r="R66" s="194"/>
      <c r="S66" s="194"/>
    </row>
    <row r="67" spans="1:19">
      <c r="A67" s="54">
        <v>44</v>
      </c>
      <c r="B67" s="40" t="s">
        <v>52</v>
      </c>
      <c r="C67" s="40"/>
      <c r="D67" s="40"/>
      <c r="E67" s="44">
        <f>'CBR Hist'!F73</f>
        <v>-104246</v>
      </c>
      <c r="F67" s="44">
        <f>'CBR Hist'!G73</f>
        <v>-108113</v>
      </c>
      <c r="G67" s="44">
        <f>'CBR Hist'!H73</f>
        <v>-113807</v>
      </c>
      <c r="H67" s="44">
        <f>'CBR Hist'!I73</f>
        <v>-138127</v>
      </c>
      <c r="I67" s="44">
        <f>'CBR Hist'!J73</f>
        <v>-154531</v>
      </c>
      <c r="J67" s="44">
        <f>'CBR Hist'!K73</f>
        <v>-138256</v>
      </c>
      <c r="K67" s="44">
        <f>'CBR Hist'!L73</f>
        <v>-142383</v>
      </c>
      <c r="L67" s="44">
        <f>'CBR Hist'!M73</f>
        <v>-143546</v>
      </c>
      <c r="M67" s="44">
        <f>'CBR Hist'!N73</f>
        <v>-151677</v>
      </c>
      <c r="N67" s="44">
        <f>'CBR Hist'!O73</f>
        <v>-169421</v>
      </c>
      <c r="O67" s="44">
        <f>'CBR Hist'!P73</f>
        <v>-190931</v>
      </c>
      <c r="P67" s="44">
        <f>'CBR Hist'!Q73</f>
        <v>-201163</v>
      </c>
      <c r="Q67" s="44">
        <f>'CBR Hist'!R73</f>
        <v>-208209</v>
      </c>
      <c r="R67" s="44">
        <f>'CBR Hist'!S73</f>
        <v>-221354</v>
      </c>
      <c r="S67" s="44">
        <f>'CBR Hist'!T73</f>
        <v>-257766</v>
      </c>
    </row>
    <row r="68" spans="1:19">
      <c r="A68" s="54">
        <v>45</v>
      </c>
      <c r="B68" s="40"/>
      <c r="C68" s="40" t="s">
        <v>294</v>
      </c>
      <c r="D68" s="40"/>
      <c r="E68" s="427">
        <f>E65+E67</f>
        <v>569992</v>
      </c>
      <c r="F68" s="427">
        <f t="shared" ref="F68:O68" si="13">F65+F67</f>
        <v>598885</v>
      </c>
      <c r="G68" s="427">
        <f t="shared" si="13"/>
        <v>763096</v>
      </c>
      <c r="H68" s="427">
        <f t="shared" si="13"/>
        <v>743549</v>
      </c>
      <c r="I68" s="427">
        <f t="shared" si="13"/>
        <v>778726</v>
      </c>
      <c r="J68" s="427">
        <f t="shared" si="13"/>
        <v>820685</v>
      </c>
      <c r="K68" s="427">
        <f t="shared" si="13"/>
        <v>874964</v>
      </c>
      <c r="L68" s="427">
        <f t="shared" si="13"/>
        <v>892437</v>
      </c>
      <c r="M68" s="427">
        <f t="shared" si="13"/>
        <v>937291</v>
      </c>
      <c r="N68" s="427">
        <f t="shared" si="13"/>
        <v>1005341</v>
      </c>
      <c r="O68" s="427">
        <f t="shared" si="13"/>
        <v>1053967</v>
      </c>
      <c r="P68" s="427">
        <f t="shared" ref="P68" si="14">P65+P67</f>
        <v>1087141</v>
      </c>
      <c r="Q68" s="427">
        <f t="shared" ref="Q68:R68" si="15">Q65+Q67</f>
        <v>1131570</v>
      </c>
      <c r="R68" s="427">
        <f t="shared" si="15"/>
        <v>1195010</v>
      </c>
      <c r="S68" s="427">
        <f t="shared" ref="S68" si="16">S65+S67</f>
        <v>1214504</v>
      </c>
    </row>
    <row r="69" spans="1:19">
      <c r="A69" s="54">
        <v>46</v>
      </c>
      <c r="B69" s="40" t="s">
        <v>146</v>
      </c>
      <c r="C69" s="40"/>
      <c r="D69" s="40"/>
      <c r="E69" s="194">
        <f>'CBR Hist'!F75</f>
        <v>-1500</v>
      </c>
      <c r="F69" s="194">
        <f>'CBR Hist'!G75</f>
        <v>-1370</v>
      </c>
      <c r="G69" s="194">
        <f>'CBR Hist'!H75</f>
        <v>-1238</v>
      </c>
      <c r="H69" s="194">
        <f>'CBR Hist'!I75</f>
        <v>-1106</v>
      </c>
      <c r="I69" s="194">
        <f>'CBR Hist'!J75</f>
        <v>-715</v>
      </c>
      <c r="J69" s="194">
        <f>'CBR Hist'!K75</f>
        <v>-843</v>
      </c>
      <c r="K69" s="194">
        <f>'CBR Hist'!L75</f>
        <v>-453</v>
      </c>
      <c r="L69" s="194">
        <f>'CBR Hist'!M75</f>
        <v>-582</v>
      </c>
      <c r="M69" s="194">
        <f>'CBR Hist'!N75</f>
        <v>-451</v>
      </c>
      <c r="N69" s="194">
        <f>'CBR Hist'!O75</f>
        <v>-322</v>
      </c>
      <c r="O69" s="194">
        <f>'CBR Hist'!P75</f>
        <v>-127</v>
      </c>
      <c r="P69" s="194">
        <f>'CBR Hist'!Q75</f>
        <v>32534</v>
      </c>
      <c r="Q69" s="194">
        <f>'CBR Hist'!R75</f>
        <v>16438</v>
      </c>
      <c r="R69" s="194">
        <f>'CBR Hist'!S75</f>
        <v>14761</v>
      </c>
      <c r="S69" s="194">
        <f>'CBR Hist'!T75</f>
        <v>10846</v>
      </c>
    </row>
    <row r="70" spans="1:19">
      <c r="A70" s="54">
        <v>47</v>
      </c>
      <c r="B70" s="40" t="s">
        <v>53</v>
      </c>
      <c r="C70" s="40"/>
      <c r="D70" s="40"/>
      <c r="E70" s="194">
        <f>'CBR Hist'!F76</f>
        <v>0</v>
      </c>
      <c r="F70" s="194">
        <f>'CBR Hist'!G76</f>
        <v>0</v>
      </c>
      <c r="G70" s="194">
        <f>'CBR Hist'!H76</f>
        <v>0</v>
      </c>
      <c r="H70" s="194">
        <f>'CBR Hist'!I76</f>
        <v>0</v>
      </c>
      <c r="I70" s="194">
        <f>'CBR Hist'!J76</f>
        <v>0</v>
      </c>
      <c r="J70" s="194">
        <f>'CBR Hist'!K76</f>
        <v>0</v>
      </c>
      <c r="K70" s="194">
        <f>'CBR Hist'!L76</f>
        <v>0</v>
      </c>
      <c r="L70" s="194">
        <f>'CBR Hist'!M76</f>
        <v>0</v>
      </c>
      <c r="M70" s="194">
        <f>'CBR Hist'!N76</f>
        <v>0</v>
      </c>
      <c r="N70" s="194">
        <f>'CBR Hist'!O76</f>
        <v>0</v>
      </c>
      <c r="O70" s="194">
        <f>'CBR Hist'!P76</f>
        <v>18188</v>
      </c>
      <c r="P70" s="194">
        <f>'CBR Hist'!Q76</f>
        <v>18188</v>
      </c>
      <c r="Q70" s="194">
        <f>'CBR Hist'!R76</f>
        <v>10967</v>
      </c>
      <c r="R70" s="194">
        <f>'CBR Hist'!S76</f>
        <v>16281</v>
      </c>
      <c r="S70" s="194">
        <f>'CBR Hist'!T76</f>
        <v>47807</v>
      </c>
    </row>
    <row r="71" spans="1:19">
      <c r="A71" s="54"/>
      <c r="B71" s="40"/>
      <c r="C71" s="40"/>
      <c r="D71" s="40"/>
      <c r="E71" s="41"/>
      <c r="F71" s="41"/>
      <c r="G71" s="41"/>
      <c r="H71" s="41"/>
      <c r="I71" s="41"/>
      <c r="J71" s="41"/>
      <c r="K71" s="41"/>
      <c r="L71" s="41"/>
      <c r="M71" s="41"/>
      <c r="N71" s="41"/>
      <c r="O71" s="41"/>
      <c r="P71" s="41"/>
      <c r="Q71" s="41"/>
      <c r="R71" s="41"/>
      <c r="S71" s="41"/>
    </row>
    <row r="72" spans="1:19" ht="13.5" thickBot="1">
      <c r="A72" s="54">
        <v>48</v>
      </c>
      <c r="B72" s="40" t="s">
        <v>51</v>
      </c>
      <c r="C72" s="40"/>
      <c r="D72" s="40"/>
      <c r="E72" s="429">
        <f>SUM(E68:E71)</f>
        <v>568492</v>
      </c>
      <c r="F72" s="429">
        <f t="shared" ref="F72:O72" si="17">SUM(F68:F71)</f>
        <v>597515</v>
      </c>
      <c r="G72" s="429">
        <f t="shared" si="17"/>
        <v>761858</v>
      </c>
      <c r="H72" s="429">
        <f t="shared" si="17"/>
        <v>742443</v>
      </c>
      <c r="I72" s="429">
        <f t="shared" si="17"/>
        <v>778011</v>
      </c>
      <c r="J72" s="429">
        <f t="shared" si="17"/>
        <v>819842</v>
      </c>
      <c r="K72" s="429">
        <f t="shared" si="17"/>
        <v>874511</v>
      </c>
      <c r="L72" s="429">
        <f t="shared" si="17"/>
        <v>891855</v>
      </c>
      <c r="M72" s="429">
        <f t="shared" si="17"/>
        <v>936840</v>
      </c>
      <c r="N72" s="429">
        <f t="shared" si="17"/>
        <v>1005019</v>
      </c>
      <c r="O72" s="429">
        <f t="shared" si="17"/>
        <v>1072028</v>
      </c>
      <c r="P72" s="429">
        <f t="shared" ref="P72" si="18">SUM(P68:P71)</f>
        <v>1137863</v>
      </c>
      <c r="Q72" s="429">
        <f t="shared" ref="Q72:R72" si="19">SUM(Q68:Q71)</f>
        <v>1158975</v>
      </c>
      <c r="R72" s="429">
        <f t="shared" si="19"/>
        <v>1226052</v>
      </c>
      <c r="S72" s="429">
        <f t="shared" ref="S72" si="20">SUM(S68:S71)</f>
        <v>1273157</v>
      </c>
    </row>
    <row r="73" spans="1:19" ht="13.5" thickTop="1">
      <c r="D73" s="236"/>
      <c r="E73" s="236" t="str">
        <f>IF(E65+E67+E69+E70=E72,"","check total")</f>
        <v/>
      </c>
      <c r="F73" s="236" t="str">
        <f t="shared" ref="F73:Q73" si="21">IF(F65+F67+F69+F70=F72,"","check total")</f>
        <v/>
      </c>
      <c r="G73" s="236" t="str">
        <f t="shared" si="21"/>
        <v/>
      </c>
      <c r="H73" s="236" t="str">
        <f t="shared" si="21"/>
        <v/>
      </c>
      <c r="I73" s="236" t="str">
        <f t="shared" si="21"/>
        <v/>
      </c>
      <c r="J73" s="236" t="str">
        <f t="shared" si="21"/>
        <v/>
      </c>
      <c r="K73" s="236" t="str">
        <f t="shared" si="21"/>
        <v/>
      </c>
      <c r="L73" s="236" t="str">
        <f t="shared" si="21"/>
        <v/>
      </c>
      <c r="M73" s="236" t="str">
        <f t="shared" si="21"/>
        <v/>
      </c>
      <c r="N73" s="236" t="str">
        <f t="shared" si="21"/>
        <v/>
      </c>
      <c r="O73" s="236" t="str">
        <f t="shared" si="21"/>
        <v/>
      </c>
      <c r="P73" s="236" t="str">
        <f t="shared" si="21"/>
        <v/>
      </c>
      <c r="Q73" s="236" t="str">
        <f t="shared" si="21"/>
        <v/>
      </c>
      <c r="R73" s="236"/>
      <c r="S73" s="236"/>
    </row>
    <row r="74" spans="1:19">
      <c r="D74" s="236"/>
      <c r="E74" s="593">
        <f>E49</f>
        <v>2000</v>
      </c>
      <c r="F74" s="593">
        <f t="shared" ref="F74:R74" si="22">F49</f>
        <v>2001</v>
      </c>
      <c r="G74" s="593">
        <f t="shared" si="22"/>
        <v>2002</v>
      </c>
      <c r="H74" s="593">
        <f t="shared" si="22"/>
        <v>2003</v>
      </c>
      <c r="I74" s="593">
        <f t="shared" si="22"/>
        <v>2004</v>
      </c>
      <c r="J74" s="593">
        <f t="shared" si="22"/>
        <v>2005</v>
      </c>
      <c r="K74" s="593">
        <f t="shared" si="22"/>
        <v>2006</v>
      </c>
      <c r="L74" s="593">
        <f t="shared" si="22"/>
        <v>2007</v>
      </c>
      <c r="M74" s="593">
        <f t="shared" si="22"/>
        <v>2008</v>
      </c>
      <c r="N74" s="593">
        <f t="shared" si="22"/>
        <v>2009</v>
      </c>
      <c r="O74" s="593">
        <f t="shared" si="22"/>
        <v>2010</v>
      </c>
      <c r="P74" s="593">
        <f t="shared" si="22"/>
        <v>2011</v>
      </c>
      <c r="Q74" s="593">
        <f t="shared" si="22"/>
        <v>2012</v>
      </c>
      <c r="R74" s="593">
        <f t="shared" si="22"/>
        <v>2013</v>
      </c>
      <c r="S74" s="593">
        <f t="shared" ref="S74" si="23">S49</f>
        <v>2014</v>
      </c>
    </row>
    <row r="75" spans="1:19">
      <c r="B75" s="46" t="s">
        <v>246</v>
      </c>
      <c r="D75" s="236"/>
      <c r="E75" s="236"/>
      <c r="F75" s="236"/>
      <c r="G75" s="236"/>
      <c r="H75" s="236"/>
      <c r="I75" s="236"/>
      <c r="J75" s="236"/>
      <c r="K75" s="236"/>
      <c r="L75" s="236"/>
      <c r="M75" s="236"/>
      <c r="N75" s="236"/>
      <c r="O75" s="236"/>
      <c r="P75" s="236"/>
      <c r="Q75" s="236"/>
      <c r="R75" s="236"/>
      <c r="S75" s="236"/>
    </row>
    <row r="76" spans="1:19">
      <c r="A76" s="12" t="s">
        <v>332</v>
      </c>
      <c r="D76" s="594" t="s">
        <v>239</v>
      </c>
      <c r="E76" s="238">
        <v>-1500</v>
      </c>
      <c r="F76" s="238">
        <v>-1370</v>
      </c>
      <c r="G76" s="238">
        <v>-1238</v>
      </c>
      <c r="H76" s="238">
        <v>-1106</v>
      </c>
      <c r="I76" s="238">
        <v>-715</v>
      </c>
      <c r="J76" s="238">
        <v>-843</v>
      </c>
      <c r="K76" s="238">
        <v>-453</v>
      </c>
      <c r="L76" s="238">
        <v>-582</v>
      </c>
      <c r="M76" s="238">
        <v>-451</v>
      </c>
      <c r="N76" s="238">
        <v>-322</v>
      </c>
      <c r="O76" s="238">
        <v>-127</v>
      </c>
      <c r="P76" s="238">
        <v>-66</v>
      </c>
      <c r="Q76" s="238">
        <v>0</v>
      </c>
      <c r="R76" s="238">
        <v>0</v>
      </c>
      <c r="S76" s="238">
        <v>0</v>
      </c>
    </row>
    <row r="77" spans="1:19">
      <c r="A77" s="12" t="s">
        <v>350</v>
      </c>
      <c r="D77" s="594" t="s">
        <v>337</v>
      </c>
      <c r="E77" s="238">
        <v>525</v>
      </c>
      <c r="F77" s="238">
        <v>480</v>
      </c>
      <c r="G77" s="238">
        <v>433</v>
      </c>
      <c r="H77" s="238">
        <v>387</v>
      </c>
      <c r="I77" s="238">
        <v>250</v>
      </c>
      <c r="J77" s="238">
        <v>295</v>
      </c>
      <c r="K77" s="238">
        <v>158</v>
      </c>
      <c r="L77" s="238">
        <v>204</v>
      </c>
      <c r="M77" s="238">
        <v>158</v>
      </c>
      <c r="N77" s="238">
        <v>113</v>
      </c>
      <c r="O77" s="238"/>
      <c r="P77" s="238">
        <v>23</v>
      </c>
      <c r="Q77" s="238">
        <v>0</v>
      </c>
      <c r="R77" s="238">
        <v>0</v>
      </c>
      <c r="S77" s="238">
        <v>0</v>
      </c>
    </row>
    <row r="78" spans="1:19">
      <c r="A78" s="12" t="s">
        <v>333</v>
      </c>
      <c r="D78" s="594" t="s">
        <v>348</v>
      </c>
      <c r="E78" s="238">
        <v>-7073</v>
      </c>
      <c r="F78" s="238">
        <v>-6807</v>
      </c>
      <c r="G78" s="238">
        <v>-7557</v>
      </c>
      <c r="H78" s="238">
        <v>-7254</v>
      </c>
      <c r="I78" s="238">
        <v>-7325</v>
      </c>
      <c r="J78" s="238">
        <v>-7278</v>
      </c>
      <c r="K78" s="238">
        <v>-7175</v>
      </c>
      <c r="L78" s="238">
        <v>-7452</v>
      </c>
      <c r="M78" s="238">
        <v>-7490</v>
      </c>
      <c r="N78" s="238">
        <v>-7390</v>
      </c>
      <c r="O78" s="238">
        <v>-7325</v>
      </c>
      <c r="P78" s="238">
        <v>-7307</v>
      </c>
      <c r="Q78" s="238">
        <v>-7359</v>
      </c>
      <c r="R78" s="238">
        <v>-7318</v>
      </c>
      <c r="S78" s="238">
        <v>-7426</v>
      </c>
    </row>
    <row r="79" spans="1:19">
      <c r="A79" s="12" t="s">
        <v>333</v>
      </c>
      <c r="D79" s="594" t="s">
        <v>335</v>
      </c>
      <c r="E79" s="238">
        <v>3571</v>
      </c>
      <c r="F79" s="238">
        <v>3642</v>
      </c>
      <c r="G79" s="238">
        <v>4272</v>
      </c>
      <c r="H79" s="238">
        <v>4318</v>
      </c>
      <c r="I79" s="238">
        <v>5023</v>
      </c>
      <c r="J79" s="238">
        <v>4772</v>
      </c>
      <c r="K79" s="238">
        <v>4920</v>
      </c>
      <c r="L79" s="238">
        <v>5110</v>
      </c>
      <c r="M79" s="238">
        <v>5572</v>
      </c>
      <c r="N79" s="238">
        <v>5690</v>
      </c>
      <c r="O79" s="238">
        <v>5832</v>
      </c>
      <c r="P79" s="238">
        <v>6008</v>
      </c>
      <c r="Q79" s="238">
        <v>6242</v>
      </c>
      <c r="R79" s="238">
        <v>6375</v>
      </c>
      <c r="S79" s="238">
        <v>6614</v>
      </c>
    </row>
    <row r="80" spans="1:19">
      <c r="A80" s="12" t="s">
        <v>334</v>
      </c>
      <c r="D80" s="594" t="s">
        <v>348</v>
      </c>
      <c r="E80" s="238">
        <v>682</v>
      </c>
      <c r="F80" s="238">
        <v>651</v>
      </c>
      <c r="G80" s="238">
        <v>619</v>
      </c>
      <c r="H80" s="238">
        <v>587</v>
      </c>
      <c r="I80" s="238">
        <v>492</v>
      </c>
      <c r="J80" s="238">
        <v>524</v>
      </c>
      <c r="K80" s="238">
        <v>492</v>
      </c>
      <c r="L80" s="238">
        <v>460</v>
      </c>
      <c r="M80" s="238">
        <v>429</v>
      </c>
      <c r="N80" s="238">
        <v>426</v>
      </c>
      <c r="O80" s="238">
        <v>365</v>
      </c>
      <c r="P80" s="238">
        <v>1111</v>
      </c>
      <c r="Q80" s="238">
        <v>1111</v>
      </c>
      <c r="R80" s="238">
        <v>1111</v>
      </c>
      <c r="S80" s="238">
        <v>1111</v>
      </c>
    </row>
    <row r="81" spans="1:19">
      <c r="A81" s="12" t="s">
        <v>334</v>
      </c>
      <c r="D81" s="594" t="s">
        <v>335</v>
      </c>
      <c r="E81" s="238"/>
      <c r="F81" s="238"/>
      <c r="G81" s="238"/>
      <c r="H81" s="238"/>
      <c r="I81" s="238"/>
      <c r="J81" s="238"/>
      <c r="K81" s="238"/>
      <c r="L81" s="238"/>
      <c r="M81" s="238"/>
      <c r="N81" s="238"/>
      <c r="O81" s="238"/>
      <c r="P81" s="238">
        <v>-778</v>
      </c>
      <c r="Q81" s="238">
        <v>-809</v>
      </c>
      <c r="R81" s="238">
        <v>-841</v>
      </c>
      <c r="S81" s="238">
        <v>-873</v>
      </c>
    </row>
    <row r="82" spans="1:19">
      <c r="A82" s="12" t="s">
        <v>336</v>
      </c>
      <c r="D82" s="594" t="s">
        <v>348</v>
      </c>
      <c r="E82" s="238">
        <v>-5248</v>
      </c>
      <c r="F82" s="238">
        <v>-5248</v>
      </c>
      <c r="G82" s="238">
        <v>-5248</v>
      </c>
      <c r="H82" s="238">
        <v>-5248</v>
      </c>
      <c r="I82" s="238">
        <v>-5248</v>
      </c>
      <c r="J82" s="238">
        <v>-5248</v>
      </c>
      <c r="K82" s="238">
        <v>-5248</v>
      </c>
      <c r="L82" s="238">
        <v>-5248</v>
      </c>
      <c r="M82" s="238">
        <v>-5248</v>
      </c>
      <c r="N82" s="238">
        <v>-5248</v>
      </c>
      <c r="O82" s="238">
        <v>-5248</v>
      </c>
      <c r="P82" s="238">
        <v>-5248</v>
      </c>
      <c r="Q82" s="238">
        <v>-5248</v>
      </c>
      <c r="R82" s="238">
        <v>-5248</v>
      </c>
      <c r="S82" s="238">
        <v>-5248</v>
      </c>
    </row>
    <row r="83" spans="1:19">
      <c r="A83" s="12" t="s">
        <v>336</v>
      </c>
      <c r="D83" s="594" t="s">
        <v>335</v>
      </c>
      <c r="E83" s="238">
        <v>2619</v>
      </c>
      <c r="F83" s="238">
        <v>2783</v>
      </c>
      <c r="G83" s="238">
        <v>2947</v>
      </c>
      <c r="H83" s="238">
        <v>3111</v>
      </c>
      <c r="I83" s="238">
        <v>3559</v>
      </c>
      <c r="J83" s="238">
        <v>3424</v>
      </c>
      <c r="K83" s="238">
        <v>3559</v>
      </c>
      <c r="L83" s="238">
        <v>3695</v>
      </c>
      <c r="M83" s="238">
        <v>3830</v>
      </c>
      <c r="N83" s="238">
        <v>3964</v>
      </c>
      <c r="O83" s="238">
        <v>4100</v>
      </c>
      <c r="P83" s="238">
        <v>4235</v>
      </c>
      <c r="Q83" s="238">
        <v>4370</v>
      </c>
      <c r="R83" s="238">
        <v>4505</v>
      </c>
      <c r="S83" s="238">
        <v>4640</v>
      </c>
    </row>
    <row r="84" spans="1:19">
      <c r="A84" s="12" t="s">
        <v>336</v>
      </c>
      <c r="D84" s="594" t="s">
        <v>337</v>
      </c>
      <c r="E84" s="238">
        <v>1004</v>
      </c>
      <c r="F84" s="238">
        <v>948</v>
      </c>
      <c r="G84" s="238">
        <v>892</v>
      </c>
      <c r="H84" s="238">
        <v>836</v>
      </c>
      <c r="I84" s="238">
        <v>668</v>
      </c>
      <c r="J84" s="238">
        <v>724</v>
      </c>
      <c r="K84" s="238">
        <v>696</v>
      </c>
      <c r="L84" s="238">
        <v>640</v>
      </c>
      <c r="M84" s="238">
        <v>584</v>
      </c>
      <c r="N84" s="238">
        <v>528</v>
      </c>
      <c r="O84" s="238">
        <v>472</v>
      </c>
      <c r="P84" s="238">
        <v>416</v>
      </c>
      <c r="Q84" s="238">
        <v>360</v>
      </c>
      <c r="R84" s="238">
        <v>303</v>
      </c>
      <c r="S84" s="238">
        <v>247</v>
      </c>
    </row>
    <row r="85" spans="1:19">
      <c r="A85" s="12" t="s">
        <v>338</v>
      </c>
      <c r="D85" s="594" t="s">
        <v>348</v>
      </c>
      <c r="E85" s="238"/>
      <c r="F85" s="238"/>
      <c r="G85" s="238">
        <v>79626</v>
      </c>
      <c r="H85" s="238">
        <v>79626</v>
      </c>
      <c r="I85" s="238">
        <v>79626</v>
      </c>
      <c r="J85" s="238">
        <v>79626</v>
      </c>
      <c r="K85" s="238">
        <v>79626</v>
      </c>
      <c r="L85" s="238">
        <v>79626</v>
      </c>
      <c r="M85" s="238">
        <v>79626</v>
      </c>
      <c r="N85" s="238">
        <v>79626</v>
      </c>
      <c r="O85" s="238">
        <v>79626</v>
      </c>
      <c r="P85" s="238">
        <v>79626</v>
      </c>
      <c r="Q85" s="238">
        <v>79626</v>
      </c>
      <c r="R85" s="238">
        <v>79626</v>
      </c>
      <c r="S85" s="238">
        <v>79626</v>
      </c>
    </row>
    <row r="86" spans="1:19">
      <c r="A86" s="12" t="s">
        <v>338</v>
      </c>
      <c r="D86" s="594" t="s">
        <v>335</v>
      </c>
      <c r="E86" s="238"/>
      <c r="F86" s="238"/>
      <c r="G86" s="238">
        <v>-37568</v>
      </c>
      <c r="H86" s="238">
        <v>-40018</v>
      </c>
      <c r="I86" s="238">
        <v>-47368</v>
      </c>
      <c r="J86" s="238">
        <v>-44918</v>
      </c>
      <c r="K86" s="238">
        <v>-52268</v>
      </c>
      <c r="L86" s="238">
        <v>-49818</v>
      </c>
      <c r="M86" s="238">
        <v>-52268</v>
      </c>
      <c r="N86" s="238">
        <v>-55943</v>
      </c>
      <c r="O86" s="238">
        <v>-57168</v>
      </c>
      <c r="P86" s="238">
        <v>-59618</v>
      </c>
      <c r="Q86" s="238">
        <v>-62068</v>
      </c>
      <c r="R86" s="238">
        <v>-64518</v>
      </c>
      <c r="S86" s="238">
        <v>-66968</v>
      </c>
    </row>
    <row r="87" spans="1:19">
      <c r="A87" s="12" t="s">
        <v>338</v>
      </c>
      <c r="D87" s="594" t="s">
        <v>337</v>
      </c>
      <c r="E87" s="238"/>
      <c r="F87" s="238"/>
      <c r="G87" s="238">
        <v>-7339</v>
      </c>
      <c r="H87" s="238">
        <v>-6898</v>
      </c>
      <c r="I87" s="238">
        <v>-5577</v>
      </c>
      <c r="J87" s="238">
        <v>-6017</v>
      </c>
      <c r="K87" s="238">
        <v>-4917</v>
      </c>
      <c r="L87" s="238">
        <v>-5357</v>
      </c>
      <c r="M87" s="238">
        <v>-4917</v>
      </c>
      <c r="N87" s="238">
        <v>-4256</v>
      </c>
      <c r="O87" s="238">
        <v>-4036</v>
      </c>
      <c r="P87" s="238">
        <v>-3596</v>
      </c>
      <c r="Q87" s="238">
        <v>-3155</v>
      </c>
      <c r="R87" s="238">
        <v>-2715</v>
      </c>
      <c r="S87" s="238">
        <v>-2275</v>
      </c>
    </row>
    <row r="88" spans="1:19">
      <c r="A88" s="12" t="s">
        <v>344</v>
      </c>
      <c r="D88" s="594" t="s">
        <v>348</v>
      </c>
      <c r="E88" s="238">
        <v>-74560</v>
      </c>
      <c r="F88" s="238">
        <v>-66845</v>
      </c>
      <c r="G88" s="238">
        <v>-14205</v>
      </c>
      <c r="H88" s="238">
        <v>-14205</v>
      </c>
      <c r="I88" s="238">
        <v>-14205</v>
      </c>
      <c r="J88" s="238">
        <v>-14205</v>
      </c>
      <c r="K88" s="238">
        <v>-14205</v>
      </c>
      <c r="L88" s="238"/>
      <c r="M88" s="238"/>
      <c r="N88" s="238"/>
      <c r="O88" s="238"/>
      <c r="P88" s="238"/>
      <c r="Q88" s="238"/>
      <c r="R88" s="236"/>
      <c r="S88" s="236"/>
    </row>
    <row r="89" spans="1:19">
      <c r="A89" s="12" t="s">
        <v>344</v>
      </c>
      <c r="D89" s="594" t="s">
        <v>335</v>
      </c>
      <c r="E89" s="238">
        <v>147</v>
      </c>
      <c r="F89" s="238">
        <v>7011</v>
      </c>
      <c r="G89" s="238">
        <v>3107</v>
      </c>
      <c r="H89" s="238">
        <v>4883</v>
      </c>
      <c r="I89" s="238">
        <v>10210</v>
      </c>
      <c r="J89" s="238">
        <v>8434</v>
      </c>
      <c r="K89" s="238">
        <v>13706</v>
      </c>
      <c r="L89" s="238"/>
      <c r="M89" s="238"/>
      <c r="N89" s="238"/>
      <c r="O89" s="238"/>
      <c r="P89" s="238"/>
      <c r="Q89" s="238"/>
      <c r="R89" s="236"/>
      <c r="S89" s="236"/>
    </row>
    <row r="90" spans="1:19">
      <c r="A90" s="12" t="s">
        <v>344</v>
      </c>
      <c r="D90" s="594" t="s">
        <v>337</v>
      </c>
      <c r="E90" s="238"/>
      <c r="F90" s="238"/>
      <c r="G90" s="238">
        <v>3574</v>
      </c>
      <c r="H90" s="238">
        <v>2952</v>
      </c>
      <c r="I90" s="238">
        <v>1088</v>
      </c>
      <c r="J90" s="238">
        <v>1709</v>
      </c>
      <c r="K90" s="238">
        <v>175</v>
      </c>
      <c r="L90" s="238"/>
      <c r="M90" s="238"/>
      <c r="N90" s="238"/>
      <c r="O90" s="238"/>
      <c r="P90" s="238"/>
      <c r="Q90" s="238"/>
      <c r="R90" s="236"/>
      <c r="S90" s="236"/>
    </row>
    <row r="91" spans="1:19">
      <c r="A91" s="12" t="s">
        <v>339</v>
      </c>
      <c r="D91" s="594" t="s">
        <v>348</v>
      </c>
      <c r="E91" s="238"/>
      <c r="F91" s="238"/>
      <c r="G91" s="238"/>
      <c r="H91" s="238"/>
      <c r="I91" s="238"/>
      <c r="J91" s="238"/>
      <c r="K91" s="238"/>
      <c r="L91" s="238"/>
      <c r="M91" s="238"/>
      <c r="N91" s="238">
        <f>673+247</f>
        <v>920</v>
      </c>
      <c r="O91" s="238">
        <f>1647+1201</f>
        <v>2848</v>
      </c>
      <c r="P91" s="238">
        <f>1432+104+687+436</f>
        <v>2659</v>
      </c>
      <c r="Q91" s="238">
        <f>1554+113+743+472</f>
        <v>2882</v>
      </c>
      <c r="R91" s="238">
        <f>1554+113+743+472</f>
        <v>2882</v>
      </c>
      <c r="S91" s="238">
        <f>1554+113+743+472</f>
        <v>2882</v>
      </c>
    </row>
    <row r="92" spans="1:19">
      <c r="A92" s="12" t="s">
        <v>339</v>
      </c>
      <c r="D92" s="594" t="s">
        <v>335</v>
      </c>
      <c r="E92" s="238"/>
      <c r="F92" s="238"/>
      <c r="G92" s="238"/>
      <c r="H92" s="238"/>
      <c r="I92" s="238"/>
      <c r="J92" s="238"/>
      <c r="K92" s="238"/>
      <c r="L92" s="238"/>
      <c r="M92" s="238"/>
      <c r="N92" s="238"/>
      <c r="O92" s="238"/>
      <c r="P92" s="238"/>
      <c r="Q92" s="238">
        <f>-273-20-129-82</f>
        <v>-504</v>
      </c>
      <c r="R92" s="238">
        <f>-425-31-202-129</f>
        <v>-787</v>
      </c>
      <c r="S92" s="238">
        <f>-578-42-275-175</f>
        <v>-1070</v>
      </c>
    </row>
    <row r="93" spans="1:19">
      <c r="A93" s="12" t="s">
        <v>339</v>
      </c>
      <c r="D93" s="363" t="s">
        <v>337</v>
      </c>
      <c r="E93" s="357"/>
      <c r="F93" s="357"/>
      <c r="G93" s="357"/>
      <c r="H93" s="357"/>
      <c r="I93" s="357"/>
      <c r="J93" s="357"/>
      <c r="K93" s="357"/>
      <c r="L93" s="357"/>
      <c r="M93" s="357"/>
      <c r="N93" s="357">
        <f>-236-78</f>
        <v>-314</v>
      </c>
      <c r="O93" s="357">
        <f>-476-429</f>
        <v>-905</v>
      </c>
      <c r="P93" s="357">
        <f>-501-36-240-153</f>
        <v>-930</v>
      </c>
      <c r="Q93" s="357">
        <f>-448-33-215-136</f>
        <v>-832</v>
      </c>
      <c r="R93" s="357">
        <f>-395-189-121</f>
        <v>-705</v>
      </c>
      <c r="S93" s="238">
        <f>-342-163-104</f>
        <v>-609</v>
      </c>
    </row>
    <row r="94" spans="1:19">
      <c r="A94" s="12" t="s">
        <v>340</v>
      </c>
      <c r="D94" s="363" t="s">
        <v>348</v>
      </c>
      <c r="E94" s="357"/>
      <c r="F94" s="357"/>
      <c r="G94" s="357"/>
      <c r="H94" s="357"/>
      <c r="I94" s="357"/>
      <c r="J94" s="357"/>
      <c r="K94" s="357"/>
      <c r="L94" s="357"/>
      <c r="M94" s="357"/>
      <c r="N94" s="357">
        <v>5075</v>
      </c>
      <c r="O94" s="357">
        <v>4398</v>
      </c>
      <c r="P94" s="357">
        <v>3721</v>
      </c>
      <c r="Q94" s="357">
        <v>3045</v>
      </c>
      <c r="R94" s="357">
        <v>2368</v>
      </c>
      <c r="S94" s="238">
        <v>1692</v>
      </c>
    </row>
    <row r="95" spans="1:19">
      <c r="A95" s="12" t="s">
        <v>340</v>
      </c>
      <c r="D95" s="363" t="s">
        <v>337</v>
      </c>
      <c r="E95" s="357"/>
      <c r="F95" s="357"/>
      <c r="G95" s="357"/>
      <c r="H95" s="357"/>
      <c r="I95" s="357"/>
      <c r="J95" s="357"/>
      <c r="K95" s="357"/>
      <c r="L95" s="357"/>
      <c r="M95" s="357"/>
      <c r="N95" s="357">
        <v>-1776</v>
      </c>
      <c r="O95" s="357">
        <v>-1539</v>
      </c>
      <c r="P95" s="357">
        <v>-1303</v>
      </c>
      <c r="Q95" s="357">
        <v>-1066</v>
      </c>
      <c r="R95" s="357">
        <v>-829</v>
      </c>
      <c r="S95" s="238">
        <v>-592</v>
      </c>
    </row>
    <row r="96" spans="1:19">
      <c r="A96" s="12" t="s">
        <v>341</v>
      </c>
      <c r="D96" s="363" t="s">
        <v>348</v>
      </c>
      <c r="E96" s="357"/>
      <c r="F96" s="357"/>
      <c r="G96" s="357"/>
      <c r="H96" s="357"/>
      <c r="I96" s="357"/>
      <c r="J96" s="357"/>
      <c r="K96" s="357"/>
      <c r="L96" s="357"/>
      <c r="M96" s="357"/>
      <c r="N96" s="357"/>
      <c r="O96" s="357">
        <v>279</v>
      </c>
      <c r="P96" s="357">
        <v>6007</v>
      </c>
      <c r="Q96" s="357">
        <v>4647</v>
      </c>
      <c r="R96" s="357">
        <v>3287</v>
      </c>
      <c r="S96" s="238">
        <v>1927</v>
      </c>
    </row>
    <row r="97" spans="1:19">
      <c r="A97" s="12" t="s">
        <v>341</v>
      </c>
      <c r="D97" s="363" t="s">
        <v>337</v>
      </c>
      <c r="E97" s="357"/>
      <c r="F97" s="357"/>
      <c r="G97" s="357"/>
      <c r="H97" s="357"/>
      <c r="I97" s="357"/>
      <c r="J97" s="357"/>
      <c r="K97" s="357"/>
      <c r="L97" s="357"/>
      <c r="M97" s="357"/>
      <c r="N97" s="357"/>
      <c r="O97" s="357">
        <v>-98</v>
      </c>
      <c r="P97" s="357">
        <v>-2102</v>
      </c>
      <c r="Q97" s="357">
        <v>-1626</v>
      </c>
      <c r="R97" s="357">
        <v>-1150</v>
      </c>
      <c r="S97" s="238">
        <v>-674</v>
      </c>
    </row>
    <row r="98" spans="1:19">
      <c r="A98" s="12" t="s">
        <v>345</v>
      </c>
      <c r="D98" s="363" t="s">
        <v>348</v>
      </c>
      <c r="E98" s="357">
        <v>24</v>
      </c>
      <c r="F98" s="357">
        <v>479</v>
      </c>
      <c r="G98" s="357">
        <v>286</v>
      </c>
      <c r="H98" s="357">
        <v>95</v>
      </c>
      <c r="I98" s="357"/>
      <c r="J98" s="357"/>
      <c r="K98" s="357"/>
      <c r="L98" s="357"/>
      <c r="M98" s="357"/>
      <c r="N98" s="357"/>
      <c r="O98" s="357"/>
      <c r="P98" s="357"/>
      <c r="Q98" s="357"/>
      <c r="R98" s="357"/>
      <c r="S98" s="238"/>
    </row>
    <row r="99" spans="1:19">
      <c r="A99" s="12" t="s">
        <v>342</v>
      </c>
      <c r="D99" s="363" t="s">
        <v>349</v>
      </c>
      <c r="E99" s="357">
        <v>-848</v>
      </c>
      <c r="F99" s="357">
        <v>-487</v>
      </c>
      <c r="G99" s="357">
        <v>-245</v>
      </c>
      <c r="H99" s="357">
        <v>-225</v>
      </c>
      <c r="I99" s="357">
        <v>-223</v>
      </c>
      <c r="J99" s="357">
        <v>-248</v>
      </c>
      <c r="K99" s="357">
        <v>-267</v>
      </c>
      <c r="L99" s="357">
        <v>-258</v>
      </c>
      <c r="M99" s="357">
        <v>-232</v>
      </c>
      <c r="N99" s="357">
        <v>-257</v>
      </c>
      <c r="O99" s="357">
        <v>-279</v>
      </c>
      <c r="P99" s="357">
        <f>-248-22</f>
        <v>-270</v>
      </c>
      <c r="Q99" s="357">
        <v>-236</v>
      </c>
      <c r="R99" s="357">
        <v>-363</v>
      </c>
      <c r="S99" s="238">
        <v>-438</v>
      </c>
    </row>
    <row r="100" spans="1:19">
      <c r="A100" s="12" t="s">
        <v>343</v>
      </c>
      <c r="D100" s="363" t="s">
        <v>349</v>
      </c>
      <c r="E100" s="357"/>
      <c r="F100" s="357"/>
      <c r="G100" s="357"/>
      <c r="H100" s="357"/>
      <c r="I100" s="357"/>
      <c r="J100" s="357"/>
      <c r="K100" s="357"/>
      <c r="L100" s="357"/>
      <c r="M100" s="357"/>
      <c r="N100" s="357">
        <v>-3060</v>
      </c>
      <c r="O100" s="357">
        <v>-3419</v>
      </c>
      <c r="P100" s="357">
        <v>-3743</v>
      </c>
      <c r="Q100" s="357">
        <v>-2942</v>
      </c>
      <c r="R100" s="357">
        <v>-1222</v>
      </c>
      <c r="S100" s="238">
        <v>-1720</v>
      </c>
    </row>
    <row r="101" spans="1:19">
      <c r="A101" s="12"/>
      <c r="S101" s="236"/>
    </row>
    <row r="102" spans="1:19">
      <c r="A102" s="12" t="s">
        <v>8</v>
      </c>
      <c r="E102" s="358">
        <f t="shared" ref="E102:M102" si="24">SUM(E76:E100)</f>
        <v>-80657</v>
      </c>
      <c r="F102" s="358">
        <f t="shared" si="24"/>
        <v>-64763</v>
      </c>
      <c r="G102" s="358">
        <f t="shared" si="24"/>
        <v>22356</v>
      </c>
      <c r="H102" s="358">
        <f t="shared" si="24"/>
        <v>21841</v>
      </c>
      <c r="I102" s="358">
        <f t="shared" si="24"/>
        <v>20255</v>
      </c>
      <c r="J102" s="358">
        <f t="shared" si="24"/>
        <v>20751</v>
      </c>
      <c r="K102" s="358">
        <f t="shared" si="24"/>
        <v>18799</v>
      </c>
      <c r="L102" s="358">
        <f t="shared" si="24"/>
        <v>21020</v>
      </c>
      <c r="M102" s="358">
        <f t="shared" si="24"/>
        <v>19593</v>
      </c>
      <c r="N102" s="358">
        <f t="shared" ref="N102:S102" si="25">SUM(N76:N100)</f>
        <v>17776</v>
      </c>
      <c r="O102" s="358">
        <f t="shared" si="25"/>
        <v>17776</v>
      </c>
      <c r="P102" s="358">
        <f t="shared" si="25"/>
        <v>18845</v>
      </c>
      <c r="Q102" s="358">
        <f t="shared" si="25"/>
        <v>16438</v>
      </c>
      <c r="R102" s="358">
        <f t="shared" si="25"/>
        <v>14761</v>
      </c>
      <c r="S102" s="590">
        <f t="shared" si="25"/>
        <v>10846</v>
      </c>
    </row>
    <row r="103" spans="1:19">
      <c r="A103" s="12" t="s">
        <v>346</v>
      </c>
      <c r="E103" s="358">
        <f>E78+E80+E82+E85+E88+E91+E94+E96+E98</f>
        <v>-86175</v>
      </c>
      <c r="F103" s="358">
        <f t="shared" ref="F103:O103" si="26">F78+F80+F82+F85+F88+F91+F94+F96+F98</f>
        <v>-77770</v>
      </c>
      <c r="G103" s="358">
        <f t="shared" si="26"/>
        <v>53521</v>
      </c>
      <c r="H103" s="358">
        <f t="shared" si="26"/>
        <v>53601</v>
      </c>
      <c r="I103" s="358">
        <f t="shared" si="26"/>
        <v>53340</v>
      </c>
      <c r="J103" s="358">
        <f t="shared" si="26"/>
        <v>53419</v>
      </c>
      <c r="K103" s="358">
        <f t="shared" si="26"/>
        <v>53490</v>
      </c>
      <c r="L103" s="358">
        <f t="shared" si="26"/>
        <v>67386</v>
      </c>
      <c r="M103" s="358">
        <f t="shared" si="26"/>
        <v>67317</v>
      </c>
      <c r="N103" s="358">
        <f t="shared" si="26"/>
        <v>73409</v>
      </c>
      <c r="O103" s="358">
        <f t="shared" si="26"/>
        <v>74943</v>
      </c>
      <c r="P103" s="358"/>
      <c r="Q103" s="358"/>
      <c r="R103" s="358"/>
      <c r="S103" s="590"/>
    </row>
    <row r="104" spans="1:19">
      <c r="A104" s="12" t="s">
        <v>347</v>
      </c>
      <c r="E104" s="358">
        <f>E99+E100</f>
        <v>-848</v>
      </c>
      <c r="F104" s="358">
        <f t="shared" ref="F104:O104" si="27">F99+F100</f>
        <v>-487</v>
      </c>
      <c r="G104" s="358">
        <f t="shared" si="27"/>
        <v>-245</v>
      </c>
      <c r="H104" s="358">
        <f t="shared" si="27"/>
        <v>-225</v>
      </c>
      <c r="I104" s="358">
        <f t="shared" si="27"/>
        <v>-223</v>
      </c>
      <c r="J104" s="358">
        <f t="shared" si="27"/>
        <v>-248</v>
      </c>
      <c r="K104" s="358">
        <f t="shared" si="27"/>
        <v>-267</v>
      </c>
      <c r="L104" s="358">
        <f t="shared" si="27"/>
        <v>-258</v>
      </c>
      <c r="M104" s="358">
        <f t="shared" si="27"/>
        <v>-232</v>
      </c>
      <c r="N104" s="358">
        <f t="shared" si="27"/>
        <v>-3317</v>
      </c>
      <c r="O104" s="358">
        <f t="shared" si="27"/>
        <v>-3698</v>
      </c>
      <c r="P104" s="358"/>
      <c r="Q104" s="358"/>
      <c r="R104" s="358"/>
      <c r="S104" s="590"/>
    </row>
    <row r="105" spans="1:19">
      <c r="A105" s="12" t="s">
        <v>335</v>
      </c>
      <c r="E105" s="358">
        <f>E79+E81+E83+E86+E89+E92</f>
        <v>6337</v>
      </c>
      <c r="F105" s="358">
        <f t="shared" ref="F105:O105" si="28">F79+F81+F83+F86+F89+F92</f>
        <v>13436</v>
      </c>
      <c r="G105" s="358">
        <f t="shared" si="28"/>
        <v>-27242</v>
      </c>
      <c r="H105" s="358">
        <f t="shared" si="28"/>
        <v>-27706</v>
      </c>
      <c r="I105" s="358">
        <f t="shared" si="28"/>
        <v>-28576</v>
      </c>
      <c r="J105" s="358">
        <f t="shared" si="28"/>
        <v>-28288</v>
      </c>
      <c r="K105" s="358">
        <f t="shared" si="28"/>
        <v>-30083</v>
      </c>
      <c r="L105" s="358">
        <f t="shared" si="28"/>
        <v>-41013</v>
      </c>
      <c r="M105" s="358">
        <f t="shared" si="28"/>
        <v>-42866</v>
      </c>
      <c r="N105" s="358">
        <f t="shared" si="28"/>
        <v>-46289</v>
      </c>
      <c r="O105" s="358">
        <f t="shared" si="28"/>
        <v>-47236</v>
      </c>
      <c r="P105" s="358"/>
      <c r="Q105" s="358"/>
      <c r="R105" s="358"/>
      <c r="S105" s="590"/>
    </row>
    <row r="106" spans="1:19">
      <c r="A106" s="12" t="s">
        <v>337</v>
      </c>
      <c r="E106" s="358">
        <f>E77+E84+E87+E90+E93+E95+E97</f>
        <v>1529</v>
      </c>
      <c r="F106" s="358">
        <f t="shared" ref="F106:O106" si="29">F77+F84+F87+F90+F93+F95+F97</f>
        <v>1428</v>
      </c>
      <c r="G106" s="358">
        <f t="shared" si="29"/>
        <v>-2440</v>
      </c>
      <c r="H106" s="358">
        <f t="shared" si="29"/>
        <v>-2723</v>
      </c>
      <c r="I106" s="358">
        <f t="shared" si="29"/>
        <v>-3571</v>
      </c>
      <c r="J106" s="358">
        <f t="shared" si="29"/>
        <v>-3289</v>
      </c>
      <c r="K106" s="358">
        <f t="shared" si="29"/>
        <v>-3888</v>
      </c>
      <c r="L106" s="358">
        <f t="shared" si="29"/>
        <v>-4513</v>
      </c>
      <c r="M106" s="358">
        <f t="shared" si="29"/>
        <v>-4175</v>
      </c>
      <c r="N106" s="358">
        <f t="shared" si="29"/>
        <v>-5705</v>
      </c>
      <c r="O106" s="358">
        <f t="shared" si="29"/>
        <v>-6106</v>
      </c>
      <c r="P106" s="358"/>
      <c r="Q106" s="358"/>
      <c r="R106" s="358"/>
      <c r="S106" s="590"/>
    </row>
    <row r="107" spans="1:19">
      <c r="A107" s="12" t="s">
        <v>239</v>
      </c>
      <c r="E107" s="358">
        <f t="shared" ref="E107" si="30">E76</f>
        <v>-1500</v>
      </c>
      <c r="F107" s="358">
        <f t="shared" ref="F107:O107" si="31">F76</f>
        <v>-1370</v>
      </c>
      <c r="G107" s="358">
        <f t="shared" si="31"/>
        <v>-1238</v>
      </c>
      <c r="H107" s="358">
        <f t="shared" si="31"/>
        <v>-1106</v>
      </c>
      <c r="I107" s="358">
        <f t="shared" si="31"/>
        <v>-715</v>
      </c>
      <c r="J107" s="358">
        <f t="shared" si="31"/>
        <v>-843</v>
      </c>
      <c r="K107" s="358">
        <f t="shared" si="31"/>
        <v>-453</v>
      </c>
      <c r="L107" s="358">
        <f t="shared" si="31"/>
        <v>-582</v>
      </c>
      <c r="M107" s="358">
        <f t="shared" si="31"/>
        <v>-451</v>
      </c>
      <c r="N107" s="358">
        <f t="shared" si="31"/>
        <v>-322</v>
      </c>
      <c r="O107" s="358">
        <f t="shared" si="31"/>
        <v>-127</v>
      </c>
      <c r="P107" s="358">
        <f>P69</f>
        <v>32534</v>
      </c>
      <c r="Q107" s="358">
        <f t="shared" ref="Q107" si="32">Q69</f>
        <v>16438</v>
      </c>
      <c r="R107" s="358">
        <f>R69</f>
        <v>14761</v>
      </c>
      <c r="S107" s="590">
        <f>S69</f>
        <v>10846</v>
      </c>
    </row>
    <row r="108" spans="1:19">
      <c r="S108" s="236"/>
    </row>
    <row r="109" spans="1:19">
      <c r="O109" s="363" t="s">
        <v>509</v>
      </c>
      <c r="P109" s="358">
        <f>P102-P107</f>
        <v>-13689</v>
      </c>
      <c r="S109" s="236"/>
    </row>
    <row r="110" spans="1:19">
      <c r="O110" s="363" t="s">
        <v>510</v>
      </c>
      <c r="P110" s="358">
        <f>-P109</f>
        <v>13689</v>
      </c>
      <c r="S110" s="236"/>
    </row>
    <row r="111" spans="1:19">
      <c r="P111" s="358"/>
      <c r="Q111" s="358"/>
      <c r="R111" s="358"/>
      <c r="S111" s="358"/>
    </row>
  </sheetData>
  <printOptions horizontalCentered="1"/>
  <pageMargins left="0.23" right="0.2" top="0.75" bottom="0.75" header="0.3" footer="0.54"/>
  <pageSetup scale="80" orientation="landscape" r:id="rId1"/>
  <headerFooter>
    <oddFooter>&amp;C&amp;F /&amp;A&amp;RPage &amp;P</oddFooter>
  </headerFooter>
  <rowBreaks count="2" manualBreakCount="2">
    <brk id="48" max="16383" man="1"/>
    <brk id="73"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57"/>
  <sheetViews>
    <sheetView topLeftCell="E1" workbookViewId="0">
      <selection activeCell="I55" sqref="I55"/>
    </sheetView>
  </sheetViews>
  <sheetFormatPr defaultColWidth="9.140625" defaultRowHeight="12.75"/>
  <cols>
    <col min="1" max="1" width="6.7109375" style="156" hidden="1" customWidth="1"/>
    <col min="2" max="2" width="3.42578125" style="156" hidden="1" customWidth="1"/>
    <col min="3" max="3" width="26.140625" style="156" hidden="1" customWidth="1"/>
    <col min="4" max="4" width="9" style="156" hidden="1" customWidth="1"/>
    <col min="5" max="5" width="6.7109375" style="156" customWidth="1"/>
    <col min="6" max="6" width="3.42578125" style="156" customWidth="1"/>
    <col min="7" max="7" width="26.140625" style="156" customWidth="1"/>
    <col min="8" max="8" width="9" style="156" bestFit="1" customWidth="1"/>
    <col min="9" max="20" width="7.5703125" style="156" bestFit="1" customWidth="1"/>
    <col min="21" max="22" width="9.140625" style="156"/>
    <col min="23" max="23" width="10.42578125" style="156" customWidth="1"/>
    <col min="24" max="16384" width="9.140625" style="156"/>
  </cols>
  <sheetData>
    <row r="2" spans="1:24">
      <c r="A2" s="156" t="s">
        <v>94</v>
      </c>
      <c r="E2" s="156" t="s">
        <v>94</v>
      </c>
    </row>
    <row r="3" spans="1:24">
      <c r="A3" s="156" t="s">
        <v>134</v>
      </c>
      <c r="E3" s="156" t="s">
        <v>134</v>
      </c>
    </row>
    <row r="4" spans="1:24">
      <c r="A4" s="156" t="s">
        <v>233</v>
      </c>
      <c r="E4" s="156" t="s">
        <v>296</v>
      </c>
    </row>
    <row r="5" spans="1:24">
      <c r="A5" s="156" t="s">
        <v>93</v>
      </c>
      <c r="E5" s="156" t="s">
        <v>93</v>
      </c>
    </row>
    <row r="7" spans="1:24">
      <c r="I7" s="165">
        <v>2000</v>
      </c>
      <c r="J7" s="165">
        <v>2001</v>
      </c>
      <c r="K7" s="165">
        <v>2002</v>
      </c>
      <c r="L7" s="165">
        <v>2003</v>
      </c>
      <c r="M7" s="165">
        <v>2004</v>
      </c>
      <c r="N7" s="165">
        <v>2005</v>
      </c>
      <c r="O7" s="165">
        <v>2006</v>
      </c>
      <c r="P7" s="165">
        <v>2007</v>
      </c>
      <c r="Q7" s="165">
        <v>2008</v>
      </c>
      <c r="R7" s="165">
        <v>2009</v>
      </c>
      <c r="S7" s="165">
        <v>2010</v>
      </c>
      <c r="T7" s="165">
        <v>2011</v>
      </c>
      <c r="U7" s="165">
        <v>2012</v>
      </c>
      <c r="V7" s="555" t="s">
        <v>643</v>
      </c>
      <c r="W7" s="555"/>
      <c r="X7" s="556"/>
    </row>
    <row r="8" spans="1:24">
      <c r="A8" s="158" t="s">
        <v>3</v>
      </c>
      <c r="E8" s="158" t="s">
        <v>3</v>
      </c>
      <c r="I8" s="158" t="s">
        <v>92</v>
      </c>
      <c r="J8" s="158" t="s">
        <v>92</v>
      </c>
      <c r="K8" s="158" t="s">
        <v>92</v>
      </c>
      <c r="L8" s="158" t="s">
        <v>92</v>
      </c>
      <c r="M8" s="158" t="s">
        <v>92</v>
      </c>
      <c r="N8" s="158" t="s">
        <v>92</v>
      </c>
      <c r="O8" s="158" t="s">
        <v>92</v>
      </c>
      <c r="P8" s="158" t="s">
        <v>92</v>
      </c>
      <c r="Q8" s="158" t="s">
        <v>92</v>
      </c>
      <c r="R8" s="158" t="s">
        <v>92</v>
      </c>
      <c r="S8" s="158" t="s">
        <v>92</v>
      </c>
      <c r="T8" s="158" t="s">
        <v>92</v>
      </c>
      <c r="U8" s="349" t="s">
        <v>92</v>
      </c>
      <c r="V8" s="563" t="s">
        <v>515</v>
      </c>
    </row>
    <row r="9" spans="1:24">
      <c r="A9" s="159" t="s">
        <v>90</v>
      </c>
      <c r="C9" s="160" t="s">
        <v>4</v>
      </c>
      <c r="D9" s="158" t="s">
        <v>234</v>
      </c>
      <c r="E9" s="159" t="s">
        <v>90</v>
      </c>
      <c r="G9" s="160" t="s">
        <v>4</v>
      </c>
      <c r="H9" s="158" t="s">
        <v>234</v>
      </c>
      <c r="I9" s="159" t="s">
        <v>236</v>
      </c>
      <c r="J9" s="159" t="s">
        <v>236</v>
      </c>
      <c r="K9" s="159" t="s">
        <v>236</v>
      </c>
      <c r="L9" s="159" t="s">
        <v>236</v>
      </c>
      <c r="M9" s="159" t="s">
        <v>236</v>
      </c>
      <c r="N9" s="159" t="s">
        <v>236</v>
      </c>
      <c r="O9" s="159" t="s">
        <v>236</v>
      </c>
      <c r="P9" s="159" t="s">
        <v>236</v>
      </c>
      <c r="Q9" s="159" t="s">
        <v>236</v>
      </c>
      <c r="R9" s="159" t="s">
        <v>236</v>
      </c>
      <c r="S9" s="159" t="s">
        <v>236</v>
      </c>
      <c r="T9" s="159" t="s">
        <v>236</v>
      </c>
      <c r="U9" s="159" t="s">
        <v>236</v>
      </c>
    </row>
    <row r="10" spans="1:24">
      <c r="A10" s="158"/>
      <c r="E10" s="158"/>
    </row>
    <row r="11" spans="1:24">
      <c r="A11" s="158"/>
      <c r="B11" s="156" t="s">
        <v>86</v>
      </c>
      <c r="E11" s="158"/>
      <c r="F11" s="156" t="s">
        <v>86</v>
      </c>
    </row>
    <row r="12" spans="1:24">
      <c r="A12" s="158">
        <v>1</v>
      </c>
      <c r="B12" s="156" t="s">
        <v>85</v>
      </c>
      <c r="D12" s="161">
        <v>0.95509999999999995</v>
      </c>
      <c r="E12" s="158">
        <v>1</v>
      </c>
      <c r="F12" s="156" t="s">
        <v>85</v>
      </c>
      <c r="H12" s="161">
        <f>ROR!L20</f>
        <v>0.95411999999999997</v>
      </c>
      <c r="I12" s="162">
        <f>I35/$H12</f>
        <v>-3608.5607680375633</v>
      </c>
      <c r="J12" s="162">
        <f>J35/$H12</f>
        <v>-5317.9893514442629</v>
      </c>
      <c r="K12" s="162">
        <f>K35/$H12</f>
        <v>-6355.5946841068208</v>
      </c>
      <c r="L12" s="162">
        <f>L35/$H12</f>
        <v>-6424.7683729509918</v>
      </c>
      <c r="M12" s="162">
        <f>M35/$H12</f>
        <v>-7071.4375550245259</v>
      </c>
      <c r="N12" s="162">
        <f t="shared" ref="N12:U12" si="0">N35/$D12</f>
        <v>-6918.6472620668001</v>
      </c>
      <c r="O12" s="162">
        <f t="shared" si="0"/>
        <v>-6889.3309601088895</v>
      </c>
      <c r="P12" s="162">
        <f t="shared" si="0"/>
        <v>-6980.4208983352528</v>
      </c>
      <c r="Q12" s="162">
        <f t="shared" si="0"/>
        <v>-12660.454402680349</v>
      </c>
      <c r="R12" s="162">
        <f t="shared" si="0"/>
        <v>-19767.563605905143</v>
      </c>
      <c r="S12" s="162">
        <f t="shared" si="0"/>
        <v>-20398.911108784421</v>
      </c>
      <c r="T12" s="162">
        <f t="shared" si="0"/>
        <v>-21047.010784211077</v>
      </c>
      <c r="U12" s="162">
        <f t="shared" si="0"/>
        <v>-17700.764317872476</v>
      </c>
    </row>
    <row r="13" spans="1:24">
      <c r="A13" s="158">
        <v>2</v>
      </c>
      <c r="B13" s="156" t="s">
        <v>84</v>
      </c>
      <c r="E13" s="158">
        <v>2</v>
      </c>
      <c r="F13" s="156" t="s">
        <v>84</v>
      </c>
      <c r="I13" s="162"/>
      <c r="J13" s="162"/>
      <c r="K13" s="162"/>
      <c r="L13" s="162"/>
      <c r="M13" s="162"/>
      <c r="N13" s="162"/>
      <c r="O13" s="162"/>
      <c r="P13" s="162"/>
      <c r="Q13" s="162"/>
      <c r="R13" s="162"/>
      <c r="S13" s="162"/>
      <c r="T13" s="162"/>
      <c r="U13" s="162"/>
    </row>
    <row r="14" spans="1:24">
      <c r="A14" s="158">
        <v>3</v>
      </c>
      <c r="B14" s="156" t="s">
        <v>83</v>
      </c>
      <c r="E14" s="158">
        <v>3</v>
      </c>
      <c r="F14" s="156" t="s">
        <v>83</v>
      </c>
      <c r="I14" s="163"/>
      <c r="J14" s="163"/>
      <c r="K14" s="163"/>
      <c r="L14" s="163"/>
      <c r="M14" s="163"/>
      <c r="N14" s="163"/>
      <c r="O14" s="163"/>
      <c r="P14" s="163"/>
      <c r="Q14" s="163"/>
      <c r="R14" s="163"/>
      <c r="S14" s="163"/>
      <c r="T14" s="163"/>
      <c r="U14" s="163"/>
    </row>
    <row r="15" spans="1:24">
      <c r="A15" s="158">
        <v>4</v>
      </c>
      <c r="B15" s="156" t="s">
        <v>82</v>
      </c>
      <c r="E15" s="158">
        <v>4</v>
      </c>
      <c r="F15" s="156" t="s">
        <v>82</v>
      </c>
      <c r="I15" s="162">
        <f>SUM(I12:I14)</f>
        <v>-3608.5607680375633</v>
      </c>
      <c r="J15" s="162">
        <f>SUM(J12:J14)</f>
        <v>-5317.9893514442629</v>
      </c>
      <c r="K15" s="162">
        <f>SUM(K12:K14)</f>
        <v>-6355.5946841068208</v>
      </c>
      <c r="L15" s="162">
        <f>SUM(L12:L14)</f>
        <v>-6424.7683729509918</v>
      </c>
      <c r="M15" s="162">
        <f>SUM(M12:M14)</f>
        <v>-7071.4375550245259</v>
      </c>
      <c r="N15" s="162">
        <f t="shared" ref="N15:T15" si="1">SUM(N12:N14)</f>
        <v>-6918.6472620668001</v>
      </c>
      <c r="O15" s="162">
        <f t="shared" si="1"/>
        <v>-6889.3309601088895</v>
      </c>
      <c r="P15" s="162">
        <f t="shared" si="1"/>
        <v>-6980.4208983352528</v>
      </c>
      <c r="Q15" s="162">
        <f t="shared" si="1"/>
        <v>-12660.454402680349</v>
      </c>
      <c r="R15" s="162">
        <f t="shared" si="1"/>
        <v>-19767.563605905143</v>
      </c>
      <c r="S15" s="162">
        <f t="shared" si="1"/>
        <v>-20398.911108784421</v>
      </c>
      <c r="T15" s="162">
        <f t="shared" si="1"/>
        <v>-21047.010784211077</v>
      </c>
      <c r="U15" s="162">
        <f t="shared" ref="U15" si="2">SUM(U12:U14)</f>
        <v>-17700.764317872476</v>
      </c>
    </row>
    <row r="16" spans="1:24">
      <c r="A16" s="158">
        <v>5</v>
      </c>
      <c r="B16" s="156" t="s">
        <v>81</v>
      </c>
      <c r="E16" s="158">
        <v>5</v>
      </c>
      <c r="F16" s="156" t="s">
        <v>81</v>
      </c>
      <c r="I16" s="163"/>
      <c r="J16" s="163"/>
      <c r="K16" s="163"/>
      <c r="L16" s="163"/>
      <c r="M16" s="163"/>
      <c r="N16" s="163"/>
      <c r="O16" s="163"/>
      <c r="P16" s="163"/>
      <c r="Q16" s="163"/>
      <c r="R16" s="163"/>
      <c r="S16" s="163"/>
      <c r="T16" s="163"/>
      <c r="U16" s="163"/>
    </row>
    <row r="17" spans="1:21">
      <c r="A17" s="158">
        <v>6</v>
      </c>
      <c r="B17" s="156" t="s">
        <v>80</v>
      </c>
      <c r="E17" s="158">
        <v>6</v>
      </c>
      <c r="F17" s="156" t="s">
        <v>80</v>
      </c>
      <c r="I17" s="162">
        <f>I15+I16</f>
        <v>-3608.5607680375633</v>
      </c>
      <c r="J17" s="162">
        <f>J15+J16</f>
        <v>-5317.9893514442629</v>
      </c>
      <c r="K17" s="162">
        <f>K15+K16</f>
        <v>-6355.5946841068208</v>
      </c>
      <c r="L17" s="162">
        <f>L15+L16</f>
        <v>-6424.7683729509918</v>
      </c>
      <c r="M17" s="162">
        <f>M15+M16</f>
        <v>-7071.4375550245259</v>
      </c>
      <c r="N17" s="162">
        <f t="shared" ref="N17:T17" si="3">N15+N16</f>
        <v>-6918.6472620668001</v>
      </c>
      <c r="O17" s="162">
        <f t="shared" si="3"/>
        <v>-6889.3309601088895</v>
      </c>
      <c r="P17" s="162">
        <f t="shared" si="3"/>
        <v>-6980.4208983352528</v>
      </c>
      <c r="Q17" s="162">
        <f t="shared" si="3"/>
        <v>-12660.454402680349</v>
      </c>
      <c r="R17" s="162">
        <f t="shared" si="3"/>
        <v>-19767.563605905143</v>
      </c>
      <c r="S17" s="162">
        <f t="shared" si="3"/>
        <v>-20398.911108784421</v>
      </c>
      <c r="T17" s="162">
        <f t="shared" si="3"/>
        <v>-21047.010784211077</v>
      </c>
      <c r="U17" s="162">
        <f t="shared" ref="U17" si="4">U15+U16</f>
        <v>-17700.764317872476</v>
      </c>
    </row>
    <row r="18" spans="1:21">
      <c r="A18" s="158"/>
      <c r="E18" s="158"/>
      <c r="I18" s="162"/>
      <c r="J18" s="162"/>
      <c r="K18" s="162"/>
      <c r="L18" s="162"/>
      <c r="M18" s="162"/>
      <c r="N18" s="162"/>
      <c r="O18" s="162"/>
      <c r="P18" s="162"/>
      <c r="Q18" s="162"/>
      <c r="R18" s="162"/>
      <c r="S18" s="162"/>
      <c r="T18" s="162"/>
      <c r="U18" s="162"/>
    </row>
    <row r="19" spans="1:21">
      <c r="A19" s="158"/>
      <c r="B19" s="156" t="s">
        <v>79</v>
      </c>
      <c r="E19" s="158"/>
      <c r="F19" s="156" t="s">
        <v>79</v>
      </c>
      <c r="I19" s="162"/>
      <c r="J19" s="162"/>
      <c r="K19" s="162"/>
      <c r="L19" s="162"/>
      <c r="M19" s="162"/>
      <c r="N19" s="162"/>
      <c r="O19" s="162"/>
      <c r="P19" s="162"/>
      <c r="Q19" s="162"/>
      <c r="R19" s="162"/>
      <c r="S19" s="162"/>
      <c r="T19" s="162"/>
      <c r="U19" s="162"/>
    </row>
    <row r="20" spans="1:21">
      <c r="A20" s="158"/>
      <c r="B20" s="156" t="s">
        <v>78</v>
      </c>
      <c r="E20" s="158"/>
      <c r="F20" s="156" t="s">
        <v>78</v>
      </c>
      <c r="I20" s="162"/>
      <c r="J20" s="162"/>
      <c r="K20" s="162"/>
      <c r="L20" s="162"/>
      <c r="M20" s="162"/>
      <c r="N20" s="162"/>
      <c r="O20" s="162"/>
      <c r="P20" s="162"/>
      <c r="Q20" s="162"/>
      <c r="R20" s="162"/>
      <c r="S20" s="162"/>
      <c r="T20" s="162"/>
      <c r="U20" s="162"/>
    </row>
    <row r="21" spans="1:21">
      <c r="A21" s="158">
        <v>7</v>
      </c>
      <c r="C21" s="156" t="s">
        <v>70</v>
      </c>
      <c r="E21" s="158">
        <v>7</v>
      </c>
      <c r="G21" s="156" t="s">
        <v>70</v>
      </c>
      <c r="I21" s="162"/>
      <c r="J21" s="162"/>
      <c r="K21" s="162"/>
      <c r="L21" s="162"/>
      <c r="M21" s="162"/>
      <c r="N21" s="162"/>
      <c r="O21" s="162"/>
      <c r="P21" s="162"/>
      <c r="Q21" s="162"/>
      <c r="R21" s="162"/>
      <c r="S21" s="162"/>
      <c r="T21" s="162"/>
      <c r="U21" s="162"/>
    </row>
    <row r="22" spans="1:21">
      <c r="A22" s="158">
        <v>8</v>
      </c>
      <c r="C22" s="156" t="s">
        <v>77</v>
      </c>
      <c r="E22" s="158">
        <v>8</v>
      </c>
      <c r="G22" s="156" t="s">
        <v>77</v>
      </c>
      <c r="I22" s="162"/>
      <c r="J22" s="162"/>
      <c r="K22" s="162"/>
      <c r="L22" s="162"/>
      <c r="M22" s="162"/>
      <c r="N22" s="162"/>
      <c r="O22" s="162"/>
      <c r="P22" s="162"/>
      <c r="Q22" s="162"/>
      <c r="R22" s="162"/>
      <c r="S22" s="162"/>
      <c r="T22" s="162"/>
      <c r="U22" s="162"/>
    </row>
    <row r="23" spans="1:21">
      <c r="A23" s="158">
        <v>9</v>
      </c>
      <c r="C23" s="156" t="s">
        <v>137</v>
      </c>
      <c r="E23" s="158">
        <v>9</v>
      </c>
      <c r="G23" s="156" t="s">
        <v>137</v>
      </c>
      <c r="I23" s="162"/>
      <c r="J23" s="162"/>
      <c r="K23" s="162"/>
      <c r="L23" s="162"/>
      <c r="M23" s="162"/>
      <c r="N23" s="162"/>
      <c r="O23" s="162"/>
      <c r="P23" s="162"/>
      <c r="Q23" s="162"/>
      <c r="R23" s="162"/>
      <c r="S23" s="162"/>
      <c r="T23" s="162"/>
      <c r="U23" s="162"/>
    </row>
    <row r="24" spans="1:21">
      <c r="A24" s="158">
        <v>10</v>
      </c>
      <c r="C24" s="156" t="s">
        <v>138</v>
      </c>
      <c r="E24" s="158">
        <v>10</v>
      </c>
      <c r="G24" s="156" t="s">
        <v>138</v>
      </c>
      <c r="I24" s="162"/>
      <c r="J24" s="162"/>
      <c r="K24" s="162"/>
      <c r="L24" s="162"/>
      <c r="M24" s="162"/>
      <c r="N24" s="162"/>
      <c r="O24" s="162"/>
      <c r="P24" s="162"/>
      <c r="Q24" s="162"/>
      <c r="R24" s="162"/>
      <c r="S24" s="162"/>
      <c r="T24" s="162"/>
      <c r="U24" s="162"/>
    </row>
    <row r="25" spans="1:21">
      <c r="A25" s="158">
        <v>11</v>
      </c>
      <c r="C25" s="156" t="s">
        <v>69</v>
      </c>
      <c r="E25" s="158">
        <v>11</v>
      </c>
      <c r="G25" s="156" t="s">
        <v>69</v>
      </c>
      <c r="I25" s="163"/>
      <c r="J25" s="163"/>
      <c r="K25" s="163"/>
      <c r="L25" s="163"/>
      <c r="M25" s="163"/>
      <c r="N25" s="163"/>
      <c r="O25" s="163"/>
      <c r="P25" s="163"/>
      <c r="Q25" s="163"/>
      <c r="R25" s="163"/>
      <c r="S25" s="163"/>
      <c r="T25" s="163"/>
      <c r="U25" s="163"/>
    </row>
    <row r="26" spans="1:21">
      <c r="A26" s="158">
        <v>12</v>
      </c>
      <c r="B26" s="156" t="s">
        <v>76</v>
      </c>
      <c r="E26" s="158">
        <v>12</v>
      </c>
      <c r="F26" s="156" t="s">
        <v>76</v>
      </c>
      <c r="I26" s="162">
        <f>SUM(I21:I25)</f>
        <v>0</v>
      </c>
      <c r="J26" s="162">
        <f>SUM(J21:J25)</f>
        <v>0</v>
      </c>
      <c r="K26" s="162">
        <f>SUM(K21:K25)</f>
        <v>0</v>
      </c>
      <c r="L26" s="162">
        <f>SUM(L21:L25)</f>
        <v>0</v>
      </c>
      <c r="M26" s="162">
        <f>SUM(M21:M25)</f>
        <v>0</v>
      </c>
      <c r="N26" s="162">
        <f t="shared" ref="N26:T26" si="5">SUM(N21:N25)</f>
        <v>0</v>
      </c>
      <c r="O26" s="162">
        <f t="shared" si="5"/>
        <v>0</v>
      </c>
      <c r="P26" s="162">
        <f t="shared" si="5"/>
        <v>0</v>
      </c>
      <c r="Q26" s="162">
        <f t="shared" si="5"/>
        <v>0</v>
      </c>
      <c r="R26" s="162">
        <f t="shared" si="5"/>
        <v>0</v>
      </c>
      <c r="S26" s="162">
        <f t="shared" si="5"/>
        <v>0</v>
      </c>
      <c r="T26" s="162">
        <f t="shared" si="5"/>
        <v>0</v>
      </c>
      <c r="U26" s="162">
        <f t="shared" ref="U26" si="6">SUM(U21:U25)</f>
        <v>0</v>
      </c>
    </row>
    <row r="27" spans="1:21">
      <c r="A27" s="158"/>
      <c r="E27" s="158"/>
      <c r="I27" s="162"/>
      <c r="J27" s="162"/>
      <c r="K27" s="162"/>
      <c r="L27" s="162"/>
      <c r="M27" s="162"/>
      <c r="N27" s="162"/>
      <c r="O27" s="162"/>
      <c r="P27" s="162"/>
      <c r="Q27" s="162"/>
      <c r="R27" s="162"/>
      <c r="S27" s="162"/>
      <c r="T27" s="162"/>
      <c r="U27" s="162"/>
    </row>
    <row r="28" spans="1:21">
      <c r="A28" s="158"/>
      <c r="B28" s="156" t="s">
        <v>56</v>
      </c>
      <c r="E28" s="158"/>
      <c r="F28" s="156" t="s">
        <v>56</v>
      </c>
      <c r="I28" s="162"/>
      <c r="J28" s="162"/>
      <c r="K28" s="162"/>
      <c r="L28" s="162"/>
      <c r="M28" s="162"/>
      <c r="N28" s="162"/>
      <c r="O28" s="162"/>
      <c r="P28" s="162"/>
      <c r="Q28" s="162"/>
      <c r="R28" s="162"/>
      <c r="S28" s="162"/>
      <c r="T28" s="162"/>
      <c r="U28" s="162"/>
    </row>
    <row r="29" spans="1:21">
      <c r="A29" s="158">
        <v>13</v>
      </c>
      <c r="C29" s="156" t="s">
        <v>70</v>
      </c>
      <c r="E29" s="158">
        <v>13</v>
      </c>
      <c r="G29" s="156" t="s">
        <v>70</v>
      </c>
      <c r="I29" s="162"/>
      <c r="J29" s="162"/>
      <c r="K29" s="162"/>
      <c r="L29" s="162"/>
      <c r="M29" s="162"/>
      <c r="N29" s="162"/>
      <c r="O29" s="162"/>
      <c r="P29" s="162"/>
      <c r="Q29" s="162"/>
      <c r="R29" s="162"/>
      <c r="S29" s="162"/>
      <c r="T29" s="162"/>
      <c r="U29" s="162"/>
    </row>
    <row r="30" spans="1:21">
      <c r="A30" s="158">
        <v>14</v>
      </c>
      <c r="C30" s="156" t="s">
        <v>139</v>
      </c>
      <c r="E30" s="158">
        <v>14</v>
      </c>
      <c r="G30" s="156" t="s">
        <v>139</v>
      </c>
      <c r="I30" s="162"/>
      <c r="J30" s="162"/>
      <c r="K30" s="162"/>
      <c r="L30" s="162"/>
      <c r="M30" s="162"/>
      <c r="N30" s="162"/>
      <c r="O30" s="162"/>
      <c r="P30" s="162"/>
      <c r="Q30" s="162"/>
      <c r="R30" s="162"/>
      <c r="S30" s="162"/>
      <c r="T30" s="162"/>
      <c r="U30" s="162"/>
    </row>
    <row r="31" spans="1:21">
      <c r="A31" s="158">
        <v>15</v>
      </c>
      <c r="C31" s="156" t="s">
        <v>69</v>
      </c>
      <c r="D31" s="161">
        <v>3.8561999999999999E-2</v>
      </c>
      <c r="E31" s="158">
        <v>15</v>
      </c>
      <c r="G31" s="156" t="s">
        <v>69</v>
      </c>
      <c r="H31" s="460">
        <f>ROR!L16</f>
        <v>3.8526999999999999E-2</v>
      </c>
      <c r="I31" s="163">
        <f>I12*$H31</f>
        <v>-139.02702071018319</v>
      </c>
      <c r="J31" s="163">
        <f>J12*$H31</f>
        <v>-204.8861757430931</v>
      </c>
      <c r="K31" s="163">
        <f>K12*$H31</f>
        <v>-244.86199639458349</v>
      </c>
      <c r="L31" s="163">
        <f>L12*$H31</f>
        <v>-247.52705110468284</v>
      </c>
      <c r="M31" s="163">
        <f>M12*$H31</f>
        <v>-272.44127468242988</v>
      </c>
      <c r="N31" s="163">
        <f>N12*$D31</f>
        <v>-266.79687571981992</v>
      </c>
      <c r="O31" s="163">
        <f>O12*$D31</f>
        <v>-265.66638048371897</v>
      </c>
      <c r="P31" s="163">
        <f t="shared" ref="P31:U31" si="7">P12*$D31</f>
        <v>-269.17899068160403</v>
      </c>
      <c r="Q31" s="163">
        <f t="shared" si="7"/>
        <v>-488.21244267615958</v>
      </c>
      <c r="R31" s="163">
        <f t="shared" si="7"/>
        <v>-762.2767877709141</v>
      </c>
      <c r="S31" s="163">
        <f t="shared" si="7"/>
        <v>-786.62281017694488</v>
      </c>
      <c r="T31" s="163">
        <f t="shared" si="7"/>
        <v>-811.61482986074759</v>
      </c>
      <c r="U31" s="163">
        <f t="shared" si="7"/>
        <v>-682.57687362579838</v>
      </c>
    </row>
    <row r="32" spans="1:21">
      <c r="A32" s="158">
        <v>16</v>
      </c>
      <c r="B32" s="156" t="s">
        <v>75</v>
      </c>
      <c r="E32" s="158">
        <v>16</v>
      </c>
      <c r="F32" s="156" t="s">
        <v>75</v>
      </c>
      <c r="H32" s="208"/>
      <c r="I32" s="162">
        <f>SUM(I29:I31)</f>
        <v>-139.02702071018319</v>
      </c>
      <c r="J32" s="162">
        <f>SUM(J29:J31)</f>
        <v>-204.8861757430931</v>
      </c>
      <c r="K32" s="162">
        <f>SUM(K29:K31)</f>
        <v>-244.86199639458349</v>
      </c>
      <c r="L32" s="162">
        <f>SUM(L29:L31)</f>
        <v>-247.52705110468284</v>
      </c>
      <c r="M32" s="162">
        <f>SUM(M29:M31)</f>
        <v>-272.44127468242988</v>
      </c>
      <c r="N32" s="162">
        <f t="shared" ref="N32:T32" si="8">SUM(N29:N31)</f>
        <v>-266.79687571981992</v>
      </c>
      <c r="O32" s="162">
        <f t="shared" si="8"/>
        <v>-265.66638048371897</v>
      </c>
      <c r="P32" s="162">
        <f t="shared" si="8"/>
        <v>-269.17899068160403</v>
      </c>
      <c r="Q32" s="162">
        <f t="shared" si="8"/>
        <v>-488.21244267615958</v>
      </c>
      <c r="R32" s="162">
        <f t="shared" si="8"/>
        <v>-762.2767877709141</v>
      </c>
      <c r="S32" s="162">
        <f t="shared" si="8"/>
        <v>-786.62281017694488</v>
      </c>
      <c r="T32" s="162">
        <f t="shared" si="8"/>
        <v>-811.61482986074759</v>
      </c>
      <c r="U32" s="162">
        <f t="shared" ref="U32" si="9">SUM(U29:U31)</f>
        <v>-682.57687362579838</v>
      </c>
    </row>
    <row r="33" spans="1:21">
      <c r="A33" s="158"/>
      <c r="E33" s="158"/>
      <c r="H33" s="208"/>
      <c r="I33" s="162"/>
      <c r="J33" s="162"/>
      <c r="K33" s="162"/>
      <c r="L33" s="162"/>
      <c r="M33" s="162"/>
      <c r="N33" s="162"/>
      <c r="O33" s="162"/>
      <c r="P33" s="162"/>
      <c r="Q33" s="162"/>
      <c r="R33" s="162"/>
      <c r="S33" s="162"/>
      <c r="T33" s="162"/>
      <c r="U33" s="162"/>
    </row>
    <row r="34" spans="1:21">
      <c r="A34" s="158">
        <v>17</v>
      </c>
      <c r="B34" s="156" t="s">
        <v>74</v>
      </c>
      <c r="D34" s="161">
        <v>4.3379999999999998E-3</v>
      </c>
      <c r="E34" s="158">
        <v>17</v>
      </c>
      <c r="F34" s="156" t="s">
        <v>74</v>
      </c>
      <c r="H34" s="460">
        <f>ROR!L12</f>
        <v>5.3530000000000001E-3</v>
      </c>
      <c r="I34" s="162">
        <f>I12*$H34</f>
        <v>-19.316625791305079</v>
      </c>
      <c r="J34" s="162">
        <f>J12*$H34</f>
        <v>-28.467196998281139</v>
      </c>
      <c r="K34" s="162">
        <f>K12*$H34</f>
        <v>-34.021498344023811</v>
      </c>
      <c r="L34" s="162">
        <f>L12*$H34</f>
        <v>-34.391785100406658</v>
      </c>
      <c r="M34" s="162">
        <f>M12*$H34</f>
        <v>-37.853405232046285</v>
      </c>
      <c r="N34" s="162">
        <f t="shared" ref="N34:T34" si="10">N12*$D34</f>
        <v>-30.013091822845777</v>
      </c>
      <c r="O34" s="162">
        <f t="shared" si="10"/>
        <v>-29.885917704952362</v>
      </c>
      <c r="P34" s="162">
        <f t="shared" si="10"/>
        <v>-30.281065856978326</v>
      </c>
      <c r="Q34" s="162">
        <f t="shared" si="10"/>
        <v>-54.92105119882735</v>
      </c>
      <c r="R34" s="162">
        <f t="shared" si="10"/>
        <v>-85.7516909224165</v>
      </c>
      <c r="S34" s="162">
        <f t="shared" si="10"/>
        <v>-88.490476389906817</v>
      </c>
      <c r="T34" s="162">
        <f t="shared" si="10"/>
        <v>-91.301932781907652</v>
      </c>
      <c r="U34" s="162">
        <f t="shared" ref="U34" si="11">U12*$D34</f>
        <v>-76.7859156109308</v>
      </c>
    </row>
    <row r="35" spans="1:21">
      <c r="A35" s="158">
        <v>18</v>
      </c>
      <c r="B35" s="156" t="s">
        <v>73</v>
      </c>
      <c r="E35" s="158">
        <v>18</v>
      </c>
      <c r="F35" s="156" t="s">
        <v>73</v>
      </c>
      <c r="H35" s="208"/>
      <c r="I35" s="162">
        <v>-3443</v>
      </c>
      <c r="J35" s="162">
        <v>-5074</v>
      </c>
      <c r="K35" s="162">
        <v>-6064</v>
      </c>
      <c r="L35" s="162">
        <v>-6130</v>
      </c>
      <c r="M35" s="162">
        <f>-6330-417</f>
        <v>-6747</v>
      </c>
      <c r="N35" s="162">
        <v>-6608</v>
      </c>
      <c r="O35" s="162">
        <v>-6580</v>
      </c>
      <c r="P35" s="162">
        <v>-6667</v>
      </c>
      <c r="Q35" s="162">
        <v>-12092</v>
      </c>
      <c r="R35" s="162">
        <v>-18880</v>
      </c>
      <c r="S35" s="162">
        <v>-19483</v>
      </c>
      <c r="T35" s="162">
        <v>-20102</v>
      </c>
      <c r="U35" s="162">
        <f>-17498+592</f>
        <v>-16906</v>
      </c>
    </row>
    <row r="36" spans="1:21">
      <c r="A36" s="158">
        <v>19</v>
      </c>
      <c r="B36" s="156" t="s">
        <v>72</v>
      </c>
      <c r="E36" s="158">
        <v>19</v>
      </c>
      <c r="F36" s="156" t="s">
        <v>72</v>
      </c>
      <c r="H36" s="208"/>
      <c r="I36" s="162"/>
      <c r="J36" s="162"/>
      <c r="K36" s="162"/>
      <c r="L36" s="162"/>
      <c r="M36" s="162"/>
      <c r="N36" s="162"/>
      <c r="O36" s="162"/>
      <c r="P36" s="162"/>
      <c r="Q36" s="162"/>
      <c r="R36" s="162"/>
      <c r="S36" s="162"/>
      <c r="T36" s="162"/>
      <c r="U36" s="162"/>
    </row>
    <row r="37" spans="1:21">
      <c r="A37" s="158"/>
      <c r="E37" s="158"/>
      <c r="H37" s="208"/>
      <c r="I37" s="162"/>
      <c r="J37" s="162"/>
      <c r="K37" s="162"/>
      <c r="L37" s="162"/>
      <c r="M37" s="162"/>
      <c r="N37" s="162"/>
      <c r="O37" s="162"/>
      <c r="P37" s="162"/>
      <c r="Q37" s="162"/>
      <c r="R37" s="162"/>
      <c r="S37" s="162"/>
      <c r="T37" s="162"/>
      <c r="U37" s="162"/>
    </row>
    <row r="38" spans="1:21">
      <c r="A38" s="158"/>
      <c r="B38" s="156" t="s">
        <v>71</v>
      </c>
      <c r="E38" s="158"/>
      <c r="F38" s="156" t="s">
        <v>71</v>
      </c>
      <c r="H38" s="208"/>
      <c r="I38" s="162"/>
      <c r="J38" s="162"/>
      <c r="K38" s="162"/>
      <c r="L38" s="162"/>
      <c r="M38" s="162"/>
      <c r="N38" s="162"/>
      <c r="O38" s="162"/>
      <c r="P38" s="162"/>
      <c r="Q38" s="162"/>
      <c r="R38" s="162"/>
      <c r="S38" s="162"/>
      <c r="T38" s="162"/>
      <c r="U38" s="162"/>
    </row>
    <row r="39" spans="1:21">
      <c r="A39" s="158">
        <v>20</v>
      </c>
      <c r="C39" s="156" t="s">
        <v>70</v>
      </c>
      <c r="D39" s="161">
        <v>2E-3</v>
      </c>
      <c r="E39" s="158">
        <v>20</v>
      </c>
      <c r="G39" s="156" t="s">
        <v>70</v>
      </c>
      <c r="H39" s="460">
        <f>ROR!L14</f>
        <v>2E-3</v>
      </c>
      <c r="I39" s="162">
        <f>I12*$H39</f>
        <v>-7.2171215360751271</v>
      </c>
      <c r="J39" s="162">
        <f>J12*$H39</f>
        <v>-10.635978702888526</v>
      </c>
      <c r="K39" s="162">
        <f>K12*$H39</f>
        <v>-12.711189368213642</v>
      </c>
      <c r="L39" s="162">
        <f>L12*$H39</f>
        <v>-12.849536745901984</v>
      </c>
      <c r="M39" s="162">
        <f>M12*$H39</f>
        <v>-14.142875110049053</v>
      </c>
      <c r="N39" s="162">
        <f t="shared" ref="N39:T39" si="12">N12*$D39</f>
        <v>-13.837294524133601</v>
      </c>
      <c r="O39" s="162">
        <f t="shared" si="12"/>
        <v>-13.778661920217779</v>
      </c>
      <c r="P39" s="162">
        <f t="shared" si="12"/>
        <v>-13.960841796670506</v>
      </c>
      <c r="Q39" s="162">
        <f t="shared" si="12"/>
        <v>-25.320908805360698</v>
      </c>
      <c r="R39" s="162">
        <f t="shared" si="12"/>
        <v>-39.535127211810284</v>
      </c>
      <c r="S39" s="162">
        <f t="shared" si="12"/>
        <v>-40.797822217568843</v>
      </c>
      <c r="T39" s="162">
        <f t="shared" si="12"/>
        <v>-42.094021568422157</v>
      </c>
      <c r="U39" s="162">
        <f t="shared" ref="U39" si="13">U12*$D39</f>
        <v>-35.401528635744953</v>
      </c>
    </row>
    <row r="40" spans="1:21">
      <c r="A40" s="158">
        <v>21</v>
      </c>
      <c r="C40" s="156" t="s">
        <v>139</v>
      </c>
      <c r="E40" s="158">
        <v>21</v>
      </c>
      <c r="G40" s="156" t="s">
        <v>139</v>
      </c>
      <c r="I40" s="162"/>
      <c r="J40" s="162"/>
      <c r="K40" s="162"/>
      <c r="L40" s="162"/>
      <c r="M40" s="162"/>
      <c r="N40" s="162"/>
      <c r="O40" s="162"/>
      <c r="P40" s="162"/>
      <c r="Q40" s="162"/>
      <c r="R40" s="162"/>
      <c r="S40" s="162"/>
      <c r="T40" s="162"/>
      <c r="U40" s="162"/>
    </row>
    <row r="41" spans="1:21">
      <c r="A41" s="158">
        <v>22</v>
      </c>
      <c r="C41" s="156" t="s">
        <v>69</v>
      </c>
      <c r="E41" s="158">
        <v>22</v>
      </c>
      <c r="G41" s="156" t="s">
        <v>69</v>
      </c>
      <c r="I41" s="163"/>
      <c r="J41" s="163"/>
      <c r="K41" s="163"/>
      <c r="L41" s="163"/>
      <c r="M41" s="163"/>
      <c r="N41" s="163"/>
      <c r="O41" s="163"/>
      <c r="P41" s="163"/>
      <c r="Q41" s="163"/>
      <c r="R41" s="163"/>
      <c r="S41" s="163"/>
      <c r="T41" s="163"/>
      <c r="U41" s="163"/>
    </row>
    <row r="42" spans="1:21">
      <c r="A42" s="158">
        <v>23</v>
      </c>
      <c r="B42" s="156" t="s">
        <v>68</v>
      </c>
      <c r="E42" s="158">
        <v>23</v>
      </c>
      <c r="F42" s="156" t="s">
        <v>68</v>
      </c>
      <c r="I42" s="164">
        <f>SUM(I39:I41)</f>
        <v>-7.2171215360751271</v>
      </c>
      <c r="J42" s="164">
        <f>SUM(J39:J41)</f>
        <v>-10.635978702888526</v>
      </c>
      <c r="K42" s="164">
        <f>SUM(K39:K41)</f>
        <v>-12.711189368213642</v>
      </c>
      <c r="L42" s="164">
        <f>SUM(L39:L41)</f>
        <v>-12.849536745901984</v>
      </c>
      <c r="M42" s="164">
        <f>SUM(M39:M41)</f>
        <v>-14.142875110049053</v>
      </c>
      <c r="N42" s="164">
        <f t="shared" ref="N42:T42" si="14">SUM(N39:N41)</f>
        <v>-13.837294524133601</v>
      </c>
      <c r="O42" s="164">
        <f t="shared" si="14"/>
        <v>-13.778661920217779</v>
      </c>
      <c r="P42" s="164">
        <f t="shared" si="14"/>
        <v>-13.960841796670506</v>
      </c>
      <c r="Q42" s="164">
        <f t="shared" si="14"/>
        <v>-25.320908805360698</v>
      </c>
      <c r="R42" s="164">
        <f t="shared" si="14"/>
        <v>-39.535127211810284</v>
      </c>
      <c r="S42" s="164">
        <f t="shared" si="14"/>
        <v>-40.797822217568843</v>
      </c>
      <c r="T42" s="164">
        <f t="shared" si="14"/>
        <v>-42.094021568422157</v>
      </c>
      <c r="U42" s="164">
        <f t="shared" ref="U42" si="15">SUM(U39:U41)</f>
        <v>-35.401528635744953</v>
      </c>
    </row>
    <row r="43" spans="1:21">
      <c r="A43" s="158">
        <v>24</v>
      </c>
      <c r="B43" s="156" t="s">
        <v>67</v>
      </c>
      <c r="E43" s="158">
        <v>24</v>
      </c>
      <c r="F43" s="156" t="s">
        <v>67</v>
      </c>
      <c r="I43" s="164">
        <f>I26+I32+I34+I35+I36+I42</f>
        <v>-3608.5607680375633</v>
      </c>
      <c r="J43" s="164">
        <f>J26+J32+J34+J35+J36+J42</f>
        <v>-5317.9893514442629</v>
      </c>
      <c r="K43" s="164">
        <f>K26+K32+K34+K35+K36+K42</f>
        <v>-6355.5946841068217</v>
      </c>
      <c r="L43" s="164">
        <f>L26+L32+L34+L35+L36+L42</f>
        <v>-6424.7683729509918</v>
      </c>
      <c r="M43" s="164">
        <f>M26+M32+M34+M35+M36+M42</f>
        <v>-7071.4375550245259</v>
      </c>
      <c r="N43" s="164">
        <f t="shared" ref="N43:T43" si="16">N26+N32+N34+N35+N36+N42</f>
        <v>-6918.6472620667992</v>
      </c>
      <c r="O43" s="164">
        <f t="shared" si="16"/>
        <v>-6889.3309601088895</v>
      </c>
      <c r="P43" s="164">
        <f t="shared" si="16"/>
        <v>-6980.4208983352528</v>
      </c>
      <c r="Q43" s="164">
        <f t="shared" si="16"/>
        <v>-12660.454402680347</v>
      </c>
      <c r="R43" s="164">
        <f t="shared" si="16"/>
        <v>-19767.563605905139</v>
      </c>
      <c r="S43" s="164">
        <f t="shared" si="16"/>
        <v>-20398.911108784421</v>
      </c>
      <c r="T43" s="164">
        <f t="shared" si="16"/>
        <v>-21047.010784211077</v>
      </c>
      <c r="U43" s="164">
        <f t="shared" ref="U43" si="17">U26+U32+U34+U35+U36+U42</f>
        <v>-17700.764317872476</v>
      </c>
    </row>
    <row r="44" spans="1:21">
      <c r="A44" s="158"/>
      <c r="E44" s="158"/>
      <c r="I44" s="162"/>
      <c r="J44" s="162"/>
      <c r="K44" s="162"/>
      <c r="L44" s="162"/>
      <c r="M44" s="162"/>
      <c r="N44" s="162"/>
      <c r="O44" s="162"/>
      <c r="P44" s="162"/>
      <c r="Q44" s="162"/>
      <c r="R44" s="162"/>
      <c r="S44" s="162"/>
      <c r="T44" s="162"/>
      <c r="U44" s="162"/>
    </row>
    <row r="45" spans="1:21">
      <c r="A45" s="158">
        <v>25</v>
      </c>
      <c r="B45" s="156" t="s">
        <v>66</v>
      </c>
      <c r="E45" s="158">
        <v>25</v>
      </c>
      <c r="F45" s="156" t="s">
        <v>66</v>
      </c>
      <c r="I45" s="162">
        <f>I17-I43</f>
        <v>0</v>
      </c>
      <c r="J45" s="162">
        <f>J17-J43</f>
        <v>0</v>
      </c>
      <c r="K45" s="162">
        <f>K17-K43</f>
        <v>0</v>
      </c>
      <c r="L45" s="162">
        <f>L17-L43</f>
        <v>0</v>
      </c>
      <c r="M45" s="162">
        <f>M17-M43</f>
        <v>0</v>
      </c>
      <c r="N45" s="162">
        <f t="shared" ref="N45:T45" si="18">N17-N43</f>
        <v>0</v>
      </c>
      <c r="O45" s="162">
        <f t="shared" si="18"/>
        <v>0</v>
      </c>
      <c r="P45" s="162">
        <f t="shared" si="18"/>
        <v>0</v>
      </c>
      <c r="Q45" s="162">
        <f t="shared" si="18"/>
        <v>0</v>
      </c>
      <c r="R45" s="162">
        <f t="shared" si="18"/>
        <v>0</v>
      </c>
      <c r="S45" s="162">
        <f t="shared" si="18"/>
        <v>0</v>
      </c>
      <c r="T45" s="162">
        <f t="shared" si="18"/>
        <v>0</v>
      </c>
      <c r="U45" s="162">
        <f t="shared" ref="U45" si="19">U17-U43</f>
        <v>0</v>
      </c>
    </row>
    <row r="46" spans="1:21">
      <c r="A46" s="158"/>
      <c r="E46" s="158"/>
      <c r="I46" s="162"/>
      <c r="J46" s="162"/>
      <c r="K46" s="162"/>
      <c r="L46" s="162"/>
      <c r="M46" s="162"/>
      <c r="N46" s="162"/>
      <c r="O46" s="162"/>
      <c r="P46" s="162"/>
      <c r="Q46" s="162"/>
      <c r="R46" s="162"/>
      <c r="S46" s="162"/>
      <c r="T46" s="162"/>
      <c r="U46" s="162"/>
    </row>
    <row r="47" spans="1:21">
      <c r="A47" s="158"/>
      <c r="B47" s="156" t="s">
        <v>65</v>
      </c>
      <c r="E47" s="158"/>
      <c r="F47" s="156" t="s">
        <v>65</v>
      </c>
      <c r="I47" s="162"/>
      <c r="J47" s="162"/>
      <c r="K47" s="162"/>
      <c r="L47" s="162"/>
      <c r="M47" s="162"/>
      <c r="N47" s="162"/>
      <c r="O47" s="162"/>
      <c r="P47" s="162"/>
      <c r="Q47" s="162"/>
      <c r="R47" s="162"/>
      <c r="S47" s="162"/>
      <c r="T47" s="162"/>
      <c r="U47" s="162"/>
    </row>
    <row r="48" spans="1:21">
      <c r="A48" s="158">
        <v>26</v>
      </c>
      <c r="B48" s="156" t="s">
        <v>140</v>
      </c>
      <c r="E48" s="158">
        <v>26</v>
      </c>
      <c r="F48" s="156" t="s">
        <v>140</v>
      </c>
      <c r="I48" s="162">
        <f>ROUND(0.35*I45,0)</f>
        <v>0</v>
      </c>
      <c r="J48" s="162">
        <f>ROUND(0.35*J45,0)</f>
        <v>0</v>
      </c>
      <c r="K48" s="162">
        <f>ROUND(0.35*K45,0)</f>
        <v>0</v>
      </c>
      <c r="L48" s="162">
        <f>ROUND(0.35*L45,0)</f>
        <v>0</v>
      </c>
      <c r="M48" s="162">
        <f>ROUND(0.35*M45,0)</f>
        <v>0</v>
      </c>
      <c r="N48" s="162">
        <f t="shared" ref="N48:T48" si="20">ROUND(0.35*N45,0)</f>
        <v>0</v>
      </c>
      <c r="O48" s="162">
        <f t="shared" si="20"/>
        <v>0</v>
      </c>
      <c r="P48" s="162">
        <f t="shared" si="20"/>
        <v>0</v>
      </c>
      <c r="Q48" s="162">
        <f t="shared" si="20"/>
        <v>0</v>
      </c>
      <c r="R48" s="162">
        <f t="shared" si="20"/>
        <v>0</v>
      </c>
      <c r="S48" s="162">
        <f t="shared" si="20"/>
        <v>0</v>
      </c>
      <c r="T48" s="162">
        <f t="shared" si="20"/>
        <v>0</v>
      </c>
      <c r="U48" s="162">
        <f t="shared" ref="U48" si="21">ROUND(0.35*U45,0)</f>
        <v>0</v>
      </c>
    </row>
    <row r="49" spans="1:21">
      <c r="A49" s="158">
        <v>27</v>
      </c>
      <c r="B49" s="156" t="s">
        <v>141</v>
      </c>
      <c r="E49" s="158">
        <v>27</v>
      </c>
      <c r="F49" s="156" t="s">
        <v>141</v>
      </c>
      <c r="I49" s="162"/>
      <c r="J49" s="162"/>
      <c r="K49" s="162"/>
      <c r="L49" s="162"/>
      <c r="M49" s="162"/>
      <c r="N49" s="162"/>
      <c r="O49" s="162"/>
      <c r="P49" s="162"/>
      <c r="Q49" s="162"/>
      <c r="R49" s="162"/>
      <c r="S49" s="162"/>
      <c r="T49" s="162"/>
      <c r="U49" s="162"/>
    </row>
    <row r="50" spans="1:21">
      <c r="A50" s="158">
        <v>28</v>
      </c>
      <c r="B50" s="156" t="s">
        <v>64</v>
      </c>
      <c r="E50" s="158">
        <v>28</v>
      </c>
      <c r="F50" s="156" t="s">
        <v>64</v>
      </c>
      <c r="I50" s="162"/>
      <c r="J50" s="162"/>
      <c r="K50" s="162"/>
      <c r="L50" s="162"/>
      <c r="M50" s="162"/>
      <c r="N50" s="162"/>
      <c r="O50" s="162"/>
      <c r="P50" s="162"/>
      <c r="Q50" s="162"/>
      <c r="R50" s="162"/>
      <c r="S50" s="162"/>
      <c r="T50" s="162"/>
      <c r="U50" s="162"/>
    </row>
    <row r="51" spans="1:21">
      <c r="A51" s="158">
        <v>29</v>
      </c>
      <c r="B51" s="156" t="s">
        <v>63</v>
      </c>
      <c r="E51" s="158">
        <v>29</v>
      </c>
      <c r="F51" s="156" t="s">
        <v>63</v>
      </c>
      <c r="I51" s="163"/>
      <c r="J51" s="163"/>
      <c r="K51" s="163"/>
      <c r="L51" s="163"/>
      <c r="M51" s="163"/>
      <c r="N51" s="163"/>
      <c r="O51" s="163"/>
      <c r="P51" s="163"/>
      <c r="Q51" s="163"/>
      <c r="R51" s="163"/>
      <c r="S51" s="163"/>
      <c r="T51" s="163"/>
      <c r="U51" s="163"/>
    </row>
    <row r="52" spans="1:21">
      <c r="A52" s="158"/>
      <c r="E52" s="158"/>
      <c r="I52" s="162"/>
      <c r="J52" s="162"/>
      <c r="K52" s="162"/>
      <c r="L52" s="162"/>
      <c r="M52" s="162"/>
      <c r="N52" s="162"/>
      <c r="O52" s="162"/>
      <c r="P52" s="162"/>
      <c r="Q52" s="162"/>
      <c r="R52" s="162"/>
      <c r="S52" s="162"/>
      <c r="T52" s="162"/>
      <c r="U52" s="162"/>
    </row>
    <row r="53" spans="1:21">
      <c r="A53" s="158">
        <v>30</v>
      </c>
      <c r="B53" s="156" t="s">
        <v>62</v>
      </c>
      <c r="E53" s="158">
        <v>30</v>
      </c>
      <c r="F53" s="156" t="s">
        <v>62</v>
      </c>
      <c r="I53" s="162">
        <f>I45-I48-I49-I50-I51</f>
        <v>0</v>
      </c>
      <c r="J53" s="162">
        <f>J45-J48-J49-J50-J51</f>
        <v>0</v>
      </c>
      <c r="K53" s="162">
        <f>K45-K48-K49-K50-K51</f>
        <v>0</v>
      </c>
      <c r="L53" s="162">
        <f>L45-L48-L49-L50-L51</f>
        <v>0</v>
      </c>
      <c r="M53" s="162">
        <f>M45-M48-M49-M50-M51</f>
        <v>0</v>
      </c>
      <c r="N53" s="162">
        <f t="shared" ref="N53:T53" si="22">N45-N48-N49-N50-N51</f>
        <v>0</v>
      </c>
      <c r="O53" s="162">
        <f t="shared" si="22"/>
        <v>0</v>
      </c>
      <c r="P53" s="162">
        <f t="shared" si="22"/>
        <v>0</v>
      </c>
      <c r="Q53" s="162">
        <f t="shared" si="22"/>
        <v>0</v>
      </c>
      <c r="R53" s="162">
        <f t="shared" si="22"/>
        <v>0</v>
      </c>
      <c r="S53" s="162">
        <f t="shared" si="22"/>
        <v>0</v>
      </c>
      <c r="T53" s="162">
        <f t="shared" si="22"/>
        <v>0</v>
      </c>
      <c r="U53" s="162">
        <f t="shared" ref="U53" si="23">U45-U48-U49-U50-U51</f>
        <v>0</v>
      </c>
    </row>
    <row r="54" spans="1:21">
      <c r="A54" s="158"/>
      <c r="E54" s="158"/>
    </row>
    <row r="55" spans="1:21">
      <c r="B55" s="156" t="s">
        <v>238</v>
      </c>
      <c r="F55" s="156" t="s">
        <v>403</v>
      </c>
    </row>
    <row r="56" spans="1:21">
      <c r="F56" s="156" t="s">
        <v>297</v>
      </c>
    </row>
    <row r="57" spans="1:21">
      <c r="F57" s="156" t="s">
        <v>514</v>
      </c>
    </row>
  </sheetData>
  <phoneticPr fontId="55" type="noConversion"/>
  <pageMargins left="0.7" right="0.7" top="0.33" bottom="0.5" header="0.17" footer="0.3"/>
  <pageSetup scale="75" orientation="landscape" r:id="rId1"/>
  <headerFooter>
    <oddFooter>&amp;C&amp;F/&amp;A</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X58"/>
  <sheetViews>
    <sheetView topLeftCell="E1" workbookViewId="0">
      <selection activeCell="I55" sqref="I55"/>
    </sheetView>
  </sheetViews>
  <sheetFormatPr defaultColWidth="9.140625" defaultRowHeight="12.75"/>
  <cols>
    <col min="1" max="1" width="6.7109375" style="156" hidden="1" customWidth="1"/>
    <col min="2" max="2" width="3.42578125" style="156" hidden="1" customWidth="1"/>
    <col min="3" max="3" width="26.140625" style="156" hidden="1" customWidth="1"/>
    <col min="4" max="4" width="9" style="156" hidden="1" customWidth="1"/>
    <col min="5" max="5" width="6.7109375" style="156" customWidth="1"/>
    <col min="6" max="6" width="3.42578125" style="156" customWidth="1"/>
    <col min="7" max="7" width="26.140625" style="156" customWidth="1"/>
    <col min="8" max="8" width="9" style="156" bestFit="1" customWidth="1"/>
    <col min="9" max="12" width="7.5703125" style="156" bestFit="1" customWidth="1"/>
    <col min="13" max="15" width="7.5703125" style="208" bestFit="1" customWidth="1"/>
    <col min="16" max="20" width="7.5703125" style="156" bestFit="1" customWidth="1"/>
    <col min="21" max="22" width="9.140625" style="156"/>
    <col min="23" max="23" width="10.42578125" style="156" customWidth="1"/>
    <col min="24" max="16384" width="9.140625" style="156"/>
  </cols>
  <sheetData>
    <row r="2" spans="1:24">
      <c r="A2" s="156" t="s">
        <v>94</v>
      </c>
      <c r="E2" s="156" t="s">
        <v>94</v>
      </c>
    </row>
    <row r="3" spans="1:24">
      <c r="A3" s="156" t="s">
        <v>134</v>
      </c>
      <c r="E3" s="156" t="s">
        <v>134</v>
      </c>
    </row>
    <row r="4" spans="1:24">
      <c r="A4" s="156" t="s">
        <v>233</v>
      </c>
      <c r="E4" s="156" t="s">
        <v>296</v>
      </c>
    </row>
    <row r="5" spans="1:24">
      <c r="A5" s="156" t="s">
        <v>93</v>
      </c>
      <c r="E5" s="156" t="s">
        <v>93</v>
      </c>
    </row>
    <row r="7" spans="1:24">
      <c r="I7" s="157">
        <v>2000</v>
      </c>
      <c r="J7" s="157">
        <v>2001</v>
      </c>
      <c r="K7" s="157">
        <v>2002</v>
      </c>
      <c r="L7" s="157">
        <v>2003</v>
      </c>
      <c r="M7" s="557">
        <v>2004</v>
      </c>
      <c r="N7" s="566">
        <v>2005</v>
      </c>
      <c r="O7" s="557">
        <v>2006</v>
      </c>
      <c r="P7" s="157">
        <v>2007</v>
      </c>
      <c r="Q7" s="157">
        <v>2008</v>
      </c>
      <c r="R7" s="157">
        <v>2009</v>
      </c>
      <c r="S7" s="157">
        <v>2010</v>
      </c>
      <c r="T7" s="157">
        <v>2011</v>
      </c>
      <c r="U7" s="157">
        <v>2012</v>
      </c>
      <c r="V7" s="572" t="s">
        <v>643</v>
      </c>
      <c r="W7" s="572"/>
      <c r="X7" s="742"/>
    </row>
    <row r="8" spans="1:24">
      <c r="A8" s="158" t="s">
        <v>3</v>
      </c>
      <c r="E8" s="158" t="s">
        <v>3</v>
      </c>
      <c r="I8" s="158" t="s">
        <v>92</v>
      </c>
      <c r="J8" s="158" t="s">
        <v>92</v>
      </c>
      <c r="K8" s="158" t="s">
        <v>92</v>
      </c>
      <c r="L8" s="158" t="s">
        <v>92</v>
      </c>
      <c r="M8" s="558" t="s">
        <v>92</v>
      </c>
      <c r="N8" s="567" t="s">
        <v>92</v>
      </c>
      <c r="O8" s="558" t="s">
        <v>92</v>
      </c>
      <c r="P8" s="158" t="s">
        <v>92</v>
      </c>
      <c r="Q8" s="158" t="s">
        <v>92</v>
      </c>
      <c r="R8" s="158" t="s">
        <v>92</v>
      </c>
      <c r="S8" s="158" t="s">
        <v>92</v>
      </c>
      <c r="T8" s="158" t="s">
        <v>92</v>
      </c>
      <c r="U8" s="349" t="s">
        <v>92</v>
      </c>
      <c r="V8" s="563" t="s">
        <v>512</v>
      </c>
    </row>
    <row r="9" spans="1:24">
      <c r="A9" s="159" t="s">
        <v>90</v>
      </c>
      <c r="C9" s="160" t="s">
        <v>4</v>
      </c>
      <c r="D9" s="158" t="s">
        <v>234</v>
      </c>
      <c r="E9" s="159" t="s">
        <v>90</v>
      </c>
      <c r="G9" s="160" t="s">
        <v>4</v>
      </c>
      <c r="H9" s="158" t="s">
        <v>234</v>
      </c>
      <c r="I9" s="159" t="s">
        <v>235</v>
      </c>
      <c r="J9" s="159" t="s">
        <v>235</v>
      </c>
      <c r="K9" s="159" t="s">
        <v>235</v>
      </c>
      <c r="L9" s="159" t="s">
        <v>235</v>
      </c>
      <c r="M9" s="559" t="s">
        <v>235</v>
      </c>
      <c r="N9" s="568" t="s">
        <v>235</v>
      </c>
      <c r="O9" s="559" t="s">
        <v>235</v>
      </c>
      <c r="P9" s="159" t="s">
        <v>235</v>
      </c>
      <c r="Q9" s="159" t="s">
        <v>235</v>
      </c>
      <c r="R9" s="159" t="s">
        <v>235</v>
      </c>
      <c r="S9" s="159" t="s">
        <v>235</v>
      </c>
      <c r="T9" s="159" t="s">
        <v>235</v>
      </c>
      <c r="U9" s="159" t="s">
        <v>235</v>
      </c>
    </row>
    <row r="10" spans="1:24">
      <c r="A10" s="158"/>
      <c r="E10" s="158"/>
      <c r="I10" s="156" t="s">
        <v>237</v>
      </c>
      <c r="M10" s="556"/>
      <c r="O10" s="556"/>
    </row>
    <row r="11" spans="1:24">
      <c r="A11" s="158"/>
      <c r="B11" s="156" t="s">
        <v>86</v>
      </c>
      <c r="E11" s="158"/>
      <c r="F11" s="156" t="s">
        <v>86</v>
      </c>
      <c r="M11" s="556"/>
      <c r="O11" s="556"/>
    </row>
    <row r="12" spans="1:24">
      <c r="A12" s="158">
        <v>1</v>
      </c>
      <c r="B12" s="156" t="s">
        <v>85</v>
      </c>
      <c r="D12" s="161">
        <v>0.95509999999999995</v>
      </c>
      <c r="E12" s="158">
        <v>1</v>
      </c>
      <c r="F12" s="156" t="s">
        <v>85</v>
      </c>
      <c r="H12" s="460">
        <f>ROR!L20</f>
        <v>0.95411999999999997</v>
      </c>
      <c r="I12" s="162">
        <f>I24/$H12</f>
        <v>17444.346623066282</v>
      </c>
      <c r="J12" s="162">
        <f>J24/$H12</f>
        <v>1484.0900515658409</v>
      </c>
      <c r="K12" s="162">
        <f>K24/$H12</f>
        <v>7873.2234939001382</v>
      </c>
      <c r="L12" s="162">
        <f>L24/$H12</f>
        <v>6643.8183876241983</v>
      </c>
      <c r="M12" s="560">
        <f>M24/$H12</f>
        <v>7504.2971533978953</v>
      </c>
      <c r="N12" s="569">
        <f t="shared" ref="N12:T12" si="0">N24/$D12</f>
        <v>9829.3372421735949</v>
      </c>
      <c r="O12" s="560">
        <f t="shared" si="0"/>
        <v>10768.505915610931</v>
      </c>
      <c r="P12" s="162">
        <f t="shared" si="0"/>
        <v>5844.4141974662343</v>
      </c>
      <c r="Q12" s="162">
        <f t="shared" si="0"/>
        <v>3744.1105643388128</v>
      </c>
      <c r="R12" s="162">
        <f t="shared" si="0"/>
        <v>4193.2781907653653</v>
      </c>
      <c r="S12" s="162">
        <f t="shared" si="0"/>
        <v>6537.535336613967</v>
      </c>
      <c r="T12" s="162">
        <f t="shared" si="0"/>
        <v>4826.7197152130666</v>
      </c>
      <c r="U12" s="162">
        <f t="shared" ref="U12" si="1">U24/$D12</f>
        <v>8718.4588001256416</v>
      </c>
    </row>
    <row r="13" spans="1:24">
      <c r="A13" s="158">
        <v>2</v>
      </c>
      <c r="B13" s="156" t="s">
        <v>84</v>
      </c>
      <c r="E13" s="158">
        <v>2</v>
      </c>
      <c r="F13" s="156" t="s">
        <v>84</v>
      </c>
      <c r="H13" s="208"/>
      <c r="I13" s="162"/>
      <c r="J13" s="162"/>
      <c r="K13" s="162"/>
      <c r="L13" s="162"/>
      <c r="M13" s="560"/>
      <c r="N13" s="569"/>
      <c r="O13" s="560"/>
      <c r="P13" s="162"/>
      <c r="Q13" s="162"/>
      <c r="R13" s="162"/>
      <c r="S13" s="162"/>
      <c r="T13" s="162"/>
      <c r="U13" s="162"/>
    </row>
    <row r="14" spans="1:24">
      <c r="A14" s="158">
        <v>3</v>
      </c>
      <c r="B14" s="156" t="s">
        <v>83</v>
      </c>
      <c r="E14" s="158">
        <v>3</v>
      </c>
      <c r="F14" s="156" t="s">
        <v>83</v>
      </c>
      <c r="H14" s="208"/>
      <c r="I14" s="163"/>
      <c r="J14" s="163"/>
      <c r="K14" s="163"/>
      <c r="L14" s="163"/>
      <c r="M14" s="561"/>
      <c r="N14" s="570"/>
      <c r="O14" s="561"/>
      <c r="P14" s="163"/>
      <c r="Q14" s="163"/>
      <c r="R14" s="163"/>
      <c r="S14" s="163"/>
      <c r="T14" s="163"/>
      <c r="U14" s="163"/>
    </row>
    <row r="15" spans="1:24">
      <c r="A15" s="158">
        <v>4</v>
      </c>
      <c r="B15" s="156" t="s">
        <v>82</v>
      </c>
      <c r="E15" s="158">
        <v>4</v>
      </c>
      <c r="F15" s="156" t="s">
        <v>82</v>
      </c>
      <c r="H15" s="208"/>
      <c r="I15" s="162">
        <f>SUM(I12:I14)</f>
        <v>17444.346623066282</v>
      </c>
      <c r="J15" s="162">
        <f>SUM(J12:J14)</f>
        <v>1484.0900515658409</v>
      </c>
      <c r="K15" s="162">
        <f>SUM(K12:K14)</f>
        <v>7873.2234939001382</v>
      </c>
      <c r="L15" s="162">
        <f>SUM(L12:L14)</f>
        <v>6643.8183876241983</v>
      </c>
      <c r="M15" s="560">
        <f>SUM(M12:M14)</f>
        <v>7504.2971533978953</v>
      </c>
      <c r="N15" s="569">
        <f t="shared" ref="N15:T15" si="2">SUM(N12:N14)</f>
        <v>9829.3372421735949</v>
      </c>
      <c r="O15" s="560">
        <f t="shared" si="2"/>
        <v>10768.505915610931</v>
      </c>
      <c r="P15" s="162">
        <f t="shared" si="2"/>
        <v>5844.4141974662343</v>
      </c>
      <c r="Q15" s="162">
        <f t="shared" si="2"/>
        <v>3744.1105643388128</v>
      </c>
      <c r="R15" s="162">
        <f t="shared" si="2"/>
        <v>4193.2781907653653</v>
      </c>
      <c r="S15" s="162">
        <f t="shared" si="2"/>
        <v>6537.535336613967</v>
      </c>
      <c r="T15" s="162">
        <f t="shared" si="2"/>
        <v>4826.7197152130666</v>
      </c>
      <c r="U15" s="162">
        <f t="shared" ref="U15" si="3">SUM(U12:U14)</f>
        <v>8718.4588001256416</v>
      </c>
    </row>
    <row r="16" spans="1:24">
      <c r="A16" s="158">
        <v>5</v>
      </c>
      <c r="B16" s="156" t="s">
        <v>81</v>
      </c>
      <c r="E16" s="158">
        <v>5</v>
      </c>
      <c r="F16" s="156" t="s">
        <v>81</v>
      </c>
      <c r="H16" s="208"/>
      <c r="I16" s="163"/>
      <c r="J16" s="163"/>
      <c r="K16" s="163"/>
      <c r="L16" s="163"/>
      <c r="M16" s="561"/>
      <c r="N16" s="570"/>
      <c r="O16" s="561"/>
      <c r="P16" s="163"/>
      <c r="Q16" s="163"/>
      <c r="R16" s="163"/>
      <c r="S16" s="163"/>
      <c r="T16" s="163"/>
      <c r="U16" s="163"/>
    </row>
    <row r="17" spans="1:21">
      <c r="A17" s="158">
        <v>6</v>
      </c>
      <c r="B17" s="156" t="s">
        <v>80</v>
      </c>
      <c r="E17" s="158">
        <v>6</v>
      </c>
      <c r="F17" s="156" t="s">
        <v>80</v>
      </c>
      <c r="H17" s="208"/>
      <c r="I17" s="162">
        <f>I15+I16</f>
        <v>17444.346623066282</v>
      </c>
      <c r="J17" s="162">
        <f>J15+J16</f>
        <v>1484.0900515658409</v>
      </c>
      <c r="K17" s="162">
        <f>K15+K16</f>
        <v>7873.2234939001382</v>
      </c>
      <c r="L17" s="162">
        <f>L15+L16</f>
        <v>6643.8183876241983</v>
      </c>
      <c r="M17" s="560">
        <f>M15+M16</f>
        <v>7504.2971533978953</v>
      </c>
      <c r="N17" s="569">
        <f t="shared" ref="N17:T17" si="4">N15+N16</f>
        <v>9829.3372421735949</v>
      </c>
      <c r="O17" s="560">
        <f t="shared" si="4"/>
        <v>10768.505915610931</v>
      </c>
      <c r="P17" s="162">
        <f t="shared" si="4"/>
        <v>5844.4141974662343</v>
      </c>
      <c r="Q17" s="162">
        <f t="shared" si="4"/>
        <v>3744.1105643388128</v>
      </c>
      <c r="R17" s="162">
        <f t="shared" si="4"/>
        <v>4193.2781907653653</v>
      </c>
      <c r="S17" s="162">
        <f t="shared" si="4"/>
        <v>6537.535336613967</v>
      </c>
      <c r="T17" s="162">
        <f t="shared" si="4"/>
        <v>4826.7197152130666</v>
      </c>
      <c r="U17" s="162">
        <f t="shared" ref="U17" si="5">U15+U16</f>
        <v>8718.4588001256416</v>
      </c>
    </row>
    <row r="18" spans="1:21">
      <c r="A18" s="158"/>
      <c r="E18" s="158"/>
      <c r="H18" s="208"/>
      <c r="I18" s="162"/>
      <c r="J18" s="162"/>
      <c r="K18" s="162"/>
      <c r="L18" s="162"/>
      <c r="M18" s="560"/>
      <c r="N18" s="569"/>
      <c r="O18" s="560"/>
      <c r="P18" s="162"/>
      <c r="Q18" s="162"/>
      <c r="R18" s="162"/>
      <c r="S18" s="162"/>
      <c r="T18" s="162"/>
      <c r="U18" s="162"/>
    </row>
    <row r="19" spans="1:21">
      <c r="A19" s="158"/>
      <c r="B19" s="156" t="s">
        <v>79</v>
      </c>
      <c r="E19" s="158"/>
      <c r="F19" s="156" t="s">
        <v>79</v>
      </c>
      <c r="H19" s="208"/>
      <c r="I19" s="162"/>
      <c r="J19" s="162"/>
      <c r="K19" s="162"/>
      <c r="L19" s="162"/>
      <c r="M19" s="560"/>
      <c r="N19" s="569"/>
      <c r="O19" s="560"/>
      <c r="P19" s="162"/>
      <c r="Q19" s="162"/>
      <c r="R19" s="162"/>
      <c r="S19" s="162"/>
      <c r="T19" s="162"/>
      <c r="U19" s="162"/>
    </row>
    <row r="20" spans="1:21">
      <c r="A20" s="158"/>
      <c r="B20" s="156" t="s">
        <v>78</v>
      </c>
      <c r="E20" s="158"/>
      <c r="F20" s="156" t="s">
        <v>78</v>
      </c>
      <c r="H20" s="208"/>
      <c r="I20" s="162"/>
      <c r="J20" s="162"/>
      <c r="K20" s="162"/>
      <c r="L20" s="162"/>
      <c r="M20" s="560"/>
      <c r="N20" s="569"/>
      <c r="O20" s="560"/>
      <c r="P20" s="162"/>
      <c r="Q20" s="162"/>
      <c r="R20" s="162"/>
      <c r="S20" s="162"/>
      <c r="T20" s="162"/>
      <c r="U20" s="162"/>
    </row>
    <row r="21" spans="1:21">
      <c r="A21" s="158">
        <v>7</v>
      </c>
      <c r="C21" s="156" t="s">
        <v>70</v>
      </c>
      <c r="E21" s="158">
        <v>7</v>
      </c>
      <c r="G21" s="156" t="s">
        <v>70</v>
      </c>
      <c r="H21" s="208"/>
      <c r="I21" s="162"/>
      <c r="J21" s="162"/>
      <c r="K21" s="162"/>
      <c r="L21" s="162"/>
      <c r="M21" s="560"/>
      <c r="N21" s="569"/>
      <c r="O21" s="560"/>
      <c r="P21" s="162"/>
      <c r="Q21" s="162"/>
      <c r="R21" s="162"/>
      <c r="S21" s="162"/>
      <c r="T21" s="162"/>
      <c r="U21" s="162"/>
    </row>
    <row r="22" spans="1:21">
      <c r="A22" s="158">
        <v>8</v>
      </c>
      <c r="C22" s="156" t="s">
        <v>77</v>
      </c>
      <c r="E22" s="158">
        <v>8</v>
      </c>
      <c r="G22" s="156" t="s">
        <v>77</v>
      </c>
      <c r="H22" s="208"/>
      <c r="I22" s="162"/>
      <c r="J22" s="162"/>
      <c r="K22" s="162"/>
      <c r="L22" s="162"/>
      <c r="M22" s="560"/>
      <c r="N22" s="569"/>
      <c r="O22" s="560"/>
      <c r="P22" s="162"/>
      <c r="Q22" s="162"/>
      <c r="R22" s="162"/>
      <c r="S22" s="162"/>
      <c r="T22" s="162"/>
      <c r="U22" s="162"/>
    </row>
    <row r="23" spans="1:21">
      <c r="A23" s="158">
        <v>9</v>
      </c>
      <c r="C23" s="156" t="s">
        <v>137</v>
      </c>
      <c r="E23" s="158">
        <v>9</v>
      </c>
      <c r="G23" s="156" t="s">
        <v>137</v>
      </c>
      <c r="H23" s="208"/>
      <c r="I23" s="162"/>
      <c r="J23" s="162"/>
      <c r="K23" s="162"/>
      <c r="L23" s="162"/>
      <c r="M23" s="560"/>
      <c r="N23" s="569"/>
      <c r="O23" s="560"/>
      <c r="P23" s="162"/>
      <c r="Q23" s="162"/>
      <c r="R23" s="162"/>
      <c r="S23" s="162"/>
      <c r="T23" s="162"/>
      <c r="U23" s="162"/>
    </row>
    <row r="24" spans="1:21">
      <c r="A24" s="158">
        <v>10</v>
      </c>
      <c r="C24" s="156" t="s">
        <v>138</v>
      </c>
      <c r="E24" s="158">
        <v>10</v>
      </c>
      <c r="G24" s="156" t="s">
        <v>138</v>
      </c>
      <c r="H24" s="208"/>
      <c r="I24" s="162">
        <v>16644</v>
      </c>
      <c r="J24" s="162">
        <v>1416</v>
      </c>
      <c r="K24" s="162">
        <v>7512</v>
      </c>
      <c r="L24" s="162">
        <v>6339</v>
      </c>
      <c r="M24" s="560">
        <v>7160</v>
      </c>
      <c r="N24" s="569">
        <v>9388</v>
      </c>
      <c r="O24" s="560">
        <v>10285</v>
      </c>
      <c r="P24" s="162">
        <v>5582</v>
      </c>
      <c r="Q24" s="162">
        <v>3576</v>
      </c>
      <c r="R24" s="162">
        <v>4005</v>
      </c>
      <c r="S24" s="162">
        <v>6244</v>
      </c>
      <c r="T24" s="162">
        <f>4794-184</f>
        <v>4610</v>
      </c>
      <c r="U24" s="162">
        <f>8505-178</f>
        <v>8327</v>
      </c>
    </row>
    <row r="25" spans="1:21">
      <c r="A25" s="158">
        <v>11</v>
      </c>
      <c r="C25" s="156" t="s">
        <v>69</v>
      </c>
      <c r="E25" s="158">
        <v>11</v>
      </c>
      <c r="G25" s="156" t="s">
        <v>69</v>
      </c>
      <c r="H25" s="208"/>
      <c r="I25" s="163"/>
      <c r="J25" s="163"/>
      <c r="K25" s="163"/>
      <c r="L25" s="163"/>
      <c r="M25" s="561"/>
      <c r="N25" s="570"/>
      <c r="O25" s="561"/>
      <c r="P25" s="163"/>
      <c r="Q25" s="163"/>
      <c r="R25" s="163"/>
      <c r="S25" s="163"/>
      <c r="T25" s="163"/>
      <c r="U25" s="163"/>
    </row>
    <row r="26" spans="1:21">
      <c r="A26" s="158">
        <v>12</v>
      </c>
      <c r="B26" s="156" t="s">
        <v>76</v>
      </c>
      <c r="E26" s="158">
        <v>12</v>
      </c>
      <c r="F26" s="156" t="s">
        <v>76</v>
      </c>
      <c r="H26" s="208"/>
      <c r="I26" s="162">
        <f>SUM(I21:I25)</f>
        <v>16644</v>
      </c>
      <c r="J26" s="162">
        <f>SUM(J21:J25)</f>
        <v>1416</v>
      </c>
      <c r="K26" s="162">
        <f>SUM(K21:K25)</f>
        <v>7512</v>
      </c>
      <c r="L26" s="162">
        <f>SUM(L21:L25)</f>
        <v>6339</v>
      </c>
      <c r="M26" s="560">
        <f>SUM(M21:M25)</f>
        <v>7160</v>
      </c>
      <c r="N26" s="569">
        <f t="shared" ref="N26:T26" si="6">SUM(N21:N25)</f>
        <v>9388</v>
      </c>
      <c r="O26" s="560">
        <f t="shared" si="6"/>
        <v>10285</v>
      </c>
      <c r="P26" s="162">
        <f t="shared" si="6"/>
        <v>5582</v>
      </c>
      <c r="Q26" s="162">
        <f t="shared" si="6"/>
        <v>3576</v>
      </c>
      <c r="R26" s="162">
        <f t="shared" si="6"/>
        <v>4005</v>
      </c>
      <c r="S26" s="162">
        <f t="shared" si="6"/>
        <v>6244</v>
      </c>
      <c r="T26" s="162">
        <f t="shared" si="6"/>
        <v>4610</v>
      </c>
      <c r="U26" s="162">
        <f t="shared" ref="U26" si="7">SUM(U21:U25)</f>
        <v>8327</v>
      </c>
    </row>
    <row r="27" spans="1:21">
      <c r="A27" s="158"/>
      <c r="E27" s="158"/>
      <c r="H27" s="208"/>
      <c r="I27" s="162"/>
      <c r="J27" s="162"/>
      <c r="K27" s="162"/>
      <c r="L27" s="162"/>
      <c r="M27" s="560"/>
      <c r="N27" s="569"/>
      <c r="O27" s="560"/>
      <c r="P27" s="162"/>
      <c r="Q27" s="162"/>
      <c r="R27" s="162"/>
      <c r="S27" s="162"/>
      <c r="T27" s="162"/>
      <c r="U27" s="162"/>
    </row>
    <row r="28" spans="1:21">
      <c r="A28" s="158"/>
      <c r="B28" s="156" t="s">
        <v>56</v>
      </c>
      <c r="E28" s="158"/>
      <c r="F28" s="156" t="s">
        <v>56</v>
      </c>
      <c r="H28" s="208"/>
      <c r="I28" s="162"/>
      <c r="J28" s="162"/>
      <c r="K28" s="162"/>
      <c r="L28" s="162"/>
      <c r="M28" s="560"/>
      <c r="N28" s="569"/>
      <c r="O28" s="560"/>
      <c r="P28" s="162"/>
      <c r="Q28" s="162"/>
      <c r="R28" s="162"/>
      <c r="S28" s="162"/>
      <c r="T28" s="162"/>
      <c r="U28" s="162"/>
    </row>
    <row r="29" spans="1:21">
      <c r="A29" s="158">
        <v>13</v>
      </c>
      <c r="C29" s="156" t="s">
        <v>70</v>
      </c>
      <c r="E29" s="158">
        <v>13</v>
      </c>
      <c r="G29" s="156" t="s">
        <v>70</v>
      </c>
      <c r="H29" s="208"/>
      <c r="I29" s="162"/>
      <c r="J29" s="162"/>
      <c r="K29" s="162"/>
      <c r="L29" s="162"/>
      <c r="M29" s="560"/>
      <c r="N29" s="569"/>
      <c r="O29" s="560"/>
      <c r="P29" s="162"/>
      <c r="Q29" s="162"/>
      <c r="R29" s="162"/>
      <c r="S29" s="162"/>
      <c r="T29" s="162"/>
      <c r="U29" s="162"/>
    </row>
    <row r="30" spans="1:21">
      <c r="A30" s="158">
        <v>14</v>
      </c>
      <c r="C30" s="156" t="s">
        <v>139</v>
      </c>
      <c r="E30" s="158">
        <v>14</v>
      </c>
      <c r="G30" s="156" t="s">
        <v>139</v>
      </c>
      <c r="H30" s="208"/>
      <c r="I30" s="162"/>
      <c r="J30" s="162"/>
      <c r="K30" s="162"/>
      <c r="L30" s="162"/>
      <c r="M30" s="560"/>
      <c r="N30" s="569"/>
      <c r="O30" s="560"/>
      <c r="P30" s="162"/>
      <c r="Q30" s="162"/>
      <c r="R30" s="162"/>
      <c r="S30" s="162"/>
      <c r="T30" s="162"/>
      <c r="U30" s="162"/>
    </row>
    <row r="31" spans="1:21">
      <c r="A31" s="158">
        <v>15</v>
      </c>
      <c r="C31" s="156" t="s">
        <v>69</v>
      </c>
      <c r="D31" s="161">
        <v>3.8561999999999999E-2</v>
      </c>
      <c r="E31" s="158">
        <v>15</v>
      </c>
      <c r="G31" s="156" t="s">
        <v>69</v>
      </c>
      <c r="H31" s="460">
        <f>ROR!L16</f>
        <v>3.8526999999999999E-2</v>
      </c>
      <c r="I31" s="163">
        <f>I12*$H31</f>
        <v>672.07834234687459</v>
      </c>
      <c r="J31" s="163">
        <f>J12*$H31</f>
        <v>57.177537416677147</v>
      </c>
      <c r="K31" s="163">
        <f>K12*$H31</f>
        <v>303.33168154949061</v>
      </c>
      <c r="L31" s="163">
        <f>L12*$H31</f>
        <v>255.96639101999747</v>
      </c>
      <c r="M31" s="561">
        <f>M12*$H31</f>
        <v>289.1180564289607</v>
      </c>
      <c r="N31" s="570">
        <f t="shared" ref="N31:U31" si="8">N12*$D31</f>
        <v>379.03890273269815</v>
      </c>
      <c r="O31" s="561">
        <f t="shared" si="8"/>
        <v>415.25512511778874</v>
      </c>
      <c r="P31" s="163">
        <f t="shared" si="8"/>
        <v>225.37230028269292</v>
      </c>
      <c r="Q31" s="163">
        <f t="shared" si="8"/>
        <v>144.3803915820333</v>
      </c>
      <c r="R31" s="163">
        <f t="shared" si="8"/>
        <v>161.701193592294</v>
      </c>
      <c r="S31" s="163">
        <f t="shared" si="8"/>
        <v>252.10043765050779</v>
      </c>
      <c r="T31" s="163">
        <f t="shared" si="8"/>
        <v>186.12796565804626</v>
      </c>
      <c r="U31" s="163">
        <f t="shared" si="8"/>
        <v>336.20120825044501</v>
      </c>
    </row>
    <row r="32" spans="1:21">
      <c r="A32" s="158">
        <v>16</v>
      </c>
      <c r="B32" s="156" t="s">
        <v>75</v>
      </c>
      <c r="E32" s="158">
        <v>16</v>
      </c>
      <c r="F32" s="156" t="s">
        <v>75</v>
      </c>
      <c r="H32" s="208"/>
      <c r="I32" s="162">
        <f>SUM(I29:I31)</f>
        <v>672.07834234687459</v>
      </c>
      <c r="J32" s="162">
        <f>SUM(J29:J31)</f>
        <v>57.177537416677147</v>
      </c>
      <c r="K32" s="162">
        <f>SUM(K29:K31)</f>
        <v>303.33168154949061</v>
      </c>
      <c r="L32" s="162">
        <f>SUM(L29:L31)</f>
        <v>255.96639101999747</v>
      </c>
      <c r="M32" s="560">
        <f>SUM(M29:M31)</f>
        <v>289.1180564289607</v>
      </c>
      <c r="N32" s="569">
        <f t="shared" ref="N32:T32" si="9">SUM(N29:N31)</f>
        <v>379.03890273269815</v>
      </c>
      <c r="O32" s="560">
        <f t="shared" si="9"/>
        <v>415.25512511778874</v>
      </c>
      <c r="P32" s="162">
        <f t="shared" si="9"/>
        <v>225.37230028269292</v>
      </c>
      <c r="Q32" s="162">
        <f t="shared" si="9"/>
        <v>144.3803915820333</v>
      </c>
      <c r="R32" s="162">
        <f t="shared" si="9"/>
        <v>161.701193592294</v>
      </c>
      <c r="S32" s="162">
        <f t="shared" si="9"/>
        <v>252.10043765050779</v>
      </c>
      <c r="T32" s="162">
        <f t="shared" si="9"/>
        <v>186.12796565804626</v>
      </c>
      <c r="U32" s="162">
        <f t="shared" ref="U32" si="10">SUM(U29:U31)</f>
        <v>336.20120825044501</v>
      </c>
    </row>
    <row r="33" spans="1:21">
      <c r="A33" s="158"/>
      <c r="E33" s="158"/>
      <c r="H33" s="208"/>
      <c r="I33" s="162"/>
      <c r="J33" s="162"/>
      <c r="K33" s="162"/>
      <c r="L33" s="162"/>
      <c r="M33" s="560"/>
      <c r="N33" s="569"/>
      <c r="O33" s="560"/>
      <c r="P33" s="162"/>
      <c r="Q33" s="162"/>
      <c r="R33" s="162"/>
      <c r="S33" s="162"/>
      <c r="T33" s="162"/>
      <c r="U33" s="162"/>
    </row>
    <row r="34" spans="1:21">
      <c r="A34" s="158">
        <v>17</v>
      </c>
      <c r="B34" s="156" t="s">
        <v>74</v>
      </c>
      <c r="D34" s="161">
        <v>4.3379999999999998E-3</v>
      </c>
      <c r="E34" s="158">
        <v>17</v>
      </c>
      <c r="F34" s="156" t="s">
        <v>74</v>
      </c>
      <c r="H34" s="460">
        <f>ROR!L12</f>
        <v>5.3530000000000001E-3</v>
      </c>
      <c r="I34" s="162">
        <f>I12*$H34</f>
        <v>93.379587473273801</v>
      </c>
      <c r="J34" s="162">
        <f>J12*$H34</f>
        <v>7.9443340460319467</v>
      </c>
      <c r="K34" s="162">
        <f>K12*$H34</f>
        <v>42.145365362847443</v>
      </c>
      <c r="L34" s="162">
        <f>L12*$H34</f>
        <v>35.564359828952334</v>
      </c>
      <c r="M34" s="560">
        <f>M12*$H34</f>
        <v>40.170502662138937</v>
      </c>
      <c r="N34" s="569">
        <f t="shared" ref="N34:S34" si="11">N12*$D34</f>
        <v>42.639664956549055</v>
      </c>
      <c r="O34" s="560">
        <f t="shared" si="11"/>
        <v>46.713778661920216</v>
      </c>
      <c r="P34" s="162">
        <f t="shared" si="11"/>
        <v>25.353068788608525</v>
      </c>
      <c r="Q34" s="162">
        <f t="shared" si="11"/>
        <v>16.24195162810177</v>
      </c>
      <c r="R34" s="162">
        <f t="shared" si="11"/>
        <v>18.190440791540155</v>
      </c>
      <c r="S34" s="162">
        <f t="shared" si="11"/>
        <v>28.359828290231388</v>
      </c>
      <c r="T34" s="162">
        <f>T12*$D34</f>
        <v>20.938310124594281</v>
      </c>
      <c r="U34" s="162">
        <f>U12*$D34</f>
        <v>37.820674274945034</v>
      </c>
    </row>
    <row r="35" spans="1:21">
      <c r="A35" s="158">
        <v>18</v>
      </c>
      <c r="B35" s="156" t="s">
        <v>73</v>
      </c>
      <c r="E35" s="158">
        <v>18</v>
      </c>
      <c r="F35" s="156" t="s">
        <v>73</v>
      </c>
      <c r="H35" s="208"/>
      <c r="I35" s="162"/>
      <c r="J35" s="162"/>
      <c r="K35" s="162"/>
      <c r="L35" s="162"/>
      <c r="M35" s="560"/>
      <c r="N35" s="569"/>
      <c r="O35" s="560"/>
      <c r="P35" s="162"/>
      <c r="Q35" s="162"/>
      <c r="R35" s="162"/>
      <c r="S35" s="162"/>
      <c r="T35" s="162"/>
      <c r="U35" s="162"/>
    </row>
    <row r="36" spans="1:21">
      <c r="A36" s="158">
        <v>19</v>
      </c>
      <c r="B36" s="156" t="s">
        <v>72</v>
      </c>
      <c r="E36" s="158">
        <v>19</v>
      </c>
      <c r="F36" s="156" t="s">
        <v>72</v>
      </c>
      <c r="H36" s="208"/>
      <c r="I36" s="162"/>
      <c r="J36" s="162"/>
      <c r="K36" s="162"/>
      <c r="L36" s="162"/>
      <c r="M36" s="560"/>
      <c r="N36" s="569"/>
      <c r="O36" s="560"/>
      <c r="P36" s="162"/>
      <c r="Q36" s="162"/>
      <c r="R36" s="162"/>
      <c r="S36" s="162"/>
      <c r="T36" s="162"/>
      <c r="U36" s="162"/>
    </row>
    <row r="37" spans="1:21">
      <c r="A37" s="158"/>
      <c r="E37" s="158"/>
      <c r="H37" s="208"/>
      <c r="I37" s="162"/>
      <c r="J37" s="162"/>
      <c r="K37" s="162"/>
      <c r="L37" s="162"/>
      <c r="M37" s="560"/>
      <c r="N37" s="569"/>
      <c r="O37" s="560"/>
      <c r="P37" s="162"/>
      <c r="Q37" s="162"/>
      <c r="R37" s="162"/>
      <c r="S37" s="162"/>
      <c r="T37" s="162"/>
      <c r="U37" s="162"/>
    </row>
    <row r="38" spans="1:21">
      <c r="A38" s="158"/>
      <c r="B38" s="156" t="s">
        <v>71</v>
      </c>
      <c r="E38" s="158"/>
      <c r="F38" s="156" t="s">
        <v>71</v>
      </c>
      <c r="H38" s="208"/>
      <c r="I38" s="162"/>
      <c r="J38" s="162"/>
      <c r="K38" s="162"/>
      <c r="L38" s="162"/>
      <c r="M38" s="560"/>
      <c r="N38" s="569"/>
      <c r="O38" s="560"/>
      <c r="P38" s="162"/>
      <c r="Q38" s="162"/>
      <c r="R38" s="162"/>
      <c r="S38" s="162"/>
      <c r="T38" s="162"/>
      <c r="U38" s="162"/>
    </row>
    <row r="39" spans="1:21">
      <c r="A39" s="158">
        <v>20</v>
      </c>
      <c r="C39" s="156" t="s">
        <v>70</v>
      </c>
      <c r="D39" s="161">
        <v>2E-3</v>
      </c>
      <c r="E39" s="158">
        <v>20</v>
      </c>
      <c r="G39" s="156" t="s">
        <v>70</v>
      </c>
      <c r="H39" s="460">
        <f>ROR!L14</f>
        <v>2E-3</v>
      </c>
      <c r="I39" s="162">
        <f>I12*$H39</f>
        <v>34.888693246132561</v>
      </c>
      <c r="J39" s="162">
        <f>J12*$H39</f>
        <v>2.9681801031316817</v>
      </c>
      <c r="K39" s="162">
        <f>K12*$H39</f>
        <v>15.746446987800276</v>
      </c>
      <c r="L39" s="162">
        <f>L12*$H39</f>
        <v>13.287636775248396</v>
      </c>
      <c r="M39" s="560">
        <f>M12*$H39</f>
        <v>15.008594306795791</v>
      </c>
      <c r="N39" s="569">
        <f t="shared" ref="N39:T39" si="12">N12*$D39</f>
        <v>19.658674484347191</v>
      </c>
      <c r="O39" s="560">
        <f t="shared" si="12"/>
        <v>21.537011831221861</v>
      </c>
      <c r="P39" s="162">
        <f t="shared" si="12"/>
        <v>11.688828394932468</v>
      </c>
      <c r="Q39" s="162">
        <f t="shared" si="12"/>
        <v>7.4882211286776261</v>
      </c>
      <c r="R39" s="162">
        <f t="shared" si="12"/>
        <v>8.3865563815307311</v>
      </c>
      <c r="S39" s="162">
        <f t="shared" si="12"/>
        <v>13.075070673227934</v>
      </c>
      <c r="T39" s="162">
        <f t="shared" si="12"/>
        <v>9.6534394304261326</v>
      </c>
      <c r="U39" s="162">
        <f t="shared" ref="U39" si="13">U12*$D39</f>
        <v>17.436917600251284</v>
      </c>
    </row>
    <row r="40" spans="1:21">
      <c r="A40" s="158">
        <v>21</v>
      </c>
      <c r="C40" s="156" t="s">
        <v>139</v>
      </c>
      <c r="E40" s="158">
        <v>21</v>
      </c>
      <c r="G40" s="156" t="s">
        <v>139</v>
      </c>
      <c r="I40" s="162"/>
      <c r="J40" s="162"/>
      <c r="K40" s="162"/>
      <c r="L40" s="162"/>
      <c r="M40" s="560"/>
      <c r="N40" s="569"/>
      <c r="O40" s="560"/>
      <c r="P40" s="162"/>
      <c r="Q40" s="162"/>
      <c r="R40" s="162"/>
      <c r="S40" s="162"/>
      <c r="T40" s="162"/>
      <c r="U40" s="162"/>
    </row>
    <row r="41" spans="1:21">
      <c r="A41" s="158">
        <v>22</v>
      </c>
      <c r="C41" s="156" t="s">
        <v>69</v>
      </c>
      <c r="E41" s="158">
        <v>22</v>
      </c>
      <c r="G41" s="156" t="s">
        <v>69</v>
      </c>
      <c r="I41" s="163"/>
      <c r="J41" s="163"/>
      <c r="K41" s="163"/>
      <c r="L41" s="163"/>
      <c r="M41" s="561"/>
      <c r="N41" s="570"/>
      <c r="O41" s="561"/>
      <c r="P41" s="163"/>
      <c r="Q41" s="163"/>
      <c r="R41" s="163"/>
      <c r="S41" s="163"/>
      <c r="T41" s="163"/>
      <c r="U41" s="163"/>
    </row>
    <row r="42" spans="1:21">
      <c r="A42" s="158">
        <v>23</v>
      </c>
      <c r="B42" s="156" t="s">
        <v>68</v>
      </c>
      <c r="E42" s="158">
        <v>23</v>
      </c>
      <c r="F42" s="156" t="s">
        <v>68</v>
      </c>
      <c r="I42" s="164">
        <f>SUM(I39:I41)</f>
        <v>34.888693246132561</v>
      </c>
      <c r="J42" s="164">
        <f>SUM(J39:J41)</f>
        <v>2.9681801031316817</v>
      </c>
      <c r="K42" s="164">
        <f>SUM(K39:K41)</f>
        <v>15.746446987800276</v>
      </c>
      <c r="L42" s="164">
        <f>SUM(L39:L41)</f>
        <v>13.287636775248396</v>
      </c>
      <c r="M42" s="562">
        <f>SUM(M39:M41)</f>
        <v>15.008594306795791</v>
      </c>
      <c r="N42" s="571">
        <f t="shared" ref="N42:T42" si="14">SUM(N39:N41)</f>
        <v>19.658674484347191</v>
      </c>
      <c r="O42" s="562">
        <f t="shared" si="14"/>
        <v>21.537011831221861</v>
      </c>
      <c r="P42" s="164">
        <f t="shared" si="14"/>
        <v>11.688828394932468</v>
      </c>
      <c r="Q42" s="164">
        <f t="shared" si="14"/>
        <v>7.4882211286776261</v>
      </c>
      <c r="R42" s="164">
        <f t="shared" si="14"/>
        <v>8.3865563815307311</v>
      </c>
      <c r="S42" s="164">
        <f t="shared" si="14"/>
        <v>13.075070673227934</v>
      </c>
      <c r="T42" s="164">
        <f t="shared" si="14"/>
        <v>9.6534394304261326</v>
      </c>
      <c r="U42" s="164">
        <f t="shared" ref="U42" si="15">SUM(U39:U41)</f>
        <v>17.436917600251284</v>
      </c>
    </row>
    <row r="43" spans="1:21">
      <c r="A43" s="158">
        <v>24</v>
      </c>
      <c r="B43" s="156" t="s">
        <v>67</v>
      </c>
      <c r="E43" s="158">
        <v>24</v>
      </c>
      <c r="F43" s="156" t="s">
        <v>67</v>
      </c>
      <c r="I43" s="164">
        <f>I26+I32+I34+I35+I36+I42</f>
        <v>17444.346623066282</v>
      </c>
      <c r="J43" s="164">
        <f>J26+J32+J34+J35+J36+J42</f>
        <v>1484.0900515658409</v>
      </c>
      <c r="K43" s="164">
        <f>K26+K32+K34+K35+K36+K42</f>
        <v>7873.2234939001391</v>
      </c>
      <c r="L43" s="164">
        <f>L26+L32+L34+L35+L36+L42</f>
        <v>6643.8183876241992</v>
      </c>
      <c r="M43" s="562">
        <f>M26+M32+M34+M35+M36+M42</f>
        <v>7504.2971533978962</v>
      </c>
      <c r="N43" s="571">
        <f t="shared" ref="N43:S43" si="16">N26+N32+N34+N35+N36+N42</f>
        <v>9829.3372421735949</v>
      </c>
      <c r="O43" s="562">
        <f t="shared" si="16"/>
        <v>10768.505915610931</v>
      </c>
      <c r="P43" s="164">
        <f t="shared" si="16"/>
        <v>5844.4141974662343</v>
      </c>
      <c r="Q43" s="164">
        <f t="shared" si="16"/>
        <v>3744.1105643388123</v>
      </c>
      <c r="R43" s="164">
        <f t="shared" si="16"/>
        <v>4193.2781907653643</v>
      </c>
      <c r="S43" s="164">
        <f t="shared" si="16"/>
        <v>6537.535336613967</v>
      </c>
      <c r="T43" s="164">
        <f>T26+T32+T34+T35+T36+T42</f>
        <v>4826.7197152130666</v>
      </c>
      <c r="U43" s="164">
        <f>U26+U32+U34+U35+U36+U42</f>
        <v>8718.4588001256398</v>
      </c>
    </row>
    <row r="44" spans="1:21">
      <c r="A44" s="158"/>
      <c r="E44" s="158"/>
      <c r="I44" s="162"/>
      <c r="J44" s="162"/>
      <c r="K44" s="162"/>
      <c r="L44" s="162"/>
      <c r="M44" s="560"/>
      <c r="N44" s="569"/>
      <c r="O44" s="560"/>
      <c r="P44" s="162"/>
      <c r="Q44" s="162"/>
      <c r="R44" s="162"/>
      <c r="S44" s="162"/>
      <c r="T44" s="162"/>
      <c r="U44" s="162"/>
    </row>
    <row r="45" spans="1:21">
      <c r="A45" s="158">
        <v>25</v>
      </c>
      <c r="B45" s="156" t="s">
        <v>66</v>
      </c>
      <c r="E45" s="158">
        <v>25</v>
      </c>
      <c r="F45" s="156" t="s">
        <v>66</v>
      </c>
      <c r="I45" s="162">
        <f>I17-I43</f>
        <v>0</v>
      </c>
      <c r="J45" s="162">
        <f>J17-J43</f>
        <v>0</v>
      </c>
      <c r="K45" s="162">
        <f>K17-K43</f>
        <v>0</v>
      </c>
      <c r="L45" s="162">
        <f>L17-L43</f>
        <v>0</v>
      </c>
      <c r="M45" s="560">
        <f>M17-M43</f>
        <v>0</v>
      </c>
      <c r="N45" s="569">
        <f t="shared" ref="N45:T45" si="17">N17-N43</f>
        <v>0</v>
      </c>
      <c r="O45" s="560">
        <f t="shared" si="17"/>
        <v>0</v>
      </c>
      <c r="P45" s="162">
        <f t="shared" si="17"/>
        <v>0</v>
      </c>
      <c r="Q45" s="162">
        <f t="shared" si="17"/>
        <v>0</v>
      </c>
      <c r="R45" s="162">
        <f t="shared" si="17"/>
        <v>0</v>
      </c>
      <c r="S45" s="162">
        <f t="shared" si="17"/>
        <v>0</v>
      </c>
      <c r="T45" s="162">
        <f t="shared" si="17"/>
        <v>0</v>
      </c>
      <c r="U45" s="162">
        <f t="shared" ref="U45" si="18">U17-U43</f>
        <v>0</v>
      </c>
    </row>
    <row r="46" spans="1:21">
      <c r="A46" s="158"/>
      <c r="E46" s="158"/>
      <c r="I46" s="162"/>
      <c r="J46" s="162"/>
      <c r="K46" s="162"/>
      <c r="L46" s="162"/>
      <c r="M46" s="560"/>
      <c r="N46" s="569"/>
      <c r="O46" s="560"/>
      <c r="P46" s="162"/>
      <c r="Q46" s="162"/>
      <c r="R46" s="162"/>
      <c r="S46" s="162"/>
      <c r="T46" s="162"/>
      <c r="U46" s="162"/>
    </row>
    <row r="47" spans="1:21">
      <c r="A47" s="158"/>
      <c r="B47" s="156" t="s">
        <v>65</v>
      </c>
      <c r="E47" s="158"/>
      <c r="F47" s="156" t="s">
        <v>65</v>
      </c>
      <c r="I47" s="162"/>
      <c r="J47" s="162"/>
      <c r="K47" s="162"/>
      <c r="L47" s="162"/>
      <c r="M47" s="560"/>
      <c r="N47" s="569"/>
      <c r="O47" s="560"/>
      <c r="P47" s="162"/>
      <c r="Q47" s="162"/>
      <c r="R47" s="162"/>
      <c r="S47" s="162"/>
      <c r="T47" s="162"/>
      <c r="U47" s="162"/>
    </row>
    <row r="48" spans="1:21">
      <c r="A48" s="158">
        <v>26</v>
      </c>
      <c r="B48" s="156" t="s">
        <v>140</v>
      </c>
      <c r="E48" s="158">
        <v>26</v>
      </c>
      <c r="F48" s="156" t="s">
        <v>140</v>
      </c>
      <c r="I48" s="162">
        <f>ROUND(0.35*I45,0)</f>
        <v>0</v>
      </c>
      <c r="J48" s="162">
        <f>ROUND(0.35*J45,0)</f>
        <v>0</v>
      </c>
      <c r="K48" s="162">
        <f>ROUND(0.35*K45,0)</f>
        <v>0</v>
      </c>
      <c r="L48" s="162">
        <f>ROUND(0.35*L45,0)</f>
        <v>0</v>
      </c>
      <c r="M48" s="560">
        <f>ROUND(0.35*M45,0)</f>
        <v>0</v>
      </c>
      <c r="N48" s="569">
        <f t="shared" ref="N48:T48" si="19">ROUND(0.35*N45,0)</f>
        <v>0</v>
      </c>
      <c r="O48" s="560">
        <f t="shared" si="19"/>
        <v>0</v>
      </c>
      <c r="P48" s="162">
        <f t="shared" si="19"/>
        <v>0</v>
      </c>
      <c r="Q48" s="162">
        <f t="shared" si="19"/>
        <v>0</v>
      </c>
      <c r="R48" s="162">
        <f t="shared" si="19"/>
        <v>0</v>
      </c>
      <c r="S48" s="162">
        <f t="shared" si="19"/>
        <v>0</v>
      </c>
      <c r="T48" s="162">
        <f t="shared" si="19"/>
        <v>0</v>
      </c>
      <c r="U48" s="162">
        <f t="shared" ref="U48" si="20">ROUND(0.35*U45,0)</f>
        <v>0</v>
      </c>
    </row>
    <row r="49" spans="1:21">
      <c r="A49" s="158">
        <v>27</v>
      </c>
      <c r="B49" s="156" t="s">
        <v>141</v>
      </c>
      <c r="E49" s="158">
        <v>27</v>
      </c>
      <c r="F49" s="156" t="s">
        <v>141</v>
      </c>
      <c r="I49" s="162"/>
      <c r="J49" s="162"/>
      <c r="K49" s="162"/>
      <c r="L49" s="162"/>
      <c r="M49" s="560"/>
      <c r="N49" s="569"/>
      <c r="O49" s="560"/>
      <c r="P49" s="162"/>
      <c r="Q49" s="162"/>
      <c r="R49" s="162"/>
      <c r="S49" s="162"/>
      <c r="T49" s="162"/>
      <c r="U49" s="162"/>
    </row>
    <row r="50" spans="1:21">
      <c r="A50" s="158">
        <v>28</v>
      </c>
      <c r="B50" s="156" t="s">
        <v>64</v>
      </c>
      <c r="E50" s="158">
        <v>28</v>
      </c>
      <c r="F50" s="156" t="s">
        <v>64</v>
      </c>
      <c r="I50" s="162"/>
      <c r="J50" s="162"/>
      <c r="K50" s="162"/>
      <c r="L50" s="162"/>
      <c r="M50" s="560"/>
      <c r="N50" s="569"/>
      <c r="O50" s="560"/>
      <c r="P50" s="162"/>
      <c r="Q50" s="162"/>
      <c r="R50" s="162"/>
      <c r="S50" s="162"/>
      <c r="T50" s="162"/>
      <c r="U50" s="162"/>
    </row>
    <row r="51" spans="1:21">
      <c r="A51" s="158">
        <v>29</v>
      </c>
      <c r="B51" s="156" t="s">
        <v>63</v>
      </c>
      <c r="E51" s="158">
        <v>29</v>
      </c>
      <c r="F51" s="156" t="s">
        <v>63</v>
      </c>
      <c r="I51" s="163"/>
      <c r="J51" s="163"/>
      <c r="K51" s="163"/>
      <c r="L51" s="163"/>
      <c r="M51" s="561"/>
      <c r="N51" s="570"/>
      <c r="O51" s="561"/>
      <c r="P51" s="163"/>
      <c r="Q51" s="163"/>
      <c r="R51" s="163"/>
      <c r="S51" s="163"/>
      <c r="T51" s="163"/>
      <c r="U51" s="163"/>
    </row>
    <row r="52" spans="1:21">
      <c r="A52" s="158"/>
      <c r="E52" s="158"/>
      <c r="I52" s="162"/>
      <c r="J52" s="162"/>
      <c r="K52" s="162"/>
      <c r="L52" s="162"/>
      <c r="M52" s="560"/>
      <c r="N52" s="569"/>
      <c r="O52" s="560"/>
      <c r="P52" s="162"/>
      <c r="Q52" s="162"/>
      <c r="R52" s="162"/>
      <c r="S52" s="162"/>
      <c r="T52" s="162"/>
      <c r="U52" s="162"/>
    </row>
    <row r="53" spans="1:21">
      <c r="A53" s="158">
        <v>30</v>
      </c>
      <c r="B53" s="156" t="s">
        <v>62</v>
      </c>
      <c r="E53" s="158">
        <v>30</v>
      </c>
      <c r="F53" s="156" t="s">
        <v>62</v>
      </c>
      <c r="I53" s="162">
        <f>I45-I48-I49-I50-I51</f>
        <v>0</v>
      </c>
      <c r="J53" s="162">
        <f>J45-J48-J49-J50-J51</f>
        <v>0</v>
      </c>
      <c r="K53" s="162">
        <f>K45-K48-K49-K50-K51</f>
        <v>0</v>
      </c>
      <c r="L53" s="162">
        <f>L45-L48-L49-L50-L51</f>
        <v>0</v>
      </c>
      <c r="M53" s="560">
        <f>M45-M48-M49-M50-M51</f>
        <v>0</v>
      </c>
      <c r="N53" s="569">
        <f t="shared" ref="N53:T53" si="21">N45-N48-N49-N50-N51</f>
        <v>0</v>
      </c>
      <c r="O53" s="560">
        <f t="shared" si="21"/>
        <v>0</v>
      </c>
      <c r="P53" s="162">
        <f t="shared" si="21"/>
        <v>0</v>
      </c>
      <c r="Q53" s="162">
        <f t="shared" si="21"/>
        <v>0</v>
      </c>
      <c r="R53" s="162">
        <f t="shared" si="21"/>
        <v>0</v>
      </c>
      <c r="S53" s="162">
        <f t="shared" si="21"/>
        <v>0</v>
      </c>
      <c r="T53" s="162">
        <f t="shared" si="21"/>
        <v>0</v>
      </c>
      <c r="U53" s="162">
        <f t="shared" ref="U53" si="22">U45-U48-U49-U50-U51</f>
        <v>0</v>
      </c>
    </row>
    <row r="54" spans="1:21">
      <c r="A54" s="158"/>
      <c r="E54" s="158"/>
    </row>
    <row r="55" spans="1:21">
      <c r="B55" s="156" t="s">
        <v>238</v>
      </c>
      <c r="F55" s="156" t="s">
        <v>511</v>
      </c>
    </row>
    <row r="56" spans="1:21">
      <c r="F56" s="156" t="s">
        <v>300</v>
      </c>
    </row>
    <row r="57" spans="1:21">
      <c r="F57" s="156" t="s">
        <v>298</v>
      </c>
    </row>
    <row r="58" spans="1:21">
      <c r="F58" s="156" t="s">
        <v>513</v>
      </c>
    </row>
  </sheetData>
  <phoneticPr fontId="55" type="noConversion"/>
  <pageMargins left="0.7" right="0.7" top="0.19" bottom="0.5" header="0.17" footer="0.3"/>
  <pageSetup scale="75" orientation="landscape" cellComments="asDisplayed" r:id="rId1"/>
  <headerFooter>
    <oddFooter>&amp;C&amp;F / &amp;A</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U84"/>
  <sheetViews>
    <sheetView view="pageBreakPreview" zoomScaleNormal="100" zoomScaleSheetLayoutView="100" workbookViewId="0">
      <selection activeCell="I55" sqref="I55"/>
    </sheetView>
  </sheetViews>
  <sheetFormatPr defaultColWidth="10.7109375" defaultRowHeight="12.75"/>
  <cols>
    <col min="1" max="1" width="4.7109375" style="17" customWidth="1"/>
    <col min="2" max="3" width="1.7109375" style="13" customWidth="1"/>
    <col min="4" max="4" width="21.85546875" style="13" customWidth="1"/>
    <col min="5" max="5" width="3" style="412" customWidth="1"/>
    <col min="6" max="6" width="10.7109375" style="14" customWidth="1"/>
    <col min="7" max="7" width="10.7109375" style="16" customWidth="1"/>
    <col min="8" max="10" width="10.7109375" style="13" customWidth="1"/>
    <col min="11" max="11" width="10.7109375" style="14" customWidth="1"/>
    <col min="12" max="13" width="10.7109375" style="13" customWidth="1"/>
    <col min="14" max="14" width="10.7109375" style="412" customWidth="1"/>
    <col min="15" max="15" width="10.7109375" style="14" customWidth="1"/>
    <col min="16" max="16" width="10.7109375" style="13" customWidth="1"/>
    <col min="17" max="20" width="10.7109375" style="13"/>
    <col min="21" max="21" width="12.5703125" style="13" customWidth="1"/>
    <col min="22" max="16384" width="10.7109375" style="13"/>
  </cols>
  <sheetData>
    <row r="1" spans="1:20">
      <c r="A1" s="39" t="s">
        <v>94</v>
      </c>
      <c r="D1" s="17"/>
    </row>
    <row r="2" spans="1:20">
      <c r="A2" s="39" t="s">
        <v>134</v>
      </c>
      <c r="D2" s="17"/>
    </row>
    <row r="3" spans="1:20">
      <c r="A3" s="39" t="s">
        <v>386</v>
      </c>
      <c r="D3" s="17"/>
      <c r="H3" s="14" t="s">
        <v>387</v>
      </c>
    </row>
    <row r="4" spans="1:20">
      <c r="A4" s="39" t="s">
        <v>93</v>
      </c>
      <c r="D4" s="17"/>
      <c r="K4" s="26"/>
    </row>
    <row r="5" spans="1:20" s="25" customFormat="1">
      <c r="A5" s="28"/>
      <c r="D5" s="28"/>
      <c r="E5" s="412"/>
      <c r="F5" s="26"/>
      <c r="G5" s="27"/>
      <c r="K5" s="26"/>
      <c r="O5" s="26"/>
    </row>
    <row r="6" spans="1:20" s="25" customFormat="1" ht="12" customHeight="1">
      <c r="A6" s="37"/>
      <c r="B6" s="36"/>
      <c r="C6" s="35"/>
      <c r="D6" s="35"/>
      <c r="E6" s="412"/>
      <c r="F6" s="34"/>
      <c r="G6" s="27"/>
      <c r="K6" s="34"/>
      <c r="O6" s="34"/>
    </row>
    <row r="7" spans="1:20" s="25" customFormat="1">
      <c r="A7" s="33" t="s">
        <v>3</v>
      </c>
      <c r="B7" s="32"/>
      <c r="C7" s="27"/>
      <c r="D7" s="27"/>
      <c r="E7" s="412"/>
      <c r="F7" s="26"/>
      <c r="G7" s="27"/>
      <c r="K7" s="26"/>
      <c r="O7" s="26"/>
      <c r="T7" s="794" t="s">
        <v>712</v>
      </c>
    </row>
    <row r="8" spans="1:20" s="25" customFormat="1">
      <c r="A8" s="31" t="s">
        <v>90</v>
      </c>
      <c r="B8" s="30"/>
      <c r="C8" s="29"/>
      <c r="D8" s="29" t="s">
        <v>4</v>
      </c>
      <c r="E8" s="412"/>
      <c r="F8" s="413" t="s">
        <v>388</v>
      </c>
      <c r="G8" s="413" t="s">
        <v>389</v>
      </c>
      <c r="H8" s="413" t="s">
        <v>390</v>
      </c>
      <c r="I8" s="413" t="s">
        <v>391</v>
      </c>
      <c r="J8" s="413" t="s">
        <v>392</v>
      </c>
      <c r="K8" s="413" t="s">
        <v>393</v>
      </c>
      <c r="L8" s="413" t="s">
        <v>394</v>
      </c>
      <c r="M8" s="413" t="s">
        <v>395</v>
      </c>
      <c r="N8" s="413" t="s">
        <v>396</v>
      </c>
      <c r="O8" s="413" t="s">
        <v>397</v>
      </c>
      <c r="P8" s="413" t="s">
        <v>398</v>
      </c>
      <c r="Q8" s="413" t="s">
        <v>399</v>
      </c>
      <c r="R8" s="413" t="s">
        <v>400</v>
      </c>
      <c r="S8" s="413" t="s">
        <v>500</v>
      </c>
      <c r="T8" s="413" t="s">
        <v>644</v>
      </c>
    </row>
    <row r="9" spans="1:20" s="76" customFormat="1">
      <c r="B9" s="77" t="s">
        <v>135</v>
      </c>
      <c r="E9" s="412"/>
      <c r="F9" s="79"/>
      <c r="G9" s="80"/>
      <c r="K9" s="78"/>
      <c r="O9" s="79"/>
    </row>
    <row r="10" spans="1:20" s="76" customFormat="1">
      <c r="B10" s="77" t="s">
        <v>136</v>
      </c>
      <c r="E10" s="412"/>
      <c r="F10" s="79"/>
      <c r="G10" s="80"/>
      <c r="K10" s="78"/>
      <c r="O10" s="79"/>
    </row>
    <row r="11" spans="1:20" s="76" customFormat="1">
      <c r="B11" s="77"/>
      <c r="E11" s="412"/>
      <c r="F11" s="79"/>
      <c r="G11" s="80"/>
      <c r="K11" s="78"/>
      <c r="O11" s="79"/>
    </row>
    <row r="12" spans="1:20">
      <c r="B12" s="13" t="s">
        <v>86</v>
      </c>
    </row>
    <row r="13" spans="1:20" s="20" customFormat="1">
      <c r="A13" s="19">
        <v>1</v>
      </c>
      <c r="B13" s="20" t="s">
        <v>85</v>
      </c>
      <c r="E13" s="412"/>
      <c r="F13" s="414">
        <v>242529</v>
      </c>
      <c r="G13" s="414">
        <v>258201</v>
      </c>
      <c r="H13" s="414">
        <v>273318</v>
      </c>
      <c r="I13" s="414">
        <v>283356</v>
      </c>
      <c r="J13" s="414">
        <v>285399</v>
      </c>
      <c r="K13" s="414">
        <v>289216</v>
      </c>
      <c r="L13" s="414">
        <v>321929</v>
      </c>
      <c r="M13" s="414">
        <v>326335</v>
      </c>
      <c r="N13" s="414">
        <v>365425</v>
      </c>
      <c r="O13" s="414">
        <v>402618</v>
      </c>
      <c r="P13" s="414">
        <v>415739.9703632</v>
      </c>
      <c r="Q13" s="414">
        <v>451837</v>
      </c>
      <c r="R13" s="414">
        <v>460195</v>
      </c>
      <c r="S13" s="414">
        <v>468006</v>
      </c>
      <c r="T13" s="414">
        <v>488372</v>
      </c>
    </row>
    <row r="14" spans="1:20" s="22" customFormat="1">
      <c r="A14" s="19">
        <v>2</v>
      </c>
      <c r="B14" s="22" t="s">
        <v>84</v>
      </c>
      <c r="E14" s="412"/>
      <c r="F14" s="415">
        <v>546</v>
      </c>
      <c r="G14" s="415">
        <v>528</v>
      </c>
      <c r="H14" s="415">
        <v>791</v>
      </c>
      <c r="I14" s="415">
        <v>752</v>
      </c>
      <c r="J14" s="415">
        <v>752</v>
      </c>
      <c r="K14" s="415">
        <v>713</v>
      </c>
      <c r="L14" s="415">
        <v>733</v>
      </c>
      <c r="M14" s="415">
        <v>739</v>
      </c>
      <c r="N14" s="415">
        <v>820</v>
      </c>
      <c r="O14" s="415">
        <v>871.54909999999995</v>
      </c>
      <c r="P14" s="415">
        <v>790</v>
      </c>
      <c r="Q14" s="415">
        <v>820</v>
      </c>
      <c r="R14" s="415">
        <v>-113</v>
      </c>
      <c r="S14" s="415">
        <v>884</v>
      </c>
      <c r="T14" s="415">
        <v>922</v>
      </c>
    </row>
    <row r="15" spans="1:20" s="22" customFormat="1">
      <c r="A15" s="19">
        <v>3</v>
      </c>
      <c r="B15" s="22" t="s">
        <v>83</v>
      </c>
      <c r="E15" s="412"/>
      <c r="F15" s="416">
        <v>137117</v>
      </c>
      <c r="G15" s="416">
        <v>91388</v>
      </c>
      <c r="H15" s="416">
        <v>29918</v>
      </c>
      <c r="I15" s="416">
        <v>35252</v>
      </c>
      <c r="J15" s="416">
        <v>40460</v>
      </c>
      <c r="K15" s="416">
        <v>44718</v>
      </c>
      <c r="L15" s="416">
        <v>35380</v>
      </c>
      <c r="M15" s="416">
        <v>34954</v>
      </c>
      <c r="N15" s="416">
        <v>46848</v>
      </c>
      <c r="O15" s="416">
        <v>31491</v>
      </c>
      <c r="P15" s="416">
        <v>133479</v>
      </c>
      <c r="Q15" s="416">
        <v>52604</v>
      </c>
      <c r="R15" s="416">
        <v>54549</v>
      </c>
      <c r="S15" s="416">
        <v>75349</v>
      </c>
      <c r="T15" s="416">
        <v>60998</v>
      </c>
    </row>
    <row r="16" spans="1:20" s="22" customFormat="1">
      <c r="A16" s="19">
        <v>4</v>
      </c>
      <c r="B16" s="22" t="s">
        <v>82</v>
      </c>
      <c r="E16" s="412"/>
      <c r="F16" s="417">
        <v>380192</v>
      </c>
      <c r="G16" s="417">
        <v>350117</v>
      </c>
      <c r="H16" s="417">
        <v>304027</v>
      </c>
      <c r="I16" s="417">
        <v>319360</v>
      </c>
      <c r="J16" s="417">
        <v>326611</v>
      </c>
      <c r="K16" s="417">
        <v>334647</v>
      </c>
      <c r="L16" s="417">
        <v>358042</v>
      </c>
      <c r="M16" s="417">
        <v>362028</v>
      </c>
      <c r="N16" s="417">
        <v>413093</v>
      </c>
      <c r="O16" s="417">
        <v>434980.5491</v>
      </c>
      <c r="P16" s="417">
        <v>550008.97036319994</v>
      </c>
      <c r="Q16" s="417">
        <v>505261</v>
      </c>
      <c r="R16" s="417">
        <v>514631</v>
      </c>
      <c r="S16" s="417">
        <f>SUM(S13:S15)</f>
        <v>544239</v>
      </c>
      <c r="T16" s="417">
        <f>SUM(T13:T15)</f>
        <v>550292</v>
      </c>
    </row>
    <row r="17" spans="1:21" s="22" customFormat="1">
      <c r="A17" s="19">
        <v>5</v>
      </c>
      <c r="B17" s="22" t="s">
        <v>81</v>
      </c>
      <c r="E17" s="412"/>
      <c r="F17" s="416">
        <v>13062</v>
      </c>
      <c r="G17" s="416">
        <v>14305</v>
      </c>
      <c r="H17" s="416">
        <v>34274</v>
      </c>
      <c r="I17" s="416">
        <v>57244</v>
      </c>
      <c r="J17" s="416">
        <v>8587</v>
      </c>
      <c r="K17" s="416">
        <v>10259</v>
      </c>
      <c r="L17" s="416">
        <v>10178</v>
      </c>
      <c r="M17" s="416">
        <v>10170</v>
      </c>
      <c r="N17" s="416">
        <v>10927</v>
      </c>
      <c r="O17" s="416">
        <v>9395</v>
      </c>
      <c r="P17" s="416">
        <v>11786</v>
      </c>
      <c r="Q17" s="416">
        <v>13666</v>
      </c>
      <c r="R17" s="416">
        <v>13089</v>
      </c>
      <c r="S17" s="416">
        <v>13408</v>
      </c>
      <c r="T17" s="416">
        <v>17163</v>
      </c>
    </row>
    <row r="18" spans="1:21" s="22" customFormat="1">
      <c r="A18" s="19">
        <v>6</v>
      </c>
      <c r="B18" s="22" t="s">
        <v>80</v>
      </c>
      <c r="E18" s="412"/>
      <c r="F18" s="417">
        <v>393254</v>
      </c>
      <c r="G18" s="417">
        <v>364422</v>
      </c>
      <c r="H18" s="417">
        <v>338301</v>
      </c>
      <c r="I18" s="417">
        <v>376604</v>
      </c>
      <c r="J18" s="417">
        <v>335198</v>
      </c>
      <c r="K18" s="417">
        <v>344906</v>
      </c>
      <c r="L18" s="417">
        <v>368220</v>
      </c>
      <c r="M18" s="417">
        <v>372198</v>
      </c>
      <c r="N18" s="417">
        <v>424020</v>
      </c>
      <c r="O18" s="417">
        <v>444375.5491</v>
      </c>
      <c r="P18" s="417">
        <v>561794.97036319994</v>
      </c>
      <c r="Q18" s="417">
        <v>518927</v>
      </c>
      <c r="R18" s="417">
        <v>527720</v>
      </c>
      <c r="S18" s="417">
        <f>SUM(S16:S17)</f>
        <v>557647</v>
      </c>
      <c r="T18" s="417">
        <f>SUM(T16:T17)</f>
        <v>567455</v>
      </c>
    </row>
    <row r="19" spans="1:21" s="22" customFormat="1">
      <c r="A19" s="19"/>
      <c r="E19" s="412"/>
      <c r="F19" s="418"/>
      <c r="G19" s="418"/>
      <c r="H19" s="418"/>
      <c r="I19" s="418"/>
      <c r="J19" s="418"/>
      <c r="K19" s="418"/>
      <c r="L19" s="418"/>
      <c r="M19" s="417"/>
      <c r="N19" s="417"/>
      <c r="O19" s="417"/>
      <c r="P19" s="417"/>
      <c r="Q19" s="417"/>
      <c r="R19" s="417"/>
      <c r="S19" s="417"/>
      <c r="T19" s="417"/>
    </row>
    <row r="20" spans="1:21" s="22" customFormat="1">
      <c r="A20" s="19"/>
      <c r="B20" s="22" t="s">
        <v>79</v>
      </c>
      <c r="E20" s="412"/>
      <c r="F20" s="418"/>
      <c r="G20" s="418"/>
      <c r="H20" s="418"/>
      <c r="I20" s="418"/>
      <c r="J20" s="418"/>
      <c r="K20" s="418"/>
      <c r="L20" s="418"/>
      <c r="M20" s="417"/>
      <c r="N20" s="417"/>
      <c r="O20" s="417"/>
      <c r="P20" s="417"/>
      <c r="Q20" s="417"/>
      <c r="R20" s="417"/>
      <c r="S20" s="417"/>
      <c r="T20" s="417"/>
    </row>
    <row r="21" spans="1:21" s="22" customFormat="1">
      <c r="A21" s="19"/>
      <c r="B21" s="22" t="s">
        <v>78</v>
      </c>
      <c r="E21" s="412"/>
      <c r="F21" s="418"/>
      <c r="G21" s="418"/>
      <c r="H21" s="418"/>
      <c r="I21" s="418"/>
      <c r="J21" s="418"/>
      <c r="K21" s="418"/>
      <c r="L21" s="418"/>
      <c r="M21" s="417"/>
      <c r="N21" s="417"/>
      <c r="O21" s="417"/>
      <c r="P21" s="417"/>
      <c r="Q21" s="417"/>
      <c r="R21" s="417"/>
      <c r="S21" s="417"/>
      <c r="T21" s="417"/>
    </row>
    <row r="22" spans="1:21" s="22" customFormat="1">
      <c r="A22" s="19">
        <v>7</v>
      </c>
      <c r="C22" s="22" t="s">
        <v>70</v>
      </c>
      <c r="E22" s="412"/>
      <c r="F22" s="415">
        <v>78721</v>
      </c>
      <c r="G22" s="415">
        <v>47157</v>
      </c>
      <c r="H22" s="415">
        <v>101475</v>
      </c>
      <c r="I22" s="415">
        <v>132098</v>
      </c>
      <c r="J22" s="415">
        <v>101545</v>
      </c>
      <c r="K22" s="415">
        <v>105374</v>
      </c>
      <c r="L22" s="415">
        <v>104260</v>
      </c>
      <c r="M22" s="415">
        <v>102890</v>
      </c>
      <c r="N22" s="415">
        <v>117123</v>
      </c>
      <c r="O22" s="415">
        <v>87599</v>
      </c>
      <c r="P22" s="415">
        <v>147107</v>
      </c>
      <c r="Q22" s="415">
        <v>145634</v>
      </c>
      <c r="R22" s="415">
        <v>131795</v>
      </c>
      <c r="S22" s="415">
        <v>143904</v>
      </c>
      <c r="T22" s="862">
        <v>120307</v>
      </c>
      <c r="U22" s="863" t="s">
        <v>738</v>
      </c>
    </row>
    <row r="23" spans="1:21" s="22" customFormat="1">
      <c r="A23" s="19">
        <v>8</v>
      </c>
      <c r="C23" s="22" t="s">
        <v>77</v>
      </c>
      <c r="E23" s="412"/>
      <c r="F23" s="415">
        <v>181189</v>
      </c>
      <c r="G23" s="415">
        <v>132159</v>
      </c>
      <c r="H23" s="415">
        <v>50769</v>
      </c>
      <c r="I23" s="415">
        <v>46591</v>
      </c>
      <c r="J23" s="415">
        <v>51042</v>
      </c>
      <c r="K23" s="415">
        <v>55046</v>
      </c>
      <c r="L23" s="415">
        <v>79146</v>
      </c>
      <c r="M23" s="415">
        <v>65640</v>
      </c>
      <c r="N23" s="415">
        <v>72508</v>
      </c>
      <c r="O23" s="862">
        <f>104869-4432</f>
        <v>100437</v>
      </c>
      <c r="P23" s="415">
        <v>142197</v>
      </c>
      <c r="Q23" s="415">
        <v>91142</v>
      </c>
      <c r="R23" s="415">
        <v>101283</v>
      </c>
      <c r="S23" s="415">
        <v>109034</v>
      </c>
      <c r="T23" s="415">
        <v>116643</v>
      </c>
      <c r="U23" s="863" t="s">
        <v>739</v>
      </c>
    </row>
    <row r="24" spans="1:21" s="22" customFormat="1">
      <c r="A24" s="19">
        <v>9</v>
      </c>
      <c r="C24" s="22" t="s">
        <v>137</v>
      </c>
      <c r="E24" s="412"/>
      <c r="F24" s="415">
        <v>-3114</v>
      </c>
      <c r="G24" s="415">
        <v>9152</v>
      </c>
      <c r="H24" s="415">
        <v>13808</v>
      </c>
      <c r="I24" s="415">
        <v>14915</v>
      </c>
      <c r="J24" s="415">
        <v>22879</v>
      </c>
      <c r="K24" s="415">
        <v>13812</v>
      </c>
      <c r="L24" s="415">
        <v>25745</v>
      </c>
      <c r="M24" s="415">
        <v>21795</v>
      </c>
      <c r="N24" s="415">
        <v>22000</v>
      </c>
      <c r="O24" s="415">
        <v>22266</v>
      </c>
      <c r="P24" s="415">
        <v>22129</v>
      </c>
      <c r="Q24" s="415">
        <v>25158</v>
      </c>
      <c r="R24" s="415">
        <v>25872</v>
      </c>
      <c r="S24" s="415">
        <v>23284</v>
      </c>
      <c r="T24" s="415">
        <v>23715</v>
      </c>
    </row>
    <row r="25" spans="1:21" s="22" customFormat="1">
      <c r="A25" s="19">
        <v>10</v>
      </c>
      <c r="C25" s="23" t="s">
        <v>138</v>
      </c>
      <c r="D25" s="23"/>
      <c r="E25" s="412"/>
      <c r="Q25" s="22">
        <v>403</v>
      </c>
      <c r="R25" s="22">
        <v>-7936</v>
      </c>
      <c r="S25" s="22">
        <v>8629</v>
      </c>
      <c r="T25" s="22">
        <v>8101</v>
      </c>
    </row>
    <row r="26" spans="1:21" s="22" customFormat="1">
      <c r="A26" s="19">
        <v>11</v>
      </c>
      <c r="C26" s="22" t="s">
        <v>69</v>
      </c>
      <c r="E26" s="412"/>
      <c r="F26" s="416">
        <v>9346</v>
      </c>
      <c r="G26" s="416">
        <v>5139</v>
      </c>
      <c r="H26" s="416">
        <v>7164</v>
      </c>
      <c r="I26" s="416">
        <v>6722</v>
      </c>
      <c r="J26" s="416">
        <v>7283</v>
      </c>
      <c r="K26" s="416">
        <v>9900</v>
      </c>
      <c r="L26" s="416">
        <v>9115</v>
      </c>
      <c r="M26" s="416">
        <v>8319</v>
      </c>
      <c r="N26" s="416">
        <v>8146</v>
      </c>
      <c r="O26" s="416">
        <v>9014</v>
      </c>
      <c r="P26" s="416">
        <v>9955</v>
      </c>
      <c r="Q26" s="416">
        <v>10846</v>
      </c>
      <c r="R26" s="416">
        <v>11456</v>
      </c>
      <c r="S26" s="416">
        <v>12913</v>
      </c>
      <c r="T26" s="416">
        <v>12828</v>
      </c>
    </row>
    <row r="27" spans="1:21" s="22" customFormat="1">
      <c r="A27" s="19">
        <v>12</v>
      </c>
      <c r="B27" s="22" t="s">
        <v>76</v>
      </c>
      <c r="E27" s="412"/>
      <c r="F27" s="417">
        <v>266142</v>
      </c>
      <c r="G27" s="417">
        <v>193607</v>
      </c>
      <c r="H27" s="417">
        <v>173216</v>
      </c>
      <c r="I27" s="417">
        <v>200326</v>
      </c>
      <c r="J27" s="417">
        <v>182749</v>
      </c>
      <c r="K27" s="417">
        <v>184132</v>
      </c>
      <c r="L27" s="417">
        <v>218266</v>
      </c>
      <c r="M27" s="417">
        <v>198644</v>
      </c>
      <c r="N27" s="417">
        <v>219777</v>
      </c>
      <c r="O27" s="417">
        <v>223748</v>
      </c>
      <c r="P27" s="417">
        <v>321388</v>
      </c>
      <c r="Q27" s="417">
        <v>273183</v>
      </c>
      <c r="R27" s="417">
        <v>262470</v>
      </c>
      <c r="S27" s="417">
        <f>SUM(S22:S26)</f>
        <v>297764</v>
      </c>
      <c r="T27" s="417">
        <f>SUM(T22:T26)</f>
        <v>281594</v>
      </c>
    </row>
    <row r="28" spans="1:21" s="22" customFormat="1">
      <c r="A28" s="19"/>
      <c r="E28" s="412"/>
      <c r="F28" s="417"/>
      <c r="G28" s="417"/>
      <c r="H28" s="417"/>
      <c r="I28" s="417"/>
      <c r="J28" s="417"/>
      <c r="K28" s="417"/>
      <c r="L28" s="417"/>
      <c r="M28" s="417"/>
      <c r="N28" s="417"/>
      <c r="O28" s="417"/>
      <c r="P28" s="417"/>
      <c r="Q28" s="417"/>
      <c r="R28" s="417"/>
      <c r="S28" s="417"/>
      <c r="T28" s="417"/>
    </row>
    <row r="29" spans="1:21" s="22" customFormat="1">
      <c r="A29" s="19"/>
      <c r="B29" s="22" t="s">
        <v>56</v>
      </c>
      <c r="E29" s="412"/>
      <c r="F29" s="417"/>
      <c r="G29" s="417"/>
      <c r="H29" s="417"/>
      <c r="I29" s="417"/>
      <c r="J29" s="417"/>
      <c r="K29" s="417"/>
      <c r="L29" s="417"/>
      <c r="M29" s="417"/>
      <c r="N29" s="417"/>
      <c r="O29" s="417"/>
      <c r="P29" s="417"/>
      <c r="Q29" s="417"/>
      <c r="R29" s="417"/>
      <c r="S29" s="417"/>
      <c r="T29" s="417"/>
    </row>
    <row r="30" spans="1:21" s="22" customFormat="1">
      <c r="A30" s="19">
        <v>13</v>
      </c>
      <c r="C30" s="22" t="s">
        <v>70</v>
      </c>
      <c r="E30" s="412"/>
      <c r="F30" s="415">
        <v>9418</v>
      </c>
      <c r="G30" s="415">
        <v>10560</v>
      </c>
      <c r="H30" s="415">
        <v>9631</v>
      </c>
      <c r="I30" s="415">
        <v>10171</v>
      </c>
      <c r="J30" s="415">
        <v>12016</v>
      </c>
      <c r="K30" s="415">
        <v>14263</v>
      </c>
      <c r="L30" s="415">
        <v>15485</v>
      </c>
      <c r="M30" s="415">
        <v>14563</v>
      </c>
      <c r="N30" s="415">
        <v>17329</v>
      </c>
      <c r="O30" s="415">
        <v>17267</v>
      </c>
      <c r="P30" s="415">
        <v>18354</v>
      </c>
      <c r="Q30" s="415">
        <v>19081</v>
      </c>
      <c r="R30" s="415">
        <v>21152</v>
      </c>
      <c r="S30" s="415">
        <v>20878</v>
      </c>
      <c r="T30" s="415">
        <v>21299</v>
      </c>
    </row>
    <row r="31" spans="1:21" s="22" customFormat="1">
      <c r="A31" s="19">
        <v>14</v>
      </c>
      <c r="C31" s="22" t="s">
        <v>139</v>
      </c>
      <c r="E31" s="412"/>
      <c r="F31" s="415">
        <v>9056</v>
      </c>
      <c r="G31" s="415">
        <v>9178</v>
      </c>
      <c r="H31" s="415">
        <v>9427</v>
      </c>
      <c r="I31" s="415">
        <v>9752</v>
      </c>
      <c r="J31" s="415">
        <v>10067</v>
      </c>
      <c r="K31" s="415">
        <v>10399</v>
      </c>
      <c r="L31" s="415">
        <v>10776</v>
      </c>
      <c r="M31" s="415">
        <v>11333</v>
      </c>
      <c r="N31" s="415">
        <v>15611</v>
      </c>
      <c r="O31" s="415">
        <v>16809</v>
      </c>
      <c r="P31" s="415">
        <v>17985</v>
      </c>
      <c r="Q31" s="415">
        <v>19240</v>
      </c>
      <c r="R31" s="415">
        <v>20749</v>
      </c>
      <c r="S31" s="415">
        <v>22303</v>
      </c>
      <c r="T31" s="415">
        <v>23794</v>
      </c>
    </row>
    <row r="32" spans="1:21" s="22" customFormat="1">
      <c r="A32" s="19">
        <v>15</v>
      </c>
      <c r="C32" s="22" t="s">
        <v>69</v>
      </c>
      <c r="E32" s="412"/>
      <c r="F32" s="416">
        <v>11693</v>
      </c>
      <c r="G32" s="416">
        <v>15462</v>
      </c>
      <c r="H32" s="416">
        <v>16996</v>
      </c>
      <c r="I32" s="416">
        <v>17286</v>
      </c>
      <c r="J32" s="416">
        <v>17401</v>
      </c>
      <c r="K32" s="416">
        <v>14988</v>
      </c>
      <c r="L32" s="416">
        <v>16307</v>
      </c>
      <c r="M32" s="416">
        <v>16156</v>
      </c>
      <c r="N32" s="416">
        <v>17416</v>
      </c>
      <c r="O32" s="416">
        <v>18207</v>
      </c>
      <c r="P32" s="416">
        <v>19990</v>
      </c>
      <c r="Q32" s="416">
        <v>22393.453812</v>
      </c>
      <c r="R32" s="416">
        <v>22594.925350000001</v>
      </c>
      <c r="S32" s="416">
        <v>23288</v>
      </c>
      <c r="T32" s="416">
        <v>25575</v>
      </c>
    </row>
    <row r="33" spans="1:20" s="22" customFormat="1">
      <c r="A33" s="19">
        <v>16</v>
      </c>
      <c r="B33" s="22" t="s">
        <v>75</v>
      </c>
      <c r="E33" s="412"/>
      <c r="F33" s="417">
        <v>30167</v>
      </c>
      <c r="G33" s="417">
        <v>35200</v>
      </c>
      <c r="H33" s="417">
        <v>36054</v>
      </c>
      <c r="I33" s="417">
        <v>37209</v>
      </c>
      <c r="J33" s="417">
        <v>39484</v>
      </c>
      <c r="K33" s="417">
        <v>39650</v>
      </c>
      <c r="L33" s="417">
        <v>42568</v>
      </c>
      <c r="M33" s="417">
        <v>42052</v>
      </c>
      <c r="N33" s="417">
        <v>50356</v>
      </c>
      <c r="O33" s="417">
        <v>52283</v>
      </c>
      <c r="P33" s="417">
        <v>56329</v>
      </c>
      <c r="Q33" s="417">
        <v>60714.453812</v>
      </c>
      <c r="R33" s="417">
        <v>64495.925350000005</v>
      </c>
      <c r="S33" s="417">
        <f>SUM(S30:S32)</f>
        <v>66469</v>
      </c>
      <c r="T33" s="417">
        <f>SUM(T30:T32)</f>
        <v>70668</v>
      </c>
    </row>
    <row r="34" spans="1:20" s="22" customFormat="1">
      <c r="E34" s="412"/>
      <c r="F34" s="417"/>
      <c r="G34" s="417"/>
      <c r="H34" s="417"/>
      <c r="I34" s="417"/>
      <c r="J34" s="417"/>
      <c r="K34" s="417"/>
      <c r="L34" s="417"/>
      <c r="M34" s="417"/>
      <c r="N34" s="417"/>
      <c r="O34" s="417"/>
      <c r="P34" s="417"/>
      <c r="Q34" s="417"/>
      <c r="R34" s="417"/>
      <c r="S34" s="417"/>
      <c r="T34" s="417"/>
    </row>
    <row r="35" spans="1:20" s="22" customFormat="1">
      <c r="A35" s="19">
        <v>17</v>
      </c>
      <c r="B35" s="22" t="s">
        <v>74</v>
      </c>
      <c r="E35" s="412"/>
      <c r="F35" s="415">
        <v>5768</v>
      </c>
      <c r="G35" s="415">
        <v>6196</v>
      </c>
      <c r="H35" s="415">
        <v>7113</v>
      </c>
      <c r="I35" s="415">
        <v>7129</v>
      </c>
      <c r="J35" s="415">
        <v>7352</v>
      </c>
      <c r="K35" s="415">
        <v>7156</v>
      </c>
      <c r="L35" s="415">
        <v>7097</v>
      </c>
      <c r="M35" s="415">
        <v>7514</v>
      </c>
      <c r="N35" s="415">
        <v>7919</v>
      </c>
      <c r="O35" s="415">
        <v>9646</v>
      </c>
      <c r="P35" s="415">
        <v>9261</v>
      </c>
      <c r="Q35" s="415">
        <v>10274.701588</v>
      </c>
      <c r="R35" s="415">
        <v>10335.791302</v>
      </c>
      <c r="S35" s="415">
        <v>11334</v>
      </c>
      <c r="T35" s="415">
        <v>11166</v>
      </c>
    </row>
    <row r="36" spans="1:20" s="22" customFormat="1">
      <c r="A36" s="19">
        <v>18</v>
      </c>
      <c r="B36" s="22" t="s">
        <v>73</v>
      </c>
      <c r="E36" s="412"/>
      <c r="F36" s="415">
        <v>5704</v>
      </c>
      <c r="G36" s="415">
        <v>5381</v>
      </c>
      <c r="H36" s="415">
        <v>6261</v>
      </c>
      <c r="I36" s="415">
        <v>6620</v>
      </c>
      <c r="J36" s="415">
        <v>266</v>
      </c>
      <c r="K36" s="415">
        <v>7127</v>
      </c>
      <c r="L36" s="415">
        <v>1159</v>
      </c>
      <c r="M36" s="415">
        <v>7472</v>
      </c>
      <c r="N36" s="415">
        <v>12847</v>
      </c>
      <c r="O36" s="415">
        <v>19736</v>
      </c>
      <c r="P36" s="415">
        <v>20832</v>
      </c>
      <c r="Q36" s="415">
        <v>21292</v>
      </c>
      <c r="R36" s="415">
        <v>18487</v>
      </c>
      <c r="S36" s="415">
        <v>1516</v>
      </c>
      <c r="T36" s="415">
        <v>1383</v>
      </c>
    </row>
    <row r="37" spans="1:20" s="22" customFormat="1">
      <c r="A37" s="19">
        <v>19</v>
      </c>
      <c r="B37" s="22" t="s">
        <v>72</v>
      </c>
      <c r="E37" s="412"/>
      <c r="F37" s="415">
        <v>1071</v>
      </c>
      <c r="G37" s="415">
        <v>734</v>
      </c>
      <c r="H37" s="415">
        <v>628</v>
      </c>
      <c r="I37" s="415">
        <v>734</v>
      </c>
      <c r="J37" s="415">
        <v>686</v>
      </c>
      <c r="K37" s="415">
        <v>430</v>
      </c>
      <c r="L37" s="415">
        <v>657</v>
      </c>
      <c r="M37" s="415">
        <v>682</v>
      </c>
      <c r="N37" s="415">
        <v>571</v>
      </c>
      <c r="O37" s="415">
        <v>660</v>
      </c>
      <c r="P37" s="415">
        <v>176</v>
      </c>
      <c r="Q37" s="415">
        <v>4</v>
      </c>
      <c r="R37" s="415">
        <v>5</v>
      </c>
      <c r="S37" s="415">
        <v>5</v>
      </c>
      <c r="T37" s="415">
        <v>0</v>
      </c>
    </row>
    <row r="38" spans="1:20" s="22" customFormat="1">
      <c r="A38" s="19"/>
      <c r="E38" s="412"/>
      <c r="F38" s="417"/>
      <c r="G38" s="417"/>
      <c r="H38" s="417"/>
      <c r="I38" s="417"/>
      <c r="J38" s="417"/>
      <c r="K38" s="417"/>
      <c r="L38" s="417"/>
      <c r="M38" s="417"/>
      <c r="N38" s="417"/>
      <c r="O38" s="417"/>
      <c r="P38" s="417"/>
      <c r="Q38" s="417"/>
      <c r="R38" s="417"/>
      <c r="S38" s="417"/>
      <c r="T38" s="417"/>
    </row>
    <row r="39" spans="1:20" s="22" customFormat="1">
      <c r="B39" s="22" t="s">
        <v>71</v>
      </c>
      <c r="E39" s="412"/>
      <c r="F39" s="417"/>
      <c r="G39" s="417"/>
      <c r="H39" s="417"/>
      <c r="I39" s="417"/>
      <c r="J39" s="417"/>
      <c r="K39" s="417"/>
      <c r="L39" s="417"/>
      <c r="M39" s="417"/>
      <c r="N39" s="417"/>
      <c r="O39" s="417"/>
      <c r="P39" s="417"/>
      <c r="Q39" s="417"/>
      <c r="R39" s="417"/>
      <c r="S39" s="417"/>
      <c r="T39" s="417"/>
    </row>
    <row r="40" spans="1:20" s="22" customFormat="1">
      <c r="A40" s="19">
        <v>20</v>
      </c>
      <c r="C40" s="22" t="s">
        <v>70</v>
      </c>
      <c r="E40" s="412"/>
      <c r="F40" s="415">
        <v>30350</v>
      </c>
      <c r="G40" s="415">
        <v>25102</v>
      </c>
      <c r="H40" s="415">
        <v>30304</v>
      </c>
      <c r="I40" s="415">
        <v>30153</v>
      </c>
      <c r="J40" s="415">
        <v>31927</v>
      </c>
      <c r="K40" s="415">
        <v>33143</v>
      </c>
      <c r="L40" s="415">
        <v>33148</v>
      </c>
      <c r="M40" s="415">
        <v>35844</v>
      </c>
      <c r="N40" s="415">
        <v>35982</v>
      </c>
      <c r="O40" s="415">
        <v>38461</v>
      </c>
      <c r="P40" s="415">
        <v>44662</v>
      </c>
      <c r="Q40" s="415">
        <v>44779.252</v>
      </c>
      <c r="R40" s="415">
        <v>49333.396000000001</v>
      </c>
      <c r="S40" s="415">
        <v>43310</v>
      </c>
      <c r="T40" s="415">
        <v>46210</v>
      </c>
    </row>
    <row r="41" spans="1:20" s="22" customFormat="1">
      <c r="A41" s="19">
        <v>21</v>
      </c>
      <c r="C41" s="22" t="s">
        <v>139</v>
      </c>
      <c r="E41" s="412"/>
      <c r="F41" s="415">
        <v>3998</v>
      </c>
      <c r="G41" s="415">
        <v>4414</v>
      </c>
      <c r="H41" s="415">
        <v>6606</v>
      </c>
      <c r="I41" s="415">
        <v>6659</v>
      </c>
      <c r="J41" s="415">
        <v>6072</v>
      </c>
      <c r="K41" s="415">
        <v>6537</v>
      </c>
      <c r="L41" s="415">
        <v>6459</v>
      </c>
      <c r="M41" s="415">
        <v>6739</v>
      </c>
      <c r="N41" s="415">
        <v>7187</v>
      </c>
      <c r="O41" s="415">
        <v>7688</v>
      </c>
      <c r="P41" s="415">
        <v>9277</v>
      </c>
      <c r="Q41" s="415">
        <v>10906</v>
      </c>
      <c r="R41" s="415">
        <v>12517</v>
      </c>
      <c r="S41" s="415">
        <v>14721</v>
      </c>
      <c r="T41" s="415">
        <v>16947</v>
      </c>
    </row>
    <row r="42" spans="1:20" s="22" customFormat="1">
      <c r="A42" s="81">
        <v>22</v>
      </c>
      <c r="C42" s="22" t="s">
        <v>69</v>
      </c>
      <c r="E42" s="412"/>
      <c r="F42" s="416">
        <v>5</v>
      </c>
      <c r="G42" s="416">
        <v>2</v>
      </c>
      <c r="H42" s="416">
        <v>1</v>
      </c>
      <c r="I42" s="416">
        <v>2</v>
      </c>
      <c r="J42" s="416">
        <v>3</v>
      </c>
      <c r="K42" s="416">
        <v>-4</v>
      </c>
      <c r="L42" s="416">
        <v>0</v>
      </c>
      <c r="M42" s="416">
        <v>-9</v>
      </c>
      <c r="N42" s="416">
        <v>-3</v>
      </c>
      <c r="O42" s="416">
        <v>-3</v>
      </c>
      <c r="P42" s="416">
        <v>2</v>
      </c>
      <c r="Q42" s="416">
        <v>0</v>
      </c>
      <c r="R42" s="416">
        <v>-4</v>
      </c>
      <c r="S42" s="416">
        <v>0</v>
      </c>
      <c r="T42" s="416">
        <v>0</v>
      </c>
    </row>
    <row r="43" spans="1:20" s="22" customFormat="1">
      <c r="A43" s="19">
        <v>23</v>
      </c>
      <c r="B43" s="22" t="s">
        <v>68</v>
      </c>
      <c r="E43" s="412"/>
      <c r="F43" s="419">
        <v>34353</v>
      </c>
      <c r="G43" s="419">
        <v>29518</v>
      </c>
      <c r="H43" s="419">
        <v>36911</v>
      </c>
      <c r="I43" s="419">
        <v>36814</v>
      </c>
      <c r="J43" s="419">
        <v>38002</v>
      </c>
      <c r="K43" s="419">
        <v>39676</v>
      </c>
      <c r="L43" s="419">
        <v>39607</v>
      </c>
      <c r="M43" s="419">
        <v>42574</v>
      </c>
      <c r="N43" s="419">
        <v>43166</v>
      </c>
      <c r="O43" s="419">
        <v>46146</v>
      </c>
      <c r="P43" s="419">
        <v>53941</v>
      </c>
      <c r="Q43" s="419">
        <v>55685.252</v>
      </c>
      <c r="R43" s="419">
        <v>61846.396000000001</v>
      </c>
      <c r="S43" s="419">
        <f>SUM(S40:S42)</f>
        <v>58031</v>
      </c>
      <c r="T43" s="419">
        <f>SUM(T40:T42)</f>
        <v>63157</v>
      </c>
    </row>
    <row r="44" spans="1:20" s="22" customFormat="1" ht="18" customHeight="1">
      <c r="A44" s="19">
        <v>24</v>
      </c>
      <c r="B44" s="22" t="s">
        <v>67</v>
      </c>
      <c r="E44" s="412"/>
      <c r="F44" s="419">
        <v>343205</v>
      </c>
      <c r="G44" s="419">
        <v>270636</v>
      </c>
      <c r="H44" s="419">
        <v>260183</v>
      </c>
      <c r="I44" s="419">
        <v>288832</v>
      </c>
      <c r="J44" s="419">
        <v>268539</v>
      </c>
      <c r="K44" s="419">
        <v>278171</v>
      </c>
      <c r="L44" s="419">
        <v>309354</v>
      </c>
      <c r="M44" s="419">
        <v>298938</v>
      </c>
      <c r="N44" s="419">
        <v>334636</v>
      </c>
      <c r="O44" s="419">
        <v>352219</v>
      </c>
      <c r="P44" s="419">
        <v>461927</v>
      </c>
      <c r="Q44" s="419">
        <v>421153.40740000003</v>
      </c>
      <c r="R44" s="419">
        <v>417640.11265200004</v>
      </c>
      <c r="S44" s="419">
        <f>S27+S33+S35+S36+S37+S43</f>
        <v>435119</v>
      </c>
      <c r="T44" s="419">
        <f>T27+T33+T35+T36+T37+T43</f>
        <v>427968</v>
      </c>
    </row>
    <row r="45" spans="1:20" s="22" customFormat="1">
      <c r="E45" s="412"/>
      <c r="F45" s="417"/>
      <c r="G45" s="417"/>
      <c r="H45" s="417"/>
      <c r="I45" s="417"/>
      <c r="J45" s="417"/>
      <c r="K45" s="417"/>
      <c r="L45" s="417"/>
      <c r="M45" s="417"/>
      <c r="N45" s="417"/>
      <c r="O45" s="417"/>
      <c r="P45" s="417"/>
      <c r="Q45" s="417"/>
      <c r="R45" s="417"/>
      <c r="S45" s="417"/>
      <c r="T45" s="417"/>
    </row>
    <row r="46" spans="1:20" s="22" customFormat="1">
      <c r="A46" s="19">
        <v>25</v>
      </c>
      <c r="B46" s="22" t="s">
        <v>66</v>
      </c>
      <c r="E46" s="412"/>
      <c r="F46" s="414">
        <v>50049</v>
      </c>
      <c r="G46" s="414">
        <v>93786</v>
      </c>
      <c r="H46" s="414">
        <v>78118</v>
      </c>
      <c r="I46" s="414">
        <v>87772</v>
      </c>
      <c r="J46" s="414">
        <v>66659</v>
      </c>
      <c r="K46" s="414">
        <v>66735</v>
      </c>
      <c r="L46" s="414">
        <v>58866</v>
      </c>
      <c r="M46" s="414">
        <v>73260</v>
      </c>
      <c r="N46" s="414">
        <v>89384</v>
      </c>
      <c r="O46" s="414">
        <v>92156.549100000004</v>
      </c>
      <c r="P46" s="414">
        <v>99867.970363199944</v>
      </c>
      <c r="Q46" s="414">
        <v>97773.592599999974</v>
      </c>
      <c r="R46" s="414">
        <v>110079.88734799996</v>
      </c>
      <c r="S46" s="414">
        <f>S18-S44</f>
        <v>122528</v>
      </c>
      <c r="T46" s="414">
        <f>T18-T44</f>
        <v>139487</v>
      </c>
    </row>
    <row r="47" spans="1:20" s="22" customFormat="1">
      <c r="A47" s="19"/>
      <c r="E47" s="412"/>
      <c r="F47" s="420"/>
      <c r="G47" s="420"/>
      <c r="H47" s="420"/>
      <c r="I47" s="420"/>
      <c r="J47" s="420"/>
      <c r="K47" s="420"/>
      <c r="L47" s="420"/>
      <c r="M47" s="420"/>
      <c r="N47" s="420"/>
      <c r="O47" s="420"/>
      <c r="P47" s="420"/>
      <c r="Q47" s="420"/>
      <c r="R47" s="420"/>
      <c r="S47" s="420"/>
      <c r="T47" s="420"/>
    </row>
    <row r="48" spans="1:20" s="22" customFormat="1">
      <c r="A48" s="21"/>
      <c r="B48" s="22" t="s">
        <v>65</v>
      </c>
      <c r="E48" s="412"/>
      <c r="F48" s="420"/>
      <c r="G48" s="420"/>
      <c r="H48" s="420"/>
      <c r="I48" s="420"/>
      <c r="J48" s="420"/>
      <c r="K48" s="420"/>
      <c r="L48" s="420"/>
      <c r="M48" s="420"/>
      <c r="N48" s="420"/>
      <c r="O48" s="420"/>
      <c r="P48" s="420"/>
      <c r="Q48" s="420"/>
      <c r="R48" s="420"/>
      <c r="S48" s="420"/>
      <c r="T48" s="420"/>
    </row>
    <row r="49" spans="1:21" s="22" customFormat="1">
      <c r="A49" s="81">
        <v>26</v>
      </c>
      <c r="B49" s="22" t="s">
        <v>140</v>
      </c>
      <c r="D49" s="70"/>
      <c r="E49" s="412"/>
      <c r="F49" s="420">
        <v>13500</v>
      </c>
      <c r="G49" s="420">
        <v>7802.6454399910144</v>
      </c>
      <c r="H49" s="420">
        <v>12532.4934614427</v>
      </c>
      <c r="I49" s="420">
        <v>18199.38094551977</v>
      </c>
      <c r="J49" s="420">
        <v>10602.745932108257</v>
      </c>
      <c r="K49" s="420">
        <v>6760.4768703774607</v>
      </c>
      <c r="L49" s="420">
        <v>3583.5198936206907</v>
      </c>
      <c r="M49" s="420">
        <v>5069.5165750000015</v>
      </c>
      <c r="N49" s="420">
        <v>-6217.1202000000012</v>
      </c>
      <c r="O49" s="420">
        <v>-1846</v>
      </c>
      <c r="P49" s="420">
        <v>9263</v>
      </c>
      <c r="Q49" s="420">
        <v>6568.9074099999998</v>
      </c>
      <c r="R49" s="420">
        <v>11499.260571799998</v>
      </c>
      <c r="S49" s="420">
        <v>19267</v>
      </c>
      <c r="T49" s="420">
        <v>-7683</v>
      </c>
    </row>
    <row r="50" spans="1:21" s="23" customFormat="1">
      <c r="A50" s="19">
        <v>27</v>
      </c>
      <c r="B50" s="23" t="s">
        <v>141</v>
      </c>
      <c r="E50" s="412"/>
      <c r="F50" s="420"/>
      <c r="G50" s="420"/>
      <c r="H50" s="420"/>
      <c r="I50" s="420"/>
      <c r="J50" s="420"/>
      <c r="K50" s="420"/>
      <c r="L50" s="420"/>
      <c r="M50" s="420"/>
      <c r="N50" s="420"/>
      <c r="O50" s="420"/>
      <c r="P50" s="420"/>
      <c r="Q50" s="420">
        <v>206.8288</v>
      </c>
      <c r="R50" s="420">
        <v>70.410550000000001</v>
      </c>
      <c r="S50" s="420">
        <v>1</v>
      </c>
      <c r="T50" s="420">
        <v>-136</v>
      </c>
    </row>
    <row r="51" spans="1:21" s="22" customFormat="1">
      <c r="A51" s="19">
        <v>28</v>
      </c>
      <c r="B51" s="22" t="s">
        <v>64</v>
      </c>
      <c r="E51" s="412"/>
      <c r="F51" s="420">
        <v>3549</v>
      </c>
      <c r="G51" s="420">
        <v>16107</v>
      </c>
      <c r="H51" s="420">
        <v>3470</v>
      </c>
      <c r="I51" s="420">
        <v>1284</v>
      </c>
      <c r="J51" s="420">
        <v>608</v>
      </c>
      <c r="K51" s="420">
        <v>3867</v>
      </c>
      <c r="L51" s="420">
        <v>3975</v>
      </c>
      <c r="M51" s="420">
        <v>6497</v>
      </c>
      <c r="N51" s="420">
        <v>26634</v>
      </c>
      <c r="O51" s="420">
        <v>23983</v>
      </c>
      <c r="P51" s="420">
        <v>13823</v>
      </c>
      <c r="Q51" s="420">
        <v>16402</v>
      </c>
      <c r="R51" s="420">
        <v>15684</v>
      </c>
      <c r="S51" s="420">
        <v>10613</v>
      </c>
      <c r="T51" s="862">
        <v>46085</v>
      </c>
      <c r="U51" s="863" t="s">
        <v>740</v>
      </c>
    </row>
    <row r="52" spans="1:21" s="22" customFormat="1">
      <c r="A52" s="21">
        <v>29</v>
      </c>
      <c r="B52" s="22" t="s">
        <v>63</v>
      </c>
      <c r="E52" s="412"/>
      <c r="F52" s="420"/>
      <c r="G52" s="420"/>
      <c r="H52" s="420"/>
      <c r="I52" s="420"/>
      <c r="J52" s="420"/>
      <c r="K52" s="420"/>
      <c r="L52" s="420"/>
      <c r="M52" s="420"/>
      <c r="N52" s="420"/>
      <c r="O52" s="420">
        <v>-58</v>
      </c>
      <c r="P52" s="420">
        <v>-83</v>
      </c>
      <c r="Q52" s="420">
        <v>-99</v>
      </c>
      <c r="R52" s="420">
        <v>-128</v>
      </c>
      <c r="S52" s="420">
        <v>-130</v>
      </c>
      <c r="T52" s="420">
        <v>-128</v>
      </c>
    </row>
    <row r="53" spans="1:21">
      <c r="B53" s="421" t="s">
        <v>299</v>
      </c>
      <c r="F53" s="420">
        <v>5683</v>
      </c>
      <c r="G53" s="420">
        <v>5369</v>
      </c>
      <c r="H53" s="420"/>
      <c r="I53" s="420"/>
      <c r="J53" s="420"/>
      <c r="K53" s="420"/>
      <c r="L53" s="420"/>
      <c r="M53" s="420"/>
      <c r="N53" s="420"/>
      <c r="O53" s="420"/>
      <c r="P53" s="420"/>
      <c r="Q53" s="420"/>
      <c r="R53" s="420"/>
      <c r="S53" s="420"/>
      <c r="T53" s="420"/>
    </row>
    <row r="54" spans="1:21" s="20" customFormat="1" ht="13.5" thickBot="1">
      <c r="A54" s="24">
        <v>30</v>
      </c>
      <c r="B54" s="20" t="s">
        <v>62</v>
      </c>
      <c r="E54" s="412"/>
      <c r="F54" s="422">
        <v>27317</v>
      </c>
      <c r="G54" s="422">
        <v>64507.354560008986</v>
      </c>
      <c r="H54" s="422">
        <v>62115.506538557296</v>
      </c>
      <c r="I54" s="422">
        <v>68288.619054480223</v>
      </c>
      <c r="J54" s="422">
        <v>55448.254067891743</v>
      </c>
      <c r="K54" s="422">
        <v>56107.523129622539</v>
      </c>
      <c r="L54" s="422">
        <v>51307.480106379313</v>
      </c>
      <c r="M54" s="422">
        <v>61693.483424999999</v>
      </c>
      <c r="N54" s="422">
        <v>68967.120200000005</v>
      </c>
      <c r="O54" s="422">
        <v>70077.549100000004</v>
      </c>
      <c r="P54" s="422">
        <v>76864.970363199944</v>
      </c>
      <c r="Q54" s="422">
        <v>74694.856389999972</v>
      </c>
      <c r="R54" s="422">
        <v>82954.216226199962</v>
      </c>
      <c r="S54" s="422">
        <f>S46-S49-S50-S51-S52</f>
        <v>92777</v>
      </c>
      <c r="T54" s="422">
        <f>T46-T49-T50-T51-T52</f>
        <v>101349</v>
      </c>
    </row>
    <row r="55" spans="1:21" ht="13.5" thickTop="1">
      <c r="A55" s="24"/>
      <c r="F55" s="420"/>
      <c r="G55" s="420"/>
      <c r="H55" s="420"/>
      <c r="I55" s="420"/>
      <c r="J55" s="420"/>
      <c r="K55" s="420"/>
      <c r="L55" s="420"/>
      <c r="M55" s="420"/>
      <c r="N55" s="420"/>
      <c r="O55" s="420"/>
      <c r="P55" s="420"/>
      <c r="Q55" s="420"/>
      <c r="R55" s="420"/>
      <c r="S55" s="420"/>
      <c r="T55" s="420"/>
    </row>
    <row r="56" spans="1:21">
      <c r="A56" s="24"/>
      <c r="B56" s="13" t="s">
        <v>61</v>
      </c>
      <c r="F56" s="420"/>
      <c r="G56" s="420"/>
      <c r="H56" s="420"/>
      <c r="I56" s="420"/>
      <c r="J56" s="420"/>
      <c r="K56" s="420"/>
      <c r="L56" s="420"/>
      <c r="M56" s="420"/>
      <c r="N56" s="420"/>
      <c r="O56" s="420"/>
      <c r="P56" s="420"/>
      <c r="Q56" s="420"/>
      <c r="R56" s="420"/>
      <c r="S56" s="420"/>
      <c r="T56" s="420"/>
    </row>
    <row r="57" spans="1:21">
      <c r="B57" s="13" t="s">
        <v>60</v>
      </c>
      <c r="F57" s="420"/>
      <c r="G57" s="420"/>
      <c r="H57" s="420"/>
      <c r="I57" s="420"/>
      <c r="J57" s="420"/>
      <c r="K57" s="420"/>
      <c r="L57" s="420"/>
      <c r="M57" s="420"/>
      <c r="N57" s="420"/>
      <c r="O57" s="420"/>
      <c r="P57" s="420"/>
      <c r="Q57" s="420"/>
      <c r="R57" s="420"/>
      <c r="S57" s="420"/>
      <c r="T57" s="420"/>
    </row>
    <row r="58" spans="1:21" s="20" customFormat="1">
      <c r="A58" s="82">
        <v>31</v>
      </c>
      <c r="C58" s="20" t="s">
        <v>59</v>
      </c>
      <c r="E58" s="412"/>
      <c r="F58" s="414">
        <v>15127</v>
      </c>
      <c r="G58" s="414">
        <v>16340</v>
      </c>
      <c r="H58" s="414">
        <v>20910</v>
      </c>
      <c r="I58" s="414">
        <v>21299</v>
      </c>
      <c r="J58" s="414">
        <v>21374</v>
      </c>
      <c r="K58" s="414">
        <v>22459</v>
      </c>
      <c r="L58" s="414">
        <v>23458</v>
      </c>
      <c r="M58" s="414">
        <v>20632</v>
      </c>
      <c r="N58" s="414">
        <v>23321</v>
      </c>
      <c r="O58" s="414">
        <v>57116</v>
      </c>
      <c r="P58" s="414">
        <v>81955</v>
      </c>
      <c r="Q58" s="414">
        <v>84081</v>
      </c>
      <c r="R58" s="414">
        <v>85247</v>
      </c>
      <c r="S58" s="414">
        <v>91466</v>
      </c>
      <c r="T58" s="414">
        <v>102620</v>
      </c>
    </row>
    <row r="59" spans="1:21" s="22" customFormat="1">
      <c r="A59" s="24">
        <v>32</v>
      </c>
      <c r="C59" s="22" t="s">
        <v>58</v>
      </c>
      <c r="E59" s="412"/>
      <c r="F59" s="420">
        <v>369323</v>
      </c>
      <c r="G59" s="420">
        <v>382522</v>
      </c>
      <c r="H59" s="420">
        <v>598523</v>
      </c>
      <c r="I59" s="420">
        <v>609668</v>
      </c>
      <c r="J59" s="420">
        <v>651608</v>
      </c>
      <c r="K59" s="420">
        <v>669043</v>
      </c>
      <c r="L59" s="420">
        <v>703455</v>
      </c>
      <c r="M59" s="420">
        <v>712962</v>
      </c>
      <c r="N59" s="420">
        <v>724416</v>
      </c>
      <c r="O59" s="420">
        <v>751055</v>
      </c>
      <c r="P59" s="420">
        <v>767632</v>
      </c>
      <c r="Q59" s="420">
        <v>706894</v>
      </c>
      <c r="R59" s="420">
        <v>717448</v>
      </c>
      <c r="S59" s="420">
        <v>738315</v>
      </c>
      <c r="T59" s="420">
        <v>746101</v>
      </c>
    </row>
    <row r="60" spans="1:21" s="22" customFormat="1">
      <c r="A60" s="24">
        <v>33</v>
      </c>
      <c r="C60" s="22" t="s">
        <v>57</v>
      </c>
      <c r="E60" s="412"/>
      <c r="F60" s="420">
        <v>181627</v>
      </c>
      <c r="G60" s="420">
        <v>191517</v>
      </c>
      <c r="H60" s="420">
        <v>186550</v>
      </c>
      <c r="I60" s="420">
        <v>196937</v>
      </c>
      <c r="J60" s="420">
        <v>213539</v>
      </c>
      <c r="K60" s="420">
        <v>224696</v>
      </c>
      <c r="L60" s="420">
        <v>244435</v>
      </c>
      <c r="M60" s="420">
        <v>259532</v>
      </c>
      <c r="N60" s="420">
        <v>289302</v>
      </c>
      <c r="O60" s="420">
        <v>301090</v>
      </c>
      <c r="P60" s="420">
        <v>312505</v>
      </c>
      <c r="Q60" s="420">
        <v>328012</v>
      </c>
      <c r="R60" s="420">
        <v>342382</v>
      </c>
      <c r="S60" s="420">
        <v>359941</v>
      </c>
      <c r="T60" s="420">
        <v>371971</v>
      </c>
    </row>
    <row r="61" spans="1:21" s="22" customFormat="1">
      <c r="A61" s="24">
        <v>34</v>
      </c>
      <c r="C61" s="22" t="s">
        <v>56</v>
      </c>
      <c r="E61" s="412"/>
      <c r="F61" s="420">
        <v>398104</v>
      </c>
      <c r="G61" s="420">
        <v>416427</v>
      </c>
      <c r="H61" s="420">
        <v>429742</v>
      </c>
      <c r="I61" s="420">
        <v>443424</v>
      </c>
      <c r="J61" s="420">
        <v>459516</v>
      </c>
      <c r="K61" s="420">
        <v>480638</v>
      </c>
      <c r="L61" s="420">
        <v>502571</v>
      </c>
      <c r="M61" s="420">
        <v>528809</v>
      </c>
      <c r="N61" s="420">
        <v>561016</v>
      </c>
      <c r="O61" s="420">
        <v>598884</v>
      </c>
      <c r="P61" s="420">
        <v>638445</v>
      </c>
      <c r="Q61" s="420">
        <v>696082</v>
      </c>
      <c r="R61" s="420">
        <v>743732</v>
      </c>
      <c r="S61" s="420">
        <v>796640</v>
      </c>
      <c r="T61" s="420">
        <v>842795</v>
      </c>
    </row>
    <row r="62" spans="1:21" s="22" customFormat="1">
      <c r="A62" s="24">
        <v>35</v>
      </c>
      <c r="C62" s="22" t="s">
        <v>55</v>
      </c>
      <c r="E62" s="412"/>
      <c r="F62" s="420">
        <v>58402</v>
      </c>
      <c r="G62" s="420">
        <v>59846</v>
      </c>
      <c r="H62" s="420">
        <v>59771</v>
      </c>
      <c r="I62" s="420">
        <v>60444</v>
      </c>
      <c r="J62" s="420">
        <v>63155</v>
      </c>
      <c r="K62" s="420">
        <v>65299</v>
      </c>
      <c r="L62" s="420">
        <v>80110</v>
      </c>
      <c r="M62" s="420">
        <v>81368</v>
      </c>
      <c r="N62" s="420">
        <v>91205</v>
      </c>
      <c r="O62" s="420">
        <v>98727</v>
      </c>
      <c r="P62" s="420">
        <v>120996</v>
      </c>
      <c r="Q62" s="420">
        <v>140218</v>
      </c>
      <c r="R62" s="420">
        <v>155104</v>
      </c>
      <c r="S62" s="420">
        <v>179134</v>
      </c>
      <c r="T62" s="420">
        <v>196867</v>
      </c>
    </row>
    <row r="63" spans="1:21" s="22" customFormat="1">
      <c r="A63" s="24">
        <v>36</v>
      </c>
      <c r="B63" s="22" t="s">
        <v>54</v>
      </c>
      <c r="E63" s="412"/>
      <c r="F63" s="423">
        <v>1022583</v>
      </c>
      <c r="G63" s="423">
        <v>1066652</v>
      </c>
      <c r="H63" s="423">
        <v>1295496</v>
      </c>
      <c r="I63" s="423">
        <v>1331772</v>
      </c>
      <c r="J63" s="423">
        <v>1409192</v>
      </c>
      <c r="K63" s="423">
        <v>1462135</v>
      </c>
      <c r="L63" s="423">
        <v>1554029</v>
      </c>
      <c r="M63" s="423">
        <v>1603303</v>
      </c>
      <c r="N63" s="423">
        <v>1689260</v>
      </c>
      <c r="O63" s="423">
        <v>1806872</v>
      </c>
      <c r="P63" s="423">
        <v>1921533</v>
      </c>
      <c r="Q63" s="423">
        <v>1955287</v>
      </c>
      <c r="R63" s="423">
        <v>2043913</v>
      </c>
      <c r="S63" s="423">
        <f>SUM(S58:S62)</f>
        <v>2165496</v>
      </c>
      <c r="T63" s="423">
        <f>SUM(T58:T62)</f>
        <v>2260354</v>
      </c>
    </row>
    <row r="64" spans="1:21" s="22" customFormat="1" ht="18" customHeight="1">
      <c r="A64" s="24"/>
      <c r="B64" s="22" t="s">
        <v>142</v>
      </c>
      <c r="E64" s="412"/>
      <c r="F64" s="166"/>
      <c r="G64" s="166"/>
      <c r="H64" s="166"/>
      <c r="I64" s="166"/>
      <c r="J64" s="166"/>
      <c r="K64" s="166"/>
      <c r="L64" s="166"/>
      <c r="M64" s="166"/>
      <c r="N64" s="166"/>
      <c r="O64" s="166"/>
      <c r="P64" s="166"/>
      <c r="Q64" s="166"/>
      <c r="R64" s="166"/>
      <c r="S64" s="166"/>
      <c r="T64" s="166"/>
    </row>
    <row r="65" spans="1:20" s="22" customFormat="1">
      <c r="A65" s="24">
        <v>37</v>
      </c>
      <c r="C65" s="20" t="s">
        <v>59</v>
      </c>
      <c r="E65" s="412"/>
      <c r="F65" s="424"/>
      <c r="G65" s="424"/>
      <c r="H65" s="424"/>
      <c r="I65" s="424"/>
      <c r="J65" s="424"/>
      <c r="K65" s="424"/>
      <c r="L65" s="424"/>
      <c r="M65" s="424"/>
      <c r="N65" s="424"/>
      <c r="O65" s="424"/>
      <c r="P65" s="424"/>
      <c r="Q65" s="425">
        <v>3744</v>
      </c>
      <c r="R65" s="425">
        <v>4369</v>
      </c>
      <c r="S65" s="425">
        <v>17667</v>
      </c>
      <c r="T65" s="425">
        <v>20242</v>
      </c>
    </row>
    <row r="66" spans="1:20" s="22" customFormat="1">
      <c r="A66" s="24">
        <v>38</v>
      </c>
      <c r="C66" s="22" t="s">
        <v>58</v>
      </c>
      <c r="E66" s="412"/>
      <c r="F66" s="424"/>
      <c r="G66" s="424"/>
      <c r="H66" s="424"/>
      <c r="I66" s="424"/>
      <c r="J66" s="424"/>
      <c r="K66" s="424"/>
      <c r="L66" s="424"/>
      <c r="M66" s="424"/>
      <c r="N66" s="424"/>
      <c r="O66" s="424"/>
      <c r="P66" s="424"/>
      <c r="Q66" s="425">
        <v>286300</v>
      </c>
      <c r="R66" s="425">
        <v>300170</v>
      </c>
      <c r="S66" s="425">
        <v>314599</v>
      </c>
      <c r="T66" s="425">
        <v>325531</v>
      </c>
    </row>
    <row r="67" spans="1:20" s="22" customFormat="1">
      <c r="A67" s="24">
        <v>39</v>
      </c>
      <c r="C67" s="22" t="s">
        <v>57</v>
      </c>
      <c r="E67" s="412"/>
      <c r="F67" s="424"/>
      <c r="G67" s="424"/>
      <c r="H67" s="424"/>
      <c r="I67" s="424"/>
      <c r="J67" s="424"/>
      <c r="K67" s="424"/>
      <c r="L67" s="424"/>
      <c r="M67" s="424"/>
      <c r="N67" s="424"/>
      <c r="O67" s="424"/>
      <c r="P67" s="424"/>
      <c r="Q67" s="425">
        <v>111144</v>
      </c>
      <c r="R67" s="425">
        <v>116316</v>
      </c>
      <c r="S67" s="425">
        <v>122308</v>
      </c>
      <c r="T67" s="425">
        <v>123869</v>
      </c>
    </row>
    <row r="68" spans="1:20" s="22" customFormat="1">
      <c r="A68" s="24">
        <v>40</v>
      </c>
      <c r="C68" s="22" t="s">
        <v>56</v>
      </c>
      <c r="E68" s="412"/>
      <c r="F68" s="424"/>
      <c r="G68" s="424"/>
      <c r="H68" s="424"/>
      <c r="I68" s="424"/>
      <c r="J68" s="424"/>
      <c r="K68" s="424"/>
      <c r="L68" s="424"/>
      <c r="M68" s="424"/>
      <c r="N68" s="424"/>
      <c r="O68" s="424"/>
      <c r="P68" s="424"/>
      <c r="Q68" s="425">
        <v>209101</v>
      </c>
      <c r="R68" s="425">
        <v>221408</v>
      </c>
      <c r="S68" s="425">
        <v>236201</v>
      </c>
      <c r="T68" s="425">
        <v>252722</v>
      </c>
    </row>
    <row r="69" spans="1:20" s="22" customFormat="1">
      <c r="A69" s="24">
        <v>41</v>
      </c>
      <c r="C69" s="22" t="s">
        <v>55</v>
      </c>
      <c r="E69" s="412"/>
      <c r="F69" s="424"/>
      <c r="G69" s="424"/>
      <c r="H69" s="424"/>
      <c r="I69" s="424"/>
      <c r="J69" s="424"/>
      <c r="K69" s="424"/>
      <c r="L69" s="424"/>
      <c r="M69" s="424"/>
      <c r="N69" s="424"/>
      <c r="O69" s="424"/>
      <c r="P69" s="424"/>
      <c r="Q69" s="551">
        <v>56694</v>
      </c>
      <c r="R69" s="551">
        <v>61871</v>
      </c>
      <c r="S69" s="551">
        <v>58357</v>
      </c>
      <c r="T69" s="551">
        <v>65720</v>
      </c>
    </row>
    <row r="70" spans="1:20" s="22" customFormat="1">
      <c r="A70" s="24">
        <v>42</v>
      </c>
      <c r="B70" s="22" t="s">
        <v>143</v>
      </c>
      <c r="E70" s="412"/>
      <c r="F70" s="420">
        <v>348345</v>
      </c>
      <c r="G70" s="420">
        <v>359654</v>
      </c>
      <c r="H70" s="420">
        <v>418593</v>
      </c>
      <c r="I70" s="420">
        <v>450096</v>
      </c>
      <c r="J70" s="420">
        <v>475935</v>
      </c>
      <c r="K70" s="420">
        <v>503194</v>
      </c>
      <c r="L70" s="420">
        <v>536682</v>
      </c>
      <c r="M70" s="420">
        <v>567320</v>
      </c>
      <c r="N70" s="420">
        <v>600292</v>
      </c>
      <c r="O70" s="420">
        <v>632110</v>
      </c>
      <c r="P70" s="420">
        <v>676635</v>
      </c>
      <c r="Q70" s="420">
        <v>666983</v>
      </c>
      <c r="R70" s="420">
        <v>704134</v>
      </c>
      <c r="S70" s="420">
        <f>SUM(S65:S69)</f>
        <v>749132</v>
      </c>
      <c r="T70" s="420">
        <f>SUM(T65:T69)</f>
        <v>788084</v>
      </c>
    </row>
    <row r="71" spans="1:20" s="22" customFormat="1">
      <c r="A71" s="24">
        <v>43</v>
      </c>
      <c r="B71" s="22" t="s">
        <v>144</v>
      </c>
      <c r="E71" s="412"/>
      <c r="F71" s="423">
        <v>674238</v>
      </c>
      <c r="G71" s="423">
        <v>706998</v>
      </c>
      <c r="H71" s="423">
        <v>876903</v>
      </c>
      <c r="I71" s="423">
        <v>881676</v>
      </c>
      <c r="J71" s="423">
        <v>933257</v>
      </c>
      <c r="K71" s="423">
        <v>958941</v>
      </c>
      <c r="L71" s="423">
        <v>1017347</v>
      </c>
      <c r="M71" s="423">
        <v>1035983</v>
      </c>
      <c r="N71" s="423">
        <v>1088968</v>
      </c>
      <c r="O71" s="423">
        <v>1174762</v>
      </c>
      <c r="P71" s="423">
        <v>1244898</v>
      </c>
      <c r="Q71" s="423">
        <v>1288304</v>
      </c>
      <c r="R71" s="423">
        <v>1339779</v>
      </c>
      <c r="S71" s="423">
        <f>S63-S70</f>
        <v>1416364</v>
      </c>
      <c r="T71" s="423">
        <f>T63-T70</f>
        <v>1472270</v>
      </c>
    </row>
    <row r="72" spans="1:20" s="22" customFormat="1" ht="6.75" customHeight="1">
      <c r="A72" s="24"/>
      <c r="E72" s="412"/>
      <c r="F72" s="420"/>
      <c r="G72" s="420"/>
      <c r="H72" s="420"/>
      <c r="I72" s="420"/>
      <c r="J72" s="420"/>
      <c r="K72" s="420"/>
      <c r="L72" s="420"/>
      <c r="M72" s="420"/>
      <c r="N72" s="420"/>
      <c r="O72" s="420"/>
      <c r="P72" s="420"/>
      <c r="Q72" s="420"/>
      <c r="R72" s="420"/>
      <c r="S72" s="420"/>
      <c r="T72" s="420"/>
    </row>
    <row r="73" spans="1:20" s="22" customFormat="1">
      <c r="A73" s="21">
        <v>44</v>
      </c>
      <c r="B73" s="22" t="s">
        <v>52</v>
      </c>
      <c r="E73" s="412"/>
      <c r="F73" s="420">
        <v>-104246</v>
      </c>
      <c r="G73" s="420">
        <v>-108113</v>
      </c>
      <c r="H73" s="420">
        <v>-113807</v>
      </c>
      <c r="I73" s="420">
        <v>-138127</v>
      </c>
      <c r="J73" s="420">
        <v>-154531</v>
      </c>
      <c r="K73" s="420">
        <v>-138256</v>
      </c>
      <c r="L73" s="420">
        <v>-142383</v>
      </c>
      <c r="M73" s="420">
        <v>-143546</v>
      </c>
      <c r="N73" s="420">
        <v>-151677</v>
      </c>
      <c r="O73" s="420">
        <v>-169421</v>
      </c>
      <c r="P73" s="420">
        <v>-190931</v>
      </c>
      <c r="Q73" s="420">
        <v>-201163</v>
      </c>
      <c r="R73" s="420">
        <v>-208209</v>
      </c>
      <c r="S73" s="420">
        <v>-221354</v>
      </c>
      <c r="T73" s="420">
        <v>-257766</v>
      </c>
    </row>
    <row r="74" spans="1:20" s="22" customFormat="1">
      <c r="A74" s="21">
        <v>45</v>
      </c>
      <c r="C74" s="22" t="s">
        <v>145</v>
      </c>
      <c r="E74" s="412"/>
      <c r="F74" s="423">
        <v>569992</v>
      </c>
      <c r="G74" s="423">
        <v>598885</v>
      </c>
      <c r="H74" s="423">
        <v>763096</v>
      </c>
      <c r="I74" s="423">
        <v>743549</v>
      </c>
      <c r="J74" s="423">
        <v>778726</v>
      </c>
      <c r="K74" s="423">
        <v>820685</v>
      </c>
      <c r="L74" s="423">
        <v>874964</v>
      </c>
      <c r="M74" s="423">
        <v>892437</v>
      </c>
      <c r="N74" s="423">
        <v>937291</v>
      </c>
      <c r="O74" s="423">
        <v>1005341</v>
      </c>
      <c r="P74" s="423">
        <v>1053967</v>
      </c>
      <c r="Q74" s="423">
        <v>1087141</v>
      </c>
      <c r="R74" s="423">
        <v>1131570</v>
      </c>
      <c r="S74" s="423">
        <f>S71+S73</f>
        <v>1195010</v>
      </c>
      <c r="T74" s="423">
        <f>T71+T73</f>
        <v>1214504</v>
      </c>
    </row>
    <row r="75" spans="1:20" s="22" customFormat="1">
      <c r="A75" s="24">
        <v>46</v>
      </c>
      <c r="B75" s="22" t="s">
        <v>146</v>
      </c>
      <c r="E75" s="412"/>
      <c r="F75" s="420">
        <v>-1500</v>
      </c>
      <c r="G75" s="420">
        <v>-1370</v>
      </c>
      <c r="H75" s="420">
        <v>-1238</v>
      </c>
      <c r="I75" s="420">
        <v>-1106</v>
      </c>
      <c r="J75" s="420">
        <v>-715</v>
      </c>
      <c r="K75" s="420">
        <v>-843</v>
      </c>
      <c r="L75" s="420">
        <v>-453</v>
      </c>
      <c r="M75" s="420">
        <v>-582</v>
      </c>
      <c r="N75" s="420">
        <v>-451</v>
      </c>
      <c r="O75" s="420">
        <v>-322</v>
      </c>
      <c r="P75" s="420">
        <v>-127</v>
      </c>
      <c r="Q75" s="420">
        <v>32534</v>
      </c>
      <c r="R75" s="420">
        <v>16438</v>
      </c>
      <c r="S75" s="420">
        <v>14761</v>
      </c>
      <c r="T75" s="420">
        <v>10846</v>
      </c>
    </row>
    <row r="76" spans="1:20" s="22" customFormat="1">
      <c r="A76" s="24">
        <v>47</v>
      </c>
      <c r="B76" s="22" t="s">
        <v>53</v>
      </c>
      <c r="E76" s="412"/>
      <c r="F76" s="420"/>
      <c r="G76" s="420"/>
      <c r="H76" s="420"/>
      <c r="I76" s="420"/>
      <c r="J76" s="420"/>
      <c r="K76" s="420"/>
      <c r="L76" s="420"/>
      <c r="M76" s="420"/>
      <c r="N76" s="420"/>
      <c r="O76" s="420"/>
      <c r="P76" s="420">
        <v>18188</v>
      </c>
      <c r="Q76" s="420">
        <v>18188</v>
      </c>
      <c r="R76" s="420">
        <v>10967</v>
      </c>
      <c r="S76" s="420">
        <v>16281</v>
      </c>
      <c r="T76" s="420">
        <v>47807</v>
      </c>
    </row>
    <row r="77" spans="1:20" s="22" customFormat="1">
      <c r="A77" s="21"/>
      <c r="E77" s="412"/>
      <c r="F77" s="166"/>
      <c r="G77" s="166"/>
      <c r="H77" s="166"/>
      <c r="I77" s="166"/>
      <c r="J77" s="166"/>
      <c r="K77" s="166"/>
      <c r="L77" s="166"/>
      <c r="M77" s="166"/>
      <c r="N77" s="166"/>
      <c r="O77" s="166"/>
      <c r="P77" s="166"/>
      <c r="Q77" s="166"/>
      <c r="R77" s="166"/>
      <c r="S77" s="166"/>
      <c r="T77" s="166"/>
    </row>
    <row r="78" spans="1:20" s="20" customFormat="1" ht="13.5" thickBot="1">
      <c r="A78" s="19">
        <v>48</v>
      </c>
      <c r="B78" s="20" t="s">
        <v>51</v>
      </c>
      <c r="E78" s="412"/>
      <c r="F78" s="426">
        <v>568492</v>
      </c>
      <c r="G78" s="426">
        <v>597515</v>
      </c>
      <c r="H78" s="426">
        <v>761858</v>
      </c>
      <c r="I78" s="426">
        <v>742443</v>
      </c>
      <c r="J78" s="426">
        <v>778011</v>
      </c>
      <c r="K78" s="426">
        <v>819842</v>
      </c>
      <c r="L78" s="426">
        <v>874511</v>
      </c>
      <c r="M78" s="426">
        <v>891855</v>
      </c>
      <c r="N78" s="426">
        <v>936840</v>
      </c>
      <c r="O78" s="426">
        <v>1005019</v>
      </c>
      <c r="P78" s="426">
        <v>1072028</v>
      </c>
      <c r="Q78" s="426">
        <v>1137863</v>
      </c>
      <c r="R78" s="426">
        <v>1158975</v>
      </c>
      <c r="S78" s="426">
        <f>SUM(S74:S76)</f>
        <v>1226052</v>
      </c>
      <c r="T78" s="426">
        <f>SUM(T74:T76)</f>
        <v>1273157</v>
      </c>
    </row>
    <row r="79" spans="1:20" ht="18" customHeight="1" thickTop="1">
      <c r="A79" s="19">
        <v>49</v>
      </c>
      <c r="B79" s="13" t="s">
        <v>50</v>
      </c>
      <c r="F79" s="43">
        <f>F54/F78</f>
        <v>4.8051687622693018E-2</v>
      </c>
      <c r="G79" s="43">
        <f t="shared" ref="G79:R79" si="0">G54/G78</f>
        <v>0.10795938940446513</v>
      </c>
      <c r="H79" s="43">
        <f t="shared" si="0"/>
        <v>8.1531606334195206E-2</v>
      </c>
      <c r="I79" s="43">
        <f t="shared" si="0"/>
        <v>9.1978265071500739E-2</v>
      </c>
      <c r="J79" s="43">
        <f t="shared" si="0"/>
        <v>7.1269241781789394E-2</v>
      </c>
      <c r="K79" s="43">
        <f t="shared" si="0"/>
        <v>6.8436995335226222E-2</v>
      </c>
      <c r="L79" s="43">
        <f t="shared" si="0"/>
        <v>5.8669908218855239E-2</v>
      </c>
      <c r="M79" s="43">
        <f t="shared" si="0"/>
        <v>6.9174342718266987E-2</v>
      </c>
      <c r="N79" s="43">
        <f t="shared" si="0"/>
        <v>7.3616754408436874E-2</v>
      </c>
      <c r="O79" s="43">
        <f t="shared" si="0"/>
        <v>6.9727586344138767E-2</v>
      </c>
      <c r="P79" s="43">
        <f t="shared" si="0"/>
        <v>7.1700524951960151E-2</v>
      </c>
      <c r="Q79" s="43">
        <f t="shared" si="0"/>
        <v>6.5644859170216424E-2</v>
      </c>
      <c r="R79" s="43">
        <f t="shared" si="0"/>
        <v>7.1575500960935276E-2</v>
      </c>
      <c r="S79" s="43">
        <f t="shared" ref="S79:T79" si="1">S54/S78</f>
        <v>7.5671341835419709E-2</v>
      </c>
      <c r="T79" s="43">
        <f t="shared" si="1"/>
        <v>7.9604479259038755E-2</v>
      </c>
    </row>
    <row r="83" spans="1:15" s="16" customFormat="1">
      <c r="A83" s="83"/>
      <c r="E83" s="412"/>
      <c r="F83" s="14"/>
      <c r="K83" s="14"/>
      <c r="N83" s="72"/>
      <c r="O83" s="14"/>
    </row>
    <row r="84" spans="1:15">
      <c r="D84" s="45"/>
    </row>
  </sheetData>
  <pageMargins left="0.7" right="0.51" top="0.23" bottom="0.2" header="0.51" footer="0.5"/>
  <pageSetup scale="55" firstPageNumber="4" fitToWidth="3" orientation="landscape" r:id="rId1"/>
  <headerFooter scaleWithDoc="0" alignWithMargins="0">
    <oddFooter>&amp;C&amp;F / &amp;A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Y54"/>
  <sheetViews>
    <sheetView topLeftCell="K1" workbookViewId="0">
      <selection activeCell="I55" sqref="I55"/>
    </sheetView>
  </sheetViews>
  <sheetFormatPr defaultColWidth="8.85546875" defaultRowHeight="12.75"/>
  <cols>
    <col min="1" max="1" width="34.7109375" style="412" customWidth="1"/>
    <col min="2" max="3" width="0" style="412" hidden="1" customWidth="1"/>
    <col min="4" max="4" width="5.5703125" style="412" hidden="1" customWidth="1"/>
    <col min="5" max="7" width="13.42578125" style="18" hidden="1" customWidth="1"/>
    <col min="8" max="9" width="13.42578125" style="18" customWidth="1"/>
    <col min="10" max="10" width="13.42578125" style="38" customWidth="1"/>
    <col min="11" max="15" width="13.42578125" style="18" customWidth="1"/>
    <col min="16" max="16" width="12.85546875" style="18" customWidth="1"/>
    <col min="17" max="17" width="12.28515625" style="18" customWidth="1"/>
    <col min="18" max="18" width="12.85546875" style="412" customWidth="1"/>
    <col min="19" max="19" width="13.42578125" style="738" customWidth="1"/>
    <col min="20" max="16384" width="8.85546875" style="412"/>
  </cols>
  <sheetData>
    <row r="1" spans="1:20">
      <c r="A1" s="953" t="s">
        <v>6</v>
      </c>
      <c r="B1" s="953"/>
      <c r="C1" s="953"/>
      <c r="D1" s="953"/>
      <c r="E1" s="953"/>
      <c r="F1" s="953"/>
      <c r="G1" s="953"/>
      <c r="H1" s="953"/>
      <c r="I1" s="953"/>
      <c r="J1" s="953"/>
      <c r="K1" s="953"/>
      <c r="L1" s="953"/>
      <c r="M1" s="953"/>
      <c r="N1" s="953"/>
      <c r="O1" s="953"/>
      <c r="P1" s="953"/>
      <c r="Q1" s="953"/>
    </row>
    <row r="2" spans="1:20">
      <c r="A2" s="954" t="s">
        <v>7</v>
      </c>
      <c r="B2" s="954"/>
      <c r="C2" s="954"/>
      <c r="D2" s="954"/>
      <c r="E2" s="954"/>
      <c r="F2" s="954"/>
      <c r="G2" s="954"/>
      <c r="H2" s="954"/>
      <c r="I2" s="954"/>
      <c r="J2" s="954"/>
      <c r="K2" s="954"/>
      <c r="L2" s="954"/>
      <c r="M2" s="954"/>
      <c r="N2" s="954"/>
      <c r="O2" s="954"/>
      <c r="P2" s="954"/>
      <c r="Q2" s="954"/>
    </row>
    <row r="3" spans="1:20">
      <c r="D3" s="57"/>
    </row>
    <row r="4" spans="1:20">
      <c r="D4" s="57"/>
      <c r="E4" s="955" t="s">
        <v>29</v>
      </c>
      <c r="F4" s="955"/>
      <c r="G4" s="955"/>
      <c r="H4" s="955"/>
      <c r="I4" s="955"/>
      <c r="J4" s="955"/>
      <c r="K4" s="955"/>
      <c r="L4" s="955"/>
      <c r="M4" s="955"/>
      <c r="N4" s="955"/>
      <c r="O4" s="955"/>
      <c r="P4" s="955"/>
      <c r="Q4" s="955"/>
    </row>
    <row r="5" spans="1:20">
      <c r="D5" s="57"/>
      <c r="E5" s="956" t="s">
        <v>295</v>
      </c>
      <c r="F5" s="957"/>
      <c r="G5" s="957"/>
      <c r="H5" s="957"/>
      <c r="I5" s="957"/>
      <c r="J5" s="957"/>
      <c r="K5" s="957"/>
      <c r="L5" s="957"/>
      <c r="M5" s="957"/>
      <c r="N5" s="957"/>
      <c r="O5" s="957"/>
      <c r="P5" s="957"/>
      <c r="Q5" s="957"/>
      <c r="S5" s="794" t="s">
        <v>712</v>
      </c>
    </row>
    <row r="6" spans="1:20">
      <c r="D6" s="58"/>
      <c r="E6" s="433">
        <v>2000</v>
      </c>
      <c r="F6" s="350">
        <v>2001</v>
      </c>
      <c r="G6" s="350">
        <v>2002</v>
      </c>
      <c r="H6" s="350">
        <v>2003</v>
      </c>
      <c r="I6" s="350">
        <v>2004</v>
      </c>
      <c r="J6" s="350">
        <v>2005</v>
      </c>
      <c r="K6" s="350">
        <v>2006</v>
      </c>
      <c r="L6" s="350">
        <v>2007</v>
      </c>
      <c r="M6" s="350">
        <v>2008</v>
      </c>
      <c r="N6" s="350">
        <v>2009</v>
      </c>
      <c r="O6" s="350">
        <v>2010</v>
      </c>
      <c r="P6" s="434">
        <v>2011</v>
      </c>
      <c r="Q6" s="434">
        <v>2012</v>
      </c>
      <c r="R6" s="434">
        <v>2013</v>
      </c>
      <c r="S6" s="434">
        <v>2014</v>
      </c>
    </row>
    <row r="7" spans="1:20">
      <c r="A7" s="412" t="s">
        <v>9</v>
      </c>
      <c r="D7" s="1"/>
      <c r="E7" s="237">
        <v>0.66290000000000004</v>
      </c>
      <c r="F7" s="237">
        <v>0.67479999999999996</v>
      </c>
      <c r="G7" s="237">
        <v>0.64119999999999999</v>
      </c>
      <c r="H7" s="237">
        <v>0.65480000000000005</v>
      </c>
      <c r="I7" s="237">
        <v>0.65159999999999996</v>
      </c>
      <c r="J7" s="237">
        <v>0.65369999999999995</v>
      </c>
      <c r="K7" s="237">
        <v>0.6583</v>
      </c>
      <c r="L7" s="237">
        <v>0.64590000000000003</v>
      </c>
      <c r="M7" s="237">
        <v>0.64419999999999999</v>
      </c>
      <c r="N7" s="237">
        <v>0.64870000000000005</v>
      </c>
      <c r="O7" s="237">
        <v>0.65159999999999996</v>
      </c>
      <c r="P7" s="435">
        <v>0.65239999999999998</v>
      </c>
      <c r="Q7" s="435">
        <v>0.65010000000000001</v>
      </c>
      <c r="R7" s="435">
        <v>0.65190000000000003</v>
      </c>
      <c r="S7" s="435">
        <v>0.64710000000000001</v>
      </c>
    </row>
    <row r="8" spans="1:20">
      <c r="E8" s="435"/>
      <c r="F8" s="435"/>
      <c r="G8" s="435"/>
      <c r="H8" s="435"/>
      <c r="I8" s="435"/>
      <c r="J8" s="435"/>
      <c r="K8" s="435"/>
      <c r="L8" s="435"/>
      <c r="M8" s="435"/>
      <c r="N8" s="435"/>
      <c r="O8" s="435"/>
      <c r="P8" s="435"/>
      <c r="Q8" s="435"/>
      <c r="R8" s="435"/>
      <c r="S8" s="435"/>
    </row>
    <row r="9" spans="1:20">
      <c r="A9" s="412" t="s">
        <v>10</v>
      </c>
      <c r="D9" s="59"/>
      <c r="E9" s="351">
        <v>135976.0367</v>
      </c>
      <c r="F9" s="351">
        <v>90880</v>
      </c>
      <c r="G9" s="351">
        <v>31728</v>
      </c>
      <c r="H9" s="351">
        <v>35221</v>
      </c>
      <c r="I9" s="351">
        <v>40439</v>
      </c>
      <c r="J9" s="351">
        <v>44689.546799999996</v>
      </c>
      <c r="K9" s="351">
        <v>35381</v>
      </c>
      <c r="L9" s="351">
        <v>34954</v>
      </c>
      <c r="M9" s="351">
        <v>46849</v>
      </c>
      <c r="N9" s="351">
        <v>30933.259500000004</v>
      </c>
      <c r="O9" s="351">
        <v>132773.274</v>
      </c>
      <c r="P9" s="351">
        <v>52603.011999999995</v>
      </c>
      <c r="Q9" s="351">
        <v>54547.940699999999</v>
      </c>
      <c r="R9" s="351">
        <v>75350</v>
      </c>
      <c r="S9" s="351">
        <f>'12.2014 CB Power Supply'!F11</f>
        <v>60998</v>
      </c>
    </row>
    <row r="10" spans="1:20">
      <c r="A10" s="412" t="s">
        <v>11</v>
      </c>
      <c r="D10" s="60"/>
      <c r="E10" s="352">
        <v>300.2937</v>
      </c>
      <c r="F10" s="352">
        <v>281</v>
      </c>
      <c r="G10" s="352">
        <v>38</v>
      </c>
      <c r="H10" s="352">
        <v>297</v>
      </c>
      <c r="I10" s="352">
        <v>238</v>
      </c>
      <c r="J10" s="352">
        <v>124.85669999999999</v>
      </c>
      <c r="K10" s="352">
        <v>153</v>
      </c>
      <c r="L10" s="352">
        <v>200</v>
      </c>
      <c r="M10" s="352">
        <v>198</v>
      </c>
      <c r="N10" s="352">
        <v>247.15470000000002</v>
      </c>
      <c r="O10" s="352">
        <v>183.75119999999998</v>
      </c>
      <c r="P10" s="352">
        <v>330.76679999999999</v>
      </c>
      <c r="Q10" s="352">
        <v>303.5967</v>
      </c>
      <c r="R10" s="352">
        <v>282</v>
      </c>
      <c r="S10" s="352">
        <f>'12.2014 CB Power Supply'!F12</f>
        <v>307</v>
      </c>
    </row>
    <row r="11" spans="1:20">
      <c r="A11" s="412" t="s">
        <v>12</v>
      </c>
      <c r="D11" s="60"/>
      <c r="E11" s="352">
        <v>43.751400000000004</v>
      </c>
      <c r="F11" s="352">
        <v>0</v>
      </c>
      <c r="G11" s="352">
        <v>30</v>
      </c>
      <c r="H11" s="352">
        <v>16</v>
      </c>
      <c r="I11" s="352">
        <v>16</v>
      </c>
      <c r="J11" s="352">
        <v>12.420299999999999</v>
      </c>
      <c r="K11" s="352">
        <v>14</v>
      </c>
      <c r="L11" s="352">
        <v>14</v>
      </c>
      <c r="M11" s="352">
        <v>16</v>
      </c>
      <c r="N11" s="352">
        <v>18.8123</v>
      </c>
      <c r="O11" s="352">
        <v>0</v>
      </c>
      <c r="P11" s="352">
        <v>0</v>
      </c>
      <c r="Q11" s="352">
        <v>0</v>
      </c>
      <c r="R11" s="352">
        <v>0</v>
      </c>
      <c r="S11" s="352">
        <f>'12.2014 CB Power Supply'!F13</f>
        <v>0</v>
      </c>
    </row>
    <row r="12" spans="1:20">
      <c r="A12" s="576" t="s">
        <v>13</v>
      </c>
      <c r="D12" s="62"/>
      <c r="E12" s="462">
        <v>10967.6805</v>
      </c>
      <c r="F12" s="462">
        <v>11862</v>
      </c>
      <c r="G12" s="462">
        <v>25225</v>
      </c>
      <c r="H12" s="462">
        <v>46826</v>
      </c>
      <c r="I12" s="462">
        <v>31</v>
      </c>
      <c r="J12" s="462">
        <v>41.836799999999997</v>
      </c>
      <c r="K12" s="462">
        <v>31</v>
      </c>
      <c r="L12" s="462">
        <v>7</v>
      </c>
      <c r="M12" s="462">
        <v>2</v>
      </c>
      <c r="N12" s="462">
        <v>93.412800000000004</v>
      </c>
      <c r="O12" s="462">
        <v>456.11999999999995</v>
      </c>
      <c r="P12" s="462">
        <v>1420.9271999999999</v>
      </c>
      <c r="Q12" s="462">
        <v>1122.7227</v>
      </c>
      <c r="R12" s="462">
        <v>0</v>
      </c>
      <c r="S12" s="462">
        <f>'12.2014 CB Power Supply'!F17</f>
        <v>2592</v>
      </c>
      <c r="T12" s="748" t="s">
        <v>707</v>
      </c>
    </row>
    <row r="13" spans="1:20" s="458" customFormat="1">
      <c r="A13" s="458" t="s">
        <v>405</v>
      </c>
      <c r="D13" s="62"/>
      <c r="E13" s="462"/>
      <c r="F13" s="462"/>
      <c r="G13" s="462"/>
      <c r="H13" s="462"/>
      <c r="I13" s="462"/>
      <c r="J13" s="462"/>
      <c r="K13" s="462"/>
      <c r="L13" s="462"/>
      <c r="M13" s="462"/>
      <c r="N13" s="462"/>
      <c r="O13" s="462"/>
      <c r="P13" s="462"/>
      <c r="Q13" s="462">
        <v>63</v>
      </c>
      <c r="R13" s="462">
        <v>0</v>
      </c>
      <c r="S13" s="462">
        <f>'12.2014 CB Power Supply'!F18</f>
        <v>163</v>
      </c>
      <c r="T13" s="748" t="s">
        <v>707</v>
      </c>
    </row>
    <row r="14" spans="1:20">
      <c r="A14" s="412" t="s">
        <v>14</v>
      </c>
      <c r="D14" s="62"/>
      <c r="E14" s="463">
        <f>SUM(E9:E12)</f>
        <v>147287.7623</v>
      </c>
      <c r="F14" s="463">
        <f t="shared" ref="F14:Q14" si="0">SUM(F9:F12)</f>
        <v>103023</v>
      </c>
      <c r="G14" s="463">
        <f t="shared" si="0"/>
        <v>57021</v>
      </c>
      <c r="H14" s="463">
        <f t="shared" si="0"/>
        <v>82360</v>
      </c>
      <c r="I14" s="463">
        <f t="shared" si="0"/>
        <v>40724</v>
      </c>
      <c r="J14" s="463">
        <f t="shared" si="0"/>
        <v>44868.660599999988</v>
      </c>
      <c r="K14" s="463">
        <f t="shared" si="0"/>
        <v>35579</v>
      </c>
      <c r="L14" s="463">
        <f t="shared" si="0"/>
        <v>35175</v>
      </c>
      <c r="M14" s="463">
        <f t="shared" si="0"/>
        <v>47065</v>
      </c>
      <c r="N14" s="463">
        <f t="shared" si="0"/>
        <v>31292.639300000003</v>
      </c>
      <c r="O14" s="463">
        <f t="shared" si="0"/>
        <v>133413.1452</v>
      </c>
      <c r="P14" s="463">
        <f t="shared" si="0"/>
        <v>54354.705999999991</v>
      </c>
      <c r="Q14" s="463">
        <f t="shared" si="0"/>
        <v>55974.2601</v>
      </c>
      <c r="R14" s="463">
        <f>SUM(R9:R13)</f>
        <v>75632</v>
      </c>
      <c r="S14" s="463">
        <f>SUM(S9:S13)</f>
        <v>64060</v>
      </c>
    </row>
    <row r="15" spans="1:20">
      <c r="D15" s="62"/>
      <c r="E15" s="352"/>
      <c r="F15" s="352"/>
      <c r="G15" s="352"/>
      <c r="H15" s="352"/>
      <c r="I15" s="352"/>
      <c r="J15" s="352"/>
      <c r="K15" s="352"/>
      <c r="L15" s="352"/>
      <c r="M15" s="352"/>
      <c r="N15" s="352"/>
      <c r="O15" s="352"/>
      <c r="P15" s="352"/>
      <c r="Q15" s="352"/>
      <c r="R15" s="352"/>
      <c r="S15" s="352"/>
    </row>
    <row r="16" spans="1:20">
      <c r="D16" s="62"/>
      <c r="E16" s="352"/>
      <c r="F16" s="352"/>
      <c r="G16" s="352"/>
      <c r="H16" s="352"/>
      <c r="I16" s="352"/>
      <c r="J16" s="352"/>
      <c r="K16" s="352"/>
      <c r="L16" s="352"/>
      <c r="M16" s="352"/>
      <c r="N16" s="352"/>
      <c r="O16" s="352"/>
      <c r="P16" s="352"/>
      <c r="Q16" s="352"/>
      <c r="R16" s="352"/>
      <c r="S16" s="352"/>
    </row>
    <row r="17" spans="1:25">
      <c r="A17" s="412" t="s">
        <v>15</v>
      </c>
      <c r="D17" s="62"/>
      <c r="E17" s="352">
        <v>18358.352600000002</v>
      </c>
      <c r="F17" s="352">
        <v>10164</v>
      </c>
      <c r="G17" s="352">
        <v>9430</v>
      </c>
      <c r="H17" s="352">
        <v>12014</v>
      </c>
      <c r="I17" s="352">
        <v>12358</v>
      </c>
      <c r="J17" s="352">
        <v>12956.9877</v>
      </c>
      <c r="K17" s="352">
        <v>15914</v>
      </c>
      <c r="L17" s="352">
        <v>16710</v>
      </c>
      <c r="M17" s="352">
        <v>18086</v>
      </c>
      <c r="N17" s="352">
        <v>16203.228600000002</v>
      </c>
      <c r="O17" s="352">
        <v>19974.797999999999</v>
      </c>
      <c r="P17" s="352">
        <v>21546.8148</v>
      </c>
      <c r="Q17" s="352">
        <v>16459.231800000001</v>
      </c>
      <c r="R17" s="352">
        <v>18925</v>
      </c>
      <c r="S17" s="352">
        <f>'12.2014 CB Power Supply'!F22</f>
        <v>17743</v>
      </c>
    </row>
    <row r="18" spans="1:25">
      <c r="A18" s="412" t="s">
        <v>16</v>
      </c>
      <c r="D18" s="62"/>
      <c r="E18" s="352">
        <v>0</v>
      </c>
      <c r="F18" s="352">
        <v>0</v>
      </c>
      <c r="G18" s="352">
        <v>0</v>
      </c>
      <c r="H18" s="352">
        <v>0</v>
      </c>
      <c r="I18" s="352">
        <v>0</v>
      </c>
      <c r="J18" s="352">
        <v>0</v>
      </c>
      <c r="K18" s="352">
        <v>0</v>
      </c>
      <c r="L18" s="352">
        <v>0</v>
      </c>
      <c r="M18" s="352">
        <v>0</v>
      </c>
      <c r="N18" s="352">
        <v>0</v>
      </c>
      <c r="O18" s="352">
        <v>0</v>
      </c>
      <c r="P18" s="352">
        <v>0</v>
      </c>
      <c r="Q18" s="352">
        <v>0</v>
      </c>
      <c r="R18" s="352">
        <v>0</v>
      </c>
      <c r="S18" s="352">
        <f>'12.2014 CB Power Supply'!F23</f>
        <v>0</v>
      </c>
    </row>
    <row r="19" spans="1:25">
      <c r="A19" s="412" t="s">
        <v>17</v>
      </c>
      <c r="D19" s="62"/>
      <c r="E19" s="352">
        <v>23060.302300000003</v>
      </c>
      <c r="F19" s="352">
        <v>3582</v>
      </c>
      <c r="G19" s="352">
        <v>8111</v>
      </c>
      <c r="H19" s="352">
        <v>15447</v>
      </c>
      <c r="I19" s="352">
        <v>45629</v>
      </c>
      <c r="J19" s="352">
        <v>55227.190799999997</v>
      </c>
      <c r="K19" s="352">
        <v>47155</v>
      </c>
      <c r="L19" s="352">
        <v>43656</v>
      </c>
      <c r="M19" s="352">
        <v>52704</v>
      </c>
      <c r="N19" s="352">
        <v>15927.531100000002</v>
      </c>
      <c r="O19" s="352">
        <v>74448.55799999999</v>
      </c>
      <c r="P19" s="352">
        <v>62923.979999999996</v>
      </c>
      <c r="Q19" s="352">
        <v>50012.192999999999</v>
      </c>
      <c r="R19" s="352">
        <v>60338</v>
      </c>
      <c r="S19" s="352">
        <f>'12.2014 CB Power Supply'!F24</f>
        <v>36097</v>
      </c>
    </row>
    <row r="20" spans="1:25">
      <c r="A20" s="412" t="s">
        <v>18</v>
      </c>
      <c r="D20" s="62"/>
      <c r="E20" s="352">
        <v>548.88120000000004</v>
      </c>
      <c r="F20" s="352">
        <v>528</v>
      </c>
      <c r="G20" s="352">
        <v>392</v>
      </c>
      <c r="H20" s="352">
        <v>528</v>
      </c>
      <c r="I20" s="352">
        <v>490</v>
      </c>
      <c r="J20" s="352">
        <v>497.46569999999997</v>
      </c>
      <c r="K20" s="352">
        <v>450</v>
      </c>
      <c r="L20" s="352">
        <v>420</v>
      </c>
      <c r="M20" s="352">
        <v>421</v>
      </c>
      <c r="N20" s="352">
        <v>464.46920000000006</v>
      </c>
      <c r="O20" s="352">
        <v>555.81479999999999</v>
      </c>
      <c r="P20" s="352">
        <v>635.43759999999997</v>
      </c>
      <c r="Q20" s="352">
        <v>673.50360000000001</v>
      </c>
      <c r="R20" s="352">
        <v>671</v>
      </c>
      <c r="S20" s="352">
        <f>'12.2014 CB Power Supply'!F25</f>
        <v>636</v>
      </c>
    </row>
    <row r="21" spans="1:25">
      <c r="A21" s="412" t="s">
        <v>19</v>
      </c>
      <c r="D21" s="62"/>
      <c r="E21" s="352">
        <v>180040.32550000001</v>
      </c>
      <c r="F21" s="352">
        <v>131649</v>
      </c>
      <c r="G21" s="352">
        <v>50729</v>
      </c>
      <c r="H21" s="352">
        <v>53591</v>
      </c>
      <c r="I21" s="352">
        <v>51029</v>
      </c>
      <c r="J21" s="352">
        <v>55379.502899999992</v>
      </c>
      <c r="K21" s="352">
        <v>79145</v>
      </c>
      <c r="L21" s="352">
        <v>65642</v>
      </c>
      <c r="M21" s="352">
        <v>72581</v>
      </c>
      <c r="N21" s="352">
        <v>104870.13940000001</v>
      </c>
      <c r="O21" s="352">
        <v>142281.42119999998</v>
      </c>
      <c r="P21" s="352">
        <v>91141.584799999997</v>
      </c>
      <c r="Q21" s="352">
        <v>101282.32950000001</v>
      </c>
      <c r="R21" s="352">
        <v>109035</v>
      </c>
      <c r="S21" s="352">
        <f>'12.2014 CB Power Supply'!F26</f>
        <v>116641</v>
      </c>
    </row>
    <row r="22" spans="1:25">
      <c r="A22" s="412" t="s">
        <v>20</v>
      </c>
      <c r="D22" s="62"/>
      <c r="E22" s="352">
        <v>0</v>
      </c>
      <c r="F22" s="352">
        <v>0</v>
      </c>
      <c r="G22" s="352">
        <v>85</v>
      </c>
      <c r="H22" s="352">
        <v>87</v>
      </c>
      <c r="I22" s="352">
        <v>87</v>
      </c>
      <c r="J22" s="352">
        <v>86.942099999999996</v>
      </c>
      <c r="K22" s="352">
        <v>115</v>
      </c>
      <c r="L22" s="352">
        <v>100</v>
      </c>
      <c r="M22" s="352">
        <v>113</v>
      </c>
      <c r="N22" s="352">
        <v>103.792</v>
      </c>
      <c r="O22" s="352">
        <v>104.256</v>
      </c>
      <c r="P22" s="352">
        <v>104.384</v>
      </c>
      <c r="Q22" s="352">
        <v>104.01600000000001</v>
      </c>
      <c r="R22" s="352">
        <v>104</v>
      </c>
      <c r="S22" s="352">
        <f>'12.2014 CB Power Supply'!F27</f>
        <v>0</v>
      </c>
    </row>
    <row r="23" spans="1:25">
      <c r="A23" s="412" t="s">
        <v>21</v>
      </c>
      <c r="D23" s="62"/>
      <c r="E23" s="352">
        <v>3013.5434</v>
      </c>
      <c r="F23" s="352">
        <v>3056</v>
      </c>
      <c r="G23" s="352">
        <v>3059</v>
      </c>
      <c r="H23" s="352">
        <v>3066</v>
      </c>
      <c r="I23" s="352">
        <v>4385</v>
      </c>
      <c r="J23" s="352">
        <v>2320.6349999999998</v>
      </c>
      <c r="K23" s="352">
        <v>0</v>
      </c>
      <c r="L23" s="352">
        <v>0</v>
      </c>
      <c r="M23" s="352">
        <v>0</v>
      </c>
      <c r="N23" s="352">
        <v>0</v>
      </c>
      <c r="O23" s="352">
        <v>0</v>
      </c>
      <c r="P23" s="352">
        <v>0</v>
      </c>
      <c r="Q23" s="352">
        <v>0</v>
      </c>
      <c r="R23" s="352">
        <v>0</v>
      </c>
      <c r="S23" s="352">
        <f>'12.2014 CB Power Supply'!F28</f>
        <v>0</v>
      </c>
    </row>
    <row r="24" spans="1:25">
      <c r="A24" s="412" t="s">
        <v>22</v>
      </c>
      <c r="D24" s="62"/>
      <c r="E24" s="352">
        <v>109.3785</v>
      </c>
      <c r="F24" s="352">
        <v>171</v>
      </c>
      <c r="G24" s="352">
        <v>150</v>
      </c>
      <c r="H24" s="352">
        <v>173</v>
      </c>
      <c r="I24" s="352">
        <v>99</v>
      </c>
      <c r="J24" s="352">
        <v>141.19919999999999</v>
      </c>
      <c r="K24" s="352">
        <v>0</v>
      </c>
      <c r="L24" s="352">
        <v>0</v>
      </c>
      <c r="M24" s="352">
        <v>0</v>
      </c>
      <c r="N24" s="352">
        <v>0</v>
      </c>
      <c r="O24" s="352">
        <v>0</v>
      </c>
      <c r="P24" s="352">
        <v>0</v>
      </c>
      <c r="Q24" s="352">
        <v>0</v>
      </c>
      <c r="R24" s="352">
        <v>0</v>
      </c>
      <c r="S24" s="352">
        <f>'12.2014 CB Power Supply'!F29</f>
        <v>0</v>
      </c>
    </row>
    <row r="25" spans="1:25">
      <c r="A25" s="412" t="s">
        <v>23</v>
      </c>
      <c r="D25" s="62"/>
      <c r="E25" s="352">
        <v>1984.7226000000001</v>
      </c>
      <c r="F25" s="352">
        <v>25</v>
      </c>
      <c r="G25" s="352">
        <v>46700</v>
      </c>
      <c r="H25" s="352">
        <v>63438</v>
      </c>
      <c r="I25" s="352">
        <v>51</v>
      </c>
      <c r="J25" s="352">
        <v>73.868099999999998</v>
      </c>
      <c r="K25" s="352">
        <v>291</v>
      </c>
      <c r="L25" s="352">
        <v>243</v>
      </c>
      <c r="M25" s="352">
        <v>297</v>
      </c>
      <c r="N25" s="352">
        <v>307.48380000000003</v>
      </c>
      <c r="O25" s="352">
        <v>465.89399999999995</v>
      </c>
      <c r="P25" s="352">
        <v>820.7192</v>
      </c>
      <c r="Q25" s="352">
        <v>891.93719999999996</v>
      </c>
      <c r="R25" s="352">
        <v>711</v>
      </c>
      <c r="S25" s="352">
        <f>'12.2014 CB Power Supply'!F30</f>
        <v>376</v>
      </c>
    </row>
    <row r="26" spans="1:25" s="458" customFormat="1">
      <c r="A26" s="458" t="s">
        <v>406</v>
      </c>
      <c r="D26" s="62"/>
      <c r="E26" s="352"/>
      <c r="F26" s="352"/>
      <c r="G26" s="352"/>
      <c r="H26" s="352"/>
      <c r="I26" s="352"/>
      <c r="J26" s="352"/>
      <c r="K26" s="352"/>
      <c r="L26" s="352"/>
      <c r="M26" s="352"/>
      <c r="N26" s="352"/>
      <c r="O26" s="352"/>
      <c r="P26" s="352"/>
      <c r="Q26" s="352">
        <v>0</v>
      </c>
      <c r="R26" s="352">
        <v>0</v>
      </c>
      <c r="S26" s="352">
        <f>'12.2014 CB Power Supply'!F31</f>
        <v>2396</v>
      </c>
    </row>
    <row r="27" spans="1:25">
      <c r="A27" s="412" t="s">
        <v>24</v>
      </c>
      <c r="D27" s="62"/>
      <c r="E27" s="352">
        <v>7669.7530000000006</v>
      </c>
      <c r="F27" s="352">
        <v>7010</v>
      </c>
      <c r="G27" s="352">
        <v>5723</v>
      </c>
      <c r="H27" s="352">
        <v>5938</v>
      </c>
      <c r="I27" s="352">
        <v>8671</v>
      </c>
      <c r="J27" s="352">
        <v>6436.3301999999994</v>
      </c>
      <c r="K27" s="352">
        <v>9054</v>
      </c>
      <c r="L27" s="352">
        <v>8948</v>
      </c>
      <c r="M27" s="352">
        <v>8782</v>
      </c>
      <c r="N27" s="352">
        <v>8661.4423999999999</v>
      </c>
      <c r="O27" s="352">
        <v>11537.8812</v>
      </c>
      <c r="P27" s="352">
        <v>11410.475999999999</v>
      </c>
      <c r="Q27" s="352">
        <v>11410.555200000001</v>
      </c>
      <c r="R27" s="352">
        <v>11687</v>
      </c>
      <c r="S27" s="352">
        <f>'12.2014 CB Power Supply'!F32</f>
        <v>12228</v>
      </c>
    </row>
    <row r="28" spans="1:25" ht="15.6" customHeight="1">
      <c r="A28" s="18"/>
      <c r="B28" s="18"/>
      <c r="C28" s="18"/>
      <c r="D28" s="462"/>
      <c r="E28" s="352"/>
      <c r="F28" s="352"/>
      <c r="G28" s="352"/>
      <c r="H28" s="352"/>
      <c r="I28" s="352"/>
      <c r="J28" s="352"/>
      <c r="K28" s="352"/>
      <c r="L28" s="352"/>
      <c r="M28" s="352"/>
      <c r="N28" s="352"/>
      <c r="O28" s="352"/>
      <c r="P28" s="352"/>
      <c r="Q28" s="352"/>
      <c r="R28" s="352"/>
      <c r="S28" s="352"/>
      <c r="T28" s="352"/>
      <c r="U28" s="18"/>
      <c r="V28" s="18"/>
      <c r="W28" s="18"/>
      <c r="X28" s="18"/>
      <c r="Y28" s="18"/>
    </row>
    <row r="29" spans="1:25">
      <c r="A29" s="412" t="s">
        <v>25</v>
      </c>
      <c r="D29" s="62"/>
      <c r="E29" s="354">
        <f>SUM(E17:E28)</f>
        <v>234785.2591</v>
      </c>
      <c r="F29" s="354">
        <f t="shared" ref="F29:Q29" si="1">SUM(F17:F28)</f>
        <v>156185</v>
      </c>
      <c r="G29" s="354">
        <f t="shared" si="1"/>
        <v>124379</v>
      </c>
      <c r="H29" s="354">
        <f t="shared" si="1"/>
        <v>154282</v>
      </c>
      <c r="I29" s="354">
        <f t="shared" si="1"/>
        <v>122799</v>
      </c>
      <c r="J29" s="354">
        <f t="shared" si="1"/>
        <v>133120.12169999999</v>
      </c>
      <c r="K29" s="354">
        <f t="shared" si="1"/>
        <v>152124</v>
      </c>
      <c r="L29" s="354">
        <f t="shared" si="1"/>
        <v>135719</v>
      </c>
      <c r="M29" s="354">
        <f t="shared" si="1"/>
        <v>152984</v>
      </c>
      <c r="N29" s="354">
        <f t="shared" si="1"/>
        <v>146538.0865</v>
      </c>
      <c r="O29" s="354">
        <f t="shared" si="1"/>
        <v>249368.62319999994</v>
      </c>
      <c r="P29" s="354">
        <f t="shared" si="1"/>
        <v>188583.39639999997</v>
      </c>
      <c r="Q29" s="354">
        <f t="shared" si="1"/>
        <v>180833.76630000002</v>
      </c>
      <c r="R29" s="354">
        <f t="shared" ref="R29:S29" si="2">SUM(R17:R28)</f>
        <v>201471</v>
      </c>
      <c r="S29" s="354">
        <f t="shared" si="2"/>
        <v>186117</v>
      </c>
    </row>
    <row r="30" spans="1:25">
      <c r="E30" s="435"/>
      <c r="F30" s="435"/>
      <c r="G30" s="435"/>
      <c r="H30" s="435"/>
      <c r="I30" s="435"/>
      <c r="J30" s="435"/>
      <c r="K30" s="435"/>
      <c r="L30" s="435"/>
      <c r="M30" s="435"/>
      <c r="N30" s="435"/>
      <c r="O30" s="435"/>
      <c r="P30" s="435"/>
      <c r="Q30" s="435"/>
      <c r="R30" s="435"/>
      <c r="S30" s="435"/>
    </row>
    <row r="31" spans="1:25">
      <c r="A31" s="412" t="s">
        <v>26</v>
      </c>
      <c r="D31" s="60"/>
      <c r="E31" s="352">
        <f>E14-E29</f>
        <v>-87497.496799999994</v>
      </c>
      <c r="F31" s="352">
        <f t="shared" ref="F31:Q31" si="3">F14-F29</f>
        <v>-53162</v>
      </c>
      <c r="G31" s="352">
        <f t="shared" si="3"/>
        <v>-67358</v>
      </c>
      <c r="H31" s="352">
        <f t="shared" si="3"/>
        <v>-71922</v>
      </c>
      <c r="I31" s="352">
        <f t="shared" si="3"/>
        <v>-82075</v>
      </c>
      <c r="J31" s="352">
        <f t="shared" si="3"/>
        <v>-88251.4611</v>
      </c>
      <c r="K31" s="352">
        <f t="shared" si="3"/>
        <v>-116545</v>
      </c>
      <c r="L31" s="352">
        <f t="shared" si="3"/>
        <v>-100544</v>
      </c>
      <c r="M31" s="352">
        <f t="shared" si="3"/>
        <v>-105919</v>
      </c>
      <c r="N31" s="352">
        <f t="shared" si="3"/>
        <v>-115245.4472</v>
      </c>
      <c r="O31" s="352">
        <f t="shared" si="3"/>
        <v>-115955.47799999994</v>
      </c>
      <c r="P31" s="352">
        <f t="shared" si="3"/>
        <v>-134228.69039999996</v>
      </c>
      <c r="Q31" s="352">
        <f t="shared" si="3"/>
        <v>-124859.50620000002</v>
      </c>
      <c r="R31" s="352">
        <f t="shared" ref="R31:S31" si="4">R14-R29</f>
        <v>-125839</v>
      </c>
      <c r="S31" s="352">
        <f t="shared" si="4"/>
        <v>-122057</v>
      </c>
    </row>
    <row r="32" spans="1:25">
      <c r="D32" s="60"/>
      <c r="E32" s="352"/>
      <c r="F32" s="352"/>
      <c r="G32" s="352"/>
      <c r="H32" s="352"/>
      <c r="I32" s="352"/>
      <c r="J32" s="352"/>
      <c r="K32" s="352"/>
      <c r="L32" s="352"/>
      <c r="M32" s="352"/>
      <c r="N32" s="352"/>
      <c r="O32" s="352"/>
      <c r="P32" s="352"/>
      <c r="Q32" s="352"/>
      <c r="R32" s="352"/>
      <c r="S32" s="352"/>
    </row>
    <row r="33" spans="1:19">
      <c r="A33" s="412" t="s">
        <v>27</v>
      </c>
      <c r="C33" s="64">
        <v>0.35</v>
      </c>
      <c r="D33" s="65"/>
      <c r="E33" s="353">
        <f>E31*0.35</f>
        <v>-30624.123879999996</v>
      </c>
      <c r="F33" s="353">
        <f t="shared" ref="F33:Q33" si="5">F31*0.35</f>
        <v>-18606.699999999997</v>
      </c>
      <c r="G33" s="353">
        <f t="shared" si="5"/>
        <v>-23575.3</v>
      </c>
      <c r="H33" s="353">
        <f t="shared" si="5"/>
        <v>-25172.699999999997</v>
      </c>
      <c r="I33" s="353">
        <f t="shared" si="5"/>
        <v>-28726.249999999996</v>
      </c>
      <c r="J33" s="353">
        <f t="shared" si="5"/>
        <v>-30888.011384999998</v>
      </c>
      <c r="K33" s="353">
        <f t="shared" si="5"/>
        <v>-40790.75</v>
      </c>
      <c r="L33" s="353">
        <f t="shared" si="5"/>
        <v>-35190.399999999994</v>
      </c>
      <c r="M33" s="353">
        <f t="shared" si="5"/>
        <v>-37071.649999999994</v>
      </c>
      <c r="N33" s="353">
        <f t="shared" si="5"/>
        <v>-40335.906519999997</v>
      </c>
      <c r="O33" s="353">
        <f t="shared" si="5"/>
        <v>-40584.417299999979</v>
      </c>
      <c r="P33" s="353">
        <f t="shared" si="5"/>
        <v>-46980.041639999981</v>
      </c>
      <c r="Q33" s="353">
        <f t="shared" si="5"/>
        <v>-43700.827170000004</v>
      </c>
      <c r="R33" s="353">
        <f t="shared" ref="R33:S33" si="6">R31*0.35</f>
        <v>-44043.649999999994</v>
      </c>
      <c r="S33" s="353">
        <f t="shared" si="6"/>
        <v>-42719.95</v>
      </c>
    </row>
    <row r="34" spans="1:19">
      <c r="D34" s="65"/>
      <c r="E34" s="351"/>
      <c r="F34" s="351"/>
      <c r="G34" s="351"/>
      <c r="H34" s="351"/>
      <c r="I34" s="351"/>
      <c r="J34" s="351"/>
      <c r="K34" s="351"/>
      <c r="L34" s="351"/>
      <c r="M34" s="351"/>
      <c r="N34" s="351"/>
      <c r="O34" s="351"/>
      <c r="P34" s="351"/>
      <c r="Q34" s="351"/>
      <c r="R34" s="351"/>
      <c r="S34" s="351"/>
    </row>
    <row r="35" spans="1:19">
      <c r="A35" s="412" t="s">
        <v>28</v>
      </c>
      <c r="D35" s="60"/>
      <c r="E35" s="436">
        <f>E31-E33</f>
        <v>-56873.372919999994</v>
      </c>
      <c r="F35" s="436">
        <f t="shared" ref="F35:Q35" si="7">F31-F33</f>
        <v>-34555.300000000003</v>
      </c>
      <c r="G35" s="436">
        <f t="shared" si="7"/>
        <v>-43782.7</v>
      </c>
      <c r="H35" s="436">
        <f t="shared" si="7"/>
        <v>-46749.3</v>
      </c>
      <c r="I35" s="436">
        <f t="shared" si="7"/>
        <v>-53348.75</v>
      </c>
      <c r="J35" s="436">
        <f t="shared" si="7"/>
        <v>-57363.449715000002</v>
      </c>
      <c r="K35" s="436">
        <f t="shared" si="7"/>
        <v>-75754.25</v>
      </c>
      <c r="L35" s="436">
        <f t="shared" si="7"/>
        <v>-65353.600000000006</v>
      </c>
      <c r="M35" s="436">
        <f t="shared" si="7"/>
        <v>-68847.350000000006</v>
      </c>
      <c r="N35" s="436">
        <f t="shared" si="7"/>
        <v>-74909.540680000006</v>
      </c>
      <c r="O35" s="436">
        <f t="shared" si="7"/>
        <v>-75371.060699999973</v>
      </c>
      <c r="P35" s="436">
        <f t="shared" si="7"/>
        <v>-87248.648759999982</v>
      </c>
      <c r="Q35" s="436">
        <f t="shared" si="7"/>
        <v>-81158.679030000014</v>
      </c>
      <c r="R35" s="436">
        <f t="shared" ref="R35:S35" si="8">R31-R33</f>
        <v>-81795.350000000006</v>
      </c>
      <c r="S35" s="436">
        <f t="shared" si="8"/>
        <v>-79337.05</v>
      </c>
    </row>
    <row r="36" spans="1:19">
      <c r="E36" s="352"/>
      <c r="F36" s="352"/>
      <c r="J36" s="18"/>
      <c r="R36" s="18"/>
      <c r="S36" s="18"/>
    </row>
    <row r="37" spans="1:19">
      <c r="J37" s="18"/>
      <c r="R37" s="18"/>
      <c r="S37" s="18"/>
    </row>
    <row r="38" spans="1:19">
      <c r="J38" s="18"/>
      <c r="R38" s="18"/>
      <c r="S38" s="18"/>
    </row>
    <row r="39" spans="1:19">
      <c r="E39" s="238"/>
      <c r="F39" s="238"/>
      <c r="G39" s="238"/>
      <c r="H39" s="238"/>
      <c r="I39" s="238"/>
      <c r="J39" s="238"/>
      <c r="K39" s="238"/>
      <c r="L39" s="238"/>
      <c r="M39" s="238"/>
      <c r="N39" s="238"/>
      <c r="O39" s="238"/>
    </row>
    <row r="40" spans="1:19">
      <c r="E40" s="238"/>
      <c r="F40" s="238"/>
      <c r="G40" s="238"/>
      <c r="H40" s="238"/>
      <c r="I40" s="238"/>
      <c r="J40" s="238"/>
      <c r="K40" s="238"/>
      <c r="L40" s="238"/>
      <c r="M40" s="238"/>
      <c r="N40" s="238"/>
      <c r="O40" s="238"/>
      <c r="P40" s="437"/>
    </row>
    <row r="41" spans="1:19">
      <c r="E41" s="238"/>
      <c r="F41" s="238"/>
      <c r="G41" s="238"/>
      <c r="H41" s="238"/>
      <c r="I41" s="238"/>
      <c r="J41" s="238"/>
      <c r="K41" s="238"/>
      <c r="L41" s="238"/>
      <c r="M41" s="238"/>
      <c r="N41" s="238"/>
      <c r="O41" s="238"/>
      <c r="P41" s="437"/>
    </row>
    <row r="42" spans="1:19">
      <c r="E42" s="239"/>
      <c r="F42" s="239"/>
      <c r="G42" s="239"/>
      <c r="H42" s="239"/>
      <c r="I42" s="239"/>
      <c r="J42" s="239"/>
      <c r="K42" s="239"/>
      <c r="L42" s="239"/>
      <c r="M42" s="239"/>
      <c r="N42" s="239"/>
      <c r="O42" s="239"/>
    </row>
    <row r="44" spans="1:19">
      <c r="J44" s="433"/>
    </row>
    <row r="45" spans="1:19">
      <c r="J45" s="433"/>
    </row>
    <row r="54" spans="1:21">
      <c r="A54" s="779" t="s">
        <v>705</v>
      </c>
      <c r="B54" s="779"/>
      <c r="C54" s="779"/>
      <c r="D54" s="62"/>
      <c r="E54" s="740"/>
      <c r="F54" s="740"/>
      <c r="G54" s="740"/>
      <c r="H54" s="740"/>
      <c r="I54" s="740"/>
      <c r="J54" s="780">
        <f>ROUND(9555*J33,0)</f>
        <v>-295134949</v>
      </c>
      <c r="K54" s="780">
        <f>ROUND(12757*K33,0)</f>
        <v>-520367598</v>
      </c>
      <c r="L54" s="780">
        <f>ROUND(14241*L33,0)</f>
        <v>-501146486</v>
      </c>
      <c r="M54" s="780">
        <f>ROUND(15869*M33,0)</f>
        <v>-588290014</v>
      </c>
      <c r="N54" s="780">
        <f>ROUND(16051*N33,0)</f>
        <v>-647431636</v>
      </c>
      <c r="O54" s="780">
        <f>ROUND(15132*O33,0)</f>
        <v>-614123403</v>
      </c>
      <c r="P54" s="780">
        <f>ROUND(16369*P33,0)</f>
        <v>-769016302</v>
      </c>
      <c r="Q54" s="780">
        <f>ROUND(21605*Q33,0)</f>
        <v>-944156371</v>
      </c>
      <c r="R54" s="780">
        <f>ROUND(17902*R33,0)</f>
        <v>-788469422</v>
      </c>
      <c r="S54" s="780">
        <f>ROUND(18743*S33,0)</f>
        <v>-800700023</v>
      </c>
      <c r="T54" s="740">
        <f>'12.2014 CB Power Supply'!F59+'12.2014 CB Power Supply'!F60</f>
        <v>0</v>
      </c>
      <c r="U54" s="779" t="s">
        <v>706</v>
      </c>
    </row>
  </sheetData>
  <mergeCells count="4">
    <mergeCell ref="A1:Q1"/>
    <mergeCell ref="A2:Q2"/>
    <mergeCell ref="E4:Q4"/>
    <mergeCell ref="E5:Q5"/>
  </mergeCells>
  <pageMargins left="0.28000000000000003" right="0.21" top="1" bottom="1" header="0.5" footer="0.5"/>
  <pageSetup scale="65" orientation="landscape" r:id="rId1"/>
  <headerFooter alignWithMargins="0">
    <oddFooter>&amp;C&amp;F / &amp;A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T26"/>
  <sheetViews>
    <sheetView workbookViewId="0">
      <selection activeCell="I55" sqref="I55"/>
    </sheetView>
  </sheetViews>
  <sheetFormatPr defaultColWidth="9.140625" defaultRowHeight="15"/>
  <cols>
    <col min="1" max="4" width="9.140625" style="365"/>
    <col min="5" max="5" width="11.5703125" style="365" bestFit="1" customWidth="1"/>
    <col min="6" max="14" width="10.5703125" style="365" bestFit="1" customWidth="1"/>
    <col min="15" max="15" width="11.5703125" style="365" bestFit="1" customWidth="1"/>
    <col min="16" max="19" width="10.5703125" style="365" bestFit="1" customWidth="1"/>
    <col min="20" max="16384" width="9.140625" style="365"/>
  </cols>
  <sheetData>
    <row r="1" spans="1:20">
      <c r="A1" s="365" t="s">
        <v>351</v>
      </c>
    </row>
    <row r="2" spans="1:20">
      <c r="P2" s="366"/>
      <c r="Q2" s="366"/>
      <c r="R2" s="366"/>
      <c r="S2" s="794" t="s">
        <v>712</v>
      </c>
    </row>
    <row r="3" spans="1:20">
      <c r="D3" s="367"/>
      <c r="E3" s="368">
        <v>2000</v>
      </c>
      <c r="F3" s="369">
        <v>2001</v>
      </c>
      <c r="G3" s="369">
        <v>2002</v>
      </c>
      <c r="H3" s="369">
        <v>2003</v>
      </c>
      <c r="I3" s="369">
        <v>2004</v>
      </c>
      <c r="J3" s="369">
        <v>2005</v>
      </c>
      <c r="K3" s="369">
        <v>2006</v>
      </c>
      <c r="L3" s="369">
        <v>2007</v>
      </c>
      <c r="M3" s="369">
        <v>2008</v>
      </c>
      <c r="N3" s="369">
        <v>2009</v>
      </c>
      <c r="O3" s="369">
        <v>2010</v>
      </c>
      <c r="P3" s="369">
        <v>2011</v>
      </c>
      <c r="Q3" s="369">
        <v>2012</v>
      </c>
      <c r="R3" s="369">
        <v>2013</v>
      </c>
      <c r="S3" s="369">
        <v>2014</v>
      </c>
    </row>
    <row r="4" spans="1:20">
      <c r="A4" s="365" t="s">
        <v>9</v>
      </c>
      <c r="D4" s="370"/>
      <c r="E4" s="371">
        <v>0.66290000000000004</v>
      </c>
      <c r="F4" s="371">
        <v>0.67479999999999996</v>
      </c>
      <c r="G4" s="371">
        <v>0.64119999999999999</v>
      </c>
      <c r="H4" s="371">
        <v>0.65480000000000005</v>
      </c>
      <c r="I4" s="371">
        <v>0.65159999999999996</v>
      </c>
      <c r="J4" s="371">
        <v>0.65369999999999995</v>
      </c>
      <c r="K4" s="371">
        <v>0.6583</v>
      </c>
      <c r="L4" s="371">
        <v>0.64590000000000003</v>
      </c>
      <c r="M4" s="371">
        <v>0.64419999999999999</v>
      </c>
      <c r="N4" s="371">
        <v>0.64870000000000005</v>
      </c>
      <c r="O4" s="371">
        <v>0.65159999999999996</v>
      </c>
      <c r="P4" s="372">
        <v>0.65239999999999998</v>
      </c>
      <c r="Q4" s="372">
        <v>0.65010000000000001</v>
      </c>
      <c r="R4" s="372">
        <v>0.65190000000000003</v>
      </c>
      <c r="S4" s="372">
        <v>0.64710000000000001</v>
      </c>
    </row>
    <row r="5" spans="1:20">
      <c r="A5" s="365" t="s">
        <v>352</v>
      </c>
      <c r="E5" s="372"/>
      <c r="F5" s="372"/>
      <c r="G5" s="372"/>
      <c r="H5" s="372"/>
      <c r="I5" s="372"/>
      <c r="J5" s="372"/>
      <c r="K5" s="372"/>
      <c r="L5" s="372"/>
      <c r="M5" s="372"/>
      <c r="N5" s="372"/>
      <c r="O5" s="372"/>
      <c r="P5" s="372"/>
      <c r="Q5" s="372"/>
      <c r="R5" s="372"/>
      <c r="S5" s="372"/>
    </row>
    <row r="6" spans="1:20">
      <c r="A6" s="365" t="s">
        <v>10</v>
      </c>
      <c r="D6" s="373"/>
      <c r="E6" s="374">
        <v>135976.0367</v>
      </c>
      <c r="F6" s="374">
        <v>90880</v>
      </c>
      <c r="G6" s="374">
        <v>31728</v>
      </c>
      <c r="H6" s="374">
        <v>35221</v>
      </c>
      <c r="I6" s="374">
        <v>40439</v>
      </c>
      <c r="J6" s="374">
        <v>44689.546799999996</v>
      </c>
      <c r="K6" s="374">
        <v>35381</v>
      </c>
      <c r="L6" s="374">
        <v>34954</v>
      </c>
      <c r="M6" s="374">
        <v>46849</v>
      </c>
      <c r="N6" s="374">
        <v>30933.259500000004</v>
      </c>
      <c r="O6" s="374">
        <v>132773.274</v>
      </c>
      <c r="P6" s="374">
        <v>52603.011999999995</v>
      </c>
      <c r="Q6" s="374">
        <v>54547.940699999999</v>
      </c>
      <c r="R6" s="351">
        <v>75350</v>
      </c>
      <c r="S6" s="351">
        <f>'PS Consolidated'!S9</f>
        <v>60998</v>
      </c>
    </row>
    <row r="7" spans="1:20">
      <c r="A7" s="365" t="s">
        <v>11</v>
      </c>
      <c r="D7" s="375"/>
      <c r="E7" s="376">
        <v>300.2937</v>
      </c>
      <c r="F7" s="376">
        <v>281</v>
      </c>
      <c r="G7" s="376">
        <v>38</v>
      </c>
      <c r="H7" s="376">
        <v>297</v>
      </c>
      <c r="I7" s="376">
        <v>238</v>
      </c>
      <c r="J7" s="376">
        <v>124.85669999999999</v>
      </c>
      <c r="K7" s="376">
        <v>153</v>
      </c>
      <c r="L7" s="376">
        <v>200</v>
      </c>
      <c r="M7" s="376">
        <v>198</v>
      </c>
      <c r="N7" s="376">
        <v>247.15470000000002</v>
      </c>
      <c r="O7" s="376">
        <v>183.75119999999998</v>
      </c>
      <c r="P7" s="376">
        <v>330.76679999999999</v>
      </c>
      <c r="Q7" s="376">
        <v>303.5967</v>
      </c>
      <c r="R7" s="376">
        <v>282</v>
      </c>
      <c r="S7" s="376">
        <f>475*S4</f>
        <v>307.3725</v>
      </c>
    </row>
    <row r="8" spans="1:20">
      <c r="A8" s="365" t="s">
        <v>12</v>
      </c>
      <c r="D8" s="375"/>
      <c r="E8" s="376">
        <v>43.751400000000004</v>
      </c>
      <c r="F8" s="376">
        <v>0</v>
      </c>
      <c r="G8" s="376">
        <v>30</v>
      </c>
      <c r="H8" s="376">
        <v>16</v>
      </c>
      <c r="I8" s="376">
        <v>16</v>
      </c>
      <c r="J8" s="376">
        <v>12.420299999999999</v>
      </c>
      <c r="K8" s="376">
        <v>14</v>
      </c>
      <c r="L8" s="376">
        <v>14</v>
      </c>
      <c r="M8" s="376">
        <v>16</v>
      </c>
      <c r="N8" s="376">
        <v>18.8123</v>
      </c>
      <c r="O8" s="376">
        <v>0</v>
      </c>
      <c r="P8" s="376">
        <v>0</v>
      </c>
      <c r="Q8" s="376">
        <v>0</v>
      </c>
      <c r="R8" s="376">
        <v>0</v>
      </c>
      <c r="S8" s="376">
        <v>0</v>
      </c>
    </row>
    <row r="9" spans="1:20">
      <c r="A9" s="365" t="s">
        <v>13</v>
      </c>
      <c r="D9" s="377"/>
      <c r="E9" s="378">
        <v>10967.6805</v>
      </c>
      <c r="F9" s="378">
        <v>11862</v>
      </c>
      <c r="G9" s="378">
        <v>25225</v>
      </c>
      <c r="H9" s="378">
        <v>46826</v>
      </c>
      <c r="I9" s="378">
        <v>31</v>
      </c>
      <c r="J9" s="378">
        <v>41.836799999999997</v>
      </c>
      <c r="K9" s="378">
        <v>31</v>
      </c>
      <c r="L9" s="378">
        <v>7</v>
      </c>
      <c r="M9" s="378">
        <v>2</v>
      </c>
      <c r="N9" s="378">
        <v>93.412800000000004</v>
      </c>
      <c r="O9" s="378">
        <v>456.11999999999995</v>
      </c>
      <c r="P9" s="378">
        <v>1420.9271999999999</v>
      </c>
      <c r="Q9" s="378">
        <f>'PS Consolidated'!Q12+'PS Consolidated'!Q13</f>
        <v>1185.7227</v>
      </c>
      <c r="R9" s="378">
        <f>'PS Consolidated'!R12+'PS Consolidated'!R13</f>
        <v>0</v>
      </c>
      <c r="S9" s="378">
        <f>'PS Consolidated'!S12+'PS Consolidated'!S13</f>
        <v>2755</v>
      </c>
    </row>
    <row r="10" spans="1:20">
      <c r="A10" s="365" t="s">
        <v>14</v>
      </c>
      <c r="D10" s="377"/>
      <c r="E10" s="376">
        <f t="shared" ref="E10:R10" si="0">SUM(E6:E9)</f>
        <v>147287.7623</v>
      </c>
      <c r="F10" s="376">
        <f t="shared" si="0"/>
        <v>103023</v>
      </c>
      <c r="G10" s="376">
        <f t="shared" si="0"/>
        <v>57021</v>
      </c>
      <c r="H10" s="376">
        <f t="shared" si="0"/>
        <v>82360</v>
      </c>
      <c r="I10" s="376">
        <f t="shared" si="0"/>
        <v>40724</v>
      </c>
      <c r="J10" s="376">
        <f t="shared" si="0"/>
        <v>44868.660599999988</v>
      </c>
      <c r="K10" s="376">
        <f t="shared" si="0"/>
        <v>35579</v>
      </c>
      <c r="L10" s="376">
        <f t="shared" si="0"/>
        <v>35175</v>
      </c>
      <c r="M10" s="376">
        <f t="shared" si="0"/>
        <v>47065</v>
      </c>
      <c r="N10" s="376">
        <f t="shared" si="0"/>
        <v>31292.639300000003</v>
      </c>
      <c r="O10" s="376">
        <f t="shared" si="0"/>
        <v>133413.1452</v>
      </c>
      <c r="P10" s="376">
        <f t="shared" si="0"/>
        <v>54354.705999999991</v>
      </c>
      <c r="Q10" s="376">
        <f t="shared" si="0"/>
        <v>56037.2601</v>
      </c>
      <c r="R10" s="376">
        <f t="shared" si="0"/>
        <v>75632</v>
      </c>
      <c r="S10" s="376">
        <f t="shared" ref="S10" si="1">SUM(S6:S9)</f>
        <v>64060.372499999998</v>
      </c>
    </row>
    <row r="11" spans="1:20">
      <c r="R11" s="577"/>
      <c r="S11" s="577"/>
    </row>
    <row r="12" spans="1:20">
      <c r="A12" s="365" t="s">
        <v>353</v>
      </c>
      <c r="R12" s="577"/>
      <c r="S12" s="577"/>
    </row>
    <row r="13" spans="1:20">
      <c r="A13" s="365" t="s">
        <v>354</v>
      </c>
      <c r="E13" s="379">
        <f>'CBR Hist'!F15</f>
        <v>137117</v>
      </c>
      <c r="F13" s="379">
        <f>'CBR Hist'!G15</f>
        <v>91388</v>
      </c>
      <c r="G13" s="379">
        <f>'CBR Hist'!H15</f>
        <v>29918</v>
      </c>
      <c r="H13" s="379">
        <f>'CBR Hist'!I15</f>
        <v>35252</v>
      </c>
      <c r="I13" s="379">
        <f>'CBR Hist'!J15</f>
        <v>40460</v>
      </c>
      <c r="J13" s="379">
        <f>'CBR Hist'!K15</f>
        <v>44718</v>
      </c>
      <c r="K13" s="379">
        <f>'CBR Hist'!L15</f>
        <v>35380</v>
      </c>
      <c r="L13" s="379">
        <f>'CBR Hist'!M15</f>
        <v>34954</v>
      </c>
      <c r="M13" s="379">
        <f>'CBR Hist'!N15</f>
        <v>46848</v>
      </c>
      <c r="N13" s="379">
        <f>'CBR Hist'!O15</f>
        <v>31491</v>
      </c>
      <c r="O13" s="379">
        <f>'CBR Hist'!P15</f>
        <v>133479</v>
      </c>
      <c r="P13" s="379">
        <f>'CBR Hist'!Q15</f>
        <v>52604</v>
      </c>
      <c r="Q13" s="379">
        <f>'CBR Hist'!R15</f>
        <v>54549</v>
      </c>
      <c r="R13" s="380">
        <f>'CBR Hist'!S15+1</f>
        <v>75350</v>
      </c>
      <c r="S13" s="380">
        <f>'CBR Hist'!T15</f>
        <v>60998</v>
      </c>
    </row>
    <row r="14" spans="1:20">
      <c r="A14" s="365" t="s">
        <v>1</v>
      </c>
      <c r="E14" s="379">
        <f>'CBR Hist'!F17</f>
        <v>13062</v>
      </c>
      <c r="F14" s="379">
        <f>'CBR Hist'!G17</f>
        <v>14305</v>
      </c>
      <c r="G14" s="379">
        <f>'CBR Hist'!H17</f>
        <v>34274</v>
      </c>
      <c r="H14" s="379">
        <f>'CBR Hist'!I17</f>
        <v>57244</v>
      </c>
      <c r="I14" s="379">
        <f>'CBR Hist'!J17</f>
        <v>8587</v>
      </c>
      <c r="J14" s="379">
        <f>'CBR Hist'!K17</f>
        <v>10259</v>
      </c>
      <c r="K14" s="379">
        <f>'CBR Hist'!L17</f>
        <v>10178</v>
      </c>
      <c r="L14" s="379">
        <f>'CBR Hist'!M17</f>
        <v>10170</v>
      </c>
      <c r="M14" s="379">
        <f>'CBR Hist'!N17</f>
        <v>10927</v>
      </c>
      <c r="N14" s="379">
        <f>'CBR Hist'!O17</f>
        <v>9395</v>
      </c>
      <c r="O14" s="379">
        <f>'CBR Hist'!P17</f>
        <v>11786</v>
      </c>
      <c r="P14" s="379">
        <f>'CBR Hist'!Q17</f>
        <v>13666</v>
      </c>
      <c r="Q14" s="379">
        <f>'CBR Hist'!R17</f>
        <v>13089</v>
      </c>
      <c r="R14" s="380">
        <f>'CBR Hist'!S17</f>
        <v>13408</v>
      </c>
      <c r="S14" s="380">
        <f>'CBR Hist'!T17</f>
        <v>17163</v>
      </c>
    </row>
    <row r="15" spans="1:20">
      <c r="R15" s="577"/>
      <c r="S15" s="577"/>
    </row>
    <row r="16" spans="1:20">
      <c r="A16" s="464" t="s">
        <v>404</v>
      </c>
      <c r="E16" s="379">
        <v>7824</v>
      </c>
      <c r="F16" s="379">
        <v>9892</v>
      </c>
      <c r="G16" s="379">
        <f>ROUND(11097*G4,0)</f>
        <v>7115</v>
      </c>
      <c r="H16" s="379">
        <f>ROUND(11559*H4,0)</f>
        <v>7569</v>
      </c>
      <c r="I16" s="379">
        <f>ROUND(8476*I4,0)</f>
        <v>5523</v>
      </c>
      <c r="J16" s="380">
        <f>ROUND(10033*J4,0)+78</f>
        <v>6637</v>
      </c>
      <c r="K16" s="380">
        <f>ROUND(10539*K4,0)+86</f>
        <v>7024</v>
      </c>
      <c r="L16" s="380">
        <f>ROUND(10488*L4,0)+102</f>
        <v>6876</v>
      </c>
      <c r="M16" s="380">
        <f>ROUND(9486*M4,0)+102</f>
        <v>6213</v>
      </c>
      <c r="N16" s="380">
        <f>ROUND(9315*N4,0)+90</f>
        <v>6133</v>
      </c>
      <c r="O16" s="380">
        <f>ROUND(12659*O4,0)+84</f>
        <v>8333</v>
      </c>
      <c r="P16" s="238">
        <f>ROUND((13812)*P4,0)+91</f>
        <v>9102</v>
      </c>
      <c r="Q16" s="238">
        <f>ROUND((12594)*Q4,0)+98</f>
        <v>8285</v>
      </c>
      <c r="R16" s="238">
        <f>ROUND((14822)*R4,0)</f>
        <v>9662</v>
      </c>
      <c r="S16" s="238">
        <f>'12.2014 CB Power Supply'!D14*S4+'12.2014 CB Power Supply'!D15</f>
        <v>10622.4344</v>
      </c>
      <c r="T16" s="773"/>
    </row>
    <row r="17" spans="1:19">
      <c r="A17" s="464" t="s">
        <v>407</v>
      </c>
      <c r="E17" s="381">
        <f>E9-E16</f>
        <v>3143.6805000000004</v>
      </c>
      <c r="F17" s="381">
        <f>F9-F16</f>
        <v>1970</v>
      </c>
      <c r="G17" s="381">
        <f>G9</f>
        <v>25225</v>
      </c>
      <c r="H17" s="381">
        <f>H9</f>
        <v>46826</v>
      </c>
      <c r="I17" s="381">
        <f>I9</f>
        <v>31</v>
      </c>
      <c r="J17" s="381">
        <f t="shared" ref="J17:Q17" si="2">J9</f>
        <v>41.836799999999997</v>
      </c>
      <c r="K17" s="381">
        <f t="shared" si="2"/>
        <v>31</v>
      </c>
      <c r="L17" s="381">
        <f t="shared" si="2"/>
        <v>7</v>
      </c>
      <c r="M17" s="381">
        <f>M9+1623</f>
        <v>1625</v>
      </c>
      <c r="N17" s="381">
        <f>N9+89</f>
        <v>182.4128</v>
      </c>
      <c r="O17" s="381">
        <f t="shared" si="2"/>
        <v>456.11999999999995</v>
      </c>
      <c r="P17" s="381">
        <f t="shared" si="2"/>
        <v>1420.9271999999999</v>
      </c>
      <c r="Q17" s="381">
        <f t="shared" si="2"/>
        <v>1185.7227</v>
      </c>
      <c r="R17" s="578">
        <f>R9</f>
        <v>0</v>
      </c>
      <c r="S17" s="578">
        <f>S9</f>
        <v>2755</v>
      </c>
    </row>
    <row r="18" spans="1:19">
      <c r="A18" s="464"/>
      <c r="E18" s="381"/>
      <c r="F18" s="381"/>
      <c r="G18" s="381"/>
      <c r="H18" s="381"/>
      <c r="I18" s="381"/>
      <c r="J18" s="381"/>
      <c r="K18" s="381"/>
      <c r="L18" s="381"/>
      <c r="M18" s="381"/>
      <c r="N18" s="381"/>
      <c r="O18" s="381"/>
      <c r="P18" s="381"/>
      <c r="Q18" s="381"/>
      <c r="R18" s="578"/>
      <c r="S18" s="578"/>
    </row>
    <row r="19" spans="1:19">
      <c r="A19" s="497" t="s">
        <v>464</v>
      </c>
      <c r="E19" s="381">
        <f t="shared" ref="E19:R19" si="3">E17+E7+E8</f>
        <v>3487.7256000000007</v>
      </c>
      <c r="F19" s="381">
        <f t="shared" si="3"/>
        <v>2251</v>
      </c>
      <c r="G19" s="381">
        <f t="shared" si="3"/>
        <v>25293</v>
      </c>
      <c r="H19" s="381">
        <f t="shared" si="3"/>
        <v>47139</v>
      </c>
      <c r="I19" s="381">
        <f t="shared" si="3"/>
        <v>285</v>
      </c>
      <c r="J19" s="381">
        <f t="shared" si="3"/>
        <v>179.11379999999997</v>
      </c>
      <c r="K19" s="381">
        <f t="shared" si="3"/>
        <v>198</v>
      </c>
      <c r="L19" s="381">
        <f t="shared" si="3"/>
        <v>221</v>
      </c>
      <c r="M19" s="381">
        <f t="shared" si="3"/>
        <v>1839</v>
      </c>
      <c r="N19" s="381">
        <f t="shared" si="3"/>
        <v>448.37979999999999</v>
      </c>
      <c r="O19" s="381">
        <f t="shared" si="3"/>
        <v>639.87119999999993</v>
      </c>
      <c r="P19" s="381">
        <f t="shared" si="3"/>
        <v>1751.694</v>
      </c>
      <c r="Q19" s="381">
        <f t="shared" si="3"/>
        <v>1489.3194000000001</v>
      </c>
      <c r="R19" s="578">
        <f t="shared" si="3"/>
        <v>282</v>
      </c>
      <c r="S19" s="578">
        <f>S17+S7+S8</f>
        <v>3062.3724999999999</v>
      </c>
    </row>
    <row r="20" spans="1:19">
      <c r="R20" s="577"/>
      <c r="S20" s="577"/>
    </row>
    <row r="21" spans="1:19">
      <c r="A21" s="365" t="s">
        <v>355</v>
      </c>
      <c r="E21" s="381">
        <f>E14-E9-E7-E8</f>
        <v>1750.2743999999996</v>
      </c>
      <c r="F21" s="381">
        <f>F14-F9-F7-F8</f>
        <v>2162</v>
      </c>
      <c r="G21" s="381">
        <f t="shared" ref="G21:Q21" si="4">G14-G16-G17-G7-G8</f>
        <v>1866</v>
      </c>
      <c r="H21" s="381">
        <f t="shared" si="4"/>
        <v>2536</v>
      </c>
      <c r="I21" s="381">
        <f t="shared" si="4"/>
        <v>2779</v>
      </c>
      <c r="J21" s="381">
        <f t="shared" si="4"/>
        <v>3442.8861999999999</v>
      </c>
      <c r="K21" s="381">
        <f t="shared" si="4"/>
        <v>2956</v>
      </c>
      <c r="L21" s="381">
        <f t="shared" si="4"/>
        <v>3073</v>
      </c>
      <c r="M21" s="381">
        <f t="shared" si="4"/>
        <v>2875</v>
      </c>
      <c r="N21" s="381">
        <f t="shared" si="4"/>
        <v>2813.6201999999998</v>
      </c>
      <c r="O21" s="381">
        <f t="shared" si="4"/>
        <v>2813.1288</v>
      </c>
      <c r="P21" s="381">
        <f t="shared" si="4"/>
        <v>2812.306</v>
      </c>
      <c r="Q21" s="381">
        <f t="shared" si="4"/>
        <v>3314.6805999999997</v>
      </c>
      <c r="R21" s="578">
        <f>R14-R16-R17-R7-R8</f>
        <v>3464</v>
      </c>
      <c r="S21" s="578">
        <f>S14-S16-S17-S7-S8</f>
        <v>3478.1931</v>
      </c>
    </row>
    <row r="23" spans="1:19">
      <c r="A23" s="465" t="s">
        <v>408</v>
      </c>
      <c r="E23" s="381" t="str">
        <f t="shared" ref="E23:R23" si="5">IF(E7+E8+E16+E17+E21=E14,"","footing error")</f>
        <v/>
      </c>
      <c r="F23" s="381" t="str">
        <f t="shared" si="5"/>
        <v/>
      </c>
      <c r="G23" s="381" t="str">
        <f t="shared" si="5"/>
        <v/>
      </c>
      <c r="H23" s="381" t="str">
        <f t="shared" si="5"/>
        <v/>
      </c>
      <c r="I23" s="381" t="str">
        <f t="shared" si="5"/>
        <v/>
      </c>
      <c r="J23" s="381" t="str">
        <f t="shared" si="5"/>
        <v/>
      </c>
      <c r="K23" s="381" t="str">
        <f t="shared" si="5"/>
        <v/>
      </c>
      <c r="L23" s="381" t="str">
        <f t="shared" si="5"/>
        <v/>
      </c>
      <c r="M23" s="381" t="str">
        <f t="shared" si="5"/>
        <v/>
      </c>
      <c r="N23" s="381" t="str">
        <f t="shared" si="5"/>
        <v/>
      </c>
      <c r="O23" s="381" t="str">
        <f t="shared" si="5"/>
        <v/>
      </c>
      <c r="P23" s="381" t="str">
        <f t="shared" si="5"/>
        <v/>
      </c>
      <c r="Q23" s="381" t="str">
        <f t="shared" si="5"/>
        <v/>
      </c>
      <c r="R23" s="381" t="str">
        <f t="shared" si="5"/>
        <v/>
      </c>
      <c r="S23" s="381" t="str">
        <f t="shared" ref="S23" si="6">IF(S7+S8+S16+S17+S21=S14,"","footing error")</f>
        <v/>
      </c>
    </row>
    <row r="24" spans="1:19">
      <c r="I24" s="565" t="s">
        <v>518</v>
      </c>
      <c r="M24" s="381">
        <v>1623</v>
      </c>
      <c r="N24" s="381">
        <v>89</v>
      </c>
      <c r="O24" s="381"/>
      <c r="P24" s="381"/>
    </row>
    <row r="25" spans="1:19">
      <c r="I25" s="382" t="s">
        <v>356</v>
      </c>
      <c r="M25" s="381"/>
      <c r="N25" s="381"/>
      <c r="O25" s="381">
        <v>-767</v>
      </c>
      <c r="P25" s="381"/>
    </row>
    <row r="26" spans="1:19">
      <c r="I26" s="382" t="s">
        <v>357</v>
      </c>
      <c r="M26" s="381"/>
      <c r="N26" s="381"/>
      <c r="O26" s="381"/>
      <c r="P26" s="381">
        <v>-1044</v>
      </c>
    </row>
  </sheetData>
  <pageMargins left="0.7" right="0.7" top="0.75" bottom="0.75" header="0.3" footer="0.56000000000000005"/>
  <pageSetup scale="71" orientation="landscape" r:id="rId1"/>
  <headerFooter>
    <oddFooter>&amp;C&amp;F / &amp;A</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55" sqref="I55"/>
    </sheetView>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2015-07-27T22:46:50+00:00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2962AD-D8D5-4E94-A37D-DF22FF0616A0}"/>
</file>

<file path=customXml/itemProps2.xml><?xml version="1.0" encoding="utf-8"?>
<ds:datastoreItem xmlns:ds="http://schemas.openxmlformats.org/officeDocument/2006/customXml" ds:itemID="{48350EF2-5895-4C8C-8689-741F7AD1E4DB}"/>
</file>

<file path=customXml/itemProps3.xml><?xml version="1.0" encoding="utf-8"?>
<ds:datastoreItem xmlns:ds="http://schemas.openxmlformats.org/officeDocument/2006/customXml" ds:itemID="{7973F65C-8701-40E7-833C-B55B4302C4B0}"/>
</file>

<file path=customXml/itemProps4.xml><?xml version="1.0" encoding="utf-8"?>
<ds:datastoreItem xmlns:ds="http://schemas.openxmlformats.org/officeDocument/2006/customXml" ds:itemID="{943217B7-1B5C-41A5-A518-1B63B6FCAA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15</vt:i4>
      </vt:variant>
    </vt:vector>
  </HeadingPairs>
  <TitlesOfParts>
    <vt:vector size="37" baseType="lpstr">
      <vt:lpstr>Summary</vt:lpstr>
      <vt:lpstr>Summary of Changes</vt:lpstr>
      <vt:lpstr>ROR</vt:lpstr>
      <vt:lpstr>Attrition 09.2014 to 2016</vt:lpstr>
      <vt:lpstr>Cost Trends</vt:lpstr>
      <vt:lpstr>Weighted Revenue Growth</vt:lpstr>
      <vt:lpstr>09.2014 Rev Model</vt:lpstr>
      <vt:lpstr>2016 Customers and Demand</vt:lpstr>
      <vt:lpstr>2016 Forecast Energy</vt:lpstr>
      <vt:lpstr>12.2014 CB Power Supply</vt:lpstr>
      <vt:lpstr>456 Revenue</vt:lpstr>
      <vt:lpstr>incremental load expense</vt:lpstr>
      <vt:lpstr>CS2-Colstrip 2016 Incrmntl Exp</vt:lpstr>
      <vt:lpstr>PF Power Supply 09.2014 load</vt:lpstr>
      <vt:lpstr>PF Power Supply 2016 load</vt:lpstr>
      <vt:lpstr>Reg Amorts</vt:lpstr>
      <vt:lpstr>DSM</vt:lpstr>
      <vt:lpstr>ResX</vt:lpstr>
      <vt:lpstr>CBR Hist</vt:lpstr>
      <vt:lpstr>PS Consolidated</vt:lpstr>
      <vt:lpstr>Other Rev</vt:lpstr>
      <vt:lpstr>Sheet1</vt:lpstr>
      <vt:lpstr>'09.2014 Rev Model'!Base1_Billing2</vt:lpstr>
      <vt:lpstr>'09.2014 Rev Model'!Print_Area</vt:lpstr>
      <vt:lpstr>'12.2014 CB Power Supply'!Print_Area</vt:lpstr>
      <vt:lpstr>'2016 Customers and Demand'!Print_Area</vt:lpstr>
      <vt:lpstr>'2016 Forecast Energy'!Print_Area</vt:lpstr>
      <vt:lpstr>'Attrition 09.2014 to 2016'!Print_Area</vt:lpstr>
      <vt:lpstr>'CBR Hist'!Print_Area</vt:lpstr>
      <vt:lpstr>'Cost Trends'!Print_Area</vt:lpstr>
      <vt:lpstr>'incremental load expense'!Print_Area</vt:lpstr>
      <vt:lpstr>'PF Power Supply 2016 load'!Print_Area</vt:lpstr>
      <vt:lpstr>ROR!Print_Area</vt:lpstr>
      <vt:lpstr>Summary!Print_Area</vt:lpstr>
      <vt:lpstr>'CBR Hist'!Print_Titles</vt:lpstr>
      <vt:lpstr>'Cost Trends'!Print_Titles</vt:lpstr>
      <vt:lpstr>'09.2014 Rev Model'!PrintHeader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Avista Revised Electric Attrition_DR130B</dc:title>
  <dc:creator>Steve Fenrick</dc:creator>
  <dc:description/>
  <cp:lastModifiedBy>McGuire, Chris (UTC)</cp:lastModifiedBy>
  <cp:lastPrinted>2015-06-17T17:14:07Z</cp:lastPrinted>
  <dcterms:created xsi:type="dcterms:W3CDTF">2012-01-25T16:30:38Z</dcterms:created>
  <dcterms:modified xsi:type="dcterms:W3CDTF">2015-07-20T17:02:49Z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