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6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saac.myhrum\Desktop\"/>
    </mc:Choice>
  </mc:AlternateContent>
  <bookViews>
    <workbookView xWindow="0" yWindow="0" windowWidth="24000" windowHeight="9510" xr2:uid="{DA7CAE9E-DA08-4747-9478-53E6F5146C70}"/>
  </bookViews>
  <sheets>
    <sheet name="WA Rates" sheetId="9" r:id="rId1"/>
    <sheet name="Core Cost Incurred" sheetId="14" r:id="rId2"/>
    <sheet name="DEFERRALS" sheetId="15" r:id="rId3"/>
  </sheets>
  <externalReferences>
    <externalReference r:id="rId4"/>
    <externalReference r:id="rId5"/>
    <externalReference r:id="rId6"/>
    <externalReference r:id="rId7"/>
  </externalReferences>
  <definedNames>
    <definedName name="FERCINT13">'[4]FERC Interest Rates'!$A$10:$C$21</definedName>
    <definedName name="FERCINT14">'[4]FERC Interest Rates'!$A$22:$C$33</definedName>
    <definedName name="FERCINT15">'[4]FERC Interest Rates'!$A$34:$C$45</definedName>
    <definedName name="FERCINT16">'[4]FERC Interest Rates'!$A$46:$C$57</definedName>
    <definedName name="FERCINT17">'[4]FERC Interest Rates'!$A$58:$C$69</definedName>
    <definedName name="FERCINT18">'[4]FERC Interest Rates'!$A$70:$C$81</definedName>
    <definedName name="_xlnm.Print_Area" localSheetId="1">'Core Cost Incurred'!$A$1:$Y$48</definedName>
    <definedName name="_xlnm.Print_Area" localSheetId="2">DEFERRALS!$A$1:$G$22</definedName>
    <definedName name="_xlnm.Print_Area" localSheetId="0">'WA Rates'!$A$1:$M$52</definedName>
    <definedName name="_xlnm.Print_Titles" localSheetId="1">'Core Cost Incurred'!$A:$E</definedName>
    <definedName name="_xlnm.Print_Titles" localSheetId="0">'WA Rates'!$1:$8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5" l="1"/>
  <c r="C8" i="15"/>
  <c r="D8" i="15"/>
  <c r="D9" i="15" s="1"/>
  <c r="C9" i="15"/>
  <c r="E9" i="15"/>
  <c r="C12" i="15"/>
  <c r="E12" i="15"/>
  <c r="C18" i="15"/>
  <c r="E18" i="15"/>
  <c r="D12" i="15" l="1"/>
  <c r="D18" i="15"/>
  <c r="F18" i="15" s="1"/>
  <c r="F8" i="15"/>
  <c r="F9" i="15" s="1"/>
  <c r="F12" i="15" s="1"/>
  <c r="V48" i="14" l="1"/>
  <c r="AB43" i="14"/>
  <c r="AA43" i="14"/>
  <c r="Y43" i="14"/>
  <c r="V43" i="14"/>
  <c r="AB42" i="14"/>
  <c r="AB44" i="14" s="1"/>
  <c r="AA42" i="14"/>
  <c r="AA44" i="14" s="1"/>
  <c r="Y42" i="14"/>
  <c r="Y44" i="14" s="1"/>
  <c r="V42" i="14"/>
  <c r="V44" i="14" s="1"/>
  <c r="P47" i="14" s="1"/>
  <c r="AB38" i="14"/>
  <c r="AB40" i="14" s="1"/>
  <c r="AA38" i="14"/>
  <c r="AA40" i="14" s="1"/>
  <c r="Y38" i="14"/>
  <c r="Y40" i="14" s="1"/>
  <c r="V38" i="14"/>
  <c r="V40" i="14" s="1"/>
  <c r="P38" i="14"/>
  <c r="M37" i="14"/>
  <c r="J37" i="14"/>
  <c r="G37" i="14" s="1"/>
  <c r="M36" i="14"/>
  <c r="J36" i="14"/>
  <c r="G36" i="14" s="1"/>
  <c r="M35" i="14"/>
  <c r="J35" i="14"/>
  <c r="G35" i="14"/>
  <c r="M34" i="14"/>
  <c r="J34" i="14"/>
  <c r="G34" i="14" s="1"/>
  <c r="M33" i="14"/>
  <c r="J33" i="14"/>
  <c r="G33" i="14" s="1"/>
  <c r="M32" i="14"/>
  <c r="J32" i="14"/>
  <c r="G32" i="14" s="1"/>
  <c r="M31" i="14"/>
  <c r="J31" i="14"/>
  <c r="G31" i="14"/>
  <c r="M30" i="14"/>
  <c r="J30" i="14"/>
  <c r="G30" i="14"/>
  <c r="M29" i="14"/>
  <c r="J29" i="14"/>
  <c r="G29" i="14" s="1"/>
  <c r="M28" i="14"/>
  <c r="J28" i="14"/>
  <c r="G28" i="14" s="1"/>
  <c r="M27" i="14"/>
  <c r="J27" i="14"/>
  <c r="G27" i="14" s="1"/>
  <c r="M26" i="14"/>
  <c r="J26" i="14"/>
  <c r="G26" i="14"/>
  <c r="S25" i="14"/>
  <c r="S38" i="14" s="1"/>
  <c r="J25" i="14"/>
  <c r="M24" i="14"/>
  <c r="J24" i="14"/>
  <c r="J38" i="14" s="1"/>
  <c r="AB22" i="14"/>
  <c r="AA22" i="14"/>
  <c r="Y22" i="14"/>
  <c r="V22" i="14"/>
  <c r="S21" i="14"/>
  <c r="M21" i="14" s="1"/>
  <c r="G21" i="14" s="1"/>
  <c r="P21" i="14"/>
  <c r="J21" i="14"/>
  <c r="M20" i="14"/>
  <c r="J20" i="14"/>
  <c r="G20" i="14"/>
  <c r="M19" i="14"/>
  <c r="J19" i="14"/>
  <c r="G19" i="14" s="1"/>
  <c r="M18" i="14"/>
  <c r="J18" i="14"/>
  <c r="G18" i="14" s="1"/>
  <c r="S17" i="14"/>
  <c r="S43" i="14" s="1"/>
  <c r="P17" i="14"/>
  <c r="P43" i="14" s="1"/>
  <c r="M17" i="14"/>
  <c r="M22" i="14" s="1"/>
  <c r="AB15" i="14"/>
  <c r="AA15" i="14"/>
  <c r="Y15" i="14"/>
  <c r="X15" i="14"/>
  <c r="X40" i="14" s="1"/>
  <c r="V15" i="14"/>
  <c r="U15" i="14"/>
  <c r="U40" i="14" s="1"/>
  <c r="M14" i="14"/>
  <c r="L14" i="14"/>
  <c r="J14" i="14"/>
  <c r="G14" i="14" s="1"/>
  <c r="I14" i="14"/>
  <c r="F14" i="14"/>
  <c r="M13" i="14"/>
  <c r="L13" i="14"/>
  <c r="J13" i="14"/>
  <c r="I13" i="14"/>
  <c r="F13" i="14" s="1"/>
  <c r="G13" i="14"/>
  <c r="M12" i="14"/>
  <c r="L12" i="14"/>
  <c r="J12" i="14"/>
  <c r="G12" i="14" s="1"/>
  <c r="I12" i="14"/>
  <c r="F12" i="14"/>
  <c r="M11" i="14"/>
  <c r="L11" i="14"/>
  <c r="J11" i="14"/>
  <c r="I11" i="14"/>
  <c r="F11" i="14" s="1"/>
  <c r="G11" i="14"/>
  <c r="S10" i="14"/>
  <c r="S42" i="14" s="1"/>
  <c r="S44" i="14" s="1"/>
  <c r="S46" i="14" s="1"/>
  <c r="R10" i="14"/>
  <c r="R15" i="14" s="1"/>
  <c r="R40" i="14" s="1"/>
  <c r="P10" i="14"/>
  <c r="P15" i="14" s="1"/>
  <c r="O10" i="14"/>
  <c r="O15" i="14" s="1"/>
  <c r="O40" i="14" s="1"/>
  <c r="M10" i="14"/>
  <c r="L10" i="14"/>
  <c r="J10" i="14"/>
  <c r="G10" i="14" s="1"/>
  <c r="I10" i="14"/>
  <c r="F10" i="14"/>
  <c r="M9" i="14"/>
  <c r="G9" i="14" s="1"/>
  <c r="J9" i="14"/>
  <c r="M8" i="14"/>
  <c r="M42" i="14" s="1"/>
  <c r="L8" i="14"/>
  <c r="L15" i="14" s="1"/>
  <c r="L40" i="14" s="1"/>
  <c r="J8" i="14"/>
  <c r="J42" i="14" s="1"/>
  <c r="I8" i="14"/>
  <c r="I15" i="14" s="1"/>
  <c r="I40" i="14" s="1"/>
  <c r="G8" i="14"/>
  <c r="F8" i="14"/>
  <c r="F15" i="14" s="1"/>
  <c r="F40" i="14" s="1"/>
  <c r="M7" i="14"/>
  <c r="J7" i="14"/>
  <c r="G7" i="14"/>
  <c r="M6" i="14"/>
  <c r="G6" i="14" s="1"/>
  <c r="G15" i="14" s="1"/>
  <c r="J6" i="14"/>
  <c r="V3" i="14"/>
  <c r="V1" i="14"/>
  <c r="F59" i="9"/>
  <c r="F58" i="9"/>
  <c r="F57" i="9"/>
  <c r="F56" i="9"/>
  <c r="L46" i="9"/>
  <c r="K46" i="9"/>
  <c r="I46" i="9"/>
  <c r="H46" i="9"/>
  <c r="G46" i="9"/>
  <c r="J46" i="9" s="1"/>
  <c r="M46" i="9" s="1"/>
  <c r="F46" i="9"/>
  <c r="F48" i="9" s="1"/>
  <c r="F50" i="9" s="1"/>
  <c r="F73" i="9" s="1"/>
  <c r="L44" i="9"/>
  <c r="K44" i="9"/>
  <c r="I44" i="9"/>
  <c r="H44" i="9"/>
  <c r="G44" i="9"/>
  <c r="J44" i="9" s="1"/>
  <c r="M44" i="9" s="1"/>
  <c r="K43" i="9"/>
  <c r="J43" i="9"/>
  <c r="I43" i="9"/>
  <c r="L43" i="9" s="1"/>
  <c r="H43" i="9"/>
  <c r="G43" i="9"/>
  <c r="J42" i="9"/>
  <c r="I42" i="9"/>
  <c r="L42" i="9" s="1"/>
  <c r="H42" i="9"/>
  <c r="K42" i="9" s="1"/>
  <c r="M42" i="9" s="1"/>
  <c r="G42" i="9"/>
  <c r="L41" i="9"/>
  <c r="I41" i="9"/>
  <c r="H41" i="9"/>
  <c r="K41" i="9" s="1"/>
  <c r="G41" i="9"/>
  <c r="J41" i="9" s="1"/>
  <c r="M41" i="9" s="1"/>
  <c r="L40" i="9"/>
  <c r="K40" i="9"/>
  <c r="I40" i="9"/>
  <c r="H40" i="9"/>
  <c r="G40" i="9"/>
  <c r="J40" i="9" s="1"/>
  <c r="M40" i="9" s="1"/>
  <c r="K39" i="9"/>
  <c r="J39" i="9"/>
  <c r="I39" i="9"/>
  <c r="L39" i="9" s="1"/>
  <c r="H39" i="9"/>
  <c r="G39" i="9"/>
  <c r="J37" i="9"/>
  <c r="I37" i="9"/>
  <c r="L37" i="9" s="1"/>
  <c r="H37" i="9"/>
  <c r="K37" i="9" s="1"/>
  <c r="G37" i="9"/>
  <c r="L36" i="9"/>
  <c r="I36" i="9"/>
  <c r="H36" i="9"/>
  <c r="K36" i="9" s="1"/>
  <c r="G36" i="9"/>
  <c r="J36" i="9" s="1"/>
  <c r="M36" i="9" s="1"/>
  <c r="L35" i="9"/>
  <c r="K35" i="9"/>
  <c r="I35" i="9"/>
  <c r="G35" i="9"/>
  <c r="J35" i="9" s="1"/>
  <c r="M35" i="9" s="1"/>
  <c r="J33" i="9"/>
  <c r="I33" i="9"/>
  <c r="L33" i="9" s="1"/>
  <c r="H33" i="9"/>
  <c r="K33" i="9" s="1"/>
  <c r="G33" i="9"/>
  <c r="L32" i="9"/>
  <c r="I32" i="9"/>
  <c r="H32" i="9"/>
  <c r="K32" i="9" s="1"/>
  <c r="G32" i="9"/>
  <c r="J32" i="9" s="1"/>
  <c r="M32" i="9" s="1"/>
  <c r="L31" i="9"/>
  <c r="K31" i="9"/>
  <c r="I31" i="9"/>
  <c r="H31" i="9"/>
  <c r="G31" i="9"/>
  <c r="J31" i="9" s="1"/>
  <c r="M31" i="9" s="1"/>
  <c r="K29" i="9"/>
  <c r="J29" i="9"/>
  <c r="I29" i="9"/>
  <c r="L29" i="9" s="1"/>
  <c r="H29" i="9"/>
  <c r="G29" i="9"/>
  <c r="J28" i="9"/>
  <c r="I28" i="9"/>
  <c r="L28" i="9" s="1"/>
  <c r="H28" i="9"/>
  <c r="K28" i="9" s="1"/>
  <c r="M28" i="9" s="1"/>
  <c r="G28" i="9"/>
  <c r="L27" i="9"/>
  <c r="I27" i="9"/>
  <c r="H27" i="9"/>
  <c r="K27" i="9" s="1"/>
  <c r="G27" i="9"/>
  <c r="J27" i="9" s="1"/>
  <c r="M27" i="9" s="1"/>
  <c r="L25" i="9"/>
  <c r="K25" i="9"/>
  <c r="I25" i="9"/>
  <c r="H25" i="9"/>
  <c r="H24" i="9" s="1"/>
  <c r="K24" i="9" s="1"/>
  <c r="G25" i="9"/>
  <c r="J25" i="9" s="1"/>
  <c r="M25" i="9" s="1"/>
  <c r="J24" i="9"/>
  <c r="I24" i="9"/>
  <c r="L24" i="9" s="1"/>
  <c r="G24" i="9"/>
  <c r="J23" i="9"/>
  <c r="I23" i="9"/>
  <c r="L23" i="9" s="1"/>
  <c r="G23" i="9"/>
  <c r="L22" i="9"/>
  <c r="I22" i="9"/>
  <c r="H22" i="9"/>
  <c r="K22" i="9" s="1"/>
  <c r="G22" i="9"/>
  <c r="J22" i="9" s="1"/>
  <c r="M22" i="9" s="1"/>
  <c r="L21" i="9"/>
  <c r="K21" i="9"/>
  <c r="I21" i="9"/>
  <c r="H21" i="9"/>
  <c r="G21" i="9"/>
  <c r="J21" i="9" s="1"/>
  <c r="M21" i="9" s="1"/>
  <c r="K20" i="9"/>
  <c r="J20" i="9"/>
  <c r="I20" i="9"/>
  <c r="L20" i="9" s="1"/>
  <c r="G20" i="9"/>
  <c r="K18" i="9"/>
  <c r="H18" i="9"/>
  <c r="G18" i="9"/>
  <c r="J18" i="9" s="1"/>
  <c r="M18" i="9" s="1"/>
  <c r="H17" i="9"/>
  <c r="K17" i="9" s="1"/>
  <c r="G17" i="9"/>
  <c r="J17" i="9" s="1"/>
  <c r="K16" i="9"/>
  <c r="J16" i="9"/>
  <c r="I16" i="9"/>
  <c r="L16" i="9" s="1"/>
  <c r="H16" i="9"/>
  <c r="G16" i="9"/>
  <c r="J15" i="9"/>
  <c r="I15" i="9"/>
  <c r="L15" i="9" s="1"/>
  <c r="H15" i="9"/>
  <c r="K15" i="9" s="1"/>
  <c r="G15" i="9"/>
  <c r="K13" i="9"/>
  <c r="H13" i="9"/>
  <c r="G13" i="9"/>
  <c r="J13" i="9" s="1"/>
  <c r="M13" i="9" s="1"/>
  <c r="H12" i="9"/>
  <c r="K12" i="9" s="1"/>
  <c r="G12" i="9"/>
  <c r="J12" i="9" s="1"/>
  <c r="M12" i="9" s="1"/>
  <c r="K11" i="9"/>
  <c r="J11" i="9"/>
  <c r="I11" i="9"/>
  <c r="L11" i="9" s="1"/>
  <c r="G11" i="9"/>
  <c r="L10" i="9"/>
  <c r="I10" i="9"/>
  <c r="H10" i="9"/>
  <c r="K10" i="9" s="1"/>
  <c r="G10" i="9"/>
  <c r="J10" i="9" s="1"/>
  <c r="L9" i="9"/>
  <c r="L48" i="9" s="1"/>
  <c r="L50" i="9" s="1"/>
  <c r="K9" i="9"/>
  <c r="J9" i="9"/>
  <c r="M9" i="9" s="1"/>
  <c r="H8" i="9"/>
  <c r="I8" i="9" s="1"/>
  <c r="E3" i="9"/>
  <c r="P61" i="14"/>
  <c r="S59" i="14"/>
  <c r="O61" i="14"/>
  <c r="R59" i="14"/>
  <c r="S61" i="14"/>
  <c r="P60" i="14"/>
  <c r="P59" i="14"/>
  <c r="R61" i="14"/>
  <c r="O60" i="14"/>
  <c r="O59" i="14"/>
  <c r="P62" i="14" l="1"/>
  <c r="S62" i="14"/>
  <c r="Y46" i="14"/>
  <c r="S47" i="14"/>
  <c r="S48" i="14"/>
  <c r="M15" i="14"/>
  <c r="S15" i="14"/>
  <c r="J17" i="14"/>
  <c r="M25" i="14"/>
  <c r="G25" i="14" s="1"/>
  <c r="P22" i="14"/>
  <c r="P40" i="14" s="1"/>
  <c r="P42" i="14"/>
  <c r="P44" i="14" s="1"/>
  <c r="P46" i="14" s="1"/>
  <c r="P48" i="14" s="1"/>
  <c r="J15" i="14"/>
  <c r="S22" i="14"/>
  <c r="S40" i="14" s="1"/>
  <c r="G24" i="14"/>
  <c r="M10" i="9"/>
  <c r="J48" i="9"/>
  <c r="J50" i="9" s="1"/>
  <c r="M16" i="9"/>
  <c r="M39" i="9"/>
  <c r="M20" i="9"/>
  <c r="M24" i="9"/>
  <c r="M11" i="9"/>
  <c r="M48" i="9" s="1"/>
  <c r="M15" i="9"/>
  <c r="M17" i="9"/>
  <c r="M29" i="9"/>
  <c r="M33" i="9"/>
  <c r="M37" i="9"/>
  <c r="M43" i="9"/>
  <c r="H23" i="9"/>
  <c r="K23" i="9" s="1"/>
  <c r="M23" i="9" s="1"/>
  <c r="M38" i="14" l="1"/>
  <c r="M40" i="14" s="1"/>
  <c r="J22" i="14"/>
  <c r="J40" i="14" s="1"/>
  <c r="G17" i="14"/>
  <c r="G22" i="14" s="1"/>
  <c r="G38" i="14"/>
  <c r="G40" i="14" s="1"/>
  <c r="M43" i="14"/>
  <c r="M44" i="14" s="1"/>
  <c r="J43" i="14"/>
  <c r="J44" i="14" s="1"/>
  <c r="J46" i="14" s="1"/>
  <c r="M50" i="9"/>
  <c r="O49" i="9"/>
  <c r="K48" i="9"/>
  <c r="K50" i="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Cascade Natural Gas</author>
    <author>Jim Haug</author>
    <author>sarah.volk</author>
  </authors>
  <commentList>
    <comment ref="F9" authorId="0" shapeId="0" xr:uid="{6AE38463-1BC4-4659-A967-504C4FCF2E3C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8/9</t>
        </r>
      </text>
    </comment>
    <comment ref="H9" authorId="0" shapeId="0" xr:uid="{B82D5AD6-D783-434A-BEFA-099E0DDEF206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RS 502
</t>
        </r>
      </text>
    </comment>
    <comment ref="F10" authorId="0" shapeId="0" xr:uid="{576B1E2F-F483-4FC6-BE80-C5ACA878159C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9
</t>
        </r>
      </text>
    </comment>
    <comment ref="F11" authorId="0" shapeId="0" xr:uid="{80BC2229-2A65-4EE4-B8F8-6BEAFA7BC000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9
</t>
        </r>
      </text>
    </comment>
    <comment ref="H11" authorId="0" shapeId="0" xr:uid="{27BE34A0-8BE2-4A3F-8F9D-71B09E4FAD43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RS 503
</t>
        </r>
      </text>
    </comment>
    <comment ref="F12" authorId="0" shapeId="0" xr:uid="{8284B1CD-4A14-41DD-AEEF-982601C4D1FE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- C27
</t>
        </r>
      </text>
    </comment>
    <comment ref="F13" authorId="0" shapeId="0" xr:uid="{659D79CF-68D5-4578-A8BF-43E0DB848BF2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- C27
</t>
        </r>
      </text>
    </comment>
    <comment ref="F15" authorId="0" shapeId="0" xr:uid="{50D8760A-042F-4B12-8713-5D255582C545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11</t>
        </r>
      </text>
    </comment>
    <comment ref="F16" authorId="0" shapeId="0" xr:uid="{6160F960-F17D-4B19-9E9B-8592E5197A08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11</t>
        </r>
      </text>
    </comment>
    <comment ref="F17" authorId="0" shapeId="0" xr:uid="{BB8E5807-5EBB-4BA0-9290-0D8934BF9719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- D27
</t>
        </r>
      </text>
    </comment>
    <comment ref="F18" authorId="0" shapeId="0" xr:uid="{892E535F-328F-4D0B-95F6-4E38BBAA4635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- D27
</t>
        </r>
      </text>
    </comment>
    <comment ref="F20" authorId="0" shapeId="0" xr:uid="{A7324CDC-3226-49BE-9426-4EE12C9D0AF0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11</t>
        </r>
      </text>
    </comment>
    <comment ref="H20" authorId="0" shapeId="0" xr:uid="{6539BD85-DEE9-4EFB-907B-DD5731F50235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 RS 511
</t>
        </r>
      </text>
    </comment>
    <comment ref="F21" authorId="0" shapeId="0" xr:uid="{D34F89E7-0FE3-4DD0-8D5F-6F25C63CEF33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11/12</t>
        </r>
      </text>
    </comment>
    <comment ref="F23" authorId="0" shapeId="0" xr:uid="{2FBEF92D-6C57-4C52-8381-049FF7B3DD66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12
</t>
        </r>
      </text>
    </comment>
    <comment ref="F24" authorId="0" shapeId="0" xr:uid="{51D2F947-B69B-4C26-9909-C438C9A020CE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B109
</t>
        </r>
      </text>
    </comment>
    <comment ref="F25" authorId="0" shapeId="0" xr:uid="{098ED5B3-A77F-40EC-9C8E-CB270E3B26B5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B109
</t>
        </r>
      </text>
    </comment>
    <comment ref="F27" authorId="0" shapeId="0" xr:uid="{C5EC9BF7-7414-4750-A494-AC54A480E497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10
</t>
        </r>
      </text>
    </comment>
    <comment ref="F28" authorId="0" shapeId="0" xr:uid="{28CD9B08-5AD1-48EE-A201-E8ACDEB921EC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10
</t>
        </r>
      </text>
    </comment>
    <comment ref="F31" authorId="0" shapeId="0" xr:uid="{F3977531-89F9-435A-818A-962B565D0220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12</t>
        </r>
      </text>
    </comment>
    <comment ref="F32" authorId="0" shapeId="0" xr:uid="{D03FF854-2BEE-4104-B2FF-E6E3AD4BB1C6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B110
</t>
        </r>
      </text>
    </comment>
    <comment ref="F33" authorId="0" shapeId="0" xr:uid="{8B143BD4-F60E-4016-B572-5A7A9DDED058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B110
</t>
        </r>
      </text>
    </comment>
    <comment ref="F35" authorId="0" shapeId="0" xr:uid="{E24AE50C-6A89-4C4D-96DE-8CE8AD92F0AF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1501 - Page12
</t>
        </r>
      </text>
    </comment>
    <comment ref="H35" authorId="0" shapeId="0" xr:uid="{E6ECB5FA-ED94-4855-A529-753139079176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RS 570
</t>
        </r>
      </text>
    </comment>
    <comment ref="F36" authorId="0" shapeId="0" xr:uid="{50BA9F1A-3FA2-4247-A327-7A71B934A388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1501A - Page 7</t>
        </r>
      </text>
    </comment>
    <comment ref="F37" authorId="0" shapeId="0" xr:uid="{CFE34FF0-8449-478D-AFC0-BDFD068C6515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1501A - Page 7</t>
        </r>
      </text>
    </comment>
    <comment ref="F39" authorId="0" shapeId="0" xr:uid="{70C150E5-7196-46BA-972E-99B8A92E5042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12/13
</t>
        </r>
      </text>
    </comment>
    <comment ref="F40" authorId="0" shapeId="0" xr:uid="{7C4FB53D-03A5-4F93-B2E1-68EF6F409F13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1501A - Page 7
or Unbilled C112
</t>
        </r>
      </text>
    </comment>
    <comment ref="F41" authorId="0" shapeId="0" xr:uid="{A4272736-A537-49C1-96FF-31A817DDD0B1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1501A - Page 7
or Unbilled C112
</t>
        </r>
      </text>
    </comment>
    <comment ref="F42" authorId="0" shapeId="0" xr:uid="{7E442CA1-B144-428B-894C-ACB87AD097BB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13</t>
        </r>
      </text>
    </comment>
    <comment ref="F43" authorId="0" shapeId="0" xr:uid="{C4B738C6-5F13-4C09-BCF0-6BEF961DEF7E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1501A - Page 8
or Unbilled C113</t>
        </r>
      </text>
    </comment>
    <comment ref="F44" authorId="0" shapeId="0" xr:uid="{8D9DFBC6-D74E-429E-B1B8-54E36D7C4C3A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1501A - Page 8
or Unbilled C113</t>
        </r>
      </text>
    </comment>
    <comment ref="M48" authorId="1" shapeId="0" xr:uid="{7D1EC9B4-DA3F-4401-8E1A-CD92735CA377}">
      <text>
        <r>
          <rPr>
            <b/>
            <sz val="8"/>
            <color indexed="81"/>
            <rFont val="Tahoma"/>
            <family val="2"/>
          </rPr>
          <t>Jim Haug:</t>
        </r>
        <r>
          <rPr>
            <sz val="8"/>
            <color indexed="81"/>
            <rFont val="Tahoma"/>
            <family val="2"/>
          </rPr>
          <t xml:space="preserve">
Sum of Debits to 670001 (assigned gas cost).</t>
        </r>
      </text>
    </comment>
    <comment ref="L50" authorId="2" shapeId="0" xr:uid="{A7E3F2C7-97C1-4E30-A8F4-877B184F4E85}">
      <text>
        <r>
          <rPr>
            <b/>
            <sz val="9"/>
            <color indexed="81"/>
            <rFont val="Tahoma"/>
            <family val="2"/>
          </rPr>
          <t>sarah.volk:</t>
        </r>
        <r>
          <rPr>
            <sz val="9"/>
            <color indexed="81"/>
            <rFont val="Tahoma"/>
            <family val="2"/>
          </rPr>
          <t xml:space="preserve">
Used as a comparison to the AMORTWA spreadsheet as a cross check.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John F</author>
    <author>jfresco</author>
    <author>Jennifer</author>
    <author>sarah.volk</author>
  </authors>
  <commentList>
    <comment ref="J7" authorId="0" shapeId="0" xr:uid="{879CFB76-E761-4DBA-8DA0-617AF533290C}">
      <text>
        <r>
          <rPr>
            <b/>
            <sz val="7"/>
            <color indexed="81"/>
            <rFont val="Tahoma"/>
            <family val="2"/>
          </rPr>
          <t>John F:</t>
        </r>
        <r>
          <rPr>
            <sz val="7"/>
            <color indexed="81"/>
            <rFont val="Tahoma"/>
            <family val="2"/>
          </rPr>
          <t xml:space="preserve">
Beginning Sep-06 is being switch as part of the demand gas cost in calc PGA demand deferrals to conform with the PGA filing.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9" authorId="1" shapeId="0" xr:uid="{0B5E331D-89F2-4AB0-81F7-14DBAA89AFBD}">
      <text>
        <r>
          <rPr>
            <b/>
            <sz val="8"/>
            <color indexed="81"/>
            <rFont val="Tahoma"/>
            <family val="2"/>
          </rPr>
          <t>jfresco:</t>
        </r>
        <r>
          <rPr>
            <sz val="8"/>
            <color indexed="81"/>
            <rFont val="Tahoma"/>
            <family val="2"/>
          </rPr>
          <t xml:space="preserve">
Beg Oct-08, this account includes Collateral calls interest/income.
</t>
        </r>
      </text>
    </comment>
    <comment ref="J44" authorId="2" shapeId="0" xr:uid="{9C3D60ED-4F82-4BA1-9ABE-4BC5D2DF760C}">
      <text>
        <r>
          <rPr>
            <b/>
            <sz val="8"/>
            <color indexed="81"/>
            <rFont val="Tahoma"/>
            <family val="2"/>
          </rPr>
          <t>Jennifer:</t>
        </r>
        <r>
          <rPr>
            <sz val="8"/>
            <color indexed="81"/>
            <rFont val="Tahoma"/>
            <family val="2"/>
          </rPr>
          <t xml:space="preserve">
should equal corvu report by WA/OR</t>
        </r>
      </text>
    </comment>
    <comment ref="M44" authorId="2" shapeId="0" xr:uid="{DBA313E5-D67B-4809-B879-2B0C666962CA}">
      <text>
        <r>
          <rPr>
            <b/>
            <sz val="8"/>
            <color indexed="81"/>
            <rFont val="Tahoma"/>
            <family val="2"/>
          </rPr>
          <t>Jennifer:</t>
        </r>
        <r>
          <rPr>
            <sz val="8"/>
            <color indexed="81"/>
            <rFont val="Tahoma"/>
            <family val="2"/>
          </rPr>
          <t xml:space="preserve">
should equal corvu report by WA/OR</t>
        </r>
      </text>
    </comment>
    <comment ref="P44" authorId="2" shapeId="0" xr:uid="{0F665A17-1070-4D86-835F-12CD18990EEE}">
      <text>
        <r>
          <rPr>
            <b/>
            <sz val="8"/>
            <color indexed="81"/>
            <rFont val="Tahoma"/>
            <family val="2"/>
          </rPr>
          <t>Jennifer:</t>
        </r>
        <r>
          <rPr>
            <sz val="8"/>
            <color indexed="81"/>
            <rFont val="Tahoma"/>
            <family val="2"/>
          </rPr>
          <t xml:space="preserve">
should equal core gas cost accrual je</t>
        </r>
      </text>
    </comment>
    <comment ref="S44" authorId="2" shapeId="0" xr:uid="{B7B38D56-2022-48A9-A310-85D5D9CAC4D9}">
      <text>
        <r>
          <rPr>
            <b/>
            <sz val="8"/>
            <color indexed="81"/>
            <rFont val="Tahoma"/>
            <family val="2"/>
          </rPr>
          <t>Jennifer:</t>
        </r>
        <r>
          <rPr>
            <sz val="8"/>
            <color indexed="81"/>
            <rFont val="Tahoma"/>
            <family val="2"/>
          </rPr>
          <t xml:space="preserve">
should equal core gas cost accrual je</t>
        </r>
      </text>
    </comment>
    <comment ref="Y46" authorId="3" shapeId="0" xr:uid="{ED1460F5-D870-4B3C-95EF-D5D31645A232}">
      <text>
        <r>
          <rPr>
            <b/>
            <sz val="8"/>
            <color indexed="81"/>
            <rFont val="Tahoma"/>
            <family val="2"/>
          </rPr>
          <t>sarah.volk:</t>
        </r>
        <r>
          <rPr>
            <sz val="8"/>
            <color indexed="81"/>
            <rFont val="Tahoma"/>
            <family val="2"/>
          </rPr>
          <t xml:space="preserve">
This number should match the total true up from the True-up column on the Suppler Invoice tab of the Gas Supply Analysis plus any storage true-up for the month.
</t>
        </r>
        <r>
          <rPr>
            <b/>
            <sz val="10"/>
            <color indexed="81"/>
            <rFont val="Tahoma"/>
            <family val="2"/>
          </rPr>
          <t>Q65 -</t>
        </r>
        <r>
          <rPr>
            <sz val="10"/>
            <color indexed="81"/>
            <rFont val="Tahoma"/>
            <family val="2"/>
          </rPr>
          <t xml:space="preserve"> </t>
        </r>
        <r>
          <rPr>
            <b/>
            <sz val="10"/>
            <color indexed="81"/>
            <rFont val="Tahoma"/>
            <family val="2"/>
          </rPr>
          <t>Prior Month File</t>
        </r>
      </text>
    </comment>
  </commentList>
</comments>
</file>

<file path=xl/sharedStrings.xml><?xml version="1.0" encoding="utf-8"?>
<sst xmlns="http://schemas.openxmlformats.org/spreadsheetml/2006/main" count="472" uniqueCount="206">
  <si>
    <t xml:space="preserve"> Blue - 1501A</t>
  </si>
  <si>
    <t>Red Cells = Actual Billed Therms 1501</t>
  </si>
  <si>
    <t>Green Cells = Unbilled Therms Incl. LV</t>
  </si>
  <si>
    <t>Gas Cost</t>
  </si>
  <si>
    <t>CC&amp;B</t>
  </si>
  <si>
    <t>WACOG at</t>
  </si>
  <si>
    <t>Amortization</t>
  </si>
  <si>
    <t>CL</t>
  </si>
  <si>
    <t>RS</t>
  </si>
  <si>
    <t>Account Number</t>
  </si>
  <si>
    <t>Subledger</t>
  </si>
  <si>
    <t>Subledger Type</t>
  </si>
  <si>
    <t>Amount</t>
  </si>
  <si>
    <t>Units</t>
  </si>
  <si>
    <t>Unit of Measure</t>
  </si>
  <si>
    <t>Posted Code</t>
  </si>
  <si>
    <t>Remark</t>
  </si>
  <si>
    <t>47WA.4002.4800</t>
  </si>
  <si>
    <t>Firm Res - bldg const</t>
  </si>
  <si>
    <t>502</t>
  </si>
  <si>
    <t>CNGWA502</t>
  </si>
  <si>
    <t>Regular cycle</t>
  </si>
  <si>
    <t>47WA.6011.28040</t>
  </si>
  <si>
    <t>GC RECOGNIZED RS 15020</t>
  </si>
  <si>
    <t>Firm Res - air con</t>
  </si>
  <si>
    <t>541</t>
  </si>
  <si>
    <t>CNGWA541</t>
  </si>
  <si>
    <t>GC RECOGNIZED RS 15410</t>
  </si>
  <si>
    <t>Firm Residentials</t>
  </si>
  <si>
    <t>503</t>
  </si>
  <si>
    <t>CNGWA503</t>
  </si>
  <si>
    <t>GC RECOGNIZED RS 15030</t>
  </si>
  <si>
    <t>47WA.4009.4800</t>
  </si>
  <si>
    <t>Reg. accrual</t>
  </si>
  <si>
    <t>47WA.4002.4810</t>
  </si>
  <si>
    <t>Firm Com - bldg const</t>
  </si>
  <si>
    <t>GC RECOGNIZED RS 25020</t>
  </si>
  <si>
    <t>Firm Commercial</t>
  </si>
  <si>
    <t>504</t>
  </si>
  <si>
    <t>CNGWA504</t>
  </si>
  <si>
    <t>GC RECOGNIZED RS 25040</t>
  </si>
  <si>
    <t>47WA.4009.4810</t>
  </si>
  <si>
    <t>Firm Com - Lg Vol</t>
  </si>
  <si>
    <t>511</t>
  </si>
  <si>
    <t>CNGWA511</t>
  </si>
  <si>
    <t>GC RECOGNIZED RS 25110</t>
  </si>
  <si>
    <t>Firm Com - Compressed NG</t>
  </si>
  <si>
    <t>512</t>
  </si>
  <si>
    <t>CNGWA512</t>
  </si>
  <si>
    <t>GC RECOGNIZED RS 25120</t>
  </si>
  <si>
    <t>Firm Com - air con</t>
  </si>
  <si>
    <t>GC RECOGNIZED RS 25410</t>
  </si>
  <si>
    <t xml:space="preserve">PM Unbilled </t>
  </si>
  <si>
    <t xml:space="preserve">CM Unbilled </t>
  </si>
  <si>
    <t>47WA.4002.4809</t>
  </si>
  <si>
    <t>Firm Ind'l</t>
  </si>
  <si>
    <t>505</t>
  </si>
  <si>
    <t>CNGWA505</t>
  </si>
  <si>
    <t>GC RECOGNIZED RS 35050</t>
  </si>
  <si>
    <t>Firm Industrial</t>
  </si>
  <si>
    <t>GC RECOGNIZED RS 35110</t>
  </si>
  <si>
    <t>Firm Ind'l - compressed NG</t>
  </si>
  <si>
    <t>GC RECOGNIZED RS 35120</t>
  </si>
  <si>
    <t>Firm Ind'l - Lg Vol CNGW05LV</t>
  </si>
  <si>
    <t>CNGWA05LV</t>
  </si>
  <si>
    <t>47WA.4002.4811</t>
  </si>
  <si>
    <t>Interr Small Commercial</t>
  </si>
  <si>
    <t>4</t>
  </si>
  <si>
    <t>570</t>
  </si>
  <si>
    <t>CNGWA570</t>
  </si>
  <si>
    <t>GC RECOGNIZED RS 55700</t>
  </si>
  <si>
    <t>47WA.4009.4811</t>
  </si>
  <si>
    <t>GC RECOGNIZED RS 45700</t>
  </si>
  <si>
    <t>47WA.4009.4813</t>
  </si>
  <si>
    <t>Interr Industrial</t>
  </si>
  <si>
    <t>5</t>
  </si>
  <si>
    <t>CM Unbilled</t>
  </si>
  <si>
    <t>47WA.4002.4813</t>
  </si>
  <si>
    <t>Interr Industrial - Ltd</t>
  </si>
  <si>
    <t>577</t>
  </si>
  <si>
    <t>CNGWA577</t>
  </si>
  <si>
    <t>GC RECOGNIZED RS 55770</t>
  </si>
  <si>
    <t>Interr Institutional</t>
  </si>
  <si>
    <t>GC RECOGNIZED RS 65700</t>
  </si>
  <si>
    <t xml:space="preserve">Total Gas Cost Recognized </t>
  </si>
  <si>
    <t>Pg 2</t>
  </si>
  <si>
    <t>S003000804009990670001</t>
  </si>
  <si>
    <t>GC RECOGNIZED CORE TOTAL</t>
  </si>
  <si>
    <t>Pg 8</t>
  </si>
  <si>
    <t>A</t>
  </si>
  <si>
    <t xml:space="preserve"> </t>
  </si>
  <si>
    <t>WASHINGTON - New Rates</t>
  </si>
  <si>
    <t>Sales</t>
  </si>
  <si>
    <t>Commodity</t>
  </si>
  <si>
    <t>Demand</t>
  </si>
  <si>
    <t>Total</t>
  </si>
  <si>
    <t>Cost</t>
  </si>
  <si>
    <t>Billed</t>
  </si>
  <si>
    <t>Recongnized</t>
  </si>
  <si>
    <t>Pg 3</t>
  </si>
  <si>
    <t>State</t>
  </si>
  <si>
    <t>Washington</t>
  </si>
  <si>
    <t>47WA.6011.28051</t>
  </si>
  <si>
    <t>47WA.2530.01253</t>
  </si>
  <si>
    <t>47WA.2530.01254</t>
  </si>
  <si>
    <t>Oregon</t>
  </si>
  <si>
    <t>Washington Deferrals</t>
  </si>
  <si>
    <t>Month of</t>
  </si>
  <si>
    <t>Gas Cost Recognized</t>
  </si>
  <si>
    <t>Total Gas Cost Recognized</t>
  </si>
  <si>
    <t>Actual Gas Cost Incurred</t>
  </si>
  <si>
    <t>6</t>
  </si>
  <si>
    <t>Deferred Gas Cost Journalized</t>
  </si>
  <si>
    <t>47WA.2530.01253 - Gas Loss</t>
  </si>
  <si>
    <t>Gas Storage Mitigation</t>
  </si>
  <si>
    <t>Deferral Amount</t>
  </si>
  <si>
    <t>( ____ )  = credit to gas cost</t>
  </si>
  <si>
    <t>JDE Gas Cost Account Code</t>
  </si>
  <si>
    <t>JDE Deferred Gas Account Code</t>
  </si>
  <si>
    <t>Assignment of Core Gas Cost To</t>
  </si>
  <si>
    <t>Class &amp; Rate Schedule</t>
  </si>
  <si>
    <t>Core Gas Cost</t>
  </si>
  <si>
    <t>Revenue &amp; Cost by Rate Schedule - WA</t>
  </si>
  <si>
    <t>Therms</t>
  </si>
  <si>
    <t>PM Unbilled - Res</t>
  </si>
  <si>
    <t>CM Unbilled - Res</t>
  </si>
  <si>
    <t>PM Unbilled - Com'l</t>
  </si>
  <si>
    <t>CM Unbilled - Com'l</t>
  </si>
  <si>
    <t>Old Rates</t>
  </si>
  <si>
    <t>Total WA</t>
  </si>
  <si>
    <t>Sep 1 2017</t>
  </si>
  <si>
    <t>CNGWA04LV</t>
  </si>
  <si>
    <t>New Rates</t>
  </si>
  <si>
    <t>Summary of Gas Cost Accruals by Reg Jurisdiction</t>
  </si>
  <si>
    <t>Current Month &amp; True-ups</t>
  </si>
  <si>
    <t>Current Month Accruals</t>
  </si>
  <si>
    <t xml:space="preserve">True-ups booked in </t>
  </si>
  <si>
    <t xml:space="preserve">xxx-08 True-Ups Booked in </t>
  </si>
  <si>
    <t>CORE</t>
  </si>
  <si>
    <t>Washington Amount</t>
  </si>
  <si>
    <t>Oregon Amount</t>
  </si>
  <si>
    <t>JDE Acct Code</t>
  </si>
  <si>
    <t>$</t>
  </si>
  <si>
    <t>TH</t>
  </si>
  <si>
    <t>47</t>
  </si>
  <si>
    <t>Contract Demand Charges</t>
  </si>
  <si>
    <t>NA</t>
  </si>
  <si>
    <t>D</t>
  </si>
  <si>
    <t>Canadian Toll Charges</t>
  </si>
  <si>
    <t>Commodity Charges</t>
  </si>
  <si>
    <t>C</t>
  </si>
  <si>
    <t>Financial Hedges Settlement</t>
  </si>
  <si>
    <t xml:space="preserve">Core Pipeline Imbalance </t>
  </si>
  <si>
    <t>Gas Withdrawn from Storage</t>
  </si>
  <si>
    <t>Gas Delivered to Storage (credit)</t>
  </si>
  <si>
    <t>Gas Used in Operations (credit)</t>
  </si>
  <si>
    <t>Off system sales</t>
  </si>
  <si>
    <t>Total Supply</t>
  </si>
  <si>
    <t>Capacity Reservation</t>
  </si>
  <si>
    <t>Firm Commodity</t>
  </si>
  <si>
    <t>Interruptible Commodity</t>
  </si>
  <si>
    <t>Other Firm Pipeline capacity</t>
  </si>
  <si>
    <t>Capacity Releases</t>
  </si>
  <si>
    <t>Total Pipeline Cap &amp; Transport</t>
  </si>
  <si>
    <t>LS Demand</t>
  </si>
  <si>
    <t>LS Capacity</t>
  </si>
  <si>
    <t>LS Commodity</t>
  </si>
  <si>
    <t>LS Liquefaction</t>
  </si>
  <si>
    <t>LS Inventory</t>
  </si>
  <si>
    <t>LS Vaporization</t>
  </si>
  <si>
    <t>TF Reservation from LS</t>
  </si>
  <si>
    <t>TF Commodity from LS</t>
  </si>
  <si>
    <t>SGS Demand</t>
  </si>
  <si>
    <t>SGS Capacity</t>
  </si>
  <si>
    <t>SGS Commodity</t>
  </si>
  <si>
    <t>SGS Inventory</t>
  </si>
  <si>
    <t>TF Reservation from SGS</t>
  </si>
  <si>
    <t>TF Commodity from SGS</t>
  </si>
  <si>
    <t>Total Peaking Services</t>
  </si>
  <si>
    <t>Total Core Gas Costs</t>
  </si>
  <si>
    <t>Total Commodity  (Col K, Rows , 10, 11, 12, 13, 14, 16, 20, 28, 29, 30, 31, 33, 36, 37 &amp; 39)</t>
  </si>
  <si>
    <t>Total Demand  (Col. K, Rows 8, 9, 19, 26, 27, 32, 34, 35, &amp; 38)</t>
  </si>
  <si>
    <t>WA &amp; OR</t>
  </si>
  <si>
    <t>JDE Export</t>
  </si>
  <si>
    <t>verified</t>
  </si>
  <si>
    <t>True-up</t>
  </si>
  <si>
    <t>28081/28082/28120</t>
  </si>
  <si>
    <t xml:space="preserve">    </t>
  </si>
  <si>
    <t>AU</t>
  </si>
  <si>
    <t>Ledger Type</t>
  </si>
  <si>
    <t>AA</t>
  </si>
  <si>
    <t>Year</t>
  </si>
  <si>
    <t>2018</t>
  </si>
  <si>
    <t>Format</t>
  </si>
  <si>
    <t>per</t>
  </si>
  <si>
    <t>Period</t>
  </si>
  <si>
    <t>Currency</t>
  </si>
  <si>
    <t>***</t>
  </si>
  <si>
    <t>Company</t>
  </si>
  <si>
    <t>00047</t>
  </si>
  <si>
    <t>Business Unit</t>
  </si>
  <si>
    <t>*</t>
  </si>
  <si>
    <t>CNGC</t>
  </si>
  <si>
    <t>47WA</t>
  </si>
  <si>
    <t>47OR</t>
  </si>
  <si>
    <t>28081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</si>
</sst>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.00000_);_(&quot;$&quot;* \(#,##0.00000\);_(&quot;$&quot;* &quot;-&quot;??_);_(@_)"/>
    <numFmt numFmtId="166" formatCode="mmmm\-yy"/>
    <numFmt numFmtId="167" formatCode="_(&quot;$&quot;* #,##0_);_(&quot;$&quot;* \(#,##0\);_(&quot;$&quot;* &quot;-&quot;??_);_(@_)"/>
    <numFmt numFmtId="168" formatCode="_(&quot;$&quot;* #,##0.0_);_(&quot;$&quot;* \(#,##0.0\);_(&quot;$&quot;* &quot;-&quot;??_);_(@_)"/>
    <numFmt numFmtId="169" formatCode="[$-409]mmmm\-yy;@"/>
  </numFmts>
  <fonts count="50" x14ac:knownFonts="1">
    <font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b/>
      <sz val="11"/>
      <color rgb="FF0070C0"/>
      <name val="Arial"/>
      <family val="2"/>
    </font>
    <font>
      <b/>
      <sz val="11"/>
      <color indexed="10"/>
      <name val="Arial"/>
      <family val="2"/>
    </font>
    <font>
      <b/>
      <sz val="11"/>
      <color rgb="FF00B050"/>
      <name val="Arial"/>
      <family val="2"/>
    </font>
    <font>
      <b/>
      <sz val="10"/>
      <name val="Arial"/>
      <family val="2"/>
    </font>
    <font>
      <sz val="10"/>
      <color rgb="FF00B050"/>
      <name val="Arial"/>
      <family val="2"/>
    </font>
    <font>
      <b/>
      <sz val="10"/>
      <color indexed="12"/>
      <name val="Arial"/>
      <family val="2"/>
    </font>
    <font>
      <u/>
      <sz val="10"/>
      <color rgb="FF00B050"/>
      <name val="Arial"/>
      <family val="2"/>
    </font>
    <font>
      <u/>
      <sz val="10"/>
      <name val="Arial"/>
      <family val="2"/>
    </font>
    <font>
      <b/>
      <sz val="12"/>
      <color indexed="10"/>
      <name val="Arial"/>
      <family val="2"/>
    </font>
    <font>
      <sz val="10"/>
      <color indexed="12"/>
      <name val="Arial"/>
      <family val="2"/>
    </font>
    <font>
      <sz val="12"/>
      <color indexed="10"/>
      <name val="Arial"/>
      <family val="2"/>
    </font>
    <font>
      <b/>
      <sz val="12"/>
      <color rgb="FF00B050"/>
      <name val="Arial"/>
      <family val="2"/>
    </font>
    <font>
      <sz val="12"/>
      <color rgb="FF00B050"/>
      <name val="Arial"/>
      <family val="2"/>
    </font>
    <font>
      <sz val="10"/>
      <color indexed="10"/>
      <name val="Arial"/>
      <family val="2"/>
    </font>
    <font>
      <b/>
      <sz val="12"/>
      <color rgb="FF0070C0"/>
      <name val="Arial"/>
      <family val="2"/>
    </font>
    <font>
      <sz val="12"/>
      <color rgb="FF0070C0"/>
      <name val="Arial"/>
      <family val="2"/>
    </font>
    <font>
      <sz val="11"/>
      <color rgb="FF00B050"/>
      <name val="Arial"/>
      <family val="2"/>
    </font>
    <font>
      <sz val="11"/>
      <color indexed="10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u/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u/>
      <sz val="11"/>
      <name val="Arial"/>
      <family val="2"/>
    </font>
    <font>
      <b/>
      <sz val="8"/>
      <name val="Arial"/>
      <family val="2"/>
    </font>
    <font>
      <sz val="8"/>
      <color indexed="12"/>
      <name val="Arial"/>
      <family val="2"/>
    </font>
    <font>
      <b/>
      <sz val="8"/>
      <color indexed="12"/>
      <name val="Arial"/>
      <family val="2"/>
    </font>
    <font>
      <b/>
      <sz val="12"/>
      <color theme="4" tint="-0.249977111117893"/>
      <name val="Arial"/>
      <family val="2"/>
    </font>
    <font>
      <i/>
      <sz val="8"/>
      <color indexed="10"/>
      <name val="Arial"/>
      <family val="2"/>
    </font>
    <font>
      <b/>
      <u/>
      <sz val="9"/>
      <name val="Arial"/>
      <family val="2"/>
    </font>
    <font>
      <b/>
      <sz val="9"/>
      <color indexed="10"/>
      <name val="Arial"/>
      <family val="2"/>
    </font>
    <font>
      <sz val="9"/>
      <color indexed="10"/>
      <name val="Arial"/>
      <family val="2"/>
    </font>
    <font>
      <sz val="8"/>
      <color indexed="10"/>
      <name val="Arial"/>
      <family val="2"/>
    </font>
    <font>
      <b/>
      <sz val="9"/>
      <name val="Arial"/>
      <family val="2"/>
    </font>
    <font>
      <b/>
      <sz val="11"/>
      <color rgb="FFFF0000"/>
      <name val="Arial"/>
      <family val="2"/>
    </font>
    <font>
      <sz val="10.5"/>
      <name val="Arial"/>
      <family val="2"/>
    </font>
    <font>
      <b/>
      <i/>
      <sz val="8"/>
      <name val="Arial"/>
      <family val="2"/>
    </font>
    <font>
      <b/>
      <sz val="7"/>
      <color indexed="81"/>
      <name val="Tahoma"/>
      <family val="2"/>
    </font>
    <font>
      <sz val="7"/>
      <color indexed="81"/>
      <name val="Tahoma"/>
      <family val="2"/>
    </font>
    <font>
      <b/>
      <sz val="10"/>
      <color indexed="81"/>
      <name val="Tahoma"/>
      <family val="2"/>
    </font>
    <font>
      <sz val="10"/>
      <color indexed="81"/>
      <name val="Tahoma"/>
      <family val="2"/>
    </font>
  </fonts>
  <fills count="2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ADDB7B"/>
        <bgColor indexed="64"/>
      </patternFill>
    </fill>
    <fill>
      <patternFill patternType="solid">
        <fgColor rgb="FF4BD0FF"/>
        <bgColor indexed="64"/>
      </patternFill>
    </fill>
    <fill>
      <patternFill patternType="solid">
        <fgColor rgb="FFFFCD2D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14">
    <xf numFmtId="0" fontId="0" fillId="0" borderId="0" xfId="0"/>
    <xf numFmtId="49" fontId="2" fillId="0" borderId="0" xfId="0" applyNumberFormat="1" applyFont="1"/>
    <xf numFmtId="49" fontId="4" fillId="0" borderId="0" xfId="0" applyNumberFormat="1" applyFont="1" applyAlignment="1">
      <alignment horizontal="center" vertical="center"/>
    </xf>
    <xf numFmtId="0" fontId="1" fillId="2" borderId="0" xfId="0" applyFont="1" applyFill="1" applyBorder="1"/>
    <xf numFmtId="49" fontId="1" fillId="2" borderId="0" xfId="1" applyNumberFormat="1" applyFont="1" applyFill="1" applyBorder="1"/>
    <xf numFmtId="49" fontId="1" fillId="2" borderId="0" xfId="0" applyNumberFormat="1" applyFont="1" applyFill="1" applyBorder="1"/>
    <xf numFmtId="0" fontId="9" fillId="0" borderId="0" xfId="0" applyFont="1" applyAlignment="1">
      <alignment horizontal="center"/>
    </xf>
    <xf numFmtId="49" fontId="8" fillId="2" borderId="0" xfId="0" applyNumberFormat="1" applyFont="1" applyFill="1" applyBorder="1" applyAlignment="1">
      <alignment horizontal="center"/>
    </xf>
    <xf numFmtId="49" fontId="8" fillId="2" borderId="0" xfId="1" applyNumberFormat="1" applyFont="1" applyFill="1" applyBorder="1"/>
    <xf numFmtId="49" fontId="8" fillId="2" borderId="0" xfId="0" applyNumberFormat="1" applyFont="1" applyFill="1" applyBorder="1"/>
    <xf numFmtId="17" fontId="9" fillId="0" borderId="0" xfId="0" applyNumberFormat="1" applyFont="1" applyAlignment="1">
      <alignment horizontal="center"/>
    </xf>
    <xf numFmtId="0" fontId="8" fillId="0" borderId="0" xfId="0" applyFont="1"/>
    <xf numFmtId="14" fontId="11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" fillId="0" borderId="0" xfId="0" applyFont="1"/>
    <xf numFmtId="49" fontId="1" fillId="0" borderId="0" xfId="1" applyNumberFormat="1" applyFont="1"/>
    <xf numFmtId="49" fontId="1" fillId="0" borderId="0" xfId="0" applyNumberFormat="1" applyFont="1" applyAlignment="1">
      <alignment horizontal="center"/>
    </xf>
    <xf numFmtId="49" fontId="1" fillId="0" borderId="0" xfId="0" applyNumberFormat="1" applyFont="1"/>
    <xf numFmtId="49" fontId="1" fillId="0" borderId="0" xfId="0" applyNumberFormat="1" applyFont="1" applyFill="1"/>
    <xf numFmtId="164" fontId="13" fillId="0" borderId="0" xfId="1" applyNumberFormat="1" applyFont="1" applyFill="1"/>
    <xf numFmtId="44" fontId="1" fillId="0" borderId="0" xfId="2" applyNumberFormat="1"/>
    <xf numFmtId="44" fontId="1" fillId="0" borderId="0" xfId="0" applyNumberFormat="1" applyFont="1"/>
    <xf numFmtId="39" fontId="0" fillId="0" borderId="0" xfId="0" applyNumberFormat="1"/>
    <xf numFmtId="164" fontId="15" fillId="0" borderId="0" xfId="1" applyNumberFormat="1" applyFont="1" applyFill="1"/>
    <xf numFmtId="164" fontId="16" fillId="3" borderId="0" xfId="1" applyNumberFormat="1" applyFont="1" applyFill="1"/>
    <xf numFmtId="44" fontId="1" fillId="0" borderId="0" xfId="2" applyNumberFormat="1" applyFill="1"/>
    <xf numFmtId="44" fontId="1" fillId="0" borderId="0" xfId="0" applyNumberFormat="1" applyFont="1" applyFill="1"/>
    <xf numFmtId="44" fontId="0" fillId="0" borderId="0" xfId="0" applyNumberFormat="1"/>
    <xf numFmtId="164" fontId="18" fillId="0" borderId="0" xfId="1" applyNumberFormat="1" applyFont="1" applyFill="1"/>
    <xf numFmtId="164" fontId="9" fillId="0" borderId="0" xfId="1" applyNumberFormat="1" applyFont="1" applyFill="1"/>
    <xf numFmtId="164" fontId="19" fillId="3" borderId="0" xfId="1" applyNumberFormat="1" applyFont="1" applyFill="1"/>
    <xf numFmtId="165" fontId="1" fillId="0" borderId="0" xfId="2" applyNumberFormat="1"/>
    <xf numFmtId="164" fontId="21" fillId="0" borderId="0" xfId="1" applyNumberFormat="1" applyFont="1" applyFill="1"/>
    <xf numFmtId="164" fontId="22" fillId="0" borderId="0" xfId="1" applyNumberFormat="1" applyFont="1" applyFill="1"/>
    <xf numFmtId="165" fontId="23" fillId="0" borderId="0" xfId="2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/>
    <xf numFmtId="164" fontId="2" fillId="0" borderId="0" xfId="1" applyNumberFormat="1" applyFont="1"/>
    <xf numFmtId="44" fontId="8" fillId="0" borderId="0" xfId="2" applyNumberFormat="1" applyFont="1"/>
    <xf numFmtId="164" fontId="2" fillId="3" borderId="0" xfId="1" applyNumberFormat="1" applyFont="1" applyFill="1"/>
    <xf numFmtId="167" fontId="1" fillId="0" borderId="0" xfId="2" applyNumberFormat="1"/>
    <xf numFmtId="44" fontId="18" fillId="0" borderId="0" xfId="2" applyNumberFormat="1" applyFont="1"/>
    <xf numFmtId="164" fontId="24" fillId="0" borderId="0" xfId="1" applyNumberFormat="1" applyFont="1" applyAlignment="1">
      <alignment horizontal="center"/>
    </xf>
    <xf numFmtId="44" fontId="1" fillId="0" borderId="0" xfId="2" applyNumberFormat="1" applyFont="1"/>
    <xf numFmtId="164" fontId="24" fillId="0" borderId="0" xfId="1" applyNumberFormat="1" applyFont="1" applyAlignment="1">
      <alignment horizontal="center" vertical="center"/>
    </xf>
    <xf numFmtId="164" fontId="1" fillId="0" borderId="0" xfId="1" applyNumberFormat="1"/>
    <xf numFmtId="44" fontId="8" fillId="0" borderId="0" xfId="2" applyNumberFormat="1" applyFont="1" applyAlignment="1">
      <alignment horizontal="left"/>
    </xf>
    <xf numFmtId="164" fontId="18" fillId="0" borderId="0" xfId="1" applyNumberFormat="1" applyFont="1"/>
    <xf numFmtId="165" fontId="1" fillId="0" borderId="0" xfId="2" applyNumberFormat="1" applyFont="1" applyAlignment="1">
      <alignment horizontal="left"/>
    </xf>
    <xf numFmtId="43" fontId="1" fillId="0" borderId="0" xfId="1" applyFont="1" applyAlignment="1">
      <alignment horizontal="left"/>
    </xf>
    <xf numFmtId="168" fontId="1" fillId="0" borderId="0" xfId="2" applyNumberFormat="1"/>
    <xf numFmtId="44" fontId="18" fillId="0" borderId="0" xfId="2" applyFont="1" applyFill="1"/>
    <xf numFmtId="44" fontId="1" fillId="0" borderId="0" xfId="2" applyFont="1"/>
    <xf numFmtId="44" fontId="1" fillId="0" borderId="0" xfId="2"/>
    <xf numFmtId="43" fontId="8" fillId="0" borderId="0" xfId="1" applyFont="1" applyAlignment="1">
      <alignment horizontal="left"/>
    </xf>
    <xf numFmtId="44" fontId="14" fillId="0" borderId="0" xfId="2" applyFont="1" applyFill="1"/>
    <xf numFmtId="43" fontId="1" fillId="0" borderId="0" xfId="1"/>
    <xf numFmtId="164" fontId="1" fillId="0" borderId="0" xfId="1" applyNumberFormat="1" applyFont="1"/>
    <xf numFmtId="49" fontId="4" fillId="0" borderId="0" xfId="0" applyNumberFormat="1" applyFont="1" applyAlignment="1">
      <alignment vertical="center"/>
    </xf>
    <xf numFmtId="49" fontId="5" fillId="0" borderId="0" xfId="0" applyNumberFormat="1" applyFont="1" applyAlignment="1">
      <alignment horizontal="left"/>
    </xf>
    <xf numFmtId="164" fontId="6" fillId="0" borderId="0" xfId="1" applyNumberFormat="1" applyFont="1" applyAlignment="1">
      <alignment horizontal="left"/>
    </xf>
    <xf numFmtId="164" fontId="7" fillId="0" borderId="0" xfId="1" applyNumberFormat="1" applyFont="1" applyAlignment="1">
      <alignment horizontal="left"/>
    </xf>
    <xf numFmtId="165" fontId="1" fillId="2" borderId="0" xfId="2" applyNumberFormat="1" applyFont="1" applyFill="1" applyBorder="1" applyAlignment="1">
      <alignment horizontal="center"/>
    </xf>
    <xf numFmtId="49" fontId="8" fillId="2" borderId="2" xfId="0" applyNumberFormat="1" applyFont="1" applyFill="1" applyBorder="1" applyAlignment="1">
      <alignment horizontal="center"/>
    </xf>
    <xf numFmtId="49" fontId="8" fillId="2" borderId="2" xfId="1" applyNumberFormat="1" applyFont="1" applyFill="1" applyBorder="1" applyAlignment="1">
      <alignment horizontal="center"/>
    </xf>
    <xf numFmtId="166" fontId="10" fillId="2" borderId="2" xfId="2" applyNumberFormat="1" applyFont="1" applyFill="1" applyBorder="1" applyAlignment="1">
      <alignment horizontal="center"/>
    </xf>
    <xf numFmtId="165" fontId="1" fillId="2" borderId="2" xfId="2" applyNumberFormat="1" applyFont="1" applyFill="1" applyBorder="1" applyAlignment="1">
      <alignment horizontal="center"/>
    </xf>
    <xf numFmtId="0" fontId="1" fillId="0" borderId="0" xfId="0" applyFont="1" applyAlignment="1">
      <alignment horizontal="left" indent="1"/>
    </xf>
    <xf numFmtId="165" fontId="14" fillId="5" borderId="0" xfId="2" applyNumberFormat="1" applyFont="1" applyFill="1"/>
    <xf numFmtId="165" fontId="14" fillId="6" borderId="0" xfId="2" applyNumberFormat="1" applyFont="1" applyFill="1"/>
    <xf numFmtId="164" fontId="17" fillId="0" borderId="0" xfId="1" applyNumberFormat="1" applyFont="1" applyFill="1"/>
    <xf numFmtId="165" fontId="10" fillId="6" borderId="0" xfId="2" applyNumberFormat="1" applyFont="1" applyFill="1"/>
    <xf numFmtId="164" fontId="20" fillId="3" borderId="0" xfId="1" applyNumberFormat="1" applyFont="1" applyFill="1"/>
    <xf numFmtId="0" fontId="8" fillId="0" borderId="0" xfId="0" applyFont="1" applyAlignment="1">
      <alignment horizontal="left" indent="1"/>
    </xf>
    <xf numFmtId="0" fontId="3" fillId="0" borderId="0" xfId="0" applyFont="1" applyAlignment="1">
      <alignment horizontal="center"/>
    </xf>
    <xf numFmtId="0" fontId="30" fillId="0" borderId="0" xfId="0" applyFont="1"/>
    <xf numFmtId="164" fontId="30" fillId="0" borderId="0" xfId="1" applyNumberFormat="1" applyFont="1"/>
    <xf numFmtId="164" fontId="1" fillId="2" borderId="0" xfId="1" applyNumberFormat="1" applyFont="1" applyFill="1" applyBorder="1" applyAlignment="1">
      <alignment horizontal="center"/>
    </xf>
    <xf numFmtId="43" fontId="3" fillId="0" borderId="0" xfId="1" applyFont="1"/>
    <xf numFmtId="49" fontId="4" fillId="0" borderId="0" xfId="0" applyNumberFormat="1" applyFont="1" applyAlignment="1">
      <alignment horizontal="center" vertical="center" wrapText="1"/>
    </xf>
    <xf numFmtId="49" fontId="4" fillId="0" borderId="0" xfId="0" applyNumberFormat="1" applyFont="1" applyAlignment="1">
      <alignment vertical="top"/>
    </xf>
    <xf numFmtId="169" fontId="4" fillId="0" borderId="0" xfId="0" applyNumberFormat="1" applyFont="1" applyAlignment="1">
      <alignment horizontal="center" vertical="center" wrapText="1"/>
    </xf>
    <xf numFmtId="164" fontId="3" fillId="0" borderId="0" xfId="1" applyNumberFormat="1" applyFont="1"/>
    <xf numFmtId="44" fontId="8" fillId="10" borderId="0" xfId="0" applyNumberFormat="1" applyFont="1" applyFill="1" applyBorder="1" applyAlignment="1">
      <alignment horizontal="center"/>
    </xf>
    <xf numFmtId="44" fontId="8" fillId="11" borderId="0" xfId="0" applyNumberFormat="1" applyFont="1" applyFill="1" applyBorder="1" applyAlignment="1">
      <alignment horizontal="center"/>
    </xf>
    <xf numFmtId="49" fontId="3" fillId="0" borderId="0" xfId="1" applyNumberFormat="1" applyFont="1" applyAlignment="1">
      <alignment horizontal="left" indent="1"/>
    </xf>
    <xf numFmtId="49" fontId="1" fillId="0" borderId="0" xfId="0" applyNumberFormat="1" applyFont="1" applyAlignment="1">
      <alignment horizontal="left" indent="1"/>
    </xf>
    <xf numFmtId="49" fontId="1" fillId="0" borderId="0" xfId="0" applyNumberFormat="1" applyFont="1" applyFill="1" applyBorder="1" applyAlignment="1">
      <alignment horizontal="left" indent="1"/>
    </xf>
    <xf numFmtId="164" fontId="1" fillId="2" borderId="2" xfId="1" applyNumberFormat="1" applyFont="1" applyFill="1" applyBorder="1" applyAlignment="1">
      <alignment horizontal="center"/>
    </xf>
    <xf numFmtId="44" fontId="1" fillId="0" borderId="10" xfId="2" applyFont="1" applyBorder="1"/>
    <xf numFmtId="164" fontId="1" fillId="0" borderId="3" xfId="1" applyNumberFormat="1" applyFont="1" applyBorder="1"/>
    <xf numFmtId="44" fontId="1" fillId="0" borderId="3" xfId="2" applyFont="1" applyBorder="1"/>
    <xf numFmtId="43" fontId="1" fillId="0" borderId="0" xfId="1" applyNumberFormat="1" applyFont="1"/>
    <xf numFmtId="0" fontId="8" fillId="0" borderId="0" xfId="3" applyFont="1" applyFill="1" applyBorder="1"/>
    <xf numFmtId="0" fontId="1" fillId="0" borderId="0" xfId="3" applyFont="1" applyFill="1" applyBorder="1"/>
    <xf numFmtId="0" fontId="1" fillId="0" borderId="2" xfId="3" applyFont="1" applyFill="1" applyBorder="1"/>
    <xf numFmtId="0" fontId="1" fillId="0" borderId="0" xfId="3" applyFont="1" applyFill="1"/>
    <xf numFmtId="164" fontId="30" fillId="0" borderId="0" xfId="1" applyNumberFormat="1" applyFont="1" applyFill="1"/>
    <xf numFmtId="49" fontId="31" fillId="0" borderId="0" xfId="1" applyNumberFormat="1" applyFont="1" applyAlignment="1"/>
    <xf numFmtId="49" fontId="30" fillId="0" borderId="0" xfId="1" applyNumberFormat="1" applyFont="1"/>
    <xf numFmtId="49" fontId="24" fillId="0" borderId="0" xfId="1" applyNumberFormat="1" applyFont="1" applyAlignment="1">
      <alignment horizontal="left"/>
    </xf>
    <xf numFmtId="164" fontId="30" fillId="0" borderId="0" xfId="1" applyNumberFormat="1" applyFont="1" applyAlignment="1">
      <alignment horizontal="left"/>
    </xf>
    <xf numFmtId="43" fontId="30" fillId="0" borderId="0" xfId="1" applyNumberFormat="1" applyFont="1"/>
    <xf numFmtId="164" fontId="30" fillId="13" borderId="0" xfId="1" applyNumberFormat="1" applyFont="1" applyFill="1"/>
    <xf numFmtId="43" fontId="37" fillId="0" borderId="0" xfId="1" applyNumberFormat="1" applyFont="1"/>
    <xf numFmtId="43" fontId="30" fillId="0" borderId="0" xfId="1" applyFont="1" applyFill="1"/>
    <xf numFmtId="169" fontId="22" fillId="0" borderId="0" xfId="1" applyNumberFormat="1" applyFont="1" applyBorder="1" applyAlignment="1">
      <alignment horizontal="center"/>
    </xf>
    <xf numFmtId="169" fontId="36" fillId="0" borderId="0" xfId="1" applyNumberFormat="1" applyFont="1" applyBorder="1" applyAlignment="1">
      <alignment horizontal="left"/>
    </xf>
    <xf numFmtId="164" fontId="31" fillId="0" borderId="0" xfId="1" applyNumberFormat="1" applyFont="1" applyBorder="1" applyAlignment="1">
      <alignment horizontal="center"/>
    </xf>
    <xf numFmtId="164" fontId="3" fillId="0" borderId="0" xfId="1" applyNumberFormat="1" applyFont="1" applyAlignment="1">
      <alignment horizontal="center"/>
    </xf>
    <xf numFmtId="164" fontId="15" fillId="0" borderId="0" xfId="1" applyNumberFormat="1" applyFont="1" applyBorder="1" applyAlignment="1">
      <alignment horizontal="center"/>
    </xf>
    <xf numFmtId="49" fontId="2" fillId="0" borderId="0" xfId="1" applyNumberFormat="1" applyFont="1" applyBorder="1"/>
    <xf numFmtId="43" fontId="30" fillId="0" borderId="0" xfId="1" applyNumberFormat="1" applyFont="1" applyBorder="1"/>
    <xf numFmtId="164" fontId="1" fillId="13" borderId="0" xfId="1" applyNumberFormat="1" applyFont="1" applyFill="1"/>
    <xf numFmtId="169" fontId="22" fillId="0" borderId="0" xfId="1" applyNumberFormat="1" applyFont="1" applyBorder="1" applyAlignment="1"/>
    <xf numFmtId="164" fontId="35" fillId="0" borderId="0" xfId="1" applyNumberFormat="1" applyFont="1" applyAlignment="1">
      <alignment horizontal="center"/>
    </xf>
    <xf numFmtId="164" fontId="35" fillId="0" borderId="0" xfId="1" applyNumberFormat="1" applyFont="1" applyAlignment="1">
      <alignment horizontal="center"/>
    </xf>
    <xf numFmtId="49" fontId="2" fillId="0" borderId="0" xfId="1" applyNumberFormat="1" applyFont="1"/>
    <xf numFmtId="164" fontId="3" fillId="0" borderId="0" xfId="1" applyNumberFormat="1" applyFont="1" applyAlignment="1">
      <alignment horizontal="center"/>
    </xf>
    <xf numFmtId="164" fontId="3" fillId="0" borderId="2" xfId="1" applyNumberFormat="1" applyFont="1" applyBorder="1" applyAlignment="1">
      <alignment horizontal="center" vertical="center"/>
    </xf>
    <xf numFmtId="164" fontId="3" fillId="0" borderId="0" xfId="1" applyNumberFormat="1" applyFont="1" applyAlignment="1">
      <alignment vertical="center"/>
    </xf>
    <xf numFmtId="164" fontId="3" fillId="13" borderId="0" xfId="1" applyNumberFormat="1" applyFont="1" applyFill="1"/>
    <xf numFmtId="164" fontId="33" fillId="0" borderId="0" xfId="1" applyNumberFormat="1" applyFont="1" applyAlignment="1">
      <alignment horizontal="center"/>
    </xf>
    <xf numFmtId="49" fontId="8" fillId="2" borderId="2" xfId="1" applyNumberFormat="1" applyFont="1" applyFill="1" applyBorder="1" applyAlignment="1">
      <alignment horizontal="left"/>
    </xf>
    <xf numFmtId="164" fontId="1" fillId="2" borderId="2" xfId="1" applyNumberFormat="1" applyFont="1" applyFill="1" applyBorder="1"/>
    <xf numFmtId="164" fontId="12" fillId="2" borderId="3" xfId="1" applyNumberFormat="1" applyFont="1" applyFill="1" applyBorder="1" applyAlignment="1">
      <alignment horizontal="center"/>
    </xf>
    <xf numFmtId="43" fontId="12" fillId="2" borderId="3" xfId="1" applyNumberFormat="1" applyFont="1" applyFill="1" applyBorder="1" applyAlignment="1">
      <alignment horizontal="center"/>
    </xf>
    <xf numFmtId="164" fontId="12" fillId="2" borderId="2" xfId="1" applyNumberFormat="1" applyFont="1" applyFill="1" applyBorder="1" applyAlignment="1">
      <alignment horizontal="center"/>
    </xf>
    <xf numFmtId="43" fontId="12" fillId="2" borderId="2" xfId="1" applyNumberFormat="1" applyFont="1" applyFill="1" applyBorder="1" applyAlignment="1">
      <alignment horizontal="center"/>
    </xf>
    <xf numFmtId="164" fontId="29" fillId="2" borderId="2" xfId="1" applyNumberFormat="1" applyFont="1" applyFill="1" applyBorder="1" applyAlignment="1">
      <alignment horizontal="center"/>
    </xf>
    <xf numFmtId="43" fontId="29" fillId="2" borderId="2" xfId="1" applyNumberFormat="1" applyFont="1" applyFill="1" applyBorder="1" applyAlignment="1">
      <alignment horizontal="center"/>
    </xf>
    <xf numFmtId="164" fontId="38" fillId="2" borderId="2" xfId="1" applyNumberFormat="1" applyFont="1" applyFill="1" applyBorder="1" applyAlignment="1">
      <alignment horizontal="center"/>
    </xf>
    <xf numFmtId="43" fontId="12" fillId="0" borderId="0" xfId="1" applyNumberFormat="1" applyFont="1" applyAlignment="1">
      <alignment horizontal="center"/>
    </xf>
    <xf numFmtId="49" fontId="1" fillId="14" borderId="0" xfId="1" applyNumberFormat="1" applyFont="1" applyFill="1" applyAlignment="1">
      <alignment horizontal="right"/>
    </xf>
    <xf numFmtId="0" fontId="1" fillId="14" borderId="0" xfId="1" applyNumberFormat="1" applyFont="1" applyFill="1" applyAlignment="1">
      <alignment horizontal="center"/>
    </xf>
    <xf numFmtId="0" fontId="2" fillId="0" borderId="0" xfId="1" applyNumberFormat="1" applyFont="1" applyAlignment="1">
      <alignment horizontal="center"/>
    </xf>
    <xf numFmtId="164" fontId="23" fillId="0" borderId="0" xfId="1" applyNumberFormat="1" applyFont="1" applyAlignment="1">
      <alignment horizontal="center"/>
    </xf>
    <xf numFmtId="44" fontId="23" fillId="0" borderId="0" xfId="2" applyFont="1"/>
    <xf numFmtId="164" fontId="1" fillId="0" borderId="0" xfId="1" applyNumberFormat="1" applyFont="1" applyAlignment="1">
      <alignment horizontal="left" indent="3"/>
    </xf>
    <xf numFmtId="44" fontId="1" fillId="15" borderId="0" xfId="2" applyFont="1" applyFill="1"/>
    <xf numFmtId="164" fontId="1" fillId="0" borderId="0" xfId="1" applyNumberFormat="1" applyFont="1" applyFill="1" applyAlignment="1">
      <alignment horizontal="left"/>
    </xf>
    <xf numFmtId="44" fontId="22" fillId="15" borderId="0" xfId="2" applyFont="1" applyFill="1"/>
    <xf numFmtId="164" fontId="23" fillId="0" borderId="0" xfId="1" applyNumberFormat="1" applyFont="1" applyAlignment="1">
      <alignment horizontal="left"/>
    </xf>
    <xf numFmtId="0" fontId="2" fillId="15" borderId="0" xfId="2" applyNumberFormat="1" applyFont="1" applyFill="1" applyAlignment="1">
      <alignment horizontal="center"/>
    </xf>
    <xf numFmtId="44" fontId="6" fillId="15" borderId="0" xfId="2" applyFont="1" applyFill="1"/>
    <xf numFmtId="164" fontId="23" fillId="0" borderId="0" xfId="1" applyNumberFormat="1" applyFont="1"/>
    <xf numFmtId="164" fontId="1" fillId="0" borderId="0" xfId="1" applyNumberFormat="1" applyFont="1" applyFill="1"/>
    <xf numFmtId="44" fontId="1" fillId="16" borderId="0" xfId="2" applyNumberFormat="1" applyFont="1" applyFill="1"/>
    <xf numFmtId="44" fontId="1" fillId="16" borderId="0" xfId="2" applyFont="1" applyFill="1"/>
    <xf numFmtId="164" fontId="6" fillId="0" borderId="0" xfId="1" applyNumberFormat="1" applyFont="1"/>
    <xf numFmtId="44" fontId="6" fillId="16" borderId="0" xfId="2" applyFont="1" applyFill="1"/>
    <xf numFmtId="164" fontId="39" fillId="0" borderId="0" xfId="1" applyNumberFormat="1" applyFont="1" applyAlignment="1">
      <alignment horizontal="left"/>
    </xf>
    <xf numFmtId="164" fontId="33" fillId="0" borderId="0" xfId="1" applyNumberFormat="1" applyFont="1"/>
    <xf numFmtId="164" fontId="39" fillId="0" borderId="0" xfId="1" applyNumberFormat="1" applyFont="1" applyAlignment="1">
      <alignment horizontal="left" indent="1"/>
    </xf>
    <xf numFmtId="44" fontId="34" fillId="17" borderId="0" xfId="2" applyFont="1" applyFill="1"/>
    <xf numFmtId="0" fontId="2" fillId="16" borderId="0" xfId="1" applyNumberFormat="1" applyFont="1" applyFill="1" applyAlignment="1">
      <alignment horizontal="center"/>
    </xf>
    <xf numFmtId="164" fontId="1" fillId="0" borderId="0" xfId="1" applyNumberFormat="1" applyFont="1" applyFill="1" applyAlignment="1">
      <alignment horizontal="left" indent="3"/>
    </xf>
    <xf numFmtId="164" fontId="1" fillId="0" borderId="0" xfId="1" applyNumberFormat="1" applyFont="1" applyAlignment="1">
      <alignment horizontal="left" indent="4"/>
    </xf>
    <xf numFmtId="44" fontId="22" fillId="16" borderId="0" xfId="2" applyFont="1" applyFill="1"/>
    <xf numFmtId="164" fontId="40" fillId="0" borderId="0" xfId="1" applyNumberFormat="1" applyFont="1" applyAlignment="1">
      <alignment horizontal="left" indent="4"/>
    </xf>
    <xf numFmtId="164" fontId="41" fillId="0" borderId="0" xfId="1" applyNumberFormat="1" applyFont="1" applyAlignment="1">
      <alignment horizontal="left"/>
    </xf>
    <xf numFmtId="43" fontId="30" fillId="13" borderId="0" xfId="1" applyFont="1" applyFill="1"/>
    <xf numFmtId="44" fontId="6" fillId="16" borderId="0" xfId="2" applyNumberFormat="1" applyFont="1" applyFill="1"/>
    <xf numFmtId="49" fontId="1" fillId="7" borderId="0" xfId="1" applyNumberFormat="1" applyFont="1" applyFill="1" applyAlignment="1">
      <alignment horizontal="right"/>
    </xf>
    <xf numFmtId="0" fontId="1" fillId="7" borderId="0" xfId="1" applyNumberFormat="1" applyFont="1" applyFill="1" applyAlignment="1">
      <alignment horizontal="center"/>
    </xf>
    <xf numFmtId="0" fontId="2" fillId="18" borderId="0" xfId="1" applyNumberFormat="1" applyFont="1" applyFill="1" applyAlignment="1">
      <alignment horizontal="center"/>
    </xf>
    <xf numFmtId="164" fontId="1" fillId="18" borderId="0" xfId="1" applyNumberFormat="1" applyFont="1" applyFill="1"/>
    <xf numFmtId="44" fontId="6" fillId="18" borderId="0" xfId="2" applyFont="1" applyFill="1"/>
    <xf numFmtId="164" fontId="42" fillId="0" borderId="0" xfId="1" applyNumberFormat="1" applyFont="1"/>
    <xf numFmtId="164" fontId="23" fillId="13" borderId="0" xfId="1" applyNumberFormat="1" applyFont="1" applyFill="1" applyAlignment="1">
      <alignment horizontal="left" vertical="top"/>
    </xf>
    <xf numFmtId="43" fontId="43" fillId="0" borderId="0" xfId="1" applyFont="1"/>
    <xf numFmtId="164" fontId="40" fillId="0" borderId="0" xfId="1" applyNumberFormat="1" applyFont="1" applyAlignment="1">
      <alignment horizontal="left"/>
    </xf>
    <xf numFmtId="164" fontId="43" fillId="0" borderId="0" xfId="1" applyNumberFormat="1" applyFont="1"/>
    <xf numFmtId="164" fontId="1" fillId="0" borderId="2" xfId="1" applyNumberFormat="1" applyFont="1" applyBorder="1"/>
    <xf numFmtId="44" fontId="1" fillId="16" borderId="2" xfId="2" applyFont="1" applyFill="1" applyBorder="1"/>
    <xf numFmtId="164" fontId="18" fillId="0" borderId="2" xfId="1" applyNumberFormat="1" applyFont="1" applyBorder="1"/>
    <xf numFmtId="44" fontId="18" fillId="16" borderId="0" xfId="2" applyFont="1" applyFill="1"/>
    <xf numFmtId="44" fontId="22" fillId="16" borderId="2" xfId="2" applyFont="1" applyFill="1" applyBorder="1"/>
    <xf numFmtId="49" fontId="1" fillId="14" borderId="0" xfId="1" applyNumberFormat="1" applyFont="1" applyFill="1" applyAlignment="1">
      <alignment horizontal="center"/>
    </xf>
    <xf numFmtId="49" fontId="2" fillId="0" borderId="0" xfId="1" applyNumberFormat="1" applyFont="1" applyAlignment="1">
      <alignment horizontal="center"/>
    </xf>
    <xf numFmtId="43" fontId="1" fillId="0" borderId="3" xfId="1" applyNumberFormat="1" applyFont="1" applyBorder="1"/>
    <xf numFmtId="164" fontId="23" fillId="0" borderId="10" xfId="1" applyNumberFormat="1" applyFont="1" applyBorder="1"/>
    <xf numFmtId="44" fontId="23" fillId="0" borderId="10" xfId="2" applyFont="1" applyBorder="1"/>
    <xf numFmtId="164" fontId="1" fillId="0" borderId="10" xfId="1" applyNumberFormat="1" applyFont="1" applyBorder="1"/>
    <xf numFmtId="44" fontId="3" fillId="0" borderId="3" xfId="2" applyFont="1" applyBorder="1"/>
    <xf numFmtId="164" fontId="30" fillId="0" borderId="3" xfId="1" applyNumberFormat="1" applyFont="1" applyBorder="1" applyAlignment="1">
      <alignment horizontal="left"/>
    </xf>
    <xf numFmtId="44" fontId="33" fillId="0" borderId="0" xfId="2" applyFont="1"/>
    <xf numFmtId="43" fontId="23" fillId="0" borderId="10" xfId="1" applyNumberFormat="1" applyFont="1" applyBorder="1"/>
    <xf numFmtId="164" fontId="30" fillId="0" borderId="0" xfId="1" applyNumberFormat="1" applyFont="1" applyFill="1" applyAlignment="1">
      <alignment horizontal="left"/>
    </xf>
    <xf numFmtId="43" fontId="23" fillId="0" borderId="0" xfId="1" applyNumberFormat="1" applyFont="1"/>
    <xf numFmtId="164" fontId="23" fillId="0" borderId="0" xfId="1" applyNumberFormat="1" applyFont="1" applyAlignment="1">
      <alignment horizontal="left" indent="4"/>
    </xf>
    <xf numFmtId="164" fontId="23" fillId="0" borderId="0" xfId="1" applyNumberFormat="1" applyFont="1" applyAlignment="1">
      <alignment horizontal="left" indent="3"/>
    </xf>
    <xf numFmtId="164" fontId="23" fillId="0" borderId="0" xfId="1" applyNumberFormat="1" applyFont="1" applyAlignment="1"/>
    <xf numFmtId="164" fontId="33" fillId="0" borderId="0" xfId="1" applyNumberFormat="1" applyFont="1" applyAlignment="1">
      <alignment horizontal="left"/>
    </xf>
    <xf numFmtId="164" fontId="42" fillId="0" borderId="0" xfId="1" applyNumberFormat="1" applyFont="1" applyAlignment="1">
      <alignment horizontal="left"/>
    </xf>
    <xf numFmtId="44" fontId="6" fillId="15" borderId="0" xfId="2" applyFont="1" applyFill="1" applyAlignment="1"/>
    <xf numFmtId="44" fontId="30" fillId="0" borderId="0" xfId="2" applyFont="1"/>
    <xf numFmtId="164" fontId="23" fillId="0" borderId="2" xfId="1" applyNumberFormat="1" applyFont="1" applyBorder="1" applyAlignment="1">
      <alignment horizontal="left" indent="3"/>
    </xf>
    <xf numFmtId="44" fontId="1" fillId="15" borderId="2" xfId="2" applyFont="1" applyFill="1" applyBorder="1"/>
    <xf numFmtId="164" fontId="1" fillId="0" borderId="0" xfId="1" applyNumberFormat="1" applyFont="1" applyAlignment="1">
      <alignment horizontal="center"/>
    </xf>
    <xf numFmtId="164" fontId="1" fillId="0" borderId="2" xfId="1" applyNumberFormat="1" applyFont="1" applyBorder="1" applyAlignment="1">
      <alignment horizontal="left" indent="3"/>
    </xf>
    <xf numFmtId="44" fontId="6" fillId="15" borderId="2" xfId="2" applyFont="1" applyFill="1" applyBorder="1"/>
    <xf numFmtId="164" fontId="23" fillId="0" borderId="3" xfId="1" applyNumberFormat="1" applyFont="1" applyBorder="1"/>
    <xf numFmtId="44" fontId="23" fillId="0" borderId="3" xfId="2" applyFont="1" applyBorder="1"/>
    <xf numFmtId="164" fontId="23" fillId="0" borderId="3" xfId="1" applyNumberFormat="1" applyFont="1" applyBorder="1" applyAlignment="1">
      <alignment horizontal="left" indent="3"/>
    </xf>
    <xf numFmtId="164" fontId="1" fillId="0" borderId="10" xfId="1" applyNumberFormat="1" applyFont="1" applyBorder="1" applyAlignment="1">
      <alignment horizontal="left" indent="3"/>
    </xf>
    <xf numFmtId="164" fontId="23" fillId="0" borderId="3" xfId="1" applyNumberFormat="1" applyFont="1" applyBorder="1" applyAlignment="1"/>
    <xf numFmtId="44" fontId="3" fillId="0" borderId="10" xfId="2" applyFont="1" applyBorder="1"/>
    <xf numFmtId="164" fontId="30" fillId="0" borderId="10" xfId="1" applyNumberFormat="1" applyFont="1" applyBorder="1"/>
    <xf numFmtId="164" fontId="23" fillId="0" borderId="10" xfId="1" applyNumberFormat="1" applyFont="1" applyBorder="1" applyAlignment="1">
      <alignment horizontal="left" indent="3"/>
    </xf>
    <xf numFmtId="164" fontId="3" fillId="0" borderId="0" xfId="1" applyNumberFormat="1" applyFont="1" applyAlignment="1">
      <alignment horizontal="left"/>
    </xf>
    <xf numFmtId="164" fontId="2" fillId="0" borderId="0" xfId="1" applyNumberFormat="1" applyFont="1" applyAlignment="1">
      <alignment horizontal="left"/>
    </xf>
    <xf numFmtId="44" fontId="23" fillId="0" borderId="2" xfId="2" applyFont="1" applyBorder="1"/>
    <xf numFmtId="44" fontId="6" fillId="16" borderId="2" xfId="2" applyFont="1" applyFill="1" applyBorder="1"/>
    <xf numFmtId="164" fontId="23" fillId="0" borderId="2" xfId="1" applyNumberFormat="1" applyFont="1" applyBorder="1" applyAlignment="1"/>
    <xf numFmtId="164" fontId="30" fillId="0" borderId="0" xfId="1" applyNumberFormat="1" applyFont="1" applyAlignment="1">
      <alignment horizontal="left" indent="1"/>
    </xf>
    <xf numFmtId="43" fontId="30" fillId="0" borderId="3" xfId="1" applyNumberFormat="1" applyFont="1" applyBorder="1"/>
    <xf numFmtId="43" fontId="23" fillId="0" borderId="3" xfId="1" applyNumberFormat="1" applyFont="1" applyBorder="1"/>
    <xf numFmtId="164" fontId="23" fillId="0" borderId="0" xfId="1" applyNumberFormat="1" applyFont="1" applyFill="1" applyAlignment="1">
      <alignment horizontal="left"/>
    </xf>
    <xf numFmtId="164" fontId="30" fillId="0" borderId="3" xfId="1" applyNumberFormat="1" applyFont="1" applyBorder="1"/>
    <xf numFmtId="164" fontId="3" fillId="0" borderId="3" xfId="1" applyNumberFormat="1" applyFont="1" applyBorder="1"/>
    <xf numFmtId="164" fontId="3" fillId="0" borderId="0" xfId="1" applyNumberFormat="1" applyFont="1" applyFill="1" applyAlignment="1">
      <alignment horizontal="left"/>
    </xf>
    <xf numFmtId="164" fontId="30" fillId="0" borderId="3" xfId="1" applyNumberFormat="1" applyFont="1" applyBorder="1" applyAlignment="1">
      <alignment horizontal="right"/>
    </xf>
    <xf numFmtId="43" fontId="30" fillId="0" borderId="10" xfId="1" applyNumberFormat="1" applyFont="1" applyBorder="1"/>
    <xf numFmtId="164" fontId="8" fillId="0" borderId="0" xfId="1" applyNumberFormat="1" applyFont="1" applyAlignment="1">
      <alignment horizontal="center"/>
    </xf>
    <xf numFmtId="44" fontId="3" fillId="9" borderId="0" xfId="2" applyFont="1" applyFill="1"/>
    <xf numFmtId="44" fontId="3" fillId="12" borderId="0" xfId="2" applyFont="1" applyFill="1"/>
    <xf numFmtId="164" fontId="23" fillId="13" borderId="0" xfId="1" applyNumberFormat="1" applyFont="1" applyFill="1"/>
    <xf numFmtId="44" fontId="3" fillId="16" borderId="0" xfId="2" applyFont="1" applyFill="1"/>
    <xf numFmtId="44" fontId="30" fillId="17" borderId="0" xfId="2" applyFont="1" applyFill="1"/>
    <xf numFmtId="44" fontId="3" fillId="15" borderId="0" xfId="2" applyFont="1" applyFill="1"/>
    <xf numFmtId="44" fontId="30" fillId="15" borderId="0" xfId="2" applyFont="1" applyFill="1"/>
    <xf numFmtId="164" fontId="23" fillId="0" borderId="0" xfId="1" applyNumberFormat="1" applyFont="1" applyFill="1"/>
    <xf numFmtId="44" fontId="33" fillId="0" borderId="3" xfId="2" applyFont="1" applyBorder="1"/>
    <xf numFmtId="44" fontId="33" fillId="0" borderId="0" xfId="2" applyFont="1" applyBorder="1"/>
    <xf numFmtId="43" fontId="2" fillId="8" borderId="3" xfId="1" applyNumberFormat="1" applyFont="1" applyFill="1" applyBorder="1"/>
    <xf numFmtId="164" fontId="44" fillId="0" borderId="0" xfId="1" applyNumberFormat="1" applyFont="1" applyFill="1"/>
    <xf numFmtId="43" fontId="3" fillId="0" borderId="0" xfId="1" applyNumberFormat="1" applyFont="1" applyFill="1" applyAlignment="1">
      <alignment horizontal="left"/>
    </xf>
    <xf numFmtId="164" fontId="45" fillId="0" borderId="0" xfId="1" applyNumberFormat="1" applyFont="1" applyAlignment="1">
      <alignment horizontal="left" wrapText="1"/>
    </xf>
    <xf numFmtId="43" fontId="30" fillId="0" borderId="0" xfId="1" applyNumberFormat="1" applyFont="1" applyAlignment="1">
      <alignment horizontal="left"/>
    </xf>
    <xf numFmtId="164" fontId="44" fillId="0" borderId="0" xfId="1" applyNumberFormat="1" applyFont="1"/>
    <xf numFmtId="43" fontId="3" fillId="0" borderId="0" xfId="1" applyNumberFormat="1" applyFont="1" applyAlignment="1">
      <alignment horizontal="left"/>
    </xf>
    <xf numFmtId="43" fontId="2" fillId="19" borderId="3" xfId="1" applyNumberFormat="1" applyFont="1" applyFill="1" applyBorder="1" applyAlignment="1">
      <alignment horizontal="left"/>
    </xf>
    <xf numFmtId="164" fontId="30" fillId="0" borderId="0" xfId="1" applyNumberFormat="1" applyFont="1" applyBorder="1"/>
    <xf numFmtId="43" fontId="3" fillId="0" borderId="10" xfId="1" applyNumberFormat="1" applyFont="1" applyBorder="1" applyAlignment="1">
      <alignment horizontal="left"/>
    </xf>
    <xf numFmtId="43" fontId="30" fillId="0" borderId="0" xfId="1" applyFont="1"/>
    <xf numFmtId="49" fontId="3" fillId="13" borderId="0" xfId="0" applyNumberFormat="1" applyFont="1" applyFill="1" applyAlignment="1">
      <alignment horizontal="right"/>
    </xf>
    <xf numFmtId="49" fontId="1" fillId="13" borderId="0" xfId="0" applyNumberFormat="1" applyFont="1" applyFill="1" applyAlignment="1">
      <alignment horizontal="right"/>
    </xf>
    <xf numFmtId="49" fontId="3" fillId="0" borderId="0" xfId="0" applyNumberFormat="1" applyFont="1" applyAlignment="1">
      <alignment horizontal="center"/>
    </xf>
    <xf numFmtId="43" fontId="3" fillId="0" borderId="0" xfId="1" applyNumberFormat="1" applyFont="1" applyBorder="1" applyAlignment="1">
      <alignment horizontal="left"/>
    </xf>
    <xf numFmtId="0" fontId="30" fillId="0" borderId="0" xfId="1" applyNumberFormat="1" applyFont="1"/>
    <xf numFmtId="49" fontId="3" fillId="4" borderId="0" xfId="0" applyNumberFormat="1" applyFont="1" applyFill="1" applyAlignment="1">
      <alignment horizontal="center"/>
    </xf>
    <xf numFmtId="49" fontId="3" fillId="0" borderId="0" xfId="0" applyNumberFormat="1" applyFont="1" applyFill="1" applyAlignment="1">
      <alignment horizontal="right"/>
    </xf>
    <xf numFmtId="164" fontId="1" fillId="0" borderId="1" xfId="1" applyNumberFormat="1" applyFont="1" applyBorder="1" applyAlignment="1">
      <alignment horizontal="center" vertical="top"/>
    </xf>
    <xf numFmtId="164" fontId="30" fillId="0" borderId="1" xfId="1" applyNumberFormat="1" applyFont="1" applyBorder="1"/>
    <xf numFmtId="49" fontId="1" fillId="0" borderId="0" xfId="0" applyNumberFormat="1" applyFont="1" applyFill="1" applyAlignment="1">
      <alignment horizontal="right"/>
    </xf>
    <xf numFmtId="49" fontId="3" fillId="0" borderId="0" xfId="0" applyNumberFormat="1" applyFont="1" applyFill="1" applyAlignment="1">
      <alignment horizontal="center"/>
    </xf>
    <xf numFmtId="164" fontId="23" fillId="0" borderId="0" xfId="1" applyNumberFormat="1" applyFont="1" applyAlignment="1">
      <alignment horizontal="right"/>
    </xf>
    <xf numFmtId="43" fontId="3" fillId="0" borderId="0" xfId="1" applyFont="1" applyFill="1"/>
    <xf numFmtId="43" fontId="3" fillId="0" borderId="10" xfId="1" applyNumberFormat="1" applyFont="1" applyBorder="1" applyAlignment="1">
      <alignment vertical="center"/>
    </xf>
    <xf numFmtId="164" fontId="3" fillId="0" borderId="0" xfId="1" applyNumberFormat="1" applyFont="1" applyBorder="1"/>
    <xf numFmtId="43" fontId="3" fillId="0" borderId="0" xfId="1" applyNumberFormat="1" applyFont="1" applyBorder="1"/>
    <xf numFmtId="0" fontId="1" fillId="0" borderId="0" xfId="3"/>
    <xf numFmtId="0" fontId="1" fillId="0" borderId="0" xfId="3" applyFill="1"/>
    <xf numFmtId="164" fontId="30" fillId="0" borderId="0" xfId="4" applyNumberFormat="1" applyFont="1" applyFill="1"/>
    <xf numFmtId="0" fontId="1" fillId="0" borderId="0" xfId="3" applyFill="1" applyAlignment="1">
      <alignment horizontal="center"/>
    </xf>
    <xf numFmtId="44" fontId="1" fillId="0" borderId="0" xfId="3" applyNumberFormat="1" applyFill="1"/>
    <xf numFmtId="0" fontId="22" fillId="0" borderId="0" xfId="3" applyFont="1" applyFill="1" applyAlignment="1">
      <alignment horizontal="center"/>
    </xf>
    <xf numFmtId="0" fontId="22" fillId="0" borderId="9" xfId="3" applyFont="1" applyFill="1" applyBorder="1" applyAlignment="1">
      <alignment horizontal="center"/>
    </xf>
    <xf numFmtId="0" fontId="3" fillId="0" borderId="0" xfId="3" applyFont="1" applyFill="1" applyAlignment="1">
      <alignment horizontal="right"/>
    </xf>
    <xf numFmtId="44" fontId="3" fillId="0" borderId="0" xfId="3" applyNumberFormat="1" applyFont="1" applyFill="1" applyAlignment="1">
      <alignment horizontal="right"/>
    </xf>
    <xf numFmtId="164" fontId="1" fillId="0" borderId="0" xfId="4" applyNumberFormat="1" applyFont="1" applyFill="1"/>
    <xf numFmtId="44" fontId="3" fillId="0" borderId="0" xfId="3" applyNumberFormat="1" applyFont="1" applyFill="1"/>
    <xf numFmtId="44" fontId="3" fillId="0" borderId="4" xfId="3" applyNumberFormat="1" applyFont="1" applyFill="1" applyBorder="1"/>
    <xf numFmtId="0" fontId="3" fillId="0" borderId="0" xfId="3" applyFont="1" applyFill="1"/>
    <xf numFmtId="49" fontId="32" fillId="0" borderId="4" xfId="3" applyNumberFormat="1" applyFont="1" applyFill="1" applyBorder="1" applyAlignment="1">
      <alignment horizontal="center"/>
    </xf>
    <xf numFmtId="49" fontId="32" fillId="0" borderId="0" xfId="3" applyNumberFormat="1" applyFont="1" applyFill="1" applyAlignment="1">
      <alignment horizontal="center"/>
    </xf>
    <xf numFmtId="44" fontId="22" fillId="0" borderId="4" xfId="3" applyNumberFormat="1" applyFont="1" applyFill="1" applyBorder="1" applyAlignment="1">
      <alignment horizontal="center"/>
    </xf>
    <xf numFmtId="44" fontId="3" fillId="0" borderId="7" xfId="3" applyNumberFormat="1" applyFont="1" applyFill="1" applyBorder="1" applyAlignment="1">
      <alignment horizontal="left"/>
    </xf>
    <xf numFmtId="44" fontId="3" fillId="0" borderId="0" xfId="3" applyNumberFormat="1" applyFont="1" applyFill="1" applyAlignment="1">
      <alignment horizontal="center"/>
    </xf>
    <xf numFmtId="0" fontId="3" fillId="0" borderId="4" xfId="3" applyFont="1" applyFill="1" applyBorder="1"/>
    <xf numFmtId="0" fontId="3" fillId="0" borderId="7" xfId="3" applyFont="1" applyFill="1" applyBorder="1"/>
    <xf numFmtId="44" fontId="2" fillId="0" borderId="3" xfId="3" applyNumberFormat="1" applyFont="1" applyFill="1" applyBorder="1"/>
    <xf numFmtId="44" fontId="2" fillId="0" borderId="8" xfId="3" applyNumberFormat="1" applyFont="1" applyFill="1" applyBorder="1"/>
    <xf numFmtId="0" fontId="8" fillId="0" borderId="3" xfId="3" applyFont="1" applyFill="1" applyBorder="1"/>
    <xf numFmtId="0" fontId="2" fillId="0" borderId="3" xfId="3" applyFont="1" applyFill="1" applyBorder="1" applyAlignment="1">
      <alignment horizontal="left" indent="1"/>
    </xf>
    <xf numFmtId="44" fontId="3" fillId="0" borderId="0" xfId="5" applyFont="1" applyFill="1"/>
    <xf numFmtId="44" fontId="3" fillId="0" borderId="4" xfId="5" applyFont="1" applyFill="1" applyBorder="1"/>
    <xf numFmtId="0" fontId="3" fillId="0" borderId="2" xfId="3" applyFont="1" applyFill="1" applyBorder="1" applyAlignment="1">
      <alignment horizontal="left" indent="1"/>
    </xf>
    <xf numFmtId="44" fontId="3" fillId="0" borderId="0" xfId="5" applyFont="1" applyFill="1" applyBorder="1"/>
    <xf numFmtId="0" fontId="3" fillId="0" borderId="0" xfId="5" applyNumberFormat="1" applyFont="1" applyFill="1" applyBorder="1" applyAlignment="1">
      <alignment horizontal="left"/>
    </xf>
    <xf numFmtId="44" fontId="3" fillId="0" borderId="7" xfId="5" applyFont="1" applyFill="1" applyBorder="1"/>
    <xf numFmtId="0" fontId="3" fillId="0" borderId="0" xfId="3" applyFont="1" applyFill="1" applyAlignment="1">
      <alignment horizontal="left" indent="1"/>
    </xf>
    <xf numFmtId="44" fontId="3" fillId="0" borderId="6" xfId="5" applyFont="1" applyFill="1" applyBorder="1"/>
    <xf numFmtId="44" fontId="3" fillId="0" borderId="2" xfId="3" applyNumberFormat="1" applyFont="1" applyFill="1" applyBorder="1"/>
    <xf numFmtId="44" fontId="3" fillId="0" borderId="5" xfId="5" applyFont="1" applyFill="1" applyBorder="1"/>
    <xf numFmtId="44" fontId="3" fillId="0" borderId="2" xfId="5" applyFont="1" applyFill="1" applyBorder="1"/>
    <xf numFmtId="44" fontId="3" fillId="0" borderId="0" xfId="3" applyNumberFormat="1" applyFont="1" applyFill="1" applyBorder="1" applyAlignment="1">
      <alignment horizontal="center"/>
    </xf>
    <xf numFmtId="44" fontId="3" fillId="0" borderId="4" xfId="3" applyNumberFormat="1" applyFont="1" applyFill="1" applyBorder="1" applyAlignment="1">
      <alignment horizontal="center"/>
    </xf>
    <xf numFmtId="0" fontId="3" fillId="0" borderId="2" xfId="3" applyFont="1" applyFill="1" applyBorder="1" applyAlignment="1">
      <alignment horizontal="center"/>
    </xf>
    <xf numFmtId="0" fontId="3" fillId="0" borderId="5" xfId="3" applyFont="1" applyFill="1" applyBorder="1" applyAlignment="1">
      <alignment horizontal="center"/>
    </xf>
    <xf numFmtId="0" fontId="8" fillId="0" borderId="2" xfId="3" applyFont="1" applyFill="1" applyBorder="1"/>
    <xf numFmtId="0" fontId="32" fillId="0" borderId="0" xfId="3" applyFont="1" applyFill="1" applyBorder="1" applyAlignment="1">
      <alignment horizontal="center"/>
    </xf>
    <xf numFmtId="0" fontId="32" fillId="0" borderId="4" xfId="3" applyFont="1" applyFill="1" applyBorder="1" applyAlignment="1">
      <alignment horizontal="center"/>
    </xf>
    <xf numFmtId="0" fontId="1" fillId="0" borderId="2" xfId="3" applyFill="1" applyBorder="1" applyAlignment="1">
      <alignment horizontal="center"/>
    </xf>
    <xf numFmtId="0" fontId="1" fillId="0" borderId="1" xfId="3" applyFill="1" applyBorder="1" applyAlignment="1">
      <alignment horizontal="center"/>
    </xf>
    <xf numFmtId="0" fontId="1" fillId="0" borderId="2" xfId="3" applyFill="1" applyBorder="1" applyAlignment="1">
      <alignment horizontal="center"/>
    </xf>
    <xf numFmtId="169" fontId="31" fillId="0" borderId="0" xfId="3" applyNumberFormat="1" applyFont="1" applyFill="1" applyBorder="1" applyAlignment="1"/>
    <xf numFmtId="169" fontId="31" fillId="0" borderId="0" xfId="3" applyNumberFormat="1" applyFont="1" applyFill="1" applyBorder="1" applyAlignment="1">
      <alignment horizontal="left"/>
    </xf>
    <xf numFmtId="0" fontId="31" fillId="0" borderId="0" xfId="3" applyFont="1" applyFill="1" applyAlignment="1">
      <alignment horizontal="left" indent="1"/>
    </xf>
    <xf numFmtId="0" fontId="8" fillId="0" borderId="0" xfId="3" applyFont="1" applyFill="1" applyAlignment="1">
      <alignment horizontal="center" vertical="center"/>
    </xf>
    <xf numFmtId="0" fontId="31" fillId="0" borderId="0" xfId="3" applyFont="1" applyFill="1" applyAlignment="1">
      <alignment horizontal="right"/>
    </xf>
    <xf numFmtId="0" fontId="31" fillId="0" borderId="0" xfId="3" applyFont="1" applyFill="1" applyAlignment="1"/>
  </cellXfs>
  <cellStyles count="6">
    <cellStyle name="Comma" xfId="1" builtinId="3"/>
    <cellStyle name="Comma 3" xfId="4" xr:uid="{C8C39052-FD0E-46B9-BCFF-A7C7F4D5EA6F}"/>
    <cellStyle name="Currency" xfId="2" builtinId="4"/>
    <cellStyle name="Currency 3" xfId="5" xr:uid="{9DC31C3B-9756-4F5B-A8F5-A75874E10A31}"/>
    <cellStyle name="Normal" xfId="0" builtinId="0"/>
    <cellStyle name="Normal 3" xfId="3" xr:uid="{728F524A-FA19-45D8-A3CE-8A4B8B69B13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ept\Rates\Deferrals%202018\6-2018\Core%20GC%20Allocations%206-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arah.volk/Application%20Data/Microsoft/Excel/11-2010%20Core%20Billed%20Therm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am%20Files/Microsoft%20Office/Office14/Library/GSI_SSJDE.xla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ept\Rates\Deferrals%202018\6-2018\WA\UG-171010%20CNGC%20Monthly%20PGA%20Rpt%20June%202018,%207.23.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 11-2013 Rates"/>
      <sheetName val="WA 11-2014 Rates"/>
      <sheetName val="OR 11-2013 Rates"/>
      <sheetName val="JE"/>
      <sheetName val="WA Deferrals"/>
      <sheetName val="OR Old Rates"/>
      <sheetName val="OR Deferrals"/>
      <sheetName val="WA Rates Old Rates"/>
      <sheetName val="WA Rates"/>
      <sheetName val="OR Rates 2015"/>
      <sheetName val="OR Deferrals Incl true-up 2"/>
      <sheetName val="OR Rates Old Rates"/>
      <sheetName val="OR Rates"/>
      <sheetName val="Core Cost Incurred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>
        <row r="48">
          <cell r="J48">
            <v>2316877.9799999995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>
        <row r="2">
          <cell r="A2">
            <v>43276</v>
          </cell>
        </row>
        <row r="42">
          <cell r="J42">
            <v>1711839.9000000001</v>
          </cell>
        </row>
        <row r="43">
          <cell r="J43">
            <v>3665648.25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re Billed Therms "/>
      <sheetName val="Bill Freq Sum"/>
    </sheetNames>
    <sheetDataSet>
      <sheetData sheetId="0">
        <row r="12">
          <cell r="J12">
            <v>0</v>
          </cell>
        </row>
        <row r="88">
          <cell r="J88">
            <v>0</v>
          </cell>
        </row>
      </sheetData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GSI_SSJDE"/>
    </sheetNames>
    <definedNames>
      <definedName name="SSGXA4"/>
    </definedNames>
    <sheetDataSet>
      <sheetData sheetId="0"/>
      <sheetData sheetId="1"/>
      <sheetData sheetId="2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 01253"/>
      <sheetName val="DG 01254"/>
      <sheetName val="DG 01286"/>
      <sheetName val="DEFERRALS"/>
      <sheetName val="RA 1860.20479"/>
      <sheetName val="RA 20430"/>
      <sheetName val="RA 20431"/>
      <sheetName val="RA 20444"/>
      <sheetName val="RA 20449"/>
      <sheetName val="RA 20477"/>
      <sheetName val="RA 1862.20478"/>
      <sheetName val="FERC Interest Rates"/>
      <sheetName val="Therm Sa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10">
          <cell r="A10">
            <v>41305</v>
          </cell>
          <cell r="B10">
            <v>3.2500000000000001E-2</v>
          </cell>
          <cell r="C10">
            <v>31</v>
          </cell>
        </row>
        <row r="11">
          <cell r="A11">
            <v>41333</v>
          </cell>
          <cell r="B11">
            <v>3.2500000000000001E-2</v>
          </cell>
          <cell r="C11">
            <v>28</v>
          </cell>
        </row>
        <row r="12">
          <cell r="A12">
            <v>41364</v>
          </cell>
          <cell r="B12">
            <v>3.2500000000000001E-2</v>
          </cell>
          <cell r="C12">
            <v>31</v>
          </cell>
        </row>
        <row r="13">
          <cell r="A13">
            <v>41394</v>
          </cell>
          <cell r="B13">
            <v>3.2500000000000001E-2</v>
          </cell>
          <cell r="C13">
            <v>30</v>
          </cell>
        </row>
        <row r="14">
          <cell r="A14">
            <v>41425</v>
          </cell>
          <cell r="B14">
            <v>3.2500000000000001E-2</v>
          </cell>
          <cell r="C14">
            <v>31</v>
          </cell>
        </row>
        <row r="15">
          <cell r="A15">
            <v>41455</v>
          </cell>
          <cell r="B15">
            <v>3.2500000000000001E-2</v>
          </cell>
          <cell r="C15">
            <v>30</v>
          </cell>
        </row>
        <row r="16">
          <cell r="A16">
            <v>41486</v>
          </cell>
          <cell r="B16">
            <v>3.2500000000000001E-2</v>
          </cell>
          <cell r="C16">
            <v>31</v>
          </cell>
        </row>
        <row r="17">
          <cell r="A17">
            <v>41517</v>
          </cell>
          <cell r="B17">
            <v>3.2500000000000001E-2</v>
          </cell>
          <cell r="C17">
            <v>31</v>
          </cell>
        </row>
        <row r="18">
          <cell r="A18">
            <v>41547</v>
          </cell>
          <cell r="B18">
            <v>3.2500000000000001E-2</v>
          </cell>
          <cell r="C18">
            <v>30</v>
          </cell>
        </row>
        <row r="19">
          <cell r="A19">
            <v>41578</v>
          </cell>
          <cell r="B19">
            <v>3.2500000000000001E-2</v>
          </cell>
          <cell r="C19">
            <v>31</v>
          </cell>
        </row>
        <row r="20">
          <cell r="A20">
            <v>41608</v>
          </cell>
          <cell r="B20">
            <v>3.2500000000000001E-2</v>
          </cell>
          <cell r="C20">
            <v>30</v>
          </cell>
        </row>
        <row r="21">
          <cell r="A21">
            <v>41639</v>
          </cell>
          <cell r="B21">
            <v>3.2500000000000001E-2</v>
          </cell>
          <cell r="C21">
            <v>31</v>
          </cell>
        </row>
        <row r="22">
          <cell r="A22">
            <v>41670</v>
          </cell>
          <cell r="B22">
            <v>3.2500000000000001E-2</v>
          </cell>
          <cell r="C22">
            <v>31</v>
          </cell>
        </row>
        <row r="23">
          <cell r="A23">
            <v>41698</v>
          </cell>
          <cell r="B23">
            <v>3.2500000000000001E-2</v>
          </cell>
          <cell r="C23">
            <v>28</v>
          </cell>
        </row>
        <row r="24">
          <cell r="A24">
            <v>41729</v>
          </cell>
          <cell r="B24">
            <v>3.2500000000000001E-2</v>
          </cell>
          <cell r="C24">
            <v>31</v>
          </cell>
        </row>
        <row r="25">
          <cell r="A25">
            <v>41759</v>
          </cell>
          <cell r="B25">
            <v>3.2500000000000001E-2</v>
          </cell>
          <cell r="C25">
            <v>30</v>
          </cell>
        </row>
        <row r="26">
          <cell r="A26">
            <v>41790</v>
          </cell>
          <cell r="B26">
            <v>3.2500000000000001E-2</v>
          </cell>
          <cell r="C26">
            <v>31</v>
          </cell>
        </row>
        <row r="27">
          <cell r="A27">
            <v>41820</v>
          </cell>
          <cell r="B27">
            <v>3.2500000000000001E-2</v>
          </cell>
          <cell r="C27">
            <v>30</v>
          </cell>
        </row>
        <row r="28">
          <cell r="A28">
            <v>41851</v>
          </cell>
          <cell r="B28">
            <v>3.2500000000000001E-2</v>
          </cell>
          <cell r="C28">
            <v>31</v>
          </cell>
        </row>
        <row r="29">
          <cell r="A29">
            <v>41882</v>
          </cell>
          <cell r="B29">
            <v>3.2500000000000001E-2</v>
          </cell>
          <cell r="C29">
            <v>31</v>
          </cell>
        </row>
        <row r="30">
          <cell r="A30">
            <v>41912</v>
          </cell>
          <cell r="B30">
            <v>3.2500000000000001E-2</v>
          </cell>
          <cell r="C30">
            <v>30</v>
          </cell>
        </row>
        <row r="31">
          <cell r="A31">
            <v>41943</v>
          </cell>
          <cell r="B31">
            <v>3.2500000000000001E-2</v>
          </cell>
          <cell r="C31">
            <v>31</v>
          </cell>
        </row>
        <row r="32">
          <cell r="A32">
            <v>41973</v>
          </cell>
          <cell r="B32">
            <v>3.2500000000000001E-2</v>
          </cell>
          <cell r="C32">
            <v>30</v>
          </cell>
        </row>
        <row r="33">
          <cell r="A33">
            <v>42004</v>
          </cell>
          <cell r="B33">
            <v>3.2500000000000001E-2</v>
          </cell>
          <cell r="C33">
            <v>31</v>
          </cell>
        </row>
        <row r="34">
          <cell r="A34">
            <v>42035</v>
          </cell>
          <cell r="B34">
            <v>3.2500000000000001E-2</v>
          </cell>
          <cell r="C34">
            <v>31</v>
          </cell>
        </row>
        <row r="35">
          <cell r="A35">
            <v>42063</v>
          </cell>
          <cell r="B35">
            <v>3.2500000000000001E-2</v>
          </cell>
          <cell r="C35">
            <v>28</v>
          </cell>
        </row>
        <row r="36">
          <cell r="A36">
            <v>42094</v>
          </cell>
          <cell r="B36">
            <v>3.2500000000000001E-2</v>
          </cell>
          <cell r="C36">
            <v>31</v>
          </cell>
        </row>
        <row r="37">
          <cell r="A37">
            <v>42124</v>
          </cell>
          <cell r="B37">
            <v>3.2500000000000001E-2</v>
          </cell>
          <cell r="C37">
            <v>30</v>
          </cell>
        </row>
        <row r="38">
          <cell r="A38">
            <v>42155</v>
          </cell>
          <cell r="B38">
            <v>3.2500000000000001E-2</v>
          </cell>
          <cell r="C38">
            <v>31</v>
          </cell>
        </row>
        <row r="39">
          <cell r="A39">
            <v>42185</v>
          </cell>
          <cell r="B39">
            <v>3.2500000000000001E-2</v>
          </cell>
          <cell r="C39">
            <v>30</v>
          </cell>
        </row>
        <row r="40">
          <cell r="A40">
            <v>42216</v>
          </cell>
          <cell r="B40">
            <v>3.2500000000000001E-2</v>
          </cell>
          <cell r="C40">
            <v>31</v>
          </cell>
        </row>
        <row r="41">
          <cell r="A41">
            <v>42247</v>
          </cell>
          <cell r="B41">
            <v>3.2500000000000001E-2</v>
          </cell>
          <cell r="C41">
            <v>31</v>
          </cell>
        </row>
        <row r="42">
          <cell r="A42">
            <v>42277</v>
          </cell>
          <cell r="B42">
            <v>3.2500000000000001E-2</v>
          </cell>
          <cell r="C42">
            <v>30</v>
          </cell>
        </row>
        <row r="43">
          <cell r="A43">
            <v>42308</v>
          </cell>
          <cell r="B43">
            <v>3.2500000000000001E-2</v>
          </cell>
          <cell r="C43">
            <v>31</v>
          </cell>
        </row>
        <row r="44">
          <cell r="A44">
            <v>42338</v>
          </cell>
          <cell r="B44">
            <v>3.2500000000000001E-2</v>
          </cell>
          <cell r="C44">
            <v>30</v>
          </cell>
        </row>
        <row r="45">
          <cell r="A45">
            <v>42369</v>
          </cell>
          <cell r="B45">
            <v>3.2500000000000001E-2</v>
          </cell>
          <cell r="C45">
            <v>31</v>
          </cell>
        </row>
        <row r="46">
          <cell r="A46">
            <v>42400</v>
          </cell>
          <cell r="B46">
            <v>3.2500000000000001E-2</v>
          </cell>
          <cell r="C46">
            <v>31</v>
          </cell>
        </row>
        <row r="47">
          <cell r="A47">
            <v>42429</v>
          </cell>
          <cell r="B47">
            <v>3.2500000000000001E-2</v>
          </cell>
          <cell r="C47">
            <v>29</v>
          </cell>
        </row>
        <row r="48">
          <cell r="A48">
            <v>42460</v>
          </cell>
          <cell r="B48">
            <v>3.2500000000000001E-2</v>
          </cell>
          <cell r="C48">
            <v>31</v>
          </cell>
        </row>
        <row r="49">
          <cell r="A49">
            <v>42490</v>
          </cell>
          <cell r="B49">
            <v>3.4599999999999999E-2</v>
          </cell>
          <cell r="C49">
            <v>30</v>
          </cell>
        </row>
        <row r="50">
          <cell r="A50">
            <v>42521</v>
          </cell>
          <cell r="B50">
            <v>3.4599999999999999E-2</v>
          </cell>
          <cell r="C50">
            <v>31</v>
          </cell>
        </row>
        <row r="51">
          <cell r="A51">
            <v>42551</v>
          </cell>
          <cell r="B51">
            <v>3.4599999999999999E-2</v>
          </cell>
          <cell r="C51">
            <v>30</v>
          </cell>
        </row>
        <row r="52">
          <cell r="A52">
            <v>42582</v>
          </cell>
          <cell r="B52">
            <v>3.5000000000000003E-2</v>
          </cell>
          <cell r="C52">
            <v>31</v>
          </cell>
        </row>
        <row r="53">
          <cell r="A53">
            <v>42613</v>
          </cell>
          <cell r="B53">
            <v>3.5000000000000003E-2</v>
          </cell>
          <cell r="C53">
            <v>31</v>
          </cell>
        </row>
        <row r="54">
          <cell r="A54">
            <v>42643</v>
          </cell>
          <cell r="B54">
            <v>3.5000000000000003E-2</v>
          </cell>
          <cell r="C54">
            <v>30</v>
          </cell>
        </row>
        <row r="55">
          <cell r="A55">
            <v>42674</v>
          </cell>
          <cell r="B55">
            <v>3.5000000000000003E-2</v>
          </cell>
          <cell r="C55">
            <v>31</v>
          </cell>
        </row>
        <row r="56">
          <cell r="A56">
            <v>42704</v>
          </cell>
          <cell r="B56">
            <v>3.5000000000000003E-2</v>
          </cell>
          <cell r="C56">
            <v>30</v>
          </cell>
        </row>
        <row r="57">
          <cell r="A57">
            <v>42735</v>
          </cell>
          <cell r="B57">
            <v>3.5000000000000003E-2</v>
          </cell>
          <cell r="C57">
            <v>31</v>
          </cell>
        </row>
        <row r="58">
          <cell r="A58">
            <v>42766</v>
          </cell>
          <cell r="B58">
            <v>3.5000000000000003E-2</v>
          </cell>
          <cell r="C58">
            <v>31</v>
          </cell>
        </row>
        <row r="59">
          <cell r="A59">
            <v>42794</v>
          </cell>
          <cell r="B59">
            <v>3.5000000000000003E-2</v>
          </cell>
          <cell r="C59">
            <v>28</v>
          </cell>
        </row>
        <row r="60">
          <cell r="A60">
            <v>42825</v>
          </cell>
          <cell r="B60">
            <v>3.5000000000000003E-2</v>
          </cell>
          <cell r="C60">
            <v>31</v>
          </cell>
        </row>
        <row r="61">
          <cell r="A61">
            <v>42855</v>
          </cell>
          <cell r="B61">
            <v>3.7100000000000001E-2</v>
          </cell>
          <cell r="C61">
            <v>30</v>
          </cell>
        </row>
        <row r="62">
          <cell r="A62">
            <v>42886</v>
          </cell>
          <cell r="B62">
            <v>3.7100000000000001E-2</v>
          </cell>
          <cell r="C62">
            <v>31</v>
          </cell>
        </row>
        <row r="63">
          <cell r="A63">
            <v>42916</v>
          </cell>
          <cell r="B63">
            <v>3.7100000000000001E-2</v>
          </cell>
          <cell r="C63">
            <v>30</v>
          </cell>
        </row>
        <row r="64">
          <cell r="A64">
            <v>42947</v>
          </cell>
          <cell r="B64">
            <v>3.9600000000000003E-2</v>
          </cell>
          <cell r="C64">
            <v>31</v>
          </cell>
        </row>
        <row r="65">
          <cell r="A65">
            <v>42978</v>
          </cell>
          <cell r="B65">
            <v>3.9600000000000003E-2</v>
          </cell>
          <cell r="C65">
            <v>31</v>
          </cell>
        </row>
        <row r="66">
          <cell r="A66">
            <v>43008</v>
          </cell>
          <cell r="B66">
            <v>3.9600000000000003E-2</v>
          </cell>
          <cell r="C66">
            <v>30</v>
          </cell>
        </row>
        <row r="67">
          <cell r="A67">
            <v>43039</v>
          </cell>
          <cell r="B67">
            <v>4.2099999999999999E-2</v>
          </cell>
          <cell r="C67">
            <v>31</v>
          </cell>
        </row>
        <row r="68">
          <cell r="A68">
            <v>43069</v>
          </cell>
          <cell r="B68">
            <v>4.2099999999999999E-2</v>
          </cell>
          <cell r="C68">
            <v>30</v>
          </cell>
        </row>
        <row r="69">
          <cell r="A69">
            <v>43100</v>
          </cell>
          <cell r="B69">
            <v>4.2099999999999999E-2</v>
          </cell>
          <cell r="C69">
            <v>31</v>
          </cell>
        </row>
        <row r="70">
          <cell r="A70">
            <v>43131</v>
          </cell>
          <cell r="B70">
            <v>4.2500000000000003E-2</v>
          </cell>
          <cell r="C70">
            <v>31</v>
          </cell>
        </row>
        <row r="71">
          <cell r="A71">
            <v>43159</v>
          </cell>
          <cell r="B71">
            <v>4.2500000000000003E-2</v>
          </cell>
          <cell r="C71">
            <v>28</v>
          </cell>
        </row>
        <row r="72">
          <cell r="A72">
            <v>43190</v>
          </cell>
          <cell r="B72">
            <v>4.2500000000000003E-2</v>
          </cell>
          <cell r="C72">
            <v>31</v>
          </cell>
        </row>
        <row r="73">
          <cell r="A73">
            <v>43220</v>
          </cell>
          <cell r="B73">
            <v>4.4699999999999997E-2</v>
          </cell>
          <cell r="C73">
            <v>30</v>
          </cell>
        </row>
        <row r="74">
          <cell r="A74">
            <v>43251</v>
          </cell>
          <cell r="B74">
            <v>4.4699999999999997E-2</v>
          </cell>
          <cell r="C74">
            <v>31</v>
          </cell>
        </row>
        <row r="75">
          <cell r="A75">
            <v>43281</v>
          </cell>
          <cell r="B75">
            <v>4.4699999999999997E-2</v>
          </cell>
          <cell r="C75">
            <v>30</v>
          </cell>
        </row>
        <row r="76">
          <cell r="A76">
            <v>43312</v>
          </cell>
          <cell r="B76">
            <v>4.4699999999999997E-2</v>
          </cell>
          <cell r="C76">
            <v>31</v>
          </cell>
        </row>
        <row r="77">
          <cell r="A77">
            <v>43343</v>
          </cell>
          <cell r="B77">
            <v>4.4699999999999997E-2</v>
          </cell>
          <cell r="C77">
            <v>31</v>
          </cell>
        </row>
        <row r="78">
          <cell r="A78">
            <v>43373</v>
          </cell>
          <cell r="B78">
            <v>4.4699999999999997E-2</v>
          </cell>
          <cell r="C78">
            <v>30</v>
          </cell>
        </row>
        <row r="79">
          <cell r="A79">
            <v>43404</v>
          </cell>
          <cell r="B79">
            <v>4.4699999999999997E-2</v>
          </cell>
          <cell r="C79">
            <v>31</v>
          </cell>
        </row>
        <row r="80">
          <cell r="A80">
            <v>43434</v>
          </cell>
          <cell r="B80">
            <v>4.4699999999999997E-2</v>
          </cell>
          <cell r="C80">
            <v>30</v>
          </cell>
        </row>
        <row r="81">
          <cell r="A81">
            <v>43465</v>
          </cell>
          <cell r="B81">
            <v>4.4699999999999997E-2</v>
          </cell>
          <cell r="C81">
            <v>31</v>
          </cell>
        </row>
      </sheetData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E488EA-1D68-4DCE-9AF3-DA9CE3BA5361}">
  <dimension ref="A1:AI112"/>
  <sheetViews>
    <sheetView showGridLines="0" tabSelected="1" zoomScale="70" zoomScaleNormal="70" workbookViewId="0">
      <selection activeCell="G50" sqref="G50"/>
    </sheetView>
  </sheetViews>
  <sheetFormatPr defaultRowHeight="12.75" x14ac:dyDescent="0.2"/>
  <cols>
    <col min="1" max="1" width="21.7109375" style="15" customWidth="1"/>
    <col min="2" max="2" width="26.140625" style="16" customWidth="1"/>
    <col min="3" max="3" width="3.5703125" style="18" bestFit="1" customWidth="1"/>
    <col min="4" max="4" width="4" style="18" bestFit="1" customWidth="1"/>
    <col min="5" max="5" width="13.7109375" style="18" customWidth="1"/>
    <col min="6" max="6" width="15" style="48" bestFit="1" customWidth="1"/>
    <col min="7" max="7" width="12.140625" style="32" customWidth="1"/>
    <col min="8" max="8" width="11.85546875" style="32" bestFit="1" customWidth="1"/>
    <col min="9" max="9" width="14" style="32" bestFit="1" customWidth="1"/>
    <col min="10" max="11" width="16.140625" style="32" bestFit="1" customWidth="1"/>
    <col min="12" max="12" width="14.5703125" style="32" bestFit="1" customWidth="1"/>
    <col min="13" max="13" width="16.85546875" style="32" bestFit="1" customWidth="1"/>
    <col min="14" max="14" width="1.7109375" customWidth="1"/>
    <col min="15" max="15" width="15.5703125" bestFit="1" customWidth="1"/>
    <col min="16" max="26" width="9.7109375" customWidth="1"/>
    <col min="27" max="27" width="25.28515625" customWidth="1"/>
    <col min="28" max="28" width="19.28515625" bestFit="1" customWidth="1"/>
    <col min="29" max="29" width="11.42578125" bestFit="1" customWidth="1"/>
    <col min="30" max="30" width="17" bestFit="1" customWidth="1"/>
    <col min="31" max="31" width="14.7109375" customWidth="1"/>
    <col min="33" max="33" width="17" bestFit="1" customWidth="1"/>
    <col min="34" max="34" width="13.85546875" bestFit="1" customWidth="1"/>
    <col min="35" max="35" width="31.7109375" customWidth="1"/>
  </cols>
  <sheetData>
    <row r="1" spans="1:35" ht="14.25" customHeight="1" x14ac:dyDescent="0.2">
      <c r="A1" s="68" t="s">
        <v>119</v>
      </c>
      <c r="B1" s="86"/>
      <c r="D1" s="80" t="s">
        <v>91</v>
      </c>
      <c r="E1" s="80"/>
      <c r="F1" s="80"/>
      <c r="G1" s="80"/>
      <c r="H1" s="80"/>
      <c r="I1" s="80"/>
      <c r="J1" s="80"/>
      <c r="K1" s="2"/>
      <c r="L1" s="2"/>
      <c r="M1" s="2"/>
      <c r="N1" s="2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</row>
    <row r="2" spans="1:35" ht="14.25" customHeight="1" x14ac:dyDescent="0.25">
      <c r="A2" s="68" t="s">
        <v>120</v>
      </c>
      <c r="B2" s="86"/>
      <c r="C2" s="59"/>
      <c r="D2" s="80"/>
      <c r="E2" s="80"/>
      <c r="F2" s="80"/>
      <c r="G2" s="80"/>
      <c r="H2" s="80"/>
      <c r="I2" s="80"/>
      <c r="J2" s="80"/>
      <c r="K2" s="60" t="s">
        <v>0</v>
      </c>
      <c r="L2" s="60"/>
      <c r="M2" s="60"/>
      <c r="N2" s="60"/>
    </row>
    <row r="3" spans="1:35" ht="14.25" customHeight="1" x14ac:dyDescent="0.25">
      <c r="A3" s="87" t="s">
        <v>121</v>
      </c>
      <c r="B3" s="87"/>
      <c r="C3" s="59"/>
      <c r="D3" s="81"/>
      <c r="E3" s="82">
        <f>'Core Cost Incurred'!A2</f>
        <v>43276</v>
      </c>
      <c r="F3" s="82"/>
      <c r="G3" s="82"/>
      <c r="H3" s="82"/>
      <c r="I3" s="82"/>
      <c r="J3" s="82"/>
      <c r="K3" s="61" t="s">
        <v>1</v>
      </c>
      <c r="L3" s="61"/>
      <c r="M3" s="61"/>
      <c r="N3" s="61"/>
    </row>
    <row r="4" spans="1:35" ht="14.25" customHeight="1" x14ac:dyDescent="0.25">
      <c r="A4" s="88" t="s">
        <v>122</v>
      </c>
      <c r="B4" s="88"/>
      <c r="C4" s="59"/>
      <c r="D4" s="81"/>
      <c r="E4" s="82"/>
      <c r="F4" s="82"/>
      <c r="G4" s="82"/>
      <c r="H4" s="82"/>
      <c r="I4" s="82"/>
      <c r="J4" s="82"/>
      <c r="K4" s="62" t="s">
        <v>2</v>
      </c>
      <c r="L4" s="62"/>
      <c r="M4" s="62"/>
      <c r="N4" s="62"/>
    </row>
    <row r="5" spans="1:35" ht="14.25" customHeight="1" x14ac:dyDescent="0.2">
      <c r="C5" s="59"/>
      <c r="D5" s="81"/>
      <c r="E5" s="81"/>
      <c r="F5" s="81"/>
      <c r="G5" s="81"/>
      <c r="H5" s="81"/>
      <c r="I5" s="81"/>
      <c r="J5" s="81"/>
      <c r="K5" s="2"/>
      <c r="L5" s="2"/>
      <c r="M5" s="2"/>
      <c r="N5" s="2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</row>
    <row r="6" spans="1:35" x14ac:dyDescent="0.2">
      <c r="A6" s="3"/>
      <c r="B6" s="4"/>
      <c r="C6" s="5"/>
      <c r="D6" s="5"/>
      <c r="E6" s="5"/>
      <c r="F6" s="78" t="s">
        <v>92</v>
      </c>
      <c r="G6" s="63" t="s">
        <v>93</v>
      </c>
      <c r="H6" s="63" t="s">
        <v>94</v>
      </c>
      <c r="I6" s="63" t="s">
        <v>3</v>
      </c>
      <c r="J6" s="63" t="s">
        <v>93</v>
      </c>
      <c r="K6" s="63" t="s">
        <v>94</v>
      </c>
      <c r="L6" s="63"/>
      <c r="M6" s="63" t="s">
        <v>95</v>
      </c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6"/>
    </row>
    <row r="7" spans="1:35" x14ac:dyDescent="0.2">
      <c r="A7" s="7"/>
      <c r="B7" s="8"/>
      <c r="C7" s="9"/>
      <c r="D7" s="9"/>
      <c r="E7" s="7" t="s">
        <v>4</v>
      </c>
      <c r="F7" s="78" t="s">
        <v>123</v>
      </c>
      <c r="G7" s="63" t="s">
        <v>5</v>
      </c>
      <c r="H7" s="63" t="s">
        <v>5</v>
      </c>
      <c r="I7" s="63" t="s">
        <v>6</v>
      </c>
      <c r="J7" s="63" t="s">
        <v>96</v>
      </c>
      <c r="K7" s="63" t="s">
        <v>96</v>
      </c>
      <c r="L7" s="63" t="s">
        <v>3</v>
      </c>
      <c r="M7" s="63" t="s">
        <v>3</v>
      </c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10"/>
      <c r="AB7" s="11"/>
    </row>
    <row r="8" spans="1:35" s="14" customFormat="1" x14ac:dyDescent="0.2">
      <c r="A8" s="64"/>
      <c r="B8" s="65"/>
      <c r="C8" s="64" t="s">
        <v>7</v>
      </c>
      <c r="D8" s="64" t="s">
        <v>8</v>
      </c>
      <c r="E8" s="64" t="s">
        <v>8</v>
      </c>
      <c r="F8" s="89" t="s">
        <v>97</v>
      </c>
      <c r="G8" s="66" t="s">
        <v>130</v>
      </c>
      <c r="H8" s="66" t="str">
        <f>+G8</f>
        <v>Sep 1 2017</v>
      </c>
      <c r="I8" s="66" t="str">
        <f>H8</f>
        <v>Sep 1 2017</v>
      </c>
      <c r="J8" s="67" t="s">
        <v>98</v>
      </c>
      <c r="K8" s="67" t="s">
        <v>98</v>
      </c>
      <c r="L8" s="67" t="s">
        <v>6</v>
      </c>
      <c r="M8" s="67" t="s">
        <v>98</v>
      </c>
      <c r="N8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12"/>
      <c r="AB8" s="11" t="s">
        <v>9</v>
      </c>
      <c r="AC8" s="11" t="s">
        <v>10</v>
      </c>
      <c r="AD8" s="11" t="s">
        <v>11</v>
      </c>
      <c r="AE8" s="13" t="s">
        <v>12</v>
      </c>
      <c r="AF8" s="11" t="s">
        <v>13</v>
      </c>
      <c r="AG8" s="11" t="s">
        <v>14</v>
      </c>
      <c r="AH8" s="11" t="s">
        <v>15</v>
      </c>
      <c r="AI8" s="11" t="s">
        <v>16</v>
      </c>
    </row>
    <row r="9" spans="1:35" ht="15.75" x14ac:dyDescent="0.25">
      <c r="A9" s="68" t="s">
        <v>17</v>
      </c>
      <c r="B9" s="16" t="s">
        <v>18</v>
      </c>
      <c r="C9" s="17">
        <v>1</v>
      </c>
      <c r="D9" s="18" t="s">
        <v>19</v>
      </c>
      <c r="E9" s="19" t="s">
        <v>20</v>
      </c>
      <c r="F9" s="20">
        <v>10206</v>
      </c>
      <c r="G9" s="69">
        <v>0.27335999999999999</v>
      </c>
      <c r="H9" s="69">
        <v>0.16533</v>
      </c>
      <c r="I9" s="69">
        <v>5.3220000000000003E-2</v>
      </c>
      <c r="J9" s="21">
        <f>ROUND(G9*F9,2)</f>
        <v>2789.91</v>
      </c>
      <c r="K9" s="21">
        <f>ROUND(F9*H9,2)</f>
        <v>1687.36</v>
      </c>
      <c r="L9" s="21">
        <f>ROUND(F9*I9,2)</f>
        <v>543.16</v>
      </c>
      <c r="M9" s="21">
        <f>SUM(J9:L9)</f>
        <v>5020.4299999999994</v>
      </c>
      <c r="O9" s="22" t="s">
        <v>21</v>
      </c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3"/>
      <c r="AB9" t="s">
        <v>22</v>
      </c>
      <c r="AE9" s="23">
        <v>0</v>
      </c>
      <c r="AI9" t="s">
        <v>23</v>
      </c>
    </row>
    <row r="10" spans="1:35" ht="15" x14ac:dyDescent="0.2">
      <c r="A10" s="68" t="s">
        <v>17</v>
      </c>
      <c r="B10" s="16" t="s">
        <v>24</v>
      </c>
      <c r="C10" s="17">
        <v>1</v>
      </c>
      <c r="D10" s="18" t="s">
        <v>25</v>
      </c>
      <c r="E10" s="19" t="s">
        <v>26</v>
      </c>
      <c r="F10" s="24">
        <v>0</v>
      </c>
      <c r="G10" s="70">
        <f>$G$9</f>
        <v>0.27335999999999999</v>
      </c>
      <c r="H10" s="70">
        <f>$H$9</f>
        <v>0.16533</v>
      </c>
      <c r="I10" s="70">
        <f>$I$9</f>
        <v>5.3220000000000003E-2</v>
      </c>
      <c r="J10" s="21">
        <f>ROUND(G10*F10,2)</f>
        <v>0</v>
      </c>
      <c r="K10" s="21">
        <f>ROUND(F10*H10,2)</f>
        <v>0</v>
      </c>
      <c r="L10" s="21">
        <f>ROUND(F10*I10,2)</f>
        <v>0</v>
      </c>
      <c r="M10" s="21">
        <f>SUM(J10:L10)</f>
        <v>0</v>
      </c>
      <c r="O10" s="22" t="s">
        <v>21</v>
      </c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3"/>
      <c r="AB10" t="s">
        <v>22</v>
      </c>
      <c r="AE10" s="23">
        <v>0</v>
      </c>
      <c r="AI10" t="s">
        <v>27</v>
      </c>
    </row>
    <row r="11" spans="1:35" ht="15.75" x14ac:dyDescent="0.25">
      <c r="A11" s="68" t="s">
        <v>17</v>
      </c>
      <c r="B11" s="16" t="s">
        <v>28</v>
      </c>
      <c r="C11" s="17">
        <v>1</v>
      </c>
      <c r="D11" s="18" t="s">
        <v>29</v>
      </c>
      <c r="E11" s="19" t="s">
        <v>30</v>
      </c>
      <c r="F11" s="20">
        <v>4008784</v>
      </c>
      <c r="G11" s="70">
        <f t="shared" ref="G11:G13" si="0">$G$9</f>
        <v>0.27335999999999999</v>
      </c>
      <c r="H11" s="69">
        <v>0.16786000000000001</v>
      </c>
      <c r="I11" s="70">
        <f>$I$9</f>
        <v>5.3220000000000003E-2</v>
      </c>
      <c r="J11" s="21">
        <f>ROUND(G11*F11,2)</f>
        <v>1095841.19</v>
      </c>
      <c r="K11" s="21">
        <f>ROUND(F11*H11,2)</f>
        <v>672914.48</v>
      </c>
      <c r="L11" s="21">
        <f>ROUND(F11*I11,2)</f>
        <v>213347.48</v>
      </c>
      <c r="M11" s="21">
        <f>SUM(J11:L11)</f>
        <v>1982103.15</v>
      </c>
      <c r="O11" s="22" t="s">
        <v>21</v>
      </c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3"/>
      <c r="AB11" t="s">
        <v>22</v>
      </c>
      <c r="AE11" s="23">
        <v>0</v>
      </c>
      <c r="AI11" t="s">
        <v>31</v>
      </c>
    </row>
    <row r="12" spans="1:35" ht="15.75" x14ac:dyDescent="0.25">
      <c r="A12" s="68" t="s">
        <v>32</v>
      </c>
      <c r="B12" s="16" t="s">
        <v>124</v>
      </c>
      <c r="C12" s="17">
        <v>1</v>
      </c>
      <c r="D12" s="18" t="s">
        <v>29</v>
      </c>
      <c r="E12" s="19" t="s">
        <v>30</v>
      </c>
      <c r="F12" s="25">
        <v>-3061183</v>
      </c>
      <c r="G12" s="70">
        <f t="shared" si="0"/>
        <v>0.27335999999999999</v>
      </c>
      <c r="H12" s="70">
        <f>$H$11</f>
        <v>0.16786000000000001</v>
      </c>
      <c r="I12" s="70"/>
      <c r="J12" s="21">
        <f>ROUND(G12*F12,2)</f>
        <v>-836804.98</v>
      </c>
      <c r="K12" s="21">
        <f>ROUND(F12*H12,2)</f>
        <v>-513850.18</v>
      </c>
      <c r="L12" s="26"/>
      <c r="M12" s="21">
        <f>SUM(J12:L12)</f>
        <v>-1350655.16</v>
      </c>
      <c r="O12" s="27" t="s">
        <v>33</v>
      </c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3"/>
      <c r="AB12" t="s">
        <v>22</v>
      </c>
      <c r="AE12" s="23">
        <v>0</v>
      </c>
      <c r="AI12" t="s">
        <v>31</v>
      </c>
    </row>
    <row r="13" spans="1:35" ht="15.75" x14ac:dyDescent="0.25">
      <c r="A13" s="68" t="s">
        <v>32</v>
      </c>
      <c r="B13" s="16" t="s">
        <v>125</v>
      </c>
      <c r="C13" s="17">
        <v>1</v>
      </c>
      <c r="D13" s="18" t="s">
        <v>29</v>
      </c>
      <c r="E13" s="19" t="s">
        <v>30</v>
      </c>
      <c r="F13" s="25">
        <v>2628458</v>
      </c>
      <c r="G13" s="70">
        <f t="shared" si="0"/>
        <v>0.27335999999999999</v>
      </c>
      <c r="H13" s="70">
        <f>$H$11</f>
        <v>0.16786000000000001</v>
      </c>
      <c r="I13" s="70"/>
      <c r="J13" s="21">
        <f>ROUND(G13*F13,2)</f>
        <v>718515.28</v>
      </c>
      <c r="K13" s="21">
        <f>ROUND(F13*H13,2)</f>
        <v>441212.96</v>
      </c>
      <c r="L13" s="26"/>
      <c r="M13" s="21">
        <f>SUM(J13:L13)</f>
        <v>1159728.24</v>
      </c>
      <c r="O13" s="27" t="s">
        <v>33</v>
      </c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3"/>
      <c r="AB13" t="s">
        <v>22</v>
      </c>
      <c r="AE13" s="23">
        <v>0</v>
      </c>
      <c r="AI13" t="s">
        <v>31</v>
      </c>
    </row>
    <row r="14" spans="1:35" ht="12" customHeight="1" x14ac:dyDescent="0.2">
      <c r="A14" s="68"/>
      <c r="C14" s="17"/>
      <c r="E14" s="19"/>
      <c r="F14" s="24"/>
      <c r="G14" s="70"/>
      <c r="H14" s="70"/>
      <c r="I14" s="70"/>
      <c r="J14" s="21"/>
      <c r="K14" s="21"/>
      <c r="L14" s="21"/>
      <c r="M14" s="21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3"/>
      <c r="AE14" s="23"/>
    </row>
    <row r="15" spans="1:35" ht="15" x14ac:dyDescent="0.2">
      <c r="A15" s="68" t="s">
        <v>34</v>
      </c>
      <c r="B15" s="16" t="s">
        <v>35</v>
      </c>
      <c r="C15" s="17">
        <v>2</v>
      </c>
      <c r="D15" s="18" t="s">
        <v>19</v>
      </c>
      <c r="E15" s="19" t="s">
        <v>20</v>
      </c>
      <c r="F15" s="24"/>
      <c r="G15" s="70">
        <f t="shared" ref="G15:G18" si="1">$G$9</f>
        <v>0.27335999999999999</v>
      </c>
      <c r="H15" s="70">
        <f t="shared" ref="H15:H18" si="2">$H$9</f>
        <v>0.16533</v>
      </c>
      <c r="I15" s="70">
        <f t="shared" ref="I15:I16" si="3">$I$9</f>
        <v>5.3220000000000003E-2</v>
      </c>
      <c r="J15" s="21">
        <f>ROUND(G15*F15,2)</f>
        <v>0</v>
      </c>
      <c r="K15" s="21">
        <f>ROUND(F15*H15,2)</f>
        <v>0</v>
      </c>
      <c r="L15" s="21">
        <f>ROUND(F15*I15,2)</f>
        <v>0</v>
      </c>
      <c r="M15" s="21">
        <f>SUM(J15:L15)</f>
        <v>0</v>
      </c>
      <c r="O15" s="22" t="s">
        <v>21</v>
      </c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3"/>
      <c r="AB15" t="s">
        <v>22</v>
      </c>
      <c r="AE15" s="23">
        <v>0</v>
      </c>
      <c r="AI15" t="s">
        <v>36</v>
      </c>
    </row>
    <row r="16" spans="1:35" ht="15.75" x14ac:dyDescent="0.25">
      <c r="A16" s="68" t="s">
        <v>34</v>
      </c>
      <c r="B16" s="16" t="s">
        <v>37</v>
      </c>
      <c r="C16" s="17">
        <v>2</v>
      </c>
      <c r="D16" s="18" t="s">
        <v>38</v>
      </c>
      <c r="E16" s="19" t="s">
        <v>39</v>
      </c>
      <c r="F16" s="20">
        <v>3426032</v>
      </c>
      <c r="G16" s="70">
        <f t="shared" si="1"/>
        <v>0.27335999999999999</v>
      </c>
      <c r="H16" s="70">
        <f t="shared" si="2"/>
        <v>0.16533</v>
      </c>
      <c r="I16" s="70">
        <f t="shared" si="3"/>
        <v>5.3220000000000003E-2</v>
      </c>
      <c r="J16" s="21">
        <f>ROUND(G16*F16,2)</f>
        <v>936540.11</v>
      </c>
      <c r="K16" s="21">
        <f>ROUND(F16*H16,2)</f>
        <v>566425.87</v>
      </c>
      <c r="L16" s="21">
        <f>ROUND(F16*I16,2)</f>
        <v>182333.42</v>
      </c>
      <c r="M16" s="21">
        <f>SUM(J16:L16)</f>
        <v>1685299.4</v>
      </c>
      <c r="O16" s="22" t="s">
        <v>21</v>
      </c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3"/>
      <c r="AB16" t="s">
        <v>22</v>
      </c>
      <c r="AE16" s="23">
        <v>0</v>
      </c>
      <c r="AI16" t="s">
        <v>40</v>
      </c>
    </row>
    <row r="17" spans="1:35" ht="15.75" x14ac:dyDescent="0.25">
      <c r="A17" s="68" t="s">
        <v>41</v>
      </c>
      <c r="B17" s="16" t="s">
        <v>126</v>
      </c>
      <c r="C17" s="17">
        <v>2</v>
      </c>
      <c r="D17" s="18" t="s">
        <v>38</v>
      </c>
      <c r="E17" s="19" t="s">
        <v>39</v>
      </c>
      <c r="F17" s="25">
        <v>-2554573</v>
      </c>
      <c r="G17" s="70">
        <f t="shared" si="1"/>
        <v>0.27335999999999999</v>
      </c>
      <c r="H17" s="70">
        <f t="shared" si="2"/>
        <v>0.16533</v>
      </c>
      <c r="I17" s="70"/>
      <c r="J17" s="21">
        <f>ROUND(G17*F17,2)</f>
        <v>-698318.08</v>
      </c>
      <c r="K17" s="21">
        <f>ROUND(F17*H17,2)</f>
        <v>-422347.55</v>
      </c>
      <c r="L17" s="26"/>
      <c r="M17" s="21">
        <f>SUM(J17:L17)</f>
        <v>-1120665.6299999999</v>
      </c>
      <c r="O17" s="27" t="s">
        <v>33</v>
      </c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3"/>
      <c r="AB17" t="s">
        <v>22</v>
      </c>
      <c r="AE17" s="23">
        <v>0</v>
      </c>
      <c r="AI17" t="s">
        <v>40</v>
      </c>
    </row>
    <row r="18" spans="1:35" ht="15.75" x14ac:dyDescent="0.25">
      <c r="A18" s="68" t="s">
        <v>41</v>
      </c>
      <c r="B18" s="16" t="s">
        <v>127</v>
      </c>
      <c r="C18" s="17">
        <v>2</v>
      </c>
      <c r="D18" s="18" t="s">
        <v>38</v>
      </c>
      <c r="E18" s="19" t="s">
        <v>39</v>
      </c>
      <c r="F18" s="25">
        <v>2530552</v>
      </c>
      <c r="G18" s="70">
        <f t="shared" si="1"/>
        <v>0.27335999999999999</v>
      </c>
      <c r="H18" s="70">
        <f t="shared" si="2"/>
        <v>0.16533</v>
      </c>
      <c r="I18" s="70"/>
      <c r="J18" s="21">
        <f>ROUND(G18*F18,2)</f>
        <v>691751.69</v>
      </c>
      <c r="K18" s="21">
        <f>ROUND(F18*H18,2)</f>
        <v>418376.16</v>
      </c>
      <c r="L18" s="26"/>
      <c r="M18" s="21">
        <f>SUM(J18:L18)</f>
        <v>1110127.8499999999</v>
      </c>
      <c r="O18" s="27" t="s">
        <v>33</v>
      </c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3"/>
      <c r="AB18" t="s">
        <v>22</v>
      </c>
      <c r="AE18" s="23">
        <v>0</v>
      </c>
      <c r="AI18" t="s">
        <v>40</v>
      </c>
    </row>
    <row r="19" spans="1:35" ht="12" customHeight="1" x14ac:dyDescent="0.2">
      <c r="A19" s="68"/>
      <c r="C19" s="17"/>
      <c r="E19" s="19"/>
      <c r="F19" s="24"/>
      <c r="G19" s="70"/>
      <c r="H19" s="70"/>
      <c r="I19" s="70"/>
      <c r="J19" s="21"/>
      <c r="K19" s="21"/>
      <c r="L19" s="21"/>
      <c r="M19" s="21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3"/>
      <c r="AE19" s="23"/>
    </row>
    <row r="20" spans="1:35" ht="15.75" x14ac:dyDescent="0.25">
      <c r="A20" s="68" t="s">
        <v>34</v>
      </c>
      <c r="B20" s="16" t="s">
        <v>42</v>
      </c>
      <c r="C20" s="17">
        <v>2</v>
      </c>
      <c r="D20" s="18" t="s">
        <v>43</v>
      </c>
      <c r="E20" s="19" t="s">
        <v>44</v>
      </c>
      <c r="F20" s="20">
        <v>506780</v>
      </c>
      <c r="G20" s="70">
        <f t="shared" ref="G20:G25" si="4">$G$9</f>
        <v>0.27335999999999999</v>
      </c>
      <c r="H20" s="69">
        <v>0.15284</v>
      </c>
      <c r="I20" s="70">
        <f t="shared" ref="I20:I25" si="5">$I$9</f>
        <v>5.3220000000000003E-2</v>
      </c>
      <c r="J20" s="21">
        <f t="shared" ref="J20:J25" si="6">ROUND(G20*F20,2)</f>
        <v>138533.38</v>
      </c>
      <c r="K20" s="21">
        <f t="shared" ref="K20:K25" si="7">ROUND(F20*H20,2)</f>
        <v>77456.259999999995</v>
      </c>
      <c r="L20" s="21">
        <f t="shared" ref="L20:L25" si="8">ROUND(F20*I20,2)</f>
        <v>26970.83</v>
      </c>
      <c r="M20" s="21">
        <f t="shared" ref="M20:M25" si="9">SUM(J20:L20)</f>
        <v>242960.47000000003</v>
      </c>
      <c r="O20" s="22" t="s">
        <v>21</v>
      </c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3"/>
      <c r="AB20" t="s">
        <v>22</v>
      </c>
      <c r="AE20" s="23">
        <v>0</v>
      </c>
      <c r="AI20" t="s">
        <v>45</v>
      </c>
    </row>
    <row r="21" spans="1:35" ht="15.75" x14ac:dyDescent="0.25">
      <c r="A21" s="68" t="s">
        <v>34</v>
      </c>
      <c r="B21" s="16" t="s">
        <v>46</v>
      </c>
      <c r="C21" s="17">
        <v>2</v>
      </c>
      <c r="D21" s="18" t="s">
        <v>47</v>
      </c>
      <c r="E21" s="19" t="s">
        <v>48</v>
      </c>
      <c r="F21" s="20">
        <v>4475</v>
      </c>
      <c r="G21" s="70">
        <f t="shared" si="4"/>
        <v>0.27335999999999999</v>
      </c>
      <c r="H21" s="70">
        <f>$H$9</f>
        <v>0.16533</v>
      </c>
      <c r="I21" s="70">
        <f t="shared" si="5"/>
        <v>5.3220000000000003E-2</v>
      </c>
      <c r="J21" s="21">
        <f t="shared" si="6"/>
        <v>1223.29</v>
      </c>
      <c r="K21" s="21">
        <f t="shared" si="7"/>
        <v>739.85</v>
      </c>
      <c r="L21" s="21">
        <f t="shared" si="8"/>
        <v>238.16</v>
      </c>
      <c r="M21" s="21">
        <f t="shared" si="9"/>
        <v>2201.2999999999997</v>
      </c>
      <c r="O21" s="22" t="s">
        <v>21</v>
      </c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9"/>
      <c r="AB21" t="s">
        <v>22</v>
      </c>
      <c r="AE21" s="23">
        <v>0</v>
      </c>
      <c r="AI21" t="s">
        <v>49</v>
      </c>
    </row>
    <row r="22" spans="1:35" ht="15" x14ac:dyDescent="0.2">
      <c r="A22" s="68" t="s">
        <v>34</v>
      </c>
      <c r="B22" s="16" t="s">
        <v>50</v>
      </c>
      <c r="C22" s="17">
        <v>2</v>
      </c>
      <c r="D22" s="18" t="s">
        <v>25</v>
      </c>
      <c r="E22" s="19" t="s">
        <v>26</v>
      </c>
      <c r="F22" s="24">
        <v>0</v>
      </c>
      <c r="G22" s="70">
        <f t="shared" si="4"/>
        <v>0.27335999999999999</v>
      </c>
      <c r="H22" s="70">
        <f>$H$9</f>
        <v>0.16533</v>
      </c>
      <c r="I22" s="70">
        <f t="shared" si="5"/>
        <v>5.3220000000000003E-2</v>
      </c>
      <c r="J22" s="21">
        <f t="shared" si="6"/>
        <v>0</v>
      </c>
      <c r="K22" s="21">
        <f t="shared" si="7"/>
        <v>0</v>
      </c>
      <c r="L22" s="21">
        <f t="shared" si="8"/>
        <v>0</v>
      </c>
      <c r="M22" s="21">
        <f t="shared" si="9"/>
        <v>0</v>
      </c>
      <c r="O22" s="22" t="s">
        <v>21</v>
      </c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9"/>
      <c r="AB22" t="s">
        <v>22</v>
      </c>
      <c r="AE22" s="23">
        <v>0</v>
      </c>
      <c r="AI22" t="s">
        <v>51</v>
      </c>
    </row>
    <row r="23" spans="1:35" ht="15.75" x14ac:dyDescent="0.25">
      <c r="A23" s="68" t="s">
        <v>34</v>
      </c>
      <c r="B23" s="16" t="s">
        <v>42</v>
      </c>
      <c r="C23" s="17">
        <v>2</v>
      </c>
      <c r="D23" s="18" t="s">
        <v>43</v>
      </c>
      <c r="E23" s="19" t="s">
        <v>131</v>
      </c>
      <c r="F23" s="20">
        <v>520</v>
      </c>
      <c r="G23" s="70">
        <f t="shared" si="4"/>
        <v>0.27335999999999999</v>
      </c>
      <c r="H23" s="70">
        <f>+H25</f>
        <v>0.16533</v>
      </c>
      <c r="I23" s="70">
        <f t="shared" si="5"/>
        <v>5.3220000000000003E-2</v>
      </c>
      <c r="J23" s="21">
        <f t="shared" si="6"/>
        <v>142.15</v>
      </c>
      <c r="K23" s="21">
        <f t="shared" si="7"/>
        <v>85.97</v>
      </c>
      <c r="L23" s="21">
        <f t="shared" si="8"/>
        <v>27.67</v>
      </c>
      <c r="M23" s="21">
        <f t="shared" si="9"/>
        <v>255.79000000000002</v>
      </c>
      <c r="O23" s="22" t="s">
        <v>21</v>
      </c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3"/>
      <c r="AB23" t="s">
        <v>22</v>
      </c>
      <c r="AE23" s="23">
        <v>0</v>
      </c>
      <c r="AI23" t="s">
        <v>45</v>
      </c>
    </row>
    <row r="24" spans="1:35" ht="15.75" x14ac:dyDescent="0.25">
      <c r="A24" s="68" t="s">
        <v>41</v>
      </c>
      <c r="B24" s="16" t="s">
        <v>52</v>
      </c>
      <c r="C24" s="17">
        <v>2</v>
      </c>
      <c r="D24" s="18" t="s">
        <v>43</v>
      </c>
      <c r="E24" s="19" t="s">
        <v>131</v>
      </c>
      <c r="F24" s="31">
        <v>-520</v>
      </c>
      <c r="G24" s="70">
        <f t="shared" si="4"/>
        <v>0.27335999999999999</v>
      </c>
      <c r="H24" s="70">
        <f>+H25</f>
        <v>0.16533</v>
      </c>
      <c r="I24" s="70">
        <f t="shared" si="5"/>
        <v>5.3220000000000003E-2</v>
      </c>
      <c r="J24" s="21">
        <f t="shared" si="6"/>
        <v>-142.15</v>
      </c>
      <c r="K24" s="21">
        <f t="shared" si="7"/>
        <v>-85.97</v>
      </c>
      <c r="L24" s="21">
        <f t="shared" si="8"/>
        <v>-27.67</v>
      </c>
      <c r="M24" s="21">
        <f t="shared" si="9"/>
        <v>-255.79000000000002</v>
      </c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30"/>
      <c r="AB24" t="s">
        <v>22</v>
      </c>
      <c r="AE24" s="23">
        <v>0</v>
      </c>
      <c r="AI24" t="s">
        <v>45</v>
      </c>
    </row>
    <row r="25" spans="1:35" ht="15.75" x14ac:dyDescent="0.25">
      <c r="A25" s="68" t="s">
        <v>41</v>
      </c>
      <c r="B25" s="16" t="s">
        <v>53</v>
      </c>
      <c r="C25" s="17">
        <v>2</v>
      </c>
      <c r="D25" s="18" t="s">
        <v>43</v>
      </c>
      <c r="E25" s="19" t="s">
        <v>131</v>
      </c>
      <c r="F25" s="31">
        <v>438</v>
      </c>
      <c r="G25" s="70">
        <f t="shared" si="4"/>
        <v>0.27335999999999999</v>
      </c>
      <c r="H25" s="70">
        <f>+H18</f>
        <v>0.16533</v>
      </c>
      <c r="I25" s="70">
        <f t="shared" si="5"/>
        <v>5.3220000000000003E-2</v>
      </c>
      <c r="J25" s="21">
        <f t="shared" si="6"/>
        <v>119.73</v>
      </c>
      <c r="K25" s="21">
        <f t="shared" si="7"/>
        <v>72.41</v>
      </c>
      <c r="L25" s="21">
        <f t="shared" si="8"/>
        <v>23.31</v>
      </c>
      <c r="M25" s="21">
        <f t="shared" si="9"/>
        <v>215.45</v>
      </c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30"/>
      <c r="AB25" t="s">
        <v>22</v>
      </c>
      <c r="AE25" s="23">
        <v>0</v>
      </c>
      <c r="AI25" t="s">
        <v>45</v>
      </c>
    </row>
    <row r="26" spans="1:35" ht="12" customHeight="1" x14ac:dyDescent="0.2">
      <c r="A26" s="68"/>
      <c r="C26" s="17"/>
      <c r="E26" s="19"/>
      <c r="F26" s="71"/>
      <c r="G26" s="72"/>
      <c r="H26" s="70"/>
      <c r="I26" s="70"/>
      <c r="J26" s="21"/>
      <c r="K26" s="21"/>
      <c r="L26" s="21"/>
      <c r="M26" s="21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30"/>
      <c r="AE26" s="23"/>
    </row>
    <row r="27" spans="1:35" ht="15.75" x14ac:dyDescent="0.25">
      <c r="A27" s="68" t="s">
        <v>54</v>
      </c>
      <c r="B27" s="16" t="s">
        <v>55</v>
      </c>
      <c r="C27" s="17">
        <v>3</v>
      </c>
      <c r="D27" s="18" t="s">
        <v>56</v>
      </c>
      <c r="E27" s="19" t="s">
        <v>57</v>
      </c>
      <c r="F27" s="20">
        <v>596675</v>
      </c>
      <c r="G27" s="70">
        <f t="shared" ref="G27:G29" si="10">$G$9</f>
        <v>0.27335999999999999</v>
      </c>
      <c r="H27" s="70">
        <f>$H$20</f>
        <v>0.15284</v>
      </c>
      <c r="I27" s="70">
        <f t="shared" ref="I27:I29" si="11">$I$9</f>
        <v>5.3220000000000003E-2</v>
      </c>
      <c r="J27" s="21">
        <f>ROUND(G27*F27,2)</f>
        <v>163107.07999999999</v>
      </c>
      <c r="K27" s="21">
        <f>ROUND(F27*H27,2)</f>
        <v>91195.81</v>
      </c>
      <c r="L27" s="21">
        <f>ROUND(F27*I27,2)</f>
        <v>31755.040000000001</v>
      </c>
      <c r="M27" s="21">
        <f>SUM(J27:L27)</f>
        <v>286057.93</v>
      </c>
      <c r="O27" s="22" t="s">
        <v>21</v>
      </c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9"/>
      <c r="AB27" t="s">
        <v>22</v>
      </c>
      <c r="AE27" s="23">
        <v>0</v>
      </c>
      <c r="AI27" t="s">
        <v>58</v>
      </c>
    </row>
    <row r="28" spans="1:35" ht="15.75" x14ac:dyDescent="0.25">
      <c r="A28" s="68" t="s">
        <v>54</v>
      </c>
      <c r="B28" s="16" t="s">
        <v>59</v>
      </c>
      <c r="C28" s="17">
        <v>3</v>
      </c>
      <c r="D28" s="18" t="s">
        <v>43</v>
      </c>
      <c r="E28" s="19" t="s">
        <v>44</v>
      </c>
      <c r="F28" s="20">
        <v>262828</v>
      </c>
      <c r="G28" s="70">
        <f t="shared" si="10"/>
        <v>0.27335999999999999</v>
      </c>
      <c r="H28" s="70">
        <f>$H$20</f>
        <v>0.15284</v>
      </c>
      <c r="I28" s="70">
        <f t="shared" si="11"/>
        <v>5.3220000000000003E-2</v>
      </c>
      <c r="J28" s="21">
        <f>ROUND(G28*F28,2)</f>
        <v>71846.66</v>
      </c>
      <c r="K28" s="21">
        <f>ROUND(F28*H28,2)</f>
        <v>40170.629999999997</v>
      </c>
      <c r="L28" s="21">
        <f>ROUND(F28*I28,2)</f>
        <v>13987.71</v>
      </c>
      <c r="M28" s="21">
        <f>SUM(J28:L28)</f>
        <v>126005</v>
      </c>
      <c r="O28" s="22" t="s">
        <v>21</v>
      </c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9"/>
      <c r="AB28" t="s">
        <v>22</v>
      </c>
      <c r="AE28" s="23">
        <v>0</v>
      </c>
      <c r="AI28" t="s">
        <v>60</v>
      </c>
    </row>
    <row r="29" spans="1:35" ht="15" x14ac:dyDescent="0.2">
      <c r="A29" s="68" t="s">
        <v>54</v>
      </c>
      <c r="B29" s="16" t="s">
        <v>61</v>
      </c>
      <c r="C29" s="17">
        <v>3</v>
      </c>
      <c r="D29" s="18" t="s">
        <v>47</v>
      </c>
      <c r="E29" s="19" t="s">
        <v>48</v>
      </c>
      <c r="F29" s="24">
        <v>0</v>
      </c>
      <c r="G29" s="70">
        <f t="shared" si="10"/>
        <v>0.27335999999999999</v>
      </c>
      <c r="H29" s="70">
        <f>$H$9</f>
        <v>0.16533</v>
      </c>
      <c r="I29" s="70">
        <f t="shared" si="11"/>
        <v>5.3220000000000003E-2</v>
      </c>
      <c r="J29" s="21">
        <f>ROUND(G29*F29,2)</f>
        <v>0</v>
      </c>
      <c r="K29" s="21">
        <f>ROUND(F29*H29,2)</f>
        <v>0</v>
      </c>
      <c r="L29" s="21">
        <f>ROUND(F29*I29,2)</f>
        <v>0</v>
      </c>
      <c r="M29" s="21">
        <f>SUM(J29:L29)</f>
        <v>0</v>
      </c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3"/>
      <c r="AB29" t="s">
        <v>22</v>
      </c>
      <c r="AE29" s="23">
        <v>0</v>
      </c>
      <c r="AI29" t="s">
        <v>62</v>
      </c>
    </row>
    <row r="30" spans="1:35" ht="12" customHeight="1" x14ac:dyDescent="0.2">
      <c r="A30" s="68"/>
      <c r="C30" s="17"/>
      <c r="E30" s="19"/>
      <c r="F30" s="24"/>
      <c r="G30" s="70"/>
      <c r="H30" s="70"/>
      <c r="I30" s="70"/>
      <c r="J30" s="21"/>
      <c r="K30" s="21"/>
      <c r="L30" s="21"/>
      <c r="M30" s="21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3"/>
      <c r="AE30" s="23"/>
    </row>
    <row r="31" spans="1:35" ht="15" x14ac:dyDescent="0.2">
      <c r="A31" s="68" t="s">
        <v>65</v>
      </c>
      <c r="B31" s="16" t="s">
        <v>63</v>
      </c>
      <c r="C31" s="17">
        <v>3</v>
      </c>
      <c r="D31" s="18" t="s">
        <v>56</v>
      </c>
      <c r="E31" s="19" t="s">
        <v>64</v>
      </c>
      <c r="F31" s="24"/>
      <c r="G31" s="70">
        <f t="shared" ref="G31:G33" si="12">$G$9</f>
        <v>0.27335999999999999</v>
      </c>
      <c r="H31" s="70">
        <f>$H$20</f>
        <v>0.15284</v>
      </c>
      <c r="I31" s="70">
        <f t="shared" ref="I31:I33" si="13">$I$9</f>
        <v>5.3220000000000003E-2</v>
      </c>
      <c r="J31" s="21">
        <f t="shared" ref="J31:J33" si="14">ROUND(G31*F31,2)</f>
        <v>0</v>
      </c>
      <c r="K31" s="21">
        <f t="shared" ref="K31:K33" si="15">ROUND(F31*H31,2)</f>
        <v>0</v>
      </c>
      <c r="L31" s="21">
        <f t="shared" ref="L31:L33" si="16">ROUND(F31*I31,2)</f>
        <v>0</v>
      </c>
      <c r="M31" s="21">
        <f t="shared" ref="M31:M33" si="17">SUM(J31:L31)</f>
        <v>0</v>
      </c>
      <c r="O31" s="22" t="s">
        <v>21</v>
      </c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9"/>
      <c r="AB31" t="s">
        <v>22</v>
      </c>
      <c r="AE31" s="23">
        <v>0</v>
      </c>
      <c r="AI31" t="s">
        <v>58</v>
      </c>
    </row>
    <row r="32" spans="1:35" ht="15" x14ac:dyDescent="0.2">
      <c r="A32" s="68" t="s">
        <v>71</v>
      </c>
      <c r="B32" s="16" t="s">
        <v>52</v>
      </c>
      <c r="C32" s="17">
        <v>3</v>
      </c>
      <c r="D32" s="18" t="s">
        <v>56</v>
      </c>
      <c r="E32" s="19" t="s">
        <v>64</v>
      </c>
      <c r="F32" s="73">
        <v>0</v>
      </c>
      <c r="G32" s="70">
        <f t="shared" si="12"/>
        <v>0.27335999999999999</v>
      </c>
      <c r="H32" s="70">
        <f>$H$20</f>
        <v>0.15284</v>
      </c>
      <c r="I32" s="70">
        <f t="shared" si="13"/>
        <v>5.3220000000000003E-2</v>
      </c>
      <c r="J32" s="21">
        <f t="shared" si="14"/>
        <v>0</v>
      </c>
      <c r="K32" s="21">
        <f t="shared" si="15"/>
        <v>0</v>
      </c>
      <c r="L32" s="21">
        <f t="shared" si="16"/>
        <v>0</v>
      </c>
      <c r="M32" s="21">
        <f t="shared" si="17"/>
        <v>0</v>
      </c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30"/>
      <c r="AB32" t="s">
        <v>22</v>
      </c>
      <c r="AE32" s="23">
        <v>0</v>
      </c>
      <c r="AI32" t="s">
        <v>58</v>
      </c>
    </row>
    <row r="33" spans="1:35" ht="15.75" x14ac:dyDescent="0.25">
      <c r="A33" s="68" t="s">
        <v>71</v>
      </c>
      <c r="B33" s="16" t="s">
        <v>53</v>
      </c>
      <c r="C33" s="17">
        <v>3</v>
      </c>
      <c r="D33" s="18" t="s">
        <v>56</v>
      </c>
      <c r="E33" s="19" t="s">
        <v>64</v>
      </c>
      <c r="F33" s="31"/>
      <c r="G33" s="70">
        <f t="shared" si="12"/>
        <v>0.27335999999999999</v>
      </c>
      <c r="H33" s="70">
        <f>$H$20</f>
        <v>0.15284</v>
      </c>
      <c r="I33" s="70">
        <f t="shared" si="13"/>
        <v>5.3220000000000003E-2</v>
      </c>
      <c r="J33" s="21">
        <f t="shared" si="14"/>
        <v>0</v>
      </c>
      <c r="K33" s="21">
        <f t="shared" si="15"/>
        <v>0</v>
      </c>
      <c r="L33" s="21">
        <f t="shared" si="16"/>
        <v>0</v>
      </c>
      <c r="M33" s="21">
        <f t="shared" si="17"/>
        <v>0</v>
      </c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30"/>
      <c r="AB33" t="s">
        <v>22</v>
      </c>
      <c r="AE33" s="23">
        <v>0</v>
      </c>
      <c r="AI33" t="s">
        <v>58</v>
      </c>
    </row>
    <row r="34" spans="1:35" ht="12" customHeight="1" x14ac:dyDescent="0.2">
      <c r="A34" s="68"/>
      <c r="C34" s="17"/>
      <c r="E34" s="19"/>
      <c r="F34" s="24"/>
      <c r="G34" s="70"/>
      <c r="H34" s="70"/>
      <c r="I34" s="70"/>
      <c r="J34" s="21"/>
      <c r="K34" s="21"/>
      <c r="L34" s="21"/>
      <c r="M34" s="21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9"/>
      <c r="AE34" s="23"/>
    </row>
    <row r="35" spans="1:35" ht="15" x14ac:dyDescent="0.2">
      <c r="A35" s="68" t="s">
        <v>65</v>
      </c>
      <c r="B35" s="16" t="s">
        <v>66</v>
      </c>
      <c r="C35" s="17" t="s">
        <v>67</v>
      </c>
      <c r="D35" s="18" t="s">
        <v>68</v>
      </c>
      <c r="E35" s="19" t="s">
        <v>69</v>
      </c>
      <c r="F35" s="24"/>
      <c r="G35" s="70">
        <f t="shared" ref="G35:G37" si="18">$G$9</f>
        <v>0.27335999999999999</v>
      </c>
      <c r="H35" s="69">
        <v>0.1404</v>
      </c>
      <c r="I35" s="70">
        <f t="shared" ref="I35:I37" si="19">$I$9</f>
        <v>5.3220000000000003E-2</v>
      </c>
      <c r="J35" s="21">
        <f>ROUND(G35*F35,2)</f>
        <v>0</v>
      </c>
      <c r="K35" s="21">
        <f>ROUND(F35*H35,2)</f>
        <v>0</v>
      </c>
      <c r="L35" s="21">
        <f>ROUND(F35*I35,2)</f>
        <v>0</v>
      </c>
      <c r="M35" s="21">
        <f>SUM(J35:L35)</f>
        <v>0</v>
      </c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3"/>
      <c r="AB35" t="s">
        <v>22</v>
      </c>
      <c r="AE35" s="23">
        <v>0</v>
      </c>
      <c r="AI35" t="s">
        <v>70</v>
      </c>
    </row>
    <row r="36" spans="1:35" ht="15" x14ac:dyDescent="0.2">
      <c r="A36" s="68" t="s">
        <v>71</v>
      </c>
      <c r="B36" s="16" t="s">
        <v>52</v>
      </c>
      <c r="C36" s="17">
        <v>4</v>
      </c>
      <c r="D36" s="18" t="s">
        <v>68</v>
      </c>
      <c r="E36" s="19" t="s">
        <v>69</v>
      </c>
      <c r="F36" s="73">
        <v>0</v>
      </c>
      <c r="G36" s="70">
        <f t="shared" si="18"/>
        <v>0.27335999999999999</v>
      </c>
      <c r="H36" s="70">
        <f>$H$35</f>
        <v>0.1404</v>
      </c>
      <c r="I36" s="70">
        <f t="shared" si="19"/>
        <v>5.3220000000000003E-2</v>
      </c>
      <c r="J36" s="21">
        <f>ROUND(G36*F36,2)</f>
        <v>0</v>
      </c>
      <c r="K36" s="21">
        <f>ROUND(F36*H36,2)</f>
        <v>0</v>
      </c>
      <c r="L36" s="21">
        <f>ROUND(F36*I36,2)</f>
        <v>0</v>
      </c>
      <c r="M36" s="21">
        <f>SUM(J36:L36)</f>
        <v>0</v>
      </c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30"/>
      <c r="AB36" t="s">
        <v>22</v>
      </c>
      <c r="AE36" s="23">
        <v>0</v>
      </c>
      <c r="AI36" t="s">
        <v>72</v>
      </c>
    </row>
    <row r="37" spans="1:35" ht="15.75" x14ac:dyDescent="0.25">
      <c r="A37" s="68" t="s">
        <v>71</v>
      </c>
      <c r="B37" s="16" t="s">
        <v>53</v>
      </c>
      <c r="C37" s="17">
        <v>4</v>
      </c>
      <c r="D37" s="18" t="s">
        <v>68</v>
      </c>
      <c r="E37" s="19" t="s">
        <v>69</v>
      </c>
      <c r="F37" s="31">
        <v>167</v>
      </c>
      <c r="G37" s="70">
        <f t="shared" si="18"/>
        <v>0.27335999999999999</v>
      </c>
      <c r="H37" s="70">
        <f>$H$35</f>
        <v>0.1404</v>
      </c>
      <c r="I37" s="70">
        <f t="shared" si="19"/>
        <v>5.3220000000000003E-2</v>
      </c>
      <c r="J37" s="21">
        <f>ROUND(G37*F37,2)</f>
        <v>45.65</v>
      </c>
      <c r="K37" s="21">
        <f>ROUND(F37*H37,2)</f>
        <v>23.45</v>
      </c>
      <c r="L37" s="21">
        <f>ROUND(F37*I37,2)</f>
        <v>8.89</v>
      </c>
      <c r="M37" s="21">
        <f>SUM(J37:L37)</f>
        <v>77.989999999999995</v>
      </c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30"/>
      <c r="AB37" t="s">
        <v>22</v>
      </c>
      <c r="AE37" s="23">
        <v>0</v>
      </c>
      <c r="AI37" t="s">
        <v>72</v>
      </c>
    </row>
    <row r="38" spans="1:35" ht="12" customHeight="1" x14ac:dyDescent="0.2">
      <c r="A38" s="68"/>
      <c r="C38" s="17"/>
      <c r="E38" s="19"/>
      <c r="F38" s="24"/>
      <c r="G38" s="70"/>
      <c r="H38" s="70"/>
      <c r="I38" s="70"/>
      <c r="L38" s="21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3"/>
      <c r="AE38" s="23"/>
    </row>
    <row r="39" spans="1:35" ht="15.75" x14ac:dyDescent="0.25">
      <c r="A39" s="68" t="s">
        <v>73</v>
      </c>
      <c r="B39" s="16" t="s">
        <v>74</v>
      </c>
      <c r="C39" s="17" t="s">
        <v>75</v>
      </c>
      <c r="D39" s="18" t="s">
        <v>68</v>
      </c>
      <c r="E39" s="19" t="s">
        <v>69</v>
      </c>
      <c r="F39" s="20">
        <v>135541</v>
      </c>
      <c r="G39" s="70">
        <f t="shared" ref="G39:G44" si="20">$G$9</f>
        <v>0.27335999999999999</v>
      </c>
      <c r="H39" s="70">
        <f t="shared" ref="H39:H44" si="21">$H$35</f>
        <v>0.1404</v>
      </c>
      <c r="I39" s="70">
        <f t="shared" ref="I39:I44" si="22">$I$9</f>
        <v>5.3220000000000003E-2</v>
      </c>
      <c r="J39" s="21">
        <f t="shared" ref="J39:J44" si="23">ROUND(G39*F39,2)</f>
        <v>37051.49</v>
      </c>
      <c r="K39" s="21">
        <f t="shared" ref="K39:K44" si="24">ROUND(F39*H39,2)</f>
        <v>19029.96</v>
      </c>
      <c r="L39" s="21">
        <f t="shared" ref="L39:L44" si="25">ROUND(F39*I39,2)</f>
        <v>7213.49</v>
      </c>
      <c r="M39" s="21">
        <f t="shared" ref="M39:M44" si="26">SUM(J39:L39)</f>
        <v>63294.939999999995</v>
      </c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3"/>
      <c r="AB39" t="s">
        <v>22</v>
      </c>
      <c r="AE39" s="23">
        <v>0</v>
      </c>
      <c r="AI39" t="s">
        <v>72</v>
      </c>
    </row>
    <row r="40" spans="1:35" ht="15.75" x14ac:dyDescent="0.25">
      <c r="A40" s="68" t="s">
        <v>73</v>
      </c>
      <c r="B40" s="16" t="s">
        <v>52</v>
      </c>
      <c r="C40" s="17">
        <v>5</v>
      </c>
      <c r="D40" s="18" t="s">
        <v>68</v>
      </c>
      <c r="E40" s="19" t="s">
        <v>69</v>
      </c>
      <c r="F40" s="31">
        <v>-135541</v>
      </c>
      <c r="G40" s="70">
        <f t="shared" si="20"/>
        <v>0.27335999999999999</v>
      </c>
      <c r="H40" s="70">
        <f t="shared" si="21"/>
        <v>0.1404</v>
      </c>
      <c r="I40" s="70">
        <f t="shared" si="22"/>
        <v>5.3220000000000003E-2</v>
      </c>
      <c r="J40" s="21">
        <f t="shared" si="23"/>
        <v>-37051.49</v>
      </c>
      <c r="K40" s="21">
        <f t="shared" si="24"/>
        <v>-19029.96</v>
      </c>
      <c r="L40" s="21">
        <f t="shared" si="25"/>
        <v>-7213.49</v>
      </c>
      <c r="M40" s="21">
        <f t="shared" si="26"/>
        <v>-63294.939999999995</v>
      </c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30"/>
      <c r="AB40" t="s">
        <v>22</v>
      </c>
      <c r="AE40" s="23">
        <v>0</v>
      </c>
      <c r="AI40" t="s">
        <v>70</v>
      </c>
    </row>
    <row r="41" spans="1:35" ht="15.75" x14ac:dyDescent="0.25">
      <c r="A41" s="68" t="s">
        <v>73</v>
      </c>
      <c r="B41" s="16" t="s">
        <v>76</v>
      </c>
      <c r="C41" s="17">
        <v>5</v>
      </c>
      <c r="D41" s="18" t="s">
        <v>68</v>
      </c>
      <c r="E41" s="19" t="s">
        <v>69</v>
      </c>
      <c r="F41" s="31">
        <v>107356</v>
      </c>
      <c r="G41" s="70">
        <f t="shared" si="20"/>
        <v>0.27335999999999999</v>
      </c>
      <c r="H41" s="70">
        <f t="shared" si="21"/>
        <v>0.1404</v>
      </c>
      <c r="I41" s="70">
        <f t="shared" si="22"/>
        <v>5.3220000000000003E-2</v>
      </c>
      <c r="J41" s="21">
        <f t="shared" si="23"/>
        <v>29346.84</v>
      </c>
      <c r="K41" s="21">
        <f t="shared" si="24"/>
        <v>15072.78</v>
      </c>
      <c r="L41" s="21">
        <f t="shared" si="25"/>
        <v>5713.49</v>
      </c>
      <c r="M41" s="21">
        <f t="shared" si="26"/>
        <v>50133.11</v>
      </c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30"/>
      <c r="AB41" t="s">
        <v>22</v>
      </c>
      <c r="AE41" s="23">
        <v>0</v>
      </c>
      <c r="AI41" t="s">
        <v>70</v>
      </c>
    </row>
    <row r="42" spans="1:35" ht="15.75" x14ac:dyDescent="0.25">
      <c r="A42" s="68" t="s">
        <v>77</v>
      </c>
      <c r="B42" s="16" t="s">
        <v>78</v>
      </c>
      <c r="C42" s="17">
        <v>5</v>
      </c>
      <c r="D42" s="18" t="s">
        <v>79</v>
      </c>
      <c r="E42" s="19" t="s">
        <v>80</v>
      </c>
      <c r="F42" s="20">
        <v>8985</v>
      </c>
      <c r="G42" s="70">
        <f t="shared" si="20"/>
        <v>0.27335999999999999</v>
      </c>
      <c r="H42" s="70">
        <f t="shared" si="21"/>
        <v>0.1404</v>
      </c>
      <c r="I42" s="70">
        <f t="shared" si="22"/>
        <v>5.3220000000000003E-2</v>
      </c>
      <c r="J42" s="21">
        <f t="shared" si="23"/>
        <v>2456.14</v>
      </c>
      <c r="K42" s="21">
        <f t="shared" si="24"/>
        <v>1261.49</v>
      </c>
      <c r="L42" s="21">
        <f t="shared" si="25"/>
        <v>478.18</v>
      </c>
      <c r="M42" s="21">
        <f t="shared" si="26"/>
        <v>4195.8100000000004</v>
      </c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3"/>
      <c r="AB42" t="s">
        <v>22</v>
      </c>
      <c r="AE42" s="23">
        <v>0</v>
      </c>
      <c r="AI42" t="s">
        <v>81</v>
      </c>
    </row>
    <row r="43" spans="1:35" ht="15.75" x14ac:dyDescent="0.25">
      <c r="A43" s="68" t="s">
        <v>73</v>
      </c>
      <c r="B43" s="16" t="s">
        <v>52</v>
      </c>
      <c r="C43" s="17">
        <v>5</v>
      </c>
      <c r="D43" s="18" t="s">
        <v>79</v>
      </c>
      <c r="E43" s="19" t="s">
        <v>80</v>
      </c>
      <c r="F43" s="31">
        <v>-8985</v>
      </c>
      <c r="G43" s="70">
        <f t="shared" si="20"/>
        <v>0.27335999999999999</v>
      </c>
      <c r="H43" s="70">
        <f t="shared" si="21"/>
        <v>0.1404</v>
      </c>
      <c r="I43" s="70">
        <f t="shared" si="22"/>
        <v>5.3220000000000003E-2</v>
      </c>
      <c r="J43" s="21">
        <f>ROUND(G43*F43,2)</f>
        <v>-2456.14</v>
      </c>
      <c r="K43" s="21">
        <f t="shared" si="24"/>
        <v>-1261.49</v>
      </c>
      <c r="L43" s="21">
        <f t="shared" si="25"/>
        <v>-478.18</v>
      </c>
      <c r="M43" s="21">
        <f t="shared" si="26"/>
        <v>-4195.8100000000004</v>
      </c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30"/>
      <c r="AB43" t="s">
        <v>22</v>
      </c>
      <c r="AE43" s="23">
        <v>0</v>
      </c>
      <c r="AI43" t="s">
        <v>70</v>
      </c>
    </row>
    <row r="44" spans="1:35" ht="15.75" x14ac:dyDescent="0.25">
      <c r="A44" s="68" t="s">
        <v>73</v>
      </c>
      <c r="B44" s="16" t="s">
        <v>76</v>
      </c>
      <c r="C44" s="17">
        <v>5</v>
      </c>
      <c r="D44" s="18" t="s">
        <v>79</v>
      </c>
      <c r="E44" s="19" t="s">
        <v>80</v>
      </c>
      <c r="F44" s="31">
        <v>8561</v>
      </c>
      <c r="G44" s="70">
        <f t="shared" si="20"/>
        <v>0.27335999999999999</v>
      </c>
      <c r="H44" s="70">
        <f t="shared" si="21"/>
        <v>0.1404</v>
      </c>
      <c r="I44" s="70">
        <f t="shared" si="22"/>
        <v>5.3220000000000003E-2</v>
      </c>
      <c r="J44" s="21">
        <f t="shared" si="23"/>
        <v>2340.23</v>
      </c>
      <c r="K44" s="21">
        <f t="shared" si="24"/>
        <v>1201.96</v>
      </c>
      <c r="L44" s="21">
        <f t="shared" si="25"/>
        <v>455.62</v>
      </c>
      <c r="M44" s="21">
        <f t="shared" si="26"/>
        <v>3997.81</v>
      </c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30"/>
      <c r="AB44" t="s">
        <v>22</v>
      </c>
      <c r="AE44" s="23">
        <v>0</v>
      </c>
      <c r="AI44" t="s">
        <v>70</v>
      </c>
    </row>
    <row r="45" spans="1:35" ht="12" customHeight="1" x14ac:dyDescent="0.2">
      <c r="A45" s="68"/>
      <c r="C45" s="17"/>
      <c r="E45" s="19"/>
      <c r="F45" s="33"/>
      <c r="G45" s="70"/>
      <c r="H45" s="70"/>
      <c r="I45" s="70"/>
      <c r="J45" s="21"/>
      <c r="K45" s="21"/>
      <c r="L45" s="21"/>
      <c r="M45" s="21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30"/>
      <c r="AE45" s="23"/>
    </row>
    <row r="46" spans="1:35" ht="14.25" x14ac:dyDescent="0.2">
      <c r="A46" s="68" t="s">
        <v>77</v>
      </c>
      <c r="B46" s="16" t="s">
        <v>82</v>
      </c>
      <c r="C46" s="17">
        <v>6</v>
      </c>
      <c r="D46" s="18" t="s">
        <v>68</v>
      </c>
      <c r="E46" s="19"/>
      <c r="F46" s="34">
        <f>'[2]Core Billed Therms '!$J$88</f>
        <v>0</v>
      </c>
      <c r="G46" s="70">
        <f>$G$9</f>
        <v>0.27335999999999999</v>
      </c>
      <c r="H46" s="70">
        <f>$H$35</f>
        <v>0.1404</v>
      </c>
      <c r="I46" s="70">
        <f>$I$9</f>
        <v>5.3220000000000003E-2</v>
      </c>
      <c r="J46" s="21">
        <f>ROUND(G46*F46,2)</f>
        <v>0</v>
      </c>
      <c r="K46" s="21">
        <f>ROUND(F46*H46,2)</f>
        <v>0</v>
      </c>
      <c r="L46" s="21">
        <f>ROUND(F46*I46,2)</f>
        <v>0</v>
      </c>
      <c r="M46" s="21">
        <f>SUM(J46:L46)</f>
        <v>0</v>
      </c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3"/>
      <c r="AB46" t="s">
        <v>22</v>
      </c>
      <c r="AE46" s="23">
        <v>0</v>
      </c>
      <c r="AI46" t="s">
        <v>83</v>
      </c>
    </row>
    <row r="47" spans="1:35" ht="12" customHeight="1" x14ac:dyDescent="0.2">
      <c r="A47" s="68"/>
      <c r="C47" s="17"/>
      <c r="F47" s="34"/>
      <c r="I47" s="35"/>
      <c r="J47" s="21"/>
      <c r="K47" s="21"/>
      <c r="L47" s="21"/>
      <c r="M47" s="21"/>
      <c r="AA47" s="23"/>
      <c r="AE47" s="23"/>
    </row>
    <row r="48" spans="1:35" ht="15" x14ac:dyDescent="0.25">
      <c r="A48" s="74"/>
      <c r="C48" s="36"/>
      <c r="D48" s="37"/>
      <c r="E48" s="18" t="s">
        <v>132</v>
      </c>
      <c r="F48" s="83">
        <f>SUM(F9:F47)</f>
        <v>8475556</v>
      </c>
      <c r="G48" s="38" t="s">
        <v>84</v>
      </c>
      <c r="J48" s="84">
        <f>SUM(J9:J47)</f>
        <v>2316877.9799999995</v>
      </c>
      <c r="K48" s="85">
        <f>SUM(K9:K47)</f>
        <v>1390352.2499999998</v>
      </c>
      <c r="L48" s="39">
        <f>SUM(L9:L47)</f>
        <v>475377.11000000004</v>
      </c>
      <c r="M48" s="39">
        <f>SUM(M9:M47)</f>
        <v>4182607.34</v>
      </c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23"/>
      <c r="AE48" s="23"/>
    </row>
    <row r="49" spans="2:35" ht="14.25" x14ac:dyDescent="0.2">
      <c r="B49" s="15"/>
      <c r="C49" s="36"/>
      <c r="E49" s="18" t="s">
        <v>128</v>
      </c>
      <c r="F49" s="83"/>
      <c r="J49" s="39" t="s">
        <v>85</v>
      </c>
      <c r="K49" s="39" t="s">
        <v>85</v>
      </c>
      <c r="L49" s="39"/>
      <c r="M49" s="39"/>
      <c r="O49" s="39">
        <f>-M48</f>
        <v>-4182607.34</v>
      </c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15" t="s">
        <v>86</v>
      </c>
      <c r="AB49" t="s">
        <v>22</v>
      </c>
      <c r="AE49" s="23">
        <v>0</v>
      </c>
      <c r="AI49" t="s">
        <v>87</v>
      </c>
    </row>
    <row r="50" spans="2:35" ht="15" x14ac:dyDescent="0.25">
      <c r="E50" s="1" t="s">
        <v>129</v>
      </c>
      <c r="F50" s="40">
        <f>+F48+F49</f>
        <v>8475556</v>
      </c>
      <c r="G50" s="41"/>
      <c r="J50" s="39">
        <f>SUM(J48:J49)</f>
        <v>2316877.9799999995</v>
      </c>
      <c r="K50" s="39">
        <f>SUM(K48:K49)</f>
        <v>1390352.2499999998</v>
      </c>
      <c r="L50" s="39">
        <f>SUM(L48:L49)</f>
        <v>475377.11000000004</v>
      </c>
      <c r="M50" s="39">
        <f>SUM(M48:M49)</f>
        <v>4182607.34</v>
      </c>
      <c r="N50" s="21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C50" s="23"/>
    </row>
    <row r="51" spans="2:35" ht="21.75" customHeight="1" x14ac:dyDescent="0.25">
      <c r="F51" s="43" t="s">
        <v>88</v>
      </c>
      <c r="J51" s="39"/>
      <c r="K51" s="44"/>
      <c r="L51" s="39"/>
      <c r="M51" s="39"/>
    </row>
    <row r="52" spans="2:35" ht="21.75" customHeight="1" x14ac:dyDescent="0.2">
      <c r="F52" s="45" t="s">
        <v>89</v>
      </c>
      <c r="G52" s="46"/>
      <c r="K52" s="47"/>
      <c r="L52" s="21"/>
      <c r="M52" s="21"/>
    </row>
    <row r="53" spans="2:35" x14ac:dyDescent="0.2">
      <c r="G53" s="46"/>
      <c r="K53" s="49"/>
      <c r="M53" s="44"/>
    </row>
    <row r="54" spans="2:35" x14ac:dyDescent="0.2">
      <c r="E54" s="18" t="s">
        <v>90</v>
      </c>
      <c r="K54" s="50"/>
      <c r="M54" s="51"/>
    </row>
    <row r="55" spans="2:35" x14ac:dyDescent="0.2">
      <c r="K55" s="50"/>
      <c r="L55" s="52"/>
    </row>
    <row r="56" spans="2:35" x14ac:dyDescent="0.2">
      <c r="F56" s="48">
        <f>+F42+F39+F31+F28+F27+F23+F21+F20+F16+F11+F9</f>
        <v>8960826</v>
      </c>
      <c r="K56" s="50"/>
      <c r="L56" s="52"/>
      <c r="M56" s="53"/>
    </row>
    <row r="57" spans="2:35" x14ac:dyDescent="0.2">
      <c r="F57" s="48">
        <f>+F44+F41+F33+F25</f>
        <v>116355</v>
      </c>
      <c r="K57" s="50"/>
      <c r="L57" s="52"/>
      <c r="M57" s="54"/>
    </row>
    <row r="58" spans="2:35" x14ac:dyDescent="0.2">
      <c r="F58" s="48">
        <f>+F43+F40+F32+F24</f>
        <v>-145046</v>
      </c>
      <c r="K58" s="50"/>
      <c r="L58" s="52"/>
      <c r="M58" s="54"/>
    </row>
    <row r="59" spans="2:35" x14ac:dyDescent="0.2">
      <c r="F59" s="48">
        <f>+F17+F12</f>
        <v>-5615756</v>
      </c>
      <c r="K59" s="50"/>
      <c r="L59" s="54"/>
      <c r="M59" s="52"/>
    </row>
    <row r="60" spans="2:35" x14ac:dyDescent="0.2">
      <c r="K60" s="55"/>
      <c r="M60" s="56"/>
    </row>
    <row r="61" spans="2:35" x14ac:dyDescent="0.2">
      <c r="K61" s="49"/>
      <c r="M61" s="57"/>
    </row>
    <row r="73" spans="6:6" x14ac:dyDescent="0.2">
      <c r="F73" s="48" t="e">
        <f>+F50+#REF!</f>
        <v>#REF!</v>
      </c>
    </row>
    <row r="108" spans="1:26" x14ac:dyDescent="0.2">
      <c r="A108" s="58"/>
      <c r="C108" s="36"/>
    </row>
    <row r="109" spans="1:26" x14ac:dyDescent="0.2">
      <c r="A109" s="58"/>
      <c r="C109" s="36"/>
      <c r="O109" s="49"/>
      <c r="P109" s="49"/>
      <c r="Q109" s="49"/>
      <c r="R109" s="49"/>
      <c r="S109" s="49"/>
      <c r="T109" s="49"/>
      <c r="U109" s="49"/>
      <c r="V109" s="49"/>
      <c r="W109" s="49"/>
      <c r="X109" s="49"/>
      <c r="Y109" s="49"/>
      <c r="Z109" s="49"/>
    </row>
    <row r="110" spans="1:26" x14ac:dyDescent="0.2">
      <c r="O110" s="49"/>
      <c r="P110" s="49"/>
      <c r="Q110" s="49"/>
      <c r="R110" s="49"/>
      <c r="S110" s="49"/>
      <c r="T110" s="49"/>
      <c r="U110" s="49"/>
      <c r="V110" s="49"/>
      <c r="W110" s="49"/>
      <c r="X110" s="49"/>
      <c r="Y110" s="49"/>
      <c r="Z110" s="49"/>
    </row>
    <row r="111" spans="1:26" x14ac:dyDescent="0.2">
      <c r="C111" s="36"/>
    </row>
    <row r="112" spans="1:26" x14ac:dyDescent="0.2">
      <c r="C112" s="36"/>
    </row>
  </sheetData>
  <mergeCells count="9">
    <mergeCell ref="K5:N5"/>
    <mergeCell ref="D1:J2"/>
    <mergeCell ref="K1:N1"/>
    <mergeCell ref="K2:N2"/>
    <mergeCell ref="A3:B3"/>
    <mergeCell ref="E3:J4"/>
    <mergeCell ref="K3:N3"/>
    <mergeCell ref="A4:B4"/>
    <mergeCell ref="K4:N4"/>
  </mergeCells>
  <printOptions horizontalCentered="1" gridLines="1"/>
  <pageMargins left="0" right="0" top="0.45" bottom="0" header="0.15" footer="0.35"/>
  <pageSetup scale="74" orientation="landscape" cellComments="asDisplayed" r:id="rId1"/>
  <headerFooter alignWithMargins="0">
    <oddHeader>&amp;R&amp;16Page 4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6A2288-9B7C-4A9A-BBB5-D6205974211E}">
  <dimension ref="A1:AF63"/>
  <sheetViews>
    <sheetView showGridLines="0" zoomScale="60" zoomScaleNormal="60" zoomScaleSheetLayoutView="100" workbookViewId="0">
      <pane xSplit="5" topLeftCell="I1" activePane="topRight" state="frozen"/>
      <selection pane="topRight" activeCell="R48" sqref="R48"/>
    </sheetView>
  </sheetViews>
  <sheetFormatPr defaultRowHeight="14.1" customHeight="1" x14ac:dyDescent="0.25"/>
  <cols>
    <col min="1" max="1" width="3.42578125" style="100" customWidth="1"/>
    <col min="2" max="2" width="5.5703125" style="100" customWidth="1"/>
    <col min="3" max="3" width="6.42578125" style="100" customWidth="1"/>
    <col min="4" max="4" width="7.5703125" style="118" customWidth="1"/>
    <col min="5" max="5" width="29.5703125" style="77" customWidth="1"/>
    <col min="6" max="6" width="11.140625" style="77" bestFit="1" customWidth="1"/>
    <col min="7" max="7" width="14.5703125" style="103" bestFit="1" customWidth="1"/>
    <col min="8" max="8" width="2.7109375" style="77" customWidth="1"/>
    <col min="9" max="9" width="12.7109375" style="77" bestFit="1" customWidth="1"/>
    <col min="10" max="10" width="16.85546875" style="103" bestFit="1" customWidth="1"/>
    <col min="11" max="11" width="2.7109375" style="77" customWidth="1"/>
    <col min="12" max="12" width="13.42578125" style="77" bestFit="1" customWidth="1"/>
    <col min="13" max="13" width="16.28515625" style="103" customWidth="1"/>
    <col min="14" max="14" width="3" style="77" customWidth="1"/>
    <col min="15" max="15" width="12.85546875" style="77" bestFit="1" customWidth="1"/>
    <col min="16" max="16" width="17.42578125" style="77" customWidth="1"/>
    <col min="17" max="17" width="3.7109375" style="77" customWidth="1"/>
    <col min="18" max="18" width="12.85546875" style="77" bestFit="1" customWidth="1"/>
    <col min="19" max="19" width="16.85546875" style="77" customWidth="1"/>
    <col min="20" max="20" width="3.5703125" style="77" customWidth="1"/>
    <col min="21" max="21" width="9.5703125" style="77" bestFit="1" customWidth="1"/>
    <col min="22" max="22" width="16" style="77" bestFit="1" customWidth="1"/>
    <col min="23" max="23" width="1.7109375" style="77" hidden="1" customWidth="1"/>
    <col min="24" max="24" width="10" style="77" bestFit="1" customWidth="1"/>
    <col min="25" max="25" width="14.7109375" style="77" bestFit="1" customWidth="1"/>
    <col min="26" max="26" width="1.7109375" style="77" hidden="1" customWidth="1"/>
    <col min="27" max="28" width="15.7109375" style="77" hidden="1" customWidth="1"/>
    <col min="29" max="29" width="2.140625" style="77" customWidth="1"/>
    <col min="30" max="30" width="11.42578125" style="77" bestFit="1" customWidth="1"/>
    <col min="31" max="31" width="10.7109375" style="77" bestFit="1" customWidth="1"/>
    <col min="32" max="32" width="13.7109375" style="77" bestFit="1" customWidth="1"/>
    <col min="33" max="16384" width="9.140625" style="77"/>
  </cols>
  <sheetData>
    <row r="1" spans="1:32" ht="17.25" customHeight="1" x14ac:dyDescent="0.25">
      <c r="A1" s="99" t="s">
        <v>133</v>
      </c>
      <c r="C1" s="101"/>
      <c r="D1" s="101"/>
      <c r="E1" s="101"/>
      <c r="F1" s="102"/>
      <c r="H1" s="104"/>
      <c r="J1" s="105"/>
      <c r="N1" s="104"/>
      <c r="O1" s="98"/>
      <c r="P1" s="106"/>
      <c r="Q1" s="98"/>
      <c r="R1" s="98"/>
      <c r="S1" s="98"/>
      <c r="T1" s="104"/>
      <c r="V1" s="107">
        <f>A2-31</f>
        <v>43245</v>
      </c>
      <c r="W1" s="107"/>
      <c r="X1" s="107"/>
    </row>
    <row r="2" spans="1:32" ht="15" customHeight="1" x14ac:dyDescent="0.25">
      <c r="A2" s="108">
        <v>43276</v>
      </c>
      <c r="B2" s="108"/>
      <c r="C2" s="108"/>
      <c r="D2" s="108"/>
      <c r="F2" s="109" t="s">
        <v>95</v>
      </c>
      <c r="G2" s="109"/>
      <c r="H2" s="104"/>
      <c r="I2" s="110" t="s">
        <v>134</v>
      </c>
      <c r="J2" s="110"/>
      <c r="K2" s="110"/>
      <c r="L2" s="110"/>
      <c r="M2" s="110"/>
      <c r="N2" s="104"/>
      <c r="O2" s="111" t="s">
        <v>135</v>
      </c>
      <c r="P2" s="111"/>
      <c r="Q2" s="111"/>
      <c r="R2" s="111"/>
      <c r="S2" s="111"/>
      <c r="T2" s="104"/>
      <c r="V2" s="111" t="s">
        <v>136</v>
      </c>
      <c r="W2" s="111"/>
      <c r="X2" s="111"/>
    </row>
    <row r="3" spans="1:32" ht="15" x14ac:dyDescent="0.25">
      <c r="D3" s="112"/>
      <c r="G3" s="113"/>
      <c r="H3" s="104"/>
      <c r="J3" s="105"/>
      <c r="N3" s="104"/>
      <c r="T3" s="114"/>
      <c r="V3" s="107">
        <f>A2</f>
        <v>43276</v>
      </c>
      <c r="W3" s="107"/>
      <c r="X3" s="107"/>
      <c r="Y3" s="115"/>
      <c r="AA3" s="116" t="s">
        <v>137</v>
      </c>
      <c r="AB3" s="116"/>
      <c r="AC3" s="117"/>
    </row>
    <row r="4" spans="1:32" ht="16.5" customHeight="1" x14ac:dyDescent="0.25">
      <c r="E4" s="119" t="s">
        <v>138</v>
      </c>
      <c r="H4" s="104"/>
      <c r="I4" s="120" t="s">
        <v>139</v>
      </c>
      <c r="J4" s="120"/>
      <c r="K4" s="121"/>
      <c r="L4" s="120" t="s">
        <v>140</v>
      </c>
      <c r="M4" s="120"/>
      <c r="N4" s="122"/>
      <c r="O4" s="120" t="s">
        <v>139</v>
      </c>
      <c r="P4" s="120"/>
      <c r="Q4" s="121"/>
      <c r="R4" s="120" t="s">
        <v>140</v>
      </c>
      <c r="S4" s="120"/>
      <c r="T4" s="122"/>
      <c r="U4" s="120" t="s">
        <v>139</v>
      </c>
      <c r="V4" s="120"/>
      <c r="W4" s="121"/>
      <c r="X4" s="120" t="s">
        <v>140</v>
      </c>
      <c r="Y4" s="120"/>
      <c r="AA4" s="123" t="s">
        <v>101</v>
      </c>
      <c r="AB4" s="123" t="s">
        <v>105</v>
      </c>
      <c r="AC4" s="123"/>
    </row>
    <row r="5" spans="1:32" s="58" customFormat="1" ht="15.75" customHeight="1" x14ac:dyDescent="0.2">
      <c r="A5" s="124" t="s">
        <v>141</v>
      </c>
      <c r="B5" s="124"/>
      <c r="C5" s="124"/>
      <c r="D5" s="124"/>
      <c r="E5" s="125"/>
      <c r="F5" s="126" t="s">
        <v>123</v>
      </c>
      <c r="G5" s="127" t="s">
        <v>142</v>
      </c>
      <c r="H5" s="104"/>
      <c r="I5" s="128" t="s">
        <v>123</v>
      </c>
      <c r="J5" s="129" t="s">
        <v>142</v>
      </c>
      <c r="K5" s="130"/>
      <c r="L5" s="128" t="s">
        <v>123</v>
      </c>
      <c r="M5" s="129" t="s">
        <v>142</v>
      </c>
      <c r="N5" s="104"/>
      <c r="O5" s="126" t="s">
        <v>123</v>
      </c>
      <c r="P5" s="127" t="s">
        <v>142</v>
      </c>
      <c r="Q5" s="130"/>
      <c r="R5" s="128" t="s">
        <v>123</v>
      </c>
      <c r="S5" s="129" t="s">
        <v>142</v>
      </c>
      <c r="T5" s="104"/>
      <c r="U5" s="128" t="s">
        <v>143</v>
      </c>
      <c r="V5" s="131" t="s">
        <v>142</v>
      </c>
      <c r="W5" s="130"/>
      <c r="X5" s="132" t="s">
        <v>143</v>
      </c>
      <c r="Y5" s="131" t="s">
        <v>142</v>
      </c>
      <c r="AA5" s="133" t="s">
        <v>142</v>
      </c>
      <c r="AB5" s="133" t="s">
        <v>142</v>
      </c>
      <c r="AC5" s="133"/>
    </row>
    <row r="6" spans="1:32" ht="14.25" customHeight="1" x14ac:dyDescent="0.25">
      <c r="A6" s="134" t="s">
        <v>144</v>
      </c>
      <c r="B6" s="135">
        <v>6011</v>
      </c>
      <c r="C6" s="135">
        <v>28040</v>
      </c>
      <c r="D6" s="136">
        <v>671010</v>
      </c>
      <c r="E6" s="58" t="s">
        <v>145</v>
      </c>
      <c r="F6" s="137" t="s">
        <v>146</v>
      </c>
      <c r="G6" s="138">
        <f>J6+M6</f>
        <v>0</v>
      </c>
      <c r="H6" s="104"/>
      <c r="I6" s="139"/>
      <c r="J6" s="140">
        <f>+P6+V6</f>
        <v>0</v>
      </c>
      <c r="K6" s="141" t="s">
        <v>147</v>
      </c>
      <c r="L6" s="139"/>
      <c r="M6" s="140">
        <f>+S6+Y6</f>
        <v>0</v>
      </c>
      <c r="N6" s="104" t="s">
        <v>147</v>
      </c>
      <c r="O6" s="139"/>
      <c r="P6" s="142"/>
      <c r="Q6" s="58"/>
      <c r="R6" s="139"/>
      <c r="S6" s="142"/>
      <c r="T6" s="104"/>
      <c r="U6" s="143"/>
      <c r="V6" s="142"/>
      <c r="X6" s="102"/>
      <c r="Y6" s="142"/>
      <c r="AD6" s="144">
        <v>671010</v>
      </c>
    </row>
    <row r="7" spans="1:32" ht="14.25" customHeight="1" x14ac:dyDescent="0.25">
      <c r="A7" s="134" t="s">
        <v>144</v>
      </c>
      <c r="B7" s="135">
        <v>6011</v>
      </c>
      <c r="C7" s="135">
        <v>28040</v>
      </c>
      <c r="D7" s="136">
        <v>671030</v>
      </c>
      <c r="E7" s="58" t="s">
        <v>148</v>
      </c>
      <c r="F7" s="137" t="s">
        <v>146</v>
      </c>
      <c r="G7" s="138">
        <f t="shared" ref="G7:G13" si="0">+J7+M7</f>
        <v>343533.08</v>
      </c>
      <c r="H7" s="104"/>
      <c r="I7" s="139"/>
      <c r="J7" s="140">
        <f>+P7+V7</f>
        <v>200682.79</v>
      </c>
      <c r="K7" s="141" t="s">
        <v>147</v>
      </c>
      <c r="L7" s="139"/>
      <c r="M7" s="140">
        <f>+S7+Y7</f>
        <v>142850.29</v>
      </c>
      <c r="N7" s="104" t="s">
        <v>147</v>
      </c>
      <c r="O7" s="139"/>
      <c r="P7" s="145">
        <v>200492.26</v>
      </c>
      <c r="Q7" s="58"/>
      <c r="R7" s="139"/>
      <c r="S7" s="145">
        <v>141458.5</v>
      </c>
      <c r="T7" s="104"/>
      <c r="U7" s="143"/>
      <c r="V7" s="145">
        <v>190.53</v>
      </c>
      <c r="X7" s="102"/>
      <c r="Y7" s="145">
        <v>1391.79</v>
      </c>
      <c r="AD7" s="144">
        <v>671030</v>
      </c>
    </row>
    <row r="8" spans="1:32" ht="14.25" customHeight="1" x14ac:dyDescent="0.25">
      <c r="A8" s="134" t="s">
        <v>144</v>
      </c>
      <c r="B8" s="135">
        <v>6011</v>
      </c>
      <c r="C8" s="135">
        <v>28040</v>
      </c>
      <c r="D8" s="136">
        <v>671050</v>
      </c>
      <c r="E8" s="58" t="s">
        <v>149</v>
      </c>
      <c r="F8" s="146">
        <f t="shared" ref="F8:F14" si="1">+I8+L8</f>
        <v>10711138</v>
      </c>
      <c r="G8" s="138">
        <f t="shared" si="0"/>
        <v>1870058.5</v>
      </c>
      <c r="H8" s="104"/>
      <c r="I8" s="147">
        <f>+O8+U8</f>
        <v>8719075</v>
      </c>
      <c r="J8" s="148">
        <f>+P8+V8</f>
        <v>1675819.35</v>
      </c>
      <c r="K8" s="141" t="s">
        <v>150</v>
      </c>
      <c r="L8" s="58">
        <f>+R8+X8</f>
        <v>1992063</v>
      </c>
      <c r="M8" s="149">
        <f>+S8+Y8</f>
        <v>194239.15000000002</v>
      </c>
      <c r="N8" s="104" t="s">
        <v>150</v>
      </c>
      <c r="O8" s="150">
        <v>8718996</v>
      </c>
      <c r="P8" s="151">
        <v>1675833.52</v>
      </c>
      <c r="Q8" s="58"/>
      <c r="R8" s="150">
        <v>1991984</v>
      </c>
      <c r="S8" s="151">
        <v>194224.98</v>
      </c>
      <c r="T8" s="104"/>
      <c r="U8" s="152">
        <v>79</v>
      </c>
      <c r="V8" s="151">
        <v>-14.17</v>
      </c>
      <c r="W8" s="153"/>
      <c r="X8" s="154">
        <v>79</v>
      </c>
      <c r="Y8" s="151">
        <v>14.17</v>
      </c>
      <c r="AA8" s="155">
        <v>0</v>
      </c>
      <c r="AB8" s="155">
        <v>0</v>
      </c>
      <c r="AD8" s="156">
        <v>671050</v>
      </c>
    </row>
    <row r="9" spans="1:32" ht="14.25" customHeight="1" x14ac:dyDescent="0.25">
      <c r="A9" s="134" t="s">
        <v>144</v>
      </c>
      <c r="B9" s="135">
        <v>6011</v>
      </c>
      <c r="C9" s="135">
        <v>28040</v>
      </c>
      <c r="D9" s="136">
        <v>671051</v>
      </c>
      <c r="E9" s="58" t="s">
        <v>151</v>
      </c>
      <c r="F9" s="137" t="s">
        <v>146</v>
      </c>
      <c r="G9" s="138">
        <f t="shared" si="0"/>
        <v>0</v>
      </c>
      <c r="H9" s="104"/>
      <c r="I9" s="157"/>
      <c r="J9" s="149">
        <f t="shared" ref="I9:J14" si="2">+P9+V9</f>
        <v>0</v>
      </c>
      <c r="K9" s="141" t="s">
        <v>150</v>
      </c>
      <c r="L9" s="158"/>
      <c r="M9" s="149">
        <f>+S9+Y9</f>
        <v>0</v>
      </c>
      <c r="N9" s="104" t="s">
        <v>150</v>
      </c>
      <c r="O9" s="139"/>
      <c r="P9" s="159"/>
      <c r="Q9" s="58"/>
      <c r="R9" s="139"/>
      <c r="S9" s="159"/>
      <c r="T9" s="104"/>
      <c r="U9" s="160"/>
      <c r="V9" s="159"/>
      <c r="W9" s="102"/>
      <c r="X9" s="161"/>
      <c r="Y9" s="159"/>
      <c r="AD9" s="156">
        <v>671051</v>
      </c>
    </row>
    <row r="10" spans="1:32" ht="14.25" customHeight="1" x14ac:dyDescent="0.25">
      <c r="A10" s="134" t="s">
        <v>144</v>
      </c>
      <c r="B10" s="135">
        <v>6011</v>
      </c>
      <c r="C10" s="135">
        <v>28040</v>
      </c>
      <c r="D10" s="136">
        <v>671070</v>
      </c>
      <c r="E10" s="58" t="s">
        <v>152</v>
      </c>
      <c r="F10" s="146">
        <f t="shared" si="1"/>
        <v>3177140</v>
      </c>
      <c r="G10" s="138">
        <f>+J10+M10</f>
        <v>586360.02</v>
      </c>
      <c r="H10" s="104"/>
      <c r="I10" s="147">
        <f t="shared" si="2"/>
        <v>2350301</v>
      </c>
      <c r="J10" s="149">
        <f t="shared" si="2"/>
        <v>434376.70999999996</v>
      </c>
      <c r="K10" s="141" t="s">
        <v>150</v>
      </c>
      <c r="L10" s="58">
        <f>+R10+X10</f>
        <v>826839</v>
      </c>
      <c r="M10" s="149">
        <f>+S10+Y10</f>
        <v>151983.31</v>
      </c>
      <c r="N10" s="162" t="s">
        <v>150</v>
      </c>
      <c r="O10" s="150">
        <f>194708+2155593</f>
        <v>2350301</v>
      </c>
      <c r="P10" s="163">
        <f>70364.48+364012.23</f>
        <v>434376.70999999996</v>
      </c>
      <c r="Q10" s="58"/>
      <c r="R10" s="150">
        <f>64182+762657</f>
        <v>826839</v>
      </c>
      <c r="S10" s="151">
        <f>23194.4+128788.91</f>
        <v>151983.31</v>
      </c>
      <c r="T10" s="104"/>
      <c r="U10" s="160"/>
      <c r="V10" s="159"/>
      <c r="W10" s="102">
        <v>0</v>
      </c>
      <c r="X10" s="161"/>
      <c r="Y10" s="159"/>
      <c r="AD10" s="156">
        <v>671070</v>
      </c>
    </row>
    <row r="11" spans="1:32" ht="14.25" customHeight="1" x14ac:dyDescent="0.25">
      <c r="A11" s="164" t="s">
        <v>144</v>
      </c>
      <c r="B11" s="165">
        <v>6011</v>
      </c>
      <c r="C11" s="165">
        <v>28081</v>
      </c>
      <c r="D11" s="166">
        <v>671050</v>
      </c>
      <c r="E11" s="167" t="s">
        <v>153</v>
      </c>
      <c r="F11" s="146">
        <f t="shared" si="1"/>
        <v>0</v>
      </c>
      <c r="G11" s="138">
        <f t="shared" si="0"/>
        <v>0</v>
      </c>
      <c r="H11" s="104"/>
      <c r="I11" s="147">
        <f t="shared" si="2"/>
        <v>0</v>
      </c>
      <c r="J11" s="149">
        <f t="shared" si="2"/>
        <v>0</v>
      </c>
      <c r="K11" s="141" t="s">
        <v>150</v>
      </c>
      <c r="L11" s="58">
        <f t="shared" ref="L11:M14" si="3">+R11+X11</f>
        <v>0</v>
      </c>
      <c r="M11" s="149">
        <f t="shared" si="3"/>
        <v>0</v>
      </c>
      <c r="N11" s="104" t="s">
        <v>150</v>
      </c>
      <c r="O11" s="150">
        <v>0</v>
      </c>
      <c r="P11" s="168">
        <v>0</v>
      </c>
      <c r="Q11" s="169">
        <v>-1</v>
      </c>
      <c r="R11" s="150">
        <v>0</v>
      </c>
      <c r="S11" s="168">
        <v>0</v>
      </c>
      <c r="T11" s="170">
        <v>-4</v>
      </c>
      <c r="U11" s="160"/>
      <c r="V11" s="159"/>
      <c r="W11" s="102"/>
      <c r="X11" s="161"/>
      <c r="Y11" s="159"/>
      <c r="AD11" s="166">
        <v>671050</v>
      </c>
      <c r="AE11" s="153"/>
    </row>
    <row r="12" spans="1:32" ht="14.25" customHeight="1" x14ac:dyDescent="0.25">
      <c r="A12" s="164" t="s">
        <v>144</v>
      </c>
      <c r="B12" s="165">
        <v>6011</v>
      </c>
      <c r="C12" s="165">
        <v>28082</v>
      </c>
      <c r="D12" s="166">
        <v>671050</v>
      </c>
      <c r="E12" s="167" t="s">
        <v>154</v>
      </c>
      <c r="F12" s="146">
        <f t="shared" si="1"/>
        <v>-2514300</v>
      </c>
      <c r="G12" s="138">
        <f t="shared" si="0"/>
        <v>-512213.74</v>
      </c>
      <c r="H12" s="104"/>
      <c r="I12" s="147">
        <f t="shared" si="2"/>
        <v>-2514300</v>
      </c>
      <c r="J12" s="149">
        <f t="shared" si="2"/>
        <v>-512213.74</v>
      </c>
      <c r="K12" s="141" t="s">
        <v>150</v>
      </c>
      <c r="L12" s="48">
        <f t="shared" si="3"/>
        <v>0</v>
      </c>
      <c r="M12" s="149">
        <f t="shared" si="3"/>
        <v>0</v>
      </c>
      <c r="N12" s="104" t="s">
        <v>150</v>
      </c>
      <c r="O12" s="150">
        <v>-2514300</v>
      </c>
      <c r="P12" s="168">
        <v>-512213.74</v>
      </c>
      <c r="Q12" s="169">
        <v>-2</v>
      </c>
      <c r="R12" s="171"/>
      <c r="S12" s="168"/>
      <c r="T12" s="170"/>
      <c r="U12" s="172"/>
      <c r="V12" s="159"/>
      <c r="W12" s="102"/>
      <c r="X12" s="161"/>
      <c r="Y12" s="159"/>
      <c r="AD12" s="166">
        <v>671050</v>
      </c>
      <c r="AE12" s="153"/>
      <c r="AF12" s="150"/>
    </row>
    <row r="13" spans="1:32" ht="14.25" customHeight="1" x14ac:dyDescent="0.25">
      <c r="A13" s="164" t="s">
        <v>144</v>
      </c>
      <c r="B13" s="165">
        <v>6011</v>
      </c>
      <c r="C13" s="165">
        <v>28120</v>
      </c>
      <c r="D13" s="166">
        <v>671070</v>
      </c>
      <c r="E13" s="167" t="s">
        <v>155</v>
      </c>
      <c r="F13" s="146">
        <f t="shared" si="1"/>
        <v>-5723</v>
      </c>
      <c r="G13" s="138">
        <f t="shared" si="0"/>
        <v>-1563.29</v>
      </c>
      <c r="H13" s="104"/>
      <c r="I13" s="147">
        <f t="shared" si="2"/>
        <v>-5436</v>
      </c>
      <c r="J13" s="149">
        <f>+P13+V13</f>
        <v>-1485.92</v>
      </c>
      <c r="K13" s="141" t="s">
        <v>150</v>
      </c>
      <c r="L13" s="58">
        <f t="shared" si="3"/>
        <v>-287</v>
      </c>
      <c r="M13" s="149">
        <f t="shared" si="3"/>
        <v>-77.37</v>
      </c>
      <c r="N13" s="104" t="s">
        <v>150</v>
      </c>
      <c r="O13" s="150">
        <v>-5436</v>
      </c>
      <c r="P13" s="168">
        <v>-1485.92</v>
      </c>
      <c r="Q13" s="169">
        <v>-3</v>
      </c>
      <c r="R13" s="173">
        <v>-287</v>
      </c>
      <c r="S13" s="168">
        <v>-77.37</v>
      </c>
      <c r="T13" s="170">
        <v>-5</v>
      </c>
      <c r="U13" s="160"/>
      <c r="V13" s="159"/>
      <c r="W13" s="102"/>
      <c r="X13" s="161">
        <v>0</v>
      </c>
      <c r="Y13" s="159"/>
      <c r="AD13" s="166">
        <v>671070</v>
      </c>
    </row>
    <row r="14" spans="1:32" ht="14.25" customHeight="1" x14ac:dyDescent="0.25">
      <c r="A14" s="134" t="s">
        <v>144</v>
      </c>
      <c r="B14" s="135">
        <v>6011</v>
      </c>
      <c r="C14" s="135">
        <v>28040</v>
      </c>
      <c r="D14" s="136">
        <v>671100</v>
      </c>
      <c r="E14" s="58" t="s">
        <v>156</v>
      </c>
      <c r="F14" s="146">
        <f t="shared" si="1"/>
        <v>0</v>
      </c>
      <c r="G14" s="138">
        <f>+J14+M14</f>
        <v>0</v>
      </c>
      <c r="H14" s="104"/>
      <c r="I14" s="147">
        <f>+O14+U14</f>
        <v>0</v>
      </c>
      <c r="J14" s="149">
        <f t="shared" si="2"/>
        <v>0</v>
      </c>
      <c r="K14" s="141" t="s">
        <v>150</v>
      </c>
      <c r="L14" s="174">
        <f t="shared" si="3"/>
        <v>0</v>
      </c>
      <c r="M14" s="175">
        <f t="shared" si="3"/>
        <v>0</v>
      </c>
      <c r="N14" s="104" t="s">
        <v>150</v>
      </c>
      <c r="O14" s="176"/>
      <c r="P14" s="177"/>
      <c r="Q14" s="58"/>
      <c r="R14" s="176"/>
      <c r="S14" s="159"/>
      <c r="T14" s="104"/>
      <c r="U14" s="160"/>
      <c r="V14" s="159"/>
      <c r="W14" s="102"/>
      <c r="X14" s="161"/>
      <c r="Y14" s="178"/>
      <c r="AD14" s="156">
        <v>671100</v>
      </c>
    </row>
    <row r="15" spans="1:32" ht="14.25" customHeight="1" x14ac:dyDescent="0.25">
      <c r="A15" s="134"/>
      <c r="B15" s="179"/>
      <c r="C15" s="179"/>
      <c r="D15" s="180"/>
      <c r="E15" s="181" t="s">
        <v>157</v>
      </c>
      <c r="F15" s="182">
        <f>SUM(F6:F14)</f>
        <v>11368255</v>
      </c>
      <c r="G15" s="183">
        <f>SUM(G6:G14)</f>
        <v>2286174.5700000003</v>
      </c>
      <c r="H15" s="104"/>
      <c r="I15" s="184">
        <f>SUM(I6:I14)</f>
        <v>8549640</v>
      </c>
      <c r="J15" s="90">
        <f>SUM(J6:J14)</f>
        <v>1797179.1900000002</v>
      </c>
      <c r="K15" s="141"/>
      <c r="L15" s="58">
        <f>SUM(L6:L14)</f>
        <v>2818615</v>
      </c>
      <c r="M15" s="92">
        <f>SUM(M6:M14)</f>
        <v>488995.38000000006</v>
      </c>
      <c r="N15" s="104"/>
      <c r="O15" s="58">
        <f>SUM(O6:O14)</f>
        <v>8549561</v>
      </c>
      <c r="P15" s="185">
        <f>SUM(P6:P14)</f>
        <v>1797002.8300000003</v>
      </c>
      <c r="Q15" s="58"/>
      <c r="R15" s="58">
        <f>SUM(R6:R14)</f>
        <v>2818536</v>
      </c>
      <c r="S15" s="185">
        <f>SUM(S6:S14)</f>
        <v>487589.42</v>
      </c>
      <c r="T15" s="104"/>
      <c r="U15" s="186">
        <f>+SUM(U6:U14)</f>
        <v>79</v>
      </c>
      <c r="V15" s="185">
        <f>SUM(V6:V14)</f>
        <v>176.36</v>
      </c>
      <c r="W15" s="102"/>
      <c r="X15" s="186">
        <f>SUM(X6:X14)</f>
        <v>79</v>
      </c>
      <c r="Y15" s="185">
        <f>SUM(Y6:Y14)</f>
        <v>1405.96</v>
      </c>
      <c r="AA15" s="187">
        <f>SUM(AA6:AA14)</f>
        <v>0</v>
      </c>
      <c r="AB15" s="187">
        <f>SUM(AB6:AB14)</f>
        <v>0</v>
      </c>
      <c r="AC15" s="187"/>
      <c r="AD15" s="180"/>
    </row>
    <row r="16" spans="1:32" ht="14.25" customHeight="1" x14ac:dyDescent="0.25">
      <c r="A16" s="134"/>
      <c r="B16" s="179"/>
      <c r="C16" s="179"/>
      <c r="D16" s="180"/>
      <c r="F16" s="182"/>
      <c r="G16" s="188"/>
      <c r="H16" s="104"/>
      <c r="I16" s="182"/>
      <c r="J16" s="188"/>
      <c r="K16" s="189"/>
      <c r="L16" s="182"/>
      <c r="M16" s="190"/>
      <c r="N16" s="104"/>
      <c r="O16" s="184"/>
      <c r="P16" s="53"/>
      <c r="Q16" s="58"/>
      <c r="R16" s="184"/>
      <c r="S16" s="53"/>
      <c r="T16" s="104"/>
      <c r="U16" s="191"/>
      <c r="V16" s="53"/>
      <c r="W16" s="102"/>
      <c r="X16" s="102"/>
      <c r="Y16" s="53"/>
      <c r="AD16" s="180"/>
    </row>
    <row r="17" spans="1:32" ht="14.25" customHeight="1" x14ac:dyDescent="0.25">
      <c r="A17" s="134" t="s">
        <v>144</v>
      </c>
      <c r="B17" s="135">
        <v>6011</v>
      </c>
      <c r="C17" s="135">
        <v>28040</v>
      </c>
      <c r="D17" s="136">
        <v>672010</v>
      </c>
      <c r="E17" s="58" t="s">
        <v>158</v>
      </c>
      <c r="F17" s="137"/>
      <c r="G17" s="138">
        <f>J17+M17</f>
        <v>3766370.0100000002</v>
      </c>
      <c r="H17" s="104"/>
      <c r="I17" s="192"/>
      <c r="J17" s="140">
        <f>+P17+V17</f>
        <v>3133040.91</v>
      </c>
      <c r="K17" s="141" t="s">
        <v>147</v>
      </c>
      <c r="L17" s="139"/>
      <c r="M17" s="140">
        <f>+S17+Y17</f>
        <v>633329.10000000009</v>
      </c>
      <c r="N17" s="104" t="s">
        <v>147</v>
      </c>
      <c r="O17" s="139"/>
      <c r="P17" s="145">
        <f>98523.69+3034517.23</f>
        <v>3133040.92</v>
      </c>
      <c r="Q17" s="58"/>
      <c r="R17" s="139"/>
      <c r="S17" s="145">
        <f>234438.76+398890.34</f>
        <v>633329.10000000009</v>
      </c>
      <c r="T17" s="104"/>
      <c r="U17" s="193"/>
      <c r="V17" s="145">
        <v>-0.01</v>
      </c>
      <c r="W17" s="194"/>
      <c r="X17" s="195"/>
      <c r="Y17" s="196"/>
      <c r="AD17" s="144">
        <v>672010</v>
      </c>
    </row>
    <row r="18" spans="1:32" ht="14.25" customHeight="1" x14ac:dyDescent="0.25">
      <c r="A18" s="134" t="s">
        <v>144</v>
      </c>
      <c r="B18" s="135">
        <v>6011</v>
      </c>
      <c r="C18" s="135">
        <v>28040</v>
      </c>
      <c r="D18" s="136">
        <v>672020</v>
      </c>
      <c r="E18" s="58" t="s">
        <v>159</v>
      </c>
      <c r="F18" s="137"/>
      <c r="G18" s="138">
        <f>J18+M18</f>
        <v>65327.060000000005</v>
      </c>
      <c r="H18" s="104"/>
      <c r="I18" s="192"/>
      <c r="J18" s="149">
        <f>+P18+V18</f>
        <v>58838.670000000006</v>
      </c>
      <c r="K18" s="141" t="s">
        <v>150</v>
      </c>
      <c r="L18" s="139"/>
      <c r="M18" s="149">
        <f>+S18+Y18</f>
        <v>6488.39</v>
      </c>
      <c r="N18" s="104" t="s">
        <v>150</v>
      </c>
      <c r="O18" s="139"/>
      <c r="P18" s="151">
        <v>61845.91</v>
      </c>
      <c r="Q18" s="58"/>
      <c r="S18" s="151">
        <v>7329.09</v>
      </c>
      <c r="T18" s="104"/>
      <c r="U18" s="193"/>
      <c r="V18" s="151">
        <v>-3007.24</v>
      </c>
      <c r="W18" s="194"/>
      <c r="X18" s="195"/>
      <c r="Y18" s="151">
        <v>-840.7</v>
      </c>
      <c r="AD18" s="156">
        <v>672020</v>
      </c>
      <c r="AE18" s="197"/>
    </row>
    <row r="19" spans="1:32" ht="14.25" customHeight="1" x14ac:dyDescent="0.25">
      <c r="A19" s="134" t="s">
        <v>144</v>
      </c>
      <c r="B19" s="135">
        <v>6011</v>
      </c>
      <c r="C19" s="135">
        <v>28040</v>
      </c>
      <c r="D19" s="136">
        <v>672030</v>
      </c>
      <c r="E19" s="58" t="s">
        <v>160</v>
      </c>
      <c r="F19" s="137"/>
      <c r="G19" s="138">
        <f>J19+M19</f>
        <v>0</v>
      </c>
      <c r="H19" s="104"/>
      <c r="I19" s="192"/>
      <c r="J19" s="140">
        <f>+P19+V19</f>
        <v>0</v>
      </c>
      <c r="K19" s="141" t="s">
        <v>147</v>
      </c>
      <c r="L19" s="139"/>
      <c r="M19" s="140">
        <f>+S19+Y19</f>
        <v>0</v>
      </c>
      <c r="N19" s="104" t="s">
        <v>147</v>
      </c>
      <c r="O19" s="139"/>
      <c r="P19" s="142"/>
      <c r="Q19" s="58"/>
      <c r="R19" s="139"/>
      <c r="S19" s="142"/>
      <c r="T19" s="104"/>
      <c r="U19" s="193"/>
      <c r="V19" s="145"/>
      <c r="W19" s="194"/>
      <c r="X19" s="195"/>
      <c r="Y19" s="145"/>
      <c r="AD19" s="144">
        <v>672030</v>
      </c>
      <c r="AE19" s="197"/>
    </row>
    <row r="20" spans="1:32" ht="14.25" customHeight="1" x14ac:dyDescent="0.25">
      <c r="A20" s="134" t="s">
        <v>144</v>
      </c>
      <c r="B20" s="135">
        <v>6011</v>
      </c>
      <c r="C20" s="135">
        <v>28040</v>
      </c>
      <c r="D20" s="136">
        <v>672040</v>
      </c>
      <c r="E20" s="58" t="s">
        <v>161</v>
      </c>
      <c r="F20" s="137"/>
      <c r="G20" s="138">
        <f>J20+M20</f>
        <v>647561.3600000001</v>
      </c>
      <c r="H20" s="104"/>
      <c r="I20" s="192"/>
      <c r="J20" s="140">
        <f>+P20+V20</f>
        <v>604871.93000000005</v>
      </c>
      <c r="K20" s="141" t="s">
        <v>147</v>
      </c>
      <c r="L20" s="139"/>
      <c r="M20" s="140">
        <f>+S20+Y20</f>
        <v>42689.43</v>
      </c>
      <c r="N20" s="104" t="s">
        <v>147</v>
      </c>
      <c r="O20" s="139"/>
      <c r="P20" s="145">
        <v>605330.80000000005</v>
      </c>
      <c r="Q20" s="58"/>
      <c r="R20" s="139"/>
      <c r="S20" s="145">
        <v>42753.56</v>
      </c>
      <c r="T20" s="104"/>
      <c r="U20" s="193"/>
      <c r="V20" s="145">
        <v>-458.87</v>
      </c>
      <c r="W20" s="194"/>
      <c r="X20" s="195"/>
      <c r="Y20" s="145">
        <v>-64.13</v>
      </c>
      <c r="AC20" s="77">
        <v>-64.13</v>
      </c>
      <c r="AD20" s="144">
        <v>672040</v>
      </c>
      <c r="AE20" s="197"/>
      <c r="AF20" s="197"/>
    </row>
    <row r="21" spans="1:32" ht="14.25" customHeight="1" x14ac:dyDescent="0.25">
      <c r="A21" s="134" t="s">
        <v>144</v>
      </c>
      <c r="B21" s="135">
        <v>6011</v>
      </c>
      <c r="C21" s="135">
        <v>28040</v>
      </c>
      <c r="D21" s="136">
        <v>672050</v>
      </c>
      <c r="E21" s="58" t="s">
        <v>162</v>
      </c>
      <c r="F21" s="137"/>
      <c r="G21" s="138">
        <f>J21+M21</f>
        <v>-627393.46</v>
      </c>
      <c r="H21" s="104"/>
      <c r="I21" s="198"/>
      <c r="J21" s="140">
        <f>+P21+V21</f>
        <v>-550393.49</v>
      </c>
      <c r="K21" s="141" t="s">
        <v>147</v>
      </c>
      <c r="L21" s="139"/>
      <c r="M21" s="199">
        <f>+S21+Y21</f>
        <v>-76999.97</v>
      </c>
      <c r="N21" s="104" t="s">
        <v>147</v>
      </c>
      <c r="O21" s="139"/>
      <c r="P21" s="145">
        <f>+-77.11-547318.37</f>
        <v>-547395.48</v>
      </c>
      <c r="Q21" s="200"/>
      <c r="R21" s="201"/>
      <c r="S21" s="202">
        <f>+-91.9-76489.08</f>
        <v>-76580.98</v>
      </c>
      <c r="T21" s="104"/>
      <c r="U21" s="193"/>
      <c r="V21" s="145">
        <v>-2998.01</v>
      </c>
      <c r="W21" s="194"/>
      <c r="X21" s="195"/>
      <c r="Y21" s="145">
        <v>-418.99</v>
      </c>
      <c r="AD21" s="144">
        <v>672050</v>
      </c>
      <c r="AE21" s="197"/>
      <c r="AF21" s="197"/>
    </row>
    <row r="22" spans="1:32" ht="14.25" customHeight="1" x14ac:dyDescent="0.25">
      <c r="A22" s="134"/>
      <c r="B22" s="179"/>
      <c r="C22" s="179"/>
      <c r="D22" s="180"/>
      <c r="E22" s="184" t="s">
        <v>163</v>
      </c>
      <c r="F22" s="203"/>
      <c r="G22" s="204">
        <f>SUM(G17:G21)</f>
        <v>3851864.9700000007</v>
      </c>
      <c r="H22" s="104"/>
      <c r="I22" s="205"/>
      <c r="J22" s="92">
        <f>SUM(J17:J21)</f>
        <v>3246358.0200000005</v>
      </c>
      <c r="K22" s="141"/>
      <c r="L22" s="206"/>
      <c r="M22" s="92">
        <f>SUM(M17:M21)</f>
        <v>605506.95000000019</v>
      </c>
      <c r="N22" s="104"/>
      <c r="O22" s="184"/>
      <c r="P22" s="185">
        <f>SUM(P17:P21)</f>
        <v>3252822.15</v>
      </c>
      <c r="Q22" s="141"/>
      <c r="R22" s="91"/>
      <c r="S22" s="185">
        <f>SUM(S17:S21)</f>
        <v>606830.77</v>
      </c>
      <c r="T22" s="104"/>
      <c r="U22" s="207"/>
      <c r="V22" s="208">
        <f>SUM(V17:V21)</f>
        <v>-6464.13</v>
      </c>
      <c r="W22" s="102"/>
      <c r="X22" s="143"/>
      <c r="Y22" s="185">
        <f>SUM(Y17:Y21)</f>
        <v>-1323.8200000000002</v>
      </c>
      <c r="AA22" s="187">
        <f>SUM(AA17:AA21)</f>
        <v>0</v>
      </c>
      <c r="AB22" s="187">
        <f>SUM(AB17:AB21)</f>
        <v>0</v>
      </c>
      <c r="AC22" s="187"/>
      <c r="AD22" s="180"/>
    </row>
    <row r="23" spans="1:32" ht="14.25" customHeight="1" x14ac:dyDescent="0.25">
      <c r="A23" s="134"/>
      <c r="B23" s="179"/>
      <c r="C23" s="179"/>
      <c r="D23" s="180"/>
      <c r="E23" s="209"/>
      <c r="F23" s="146"/>
      <c r="G23" s="188"/>
      <c r="H23" s="104"/>
      <c r="I23" s="192"/>
      <c r="J23" s="190"/>
      <c r="K23" s="189"/>
      <c r="L23" s="210"/>
      <c r="M23" s="190"/>
      <c r="N23" s="104"/>
      <c r="O23" s="184"/>
      <c r="P23" s="53"/>
      <c r="Q23" s="58"/>
      <c r="R23" s="58"/>
      <c r="S23" s="53"/>
      <c r="T23" s="104"/>
      <c r="U23" s="193"/>
      <c r="V23" s="90"/>
      <c r="W23" s="102"/>
      <c r="X23" s="143"/>
      <c r="Y23" s="53"/>
      <c r="AD23" s="180"/>
    </row>
    <row r="24" spans="1:32" ht="14.25" customHeight="1" x14ac:dyDescent="0.25">
      <c r="A24" s="134" t="s">
        <v>144</v>
      </c>
      <c r="B24" s="135">
        <v>6011</v>
      </c>
      <c r="C24" s="135">
        <v>28040</v>
      </c>
      <c r="D24" s="136">
        <v>673020</v>
      </c>
      <c r="E24" s="58" t="s">
        <v>164</v>
      </c>
      <c r="F24" s="137"/>
      <c r="G24" s="138">
        <f>J24+M24</f>
        <v>63862.78</v>
      </c>
      <c r="H24" s="104"/>
      <c r="I24" s="192"/>
      <c r="J24" s="140">
        <f t="shared" ref="J24:J37" si="4">+P24+V24</f>
        <v>56031.83</v>
      </c>
      <c r="K24" s="141" t="s">
        <v>147</v>
      </c>
      <c r="L24" s="139"/>
      <c r="M24" s="140">
        <f t="shared" ref="M24:M33" si="5">+S24+Y24</f>
        <v>7830.95</v>
      </c>
      <c r="N24" s="104" t="s">
        <v>147</v>
      </c>
      <c r="O24" s="139"/>
      <c r="P24" s="145">
        <v>56031.83</v>
      </c>
      <c r="Q24" s="58"/>
      <c r="R24" s="139"/>
      <c r="S24" s="145">
        <v>7830.95</v>
      </c>
      <c r="T24" s="104"/>
      <c r="U24" s="193"/>
      <c r="V24" s="142"/>
      <c r="W24" s="211"/>
      <c r="X24" s="211"/>
      <c r="Y24" s="142"/>
      <c r="AD24" s="144">
        <v>673020</v>
      </c>
    </row>
    <row r="25" spans="1:32" ht="14.25" customHeight="1" x14ac:dyDescent="0.25">
      <c r="A25" s="134" t="s">
        <v>144</v>
      </c>
      <c r="B25" s="135">
        <v>6011</v>
      </c>
      <c r="C25" s="135">
        <v>28040</v>
      </c>
      <c r="D25" s="136">
        <v>673030</v>
      </c>
      <c r="E25" s="58" t="s">
        <v>165</v>
      </c>
      <c r="F25" s="137"/>
      <c r="G25" s="138">
        <f t="shared" ref="G25:G37" si="6">J25+M25</f>
        <v>65756.460000000006</v>
      </c>
      <c r="H25" s="104"/>
      <c r="I25" s="192"/>
      <c r="J25" s="140">
        <f t="shared" si="4"/>
        <v>59305.75</v>
      </c>
      <c r="K25" s="141" t="s">
        <v>147</v>
      </c>
      <c r="L25" s="139"/>
      <c r="M25" s="140">
        <f t="shared" si="5"/>
        <v>6450.71</v>
      </c>
      <c r="N25" s="104" t="s">
        <v>147</v>
      </c>
      <c r="O25" s="139"/>
      <c r="P25" s="145">
        <v>59305.75</v>
      </c>
      <c r="Q25" s="58"/>
      <c r="R25" s="139"/>
      <c r="S25" s="145">
        <f>6450.71</f>
        <v>6450.71</v>
      </c>
      <c r="T25" s="104"/>
      <c r="U25" s="193"/>
      <c r="V25" s="142"/>
      <c r="W25" s="211"/>
      <c r="X25" s="211"/>
      <c r="Y25" s="142"/>
      <c r="AD25" s="144">
        <v>673030</v>
      </c>
    </row>
    <row r="26" spans="1:32" ht="14.25" customHeight="1" x14ac:dyDescent="0.25">
      <c r="A26" s="134" t="s">
        <v>144</v>
      </c>
      <c r="B26" s="135">
        <v>6011</v>
      </c>
      <c r="C26" s="135">
        <v>28040</v>
      </c>
      <c r="D26" s="136">
        <v>673040</v>
      </c>
      <c r="E26" s="58" t="s">
        <v>166</v>
      </c>
      <c r="F26" s="137"/>
      <c r="G26" s="138">
        <f t="shared" si="6"/>
        <v>0</v>
      </c>
      <c r="H26" s="104"/>
      <c r="I26" s="192"/>
      <c r="J26" s="149">
        <f t="shared" si="4"/>
        <v>0</v>
      </c>
      <c r="K26" s="141" t="s">
        <v>150</v>
      </c>
      <c r="L26" s="139"/>
      <c r="M26" s="149">
        <f>+S26+Y26</f>
        <v>0</v>
      </c>
      <c r="N26" s="104" t="s">
        <v>150</v>
      </c>
      <c r="O26" s="139"/>
      <c r="P26" s="159"/>
      <c r="Q26" s="58"/>
      <c r="R26" s="139"/>
      <c r="S26" s="159"/>
      <c r="T26" s="104"/>
      <c r="U26" s="193"/>
      <c r="V26" s="159"/>
      <c r="W26" s="211"/>
      <c r="X26" s="211"/>
      <c r="Y26" s="159"/>
      <c r="AD26" s="156">
        <v>673040</v>
      </c>
    </row>
    <row r="27" spans="1:32" ht="14.25" customHeight="1" x14ac:dyDescent="0.25">
      <c r="A27" s="134" t="s">
        <v>144</v>
      </c>
      <c r="B27" s="135">
        <v>6011</v>
      </c>
      <c r="C27" s="135">
        <v>28040</v>
      </c>
      <c r="D27" s="136">
        <v>673050</v>
      </c>
      <c r="E27" s="58" t="s">
        <v>167</v>
      </c>
      <c r="F27" s="137"/>
      <c r="G27" s="138">
        <f t="shared" si="6"/>
        <v>62650.880000000005</v>
      </c>
      <c r="H27" s="104"/>
      <c r="I27" s="192"/>
      <c r="J27" s="149">
        <f t="shared" si="4"/>
        <v>56504.83</v>
      </c>
      <c r="K27" s="141" t="s">
        <v>150</v>
      </c>
      <c r="L27" s="139"/>
      <c r="M27" s="140">
        <f t="shared" si="5"/>
        <v>6146.05</v>
      </c>
      <c r="N27" s="104" t="s">
        <v>147</v>
      </c>
      <c r="O27" s="139"/>
      <c r="P27" s="159">
        <v>56504.83</v>
      </c>
      <c r="Q27" s="58"/>
      <c r="R27" s="139"/>
      <c r="S27" s="159">
        <v>6146.05</v>
      </c>
      <c r="T27" s="104"/>
      <c r="U27" s="193"/>
      <c r="V27" s="159"/>
      <c r="W27" s="211"/>
      <c r="X27" s="211"/>
      <c r="Y27" s="159"/>
      <c r="AD27" s="144">
        <v>673050</v>
      </c>
    </row>
    <row r="28" spans="1:32" ht="14.25" customHeight="1" x14ac:dyDescent="0.25">
      <c r="A28" s="134" t="s">
        <v>144</v>
      </c>
      <c r="B28" s="135">
        <v>6011</v>
      </c>
      <c r="C28" s="135">
        <v>28040</v>
      </c>
      <c r="D28" s="136">
        <v>673060</v>
      </c>
      <c r="E28" s="58" t="s">
        <v>168</v>
      </c>
      <c r="F28" s="137"/>
      <c r="G28" s="138">
        <f t="shared" si="6"/>
        <v>0</v>
      </c>
      <c r="H28" s="104"/>
      <c r="I28" s="192"/>
      <c r="J28" s="149">
        <f t="shared" si="4"/>
        <v>0</v>
      </c>
      <c r="K28" s="141" t="s">
        <v>150</v>
      </c>
      <c r="L28" s="139"/>
      <c r="M28" s="140">
        <f t="shared" si="5"/>
        <v>0</v>
      </c>
      <c r="N28" s="104" t="s">
        <v>147</v>
      </c>
      <c r="O28" s="139"/>
      <c r="P28" s="159"/>
      <c r="Q28" s="58"/>
      <c r="R28" s="139"/>
      <c r="S28" s="142"/>
      <c r="T28" s="104"/>
      <c r="U28" s="193"/>
      <c r="V28" s="159"/>
      <c r="W28" s="211"/>
      <c r="X28" s="211"/>
      <c r="Y28" s="142"/>
      <c r="AD28" s="144">
        <v>673060</v>
      </c>
    </row>
    <row r="29" spans="1:32" ht="14.25" customHeight="1" x14ac:dyDescent="0.25">
      <c r="A29" s="134" t="s">
        <v>144</v>
      </c>
      <c r="B29" s="135">
        <v>6011</v>
      </c>
      <c r="C29" s="135">
        <v>28040</v>
      </c>
      <c r="D29" s="136">
        <v>673070</v>
      </c>
      <c r="E29" s="58" t="s">
        <v>169</v>
      </c>
      <c r="F29" s="137"/>
      <c r="G29" s="138">
        <f t="shared" si="6"/>
        <v>0</v>
      </c>
      <c r="H29" s="104"/>
      <c r="I29" s="192"/>
      <c r="J29" s="149">
        <f t="shared" si="4"/>
        <v>0</v>
      </c>
      <c r="K29" s="141" t="s">
        <v>150</v>
      </c>
      <c r="L29" s="139"/>
      <c r="M29" s="140">
        <f t="shared" si="5"/>
        <v>0</v>
      </c>
      <c r="N29" s="104" t="s">
        <v>147</v>
      </c>
      <c r="O29" s="139"/>
      <c r="P29" s="151"/>
      <c r="Q29" s="58"/>
      <c r="R29" s="139"/>
      <c r="S29" s="142"/>
      <c r="T29" s="104"/>
      <c r="U29" s="193"/>
      <c r="V29" s="159"/>
      <c r="W29" s="211"/>
      <c r="X29" s="211"/>
      <c r="Y29" s="142"/>
      <c r="AD29" s="144">
        <v>673070</v>
      </c>
    </row>
    <row r="30" spans="1:32" ht="14.25" customHeight="1" x14ac:dyDescent="0.25">
      <c r="A30" s="134" t="s">
        <v>144</v>
      </c>
      <c r="B30" s="135">
        <v>6011</v>
      </c>
      <c r="C30" s="135">
        <v>28040</v>
      </c>
      <c r="D30" s="136">
        <v>673080</v>
      </c>
      <c r="E30" s="58" t="s">
        <v>170</v>
      </c>
      <c r="F30" s="137"/>
      <c r="G30" s="138">
        <f t="shared" si="6"/>
        <v>18153.830000000002</v>
      </c>
      <c r="H30" s="104"/>
      <c r="I30" s="192"/>
      <c r="J30" s="140">
        <f t="shared" si="4"/>
        <v>16479.91</v>
      </c>
      <c r="K30" s="141" t="s">
        <v>147</v>
      </c>
      <c r="L30" s="139"/>
      <c r="M30" s="140">
        <f t="shared" si="5"/>
        <v>1673.92</v>
      </c>
      <c r="N30" s="104" t="s">
        <v>147</v>
      </c>
      <c r="O30" s="139"/>
      <c r="P30" s="145">
        <v>16479.91</v>
      </c>
      <c r="Q30" s="58"/>
      <c r="R30" s="139"/>
      <c r="S30" s="145">
        <v>1673.92</v>
      </c>
      <c r="T30" s="104"/>
      <c r="U30" s="193"/>
      <c r="V30" s="142"/>
      <c r="W30" s="211"/>
      <c r="X30" s="211"/>
      <c r="Y30" s="142"/>
      <c r="AD30" s="144">
        <v>673080</v>
      </c>
    </row>
    <row r="31" spans="1:32" ht="14.25" customHeight="1" x14ac:dyDescent="0.25">
      <c r="A31" s="134" t="s">
        <v>144</v>
      </c>
      <c r="B31" s="135">
        <v>6011</v>
      </c>
      <c r="C31" s="135">
        <v>28040</v>
      </c>
      <c r="D31" s="136">
        <v>673090</v>
      </c>
      <c r="E31" s="58" t="s">
        <v>171</v>
      </c>
      <c r="F31" s="137"/>
      <c r="G31" s="138">
        <f t="shared" si="6"/>
        <v>0</v>
      </c>
      <c r="H31" s="104"/>
      <c r="I31" s="192"/>
      <c r="J31" s="149">
        <f t="shared" si="4"/>
        <v>0</v>
      </c>
      <c r="K31" s="141" t="s">
        <v>150</v>
      </c>
      <c r="L31" s="139"/>
      <c r="M31" s="149">
        <f>+S31+Y31</f>
        <v>0</v>
      </c>
      <c r="N31" s="104" t="s">
        <v>150</v>
      </c>
      <c r="O31" s="139"/>
      <c r="P31" s="151"/>
      <c r="Q31" s="58"/>
      <c r="R31" s="139"/>
      <c r="S31" s="159"/>
      <c r="T31" s="104"/>
      <c r="U31" s="193"/>
      <c r="V31" s="159"/>
      <c r="W31" s="211"/>
      <c r="X31" s="211"/>
      <c r="Y31" s="159"/>
      <c r="AD31" s="156">
        <v>673090</v>
      </c>
    </row>
    <row r="32" spans="1:32" ht="14.25" customHeight="1" x14ac:dyDescent="0.25">
      <c r="A32" s="134" t="s">
        <v>144</v>
      </c>
      <c r="B32" s="135">
        <v>6011</v>
      </c>
      <c r="C32" s="135">
        <v>28040</v>
      </c>
      <c r="D32" s="136">
        <v>673120</v>
      </c>
      <c r="E32" s="58" t="s">
        <v>172</v>
      </c>
      <c r="F32" s="137"/>
      <c r="G32" s="138">
        <f t="shared" si="6"/>
        <v>145680.88</v>
      </c>
      <c r="H32" s="104"/>
      <c r="I32" s="192"/>
      <c r="J32" s="140">
        <f t="shared" si="4"/>
        <v>127817.23000000001</v>
      </c>
      <c r="K32" s="141" t="s">
        <v>147</v>
      </c>
      <c r="L32" s="139"/>
      <c r="M32" s="140">
        <f t="shared" si="5"/>
        <v>17863.650000000001</v>
      </c>
      <c r="N32" s="104" t="s">
        <v>147</v>
      </c>
      <c r="O32" s="139"/>
      <c r="P32" s="145">
        <v>124360.35</v>
      </c>
      <c r="Q32" s="58"/>
      <c r="R32" s="139"/>
      <c r="S32" s="145">
        <v>17380.52</v>
      </c>
      <c r="T32" s="104"/>
      <c r="U32" s="193"/>
      <c r="V32" s="145">
        <v>3456.88</v>
      </c>
      <c r="W32" s="212"/>
      <c r="X32" s="212"/>
      <c r="Y32" s="145">
        <v>483.13</v>
      </c>
      <c r="AD32" s="144">
        <v>673120</v>
      </c>
    </row>
    <row r="33" spans="1:30" ht="14.25" customHeight="1" x14ac:dyDescent="0.25">
      <c r="A33" s="134" t="s">
        <v>144</v>
      </c>
      <c r="B33" s="135">
        <v>6011</v>
      </c>
      <c r="C33" s="135">
        <v>28040</v>
      </c>
      <c r="D33" s="136">
        <v>673130</v>
      </c>
      <c r="E33" s="58" t="s">
        <v>173</v>
      </c>
      <c r="F33" s="137"/>
      <c r="G33" s="138">
        <f t="shared" si="6"/>
        <v>105</v>
      </c>
      <c r="H33" s="104"/>
      <c r="I33" s="192"/>
      <c r="J33" s="140">
        <f t="shared" si="4"/>
        <v>94.7</v>
      </c>
      <c r="K33" s="141" t="s">
        <v>147</v>
      </c>
      <c r="L33" s="139"/>
      <c r="M33" s="140">
        <f t="shared" si="5"/>
        <v>10.3</v>
      </c>
      <c r="N33" s="104" t="s">
        <v>147</v>
      </c>
      <c r="O33" s="139"/>
      <c r="P33" s="145">
        <v>94.7</v>
      </c>
      <c r="Q33" s="58"/>
      <c r="R33" s="139"/>
      <c r="S33" s="145">
        <v>10.3</v>
      </c>
      <c r="T33" s="104"/>
      <c r="U33" s="193"/>
      <c r="V33" s="142"/>
      <c r="W33" s="102"/>
      <c r="X33" s="143"/>
      <c r="Y33" s="142"/>
      <c r="AD33" s="144">
        <v>673130</v>
      </c>
    </row>
    <row r="34" spans="1:30" ht="14.25" customHeight="1" x14ac:dyDescent="0.25">
      <c r="A34" s="134" t="s">
        <v>144</v>
      </c>
      <c r="B34" s="135">
        <v>6011</v>
      </c>
      <c r="C34" s="135">
        <v>28040</v>
      </c>
      <c r="D34" s="136">
        <v>673140</v>
      </c>
      <c r="E34" s="58" t="s">
        <v>174</v>
      </c>
      <c r="F34" s="137"/>
      <c r="G34" s="138">
        <f t="shared" si="6"/>
        <v>0</v>
      </c>
      <c r="H34" s="104"/>
      <c r="I34" s="192"/>
      <c r="J34" s="149">
        <f t="shared" si="4"/>
        <v>0</v>
      </c>
      <c r="K34" s="141" t="s">
        <v>150</v>
      </c>
      <c r="L34" s="139"/>
      <c r="M34" s="149">
        <f>+S34+Y34</f>
        <v>0</v>
      </c>
      <c r="N34" s="104" t="s">
        <v>150</v>
      </c>
      <c r="O34" s="139"/>
      <c r="P34" s="151"/>
      <c r="Q34" s="58"/>
      <c r="R34" s="139"/>
      <c r="S34" s="159"/>
      <c r="T34" s="104"/>
      <c r="U34" s="193"/>
      <c r="V34" s="159"/>
      <c r="W34" s="102"/>
      <c r="X34" s="143"/>
      <c r="Y34" s="159"/>
      <c r="AD34" s="156">
        <v>673140</v>
      </c>
    </row>
    <row r="35" spans="1:30" ht="14.25" customHeight="1" x14ac:dyDescent="0.25">
      <c r="A35" s="134" t="s">
        <v>144</v>
      </c>
      <c r="B35" s="135">
        <v>6011</v>
      </c>
      <c r="C35" s="135">
        <v>28040</v>
      </c>
      <c r="D35" s="136">
        <v>673160</v>
      </c>
      <c r="E35" s="58" t="s">
        <v>175</v>
      </c>
      <c r="F35" s="137"/>
      <c r="G35" s="138">
        <f t="shared" si="6"/>
        <v>0</v>
      </c>
      <c r="H35" s="104"/>
      <c r="I35" s="192"/>
      <c r="J35" s="149">
        <f t="shared" si="4"/>
        <v>0</v>
      </c>
      <c r="K35" s="141" t="s">
        <v>150</v>
      </c>
      <c r="L35" s="139"/>
      <c r="M35" s="149">
        <f>+S35+Y35</f>
        <v>0</v>
      </c>
      <c r="N35" s="104" t="s">
        <v>150</v>
      </c>
      <c r="O35" s="139"/>
      <c r="P35" s="151"/>
      <c r="Q35" s="58"/>
      <c r="R35" s="139"/>
      <c r="S35" s="159"/>
      <c r="T35" s="104"/>
      <c r="U35" s="193"/>
      <c r="V35" s="159"/>
      <c r="W35" s="102"/>
      <c r="X35" s="143"/>
      <c r="Y35" s="159"/>
      <c r="AD35" s="156">
        <v>673160</v>
      </c>
    </row>
    <row r="36" spans="1:30" ht="14.25" customHeight="1" x14ac:dyDescent="0.25">
      <c r="A36" s="134" t="s">
        <v>144</v>
      </c>
      <c r="B36" s="135">
        <v>6011</v>
      </c>
      <c r="C36" s="135">
        <v>28040</v>
      </c>
      <c r="D36" s="136">
        <v>673180</v>
      </c>
      <c r="E36" s="58" t="s">
        <v>176</v>
      </c>
      <c r="F36" s="137"/>
      <c r="G36" s="138">
        <f t="shared" si="6"/>
        <v>19516.289999999997</v>
      </c>
      <c r="H36" s="104"/>
      <c r="I36" s="192"/>
      <c r="J36" s="140">
        <f>+P36+V36</f>
        <v>17716.689999999999</v>
      </c>
      <c r="K36" s="141" t="s">
        <v>147</v>
      </c>
      <c r="L36" s="139"/>
      <c r="M36" s="140">
        <f>+S36+Y36</f>
        <v>1799.6</v>
      </c>
      <c r="N36" s="104" t="s">
        <v>147</v>
      </c>
      <c r="O36" s="139"/>
      <c r="P36" s="145">
        <v>17716.689999999999</v>
      </c>
      <c r="Q36" s="58"/>
      <c r="R36" s="139"/>
      <c r="S36" s="145">
        <v>1799.6</v>
      </c>
      <c r="T36" s="104"/>
      <c r="U36" s="193"/>
      <c r="V36" s="142"/>
      <c r="W36" s="102"/>
      <c r="X36" s="143"/>
      <c r="Y36" s="142"/>
      <c r="AD36" s="144">
        <v>673180</v>
      </c>
    </row>
    <row r="37" spans="1:30" ht="14.25" customHeight="1" x14ac:dyDescent="0.25">
      <c r="A37" s="134" t="s">
        <v>144</v>
      </c>
      <c r="B37" s="135">
        <v>6011</v>
      </c>
      <c r="C37" s="135">
        <v>28040</v>
      </c>
      <c r="D37" s="136">
        <v>673190</v>
      </c>
      <c r="E37" s="174" t="s">
        <v>177</v>
      </c>
      <c r="F37" s="137"/>
      <c r="G37" s="213">
        <f t="shared" si="6"/>
        <v>0</v>
      </c>
      <c r="H37" s="104"/>
      <c r="I37" s="192"/>
      <c r="J37" s="149">
        <f t="shared" si="4"/>
        <v>0</v>
      </c>
      <c r="K37" s="141" t="s">
        <v>150</v>
      </c>
      <c r="L37" s="201"/>
      <c r="M37" s="149">
        <f>+S37+Y37</f>
        <v>0</v>
      </c>
      <c r="N37" s="104" t="s">
        <v>150</v>
      </c>
      <c r="O37" s="201"/>
      <c r="P37" s="159"/>
      <c r="Q37" s="58"/>
      <c r="R37" s="201"/>
      <c r="S37" s="214"/>
      <c r="T37" s="104"/>
      <c r="U37" s="215"/>
      <c r="V37" s="159"/>
      <c r="W37" s="102"/>
      <c r="X37" s="143"/>
      <c r="Y37" s="159"/>
      <c r="AD37" s="156">
        <v>673190</v>
      </c>
    </row>
    <row r="38" spans="1:30" ht="15" x14ac:dyDescent="0.25">
      <c r="E38" s="58" t="s">
        <v>178</v>
      </c>
      <c r="F38" s="203"/>
      <c r="G38" s="138">
        <f>SUM(G24:G37)</f>
        <v>375726.12</v>
      </c>
      <c r="H38" s="104"/>
      <c r="I38" s="203"/>
      <c r="J38" s="92">
        <f>SUM(J24:J37)</f>
        <v>333950.94000000006</v>
      </c>
      <c r="K38" s="141"/>
      <c r="L38" s="58"/>
      <c r="M38" s="92">
        <f>SUM(M24:M37)</f>
        <v>41775.18</v>
      </c>
      <c r="N38" s="104"/>
      <c r="O38" s="58"/>
      <c r="P38" s="185">
        <f>SUM(P24:P37)</f>
        <v>330494.06000000006</v>
      </c>
      <c r="Q38" s="141"/>
      <c r="R38" s="91"/>
      <c r="S38" s="185">
        <f>SUM(S24:S37)</f>
        <v>41292.049999999996</v>
      </c>
      <c r="T38" s="104"/>
      <c r="V38" s="185">
        <f>SUM(V24:V37)</f>
        <v>3456.88</v>
      </c>
      <c r="X38" s="216"/>
      <c r="Y38" s="185">
        <f>SUM(Y24:Y37)</f>
        <v>483.13</v>
      </c>
      <c r="AA38" s="187">
        <f>SUM(AA24:AA37)</f>
        <v>0</v>
      </c>
      <c r="AB38" s="187">
        <f>SUM(AB24:AB37)</f>
        <v>0</v>
      </c>
      <c r="AC38" s="187"/>
    </row>
    <row r="39" spans="1:30" ht="14.1" customHeight="1" x14ac:dyDescent="0.25">
      <c r="E39" s="209"/>
      <c r="G39" s="217"/>
      <c r="H39" s="104"/>
      <c r="I39" s="203"/>
      <c r="J39" s="218"/>
      <c r="K39" s="219"/>
      <c r="L39" s="203"/>
      <c r="M39" s="218"/>
      <c r="N39" s="104"/>
      <c r="O39" s="91"/>
      <c r="P39" s="92"/>
      <c r="Q39" s="58"/>
      <c r="R39" s="91"/>
      <c r="S39" s="92"/>
      <c r="T39" s="104"/>
      <c r="U39" s="220"/>
      <c r="V39" s="181"/>
      <c r="Y39" s="93"/>
      <c r="AA39" s="103"/>
      <c r="AB39" s="103"/>
      <c r="AC39" s="103"/>
    </row>
    <row r="40" spans="1:30" ht="15.75" customHeight="1" x14ac:dyDescent="0.25">
      <c r="E40" s="91" t="s">
        <v>179</v>
      </c>
      <c r="F40" s="203">
        <f>+F38+F22+F15</f>
        <v>11368255</v>
      </c>
      <c r="G40" s="138">
        <f>+G38+G22+G15</f>
        <v>6513765.6600000011</v>
      </c>
      <c r="H40" s="104"/>
      <c r="I40" s="221">
        <f>+I38+I22+I15</f>
        <v>8549640</v>
      </c>
      <c r="J40" s="185">
        <f>+J38+J22+J15</f>
        <v>5377488.1500000004</v>
      </c>
      <c r="K40" s="222"/>
      <c r="L40" s="221">
        <f>+L38+L22+L15</f>
        <v>2818615</v>
      </c>
      <c r="M40" s="185">
        <f>+M38+M22+M15</f>
        <v>1136277.5100000002</v>
      </c>
      <c r="N40" s="122"/>
      <c r="O40" s="221">
        <f>+O38+O22+O15</f>
        <v>8549561</v>
      </c>
      <c r="P40" s="185">
        <f>+P38+P22+P15</f>
        <v>5380319.04</v>
      </c>
      <c r="Q40" s="83"/>
      <c r="R40" s="221">
        <f>+R38+R22+R15</f>
        <v>2818536</v>
      </c>
      <c r="S40" s="185">
        <f>+S38+S22+S15</f>
        <v>1135712.24</v>
      </c>
      <c r="T40" s="104"/>
      <c r="U40" s="223">
        <f>+U38+U22+U15</f>
        <v>79</v>
      </c>
      <c r="V40" s="185">
        <f>+V38+V22+V15</f>
        <v>-2830.89</v>
      </c>
      <c r="X40" s="77">
        <f>+X38+X22+X15</f>
        <v>79</v>
      </c>
      <c r="Y40" s="185">
        <f>+Y38+Y22+Y15</f>
        <v>565.26999999999987</v>
      </c>
      <c r="AA40" s="187">
        <f>+AA38+AA22+AA15</f>
        <v>0</v>
      </c>
      <c r="AB40" s="187">
        <f>+AB38+AB22+AB15</f>
        <v>0</v>
      </c>
      <c r="AC40" s="187"/>
      <c r="AD40" s="197"/>
    </row>
    <row r="41" spans="1:30" ht="14.1" customHeight="1" x14ac:dyDescent="0.25">
      <c r="G41" s="224"/>
      <c r="H41" s="104"/>
      <c r="I41" s="146"/>
      <c r="J41" s="190"/>
      <c r="K41" s="219"/>
      <c r="L41" s="146"/>
      <c r="M41" s="190"/>
      <c r="N41" s="104"/>
      <c r="O41" s="58"/>
      <c r="P41" s="53"/>
      <c r="Q41" s="58"/>
      <c r="R41" s="58"/>
      <c r="S41" s="53"/>
      <c r="T41" s="104"/>
      <c r="V41" s="93"/>
      <c r="Y41" s="93"/>
    </row>
    <row r="42" spans="1:30" ht="14.1" customHeight="1" x14ac:dyDescent="0.25">
      <c r="B42" s="146" t="s">
        <v>180</v>
      </c>
      <c r="H42" s="104"/>
      <c r="I42" s="225" t="s">
        <v>85</v>
      </c>
      <c r="J42" s="226">
        <f>+J8+J9+J10+J11+J12+J13+J14+J18+J26+J27+J28+J29+J31+J34+J35+J37</f>
        <v>1711839.9000000001</v>
      </c>
      <c r="K42" s="219" t="s">
        <v>150</v>
      </c>
      <c r="L42" s="146"/>
      <c r="M42" s="227">
        <f>+M8+M9+M10+M11+M12+M13+M14+M18+M26+M31+M34+M35+M37+M27</f>
        <v>358779.53</v>
      </c>
      <c r="N42" s="228" t="s">
        <v>150</v>
      </c>
      <c r="O42" s="58"/>
      <c r="P42" s="229">
        <f>+P8+P9+P10+P11+P12+P13+P14+P18+P26+P27+P28+P29+P31+P34+P35+P37</f>
        <v>1714861.31</v>
      </c>
      <c r="Q42" s="58"/>
      <c r="R42" s="225" t="s">
        <v>99</v>
      </c>
      <c r="S42" s="229">
        <f>+S8+S10+S9+S11+S12+S13+S14+S18+S26+S31+S34+S35+S37+S27</f>
        <v>359606.06000000006</v>
      </c>
      <c r="T42" s="104"/>
      <c r="V42" s="229">
        <f>+V8+V9+V10+V11+V12+V13+V14+V18+V26+V27+V28+V29+V31+V34+V35+V37</f>
        <v>-3021.41</v>
      </c>
      <c r="Y42" s="229">
        <f>Y9+Y10+Y11+Y12+Y13+Y14+Y18+Y26+Y31+Y34+Y35+Y37+Y8+Y27</f>
        <v>-826.53000000000009</v>
      </c>
      <c r="AA42" s="230">
        <f>+AA8+AA9+AA10+AA11+AA12+AA13+AA14+AA18+AA26+AA27+AA28+AA29+AA31+AA34+AA35+AA37</f>
        <v>0</v>
      </c>
      <c r="AB42" s="230">
        <f>+AB6+AB8+AB9+AB10+AB11+AB12+AB13+AB14+AB18+AB26+AB31+AB34+AB35+AB37</f>
        <v>0</v>
      </c>
    </row>
    <row r="43" spans="1:30" ht="14.1" customHeight="1" x14ac:dyDescent="0.25">
      <c r="B43" s="146" t="s">
        <v>181</v>
      </c>
      <c r="H43" s="104"/>
      <c r="I43" s="225" t="s">
        <v>85</v>
      </c>
      <c r="J43" s="226">
        <f>+J6+J7+J17+J24+J25+J30+J32+J33+J36+J19+J20+J21</f>
        <v>3665648.25</v>
      </c>
      <c r="K43" s="219" t="s">
        <v>147</v>
      </c>
      <c r="L43" s="146"/>
      <c r="M43" s="227">
        <f>M6+M7+M17+M24+M25+M30+M32+M33+M36+M19+M20+M21+M29+M28</f>
        <v>777497.98000000021</v>
      </c>
      <c r="N43" s="228" t="s">
        <v>147</v>
      </c>
      <c r="O43" s="58"/>
      <c r="P43" s="231">
        <f>P6+P7+P17+P24+P25+P30+P32+P33+P36+P19+P20+P21</f>
        <v>3665457.73</v>
      </c>
      <c r="Q43" s="58"/>
      <c r="R43" s="225" t="s">
        <v>99</v>
      </c>
      <c r="S43" s="231">
        <f>+S7+S6+S17+S24+S25+S30+S32+S33+S36+S19+S20+S21+S29+S28</f>
        <v>776106.18000000017</v>
      </c>
      <c r="T43" s="104"/>
      <c r="V43" s="231">
        <f>V6+V7+V17+V24+V25+V30+V32+V33+V36+V19+V20+V21</f>
        <v>190.51999999999998</v>
      </c>
      <c r="Y43" s="231">
        <f>+Y7+Y17+Y24+Y25+Y30+Y32+Y33+Y36+Y19+Y20+Y21+Y29+Y28+Y6</f>
        <v>1391.8</v>
      </c>
      <c r="AA43" s="232">
        <f>AA6+AA7+AA17+AA24+AA25+AA30+AA32+AA33+AA36</f>
        <v>0</v>
      </c>
      <c r="AB43" s="232">
        <f>+AB7+AB17+AB24+AB25+AB27+AB28+AB29+AB30+AB32+AB33+AB36</f>
        <v>0</v>
      </c>
    </row>
    <row r="44" spans="1:30" ht="15" customHeight="1" x14ac:dyDescent="0.25">
      <c r="B44" s="146" t="s">
        <v>95</v>
      </c>
      <c r="H44" s="104"/>
      <c r="I44" s="146"/>
      <c r="J44" s="185">
        <f>SUM(J42:J43)</f>
        <v>5377488.1500000004</v>
      </c>
      <c r="K44" s="233"/>
      <c r="L44" s="146"/>
      <c r="M44" s="185">
        <f>SUM(M42:M43)</f>
        <v>1136277.5100000002</v>
      </c>
      <c r="N44" s="104"/>
      <c r="O44" s="58"/>
      <c r="P44" s="185">
        <f>SUM(P42:P43)</f>
        <v>5380319.04</v>
      </c>
      <c r="Q44" s="58"/>
      <c r="R44" s="58"/>
      <c r="S44" s="185">
        <f>SUM(S42:S43)</f>
        <v>1135712.2400000002</v>
      </c>
      <c r="T44" s="104"/>
      <c r="V44" s="185">
        <f>SUM(V42:V43)</f>
        <v>-2830.89</v>
      </c>
      <c r="Y44" s="185">
        <f>SUM(Y42:Y43)</f>
        <v>565.26999999999987</v>
      </c>
      <c r="AA44" s="234">
        <f>SUM(AA42:AA43)</f>
        <v>0</v>
      </c>
      <c r="AB44" s="234">
        <f>SUM(AB42:AB43)</f>
        <v>0</v>
      </c>
      <c r="AC44" s="235"/>
    </row>
    <row r="45" spans="1:30" ht="15" customHeight="1" x14ac:dyDescent="0.25">
      <c r="K45" s="98"/>
    </row>
    <row r="46" spans="1:30" ht="15" customHeight="1" x14ac:dyDescent="0.25">
      <c r="I46" s="58" t="s">
        <v>182</v>
      </c>
      <c r="J46" s="236">
        <f>J44+M44</f>
        <v>6513765.6600000001</v>
      </c>
      <c r="O46" s="237" t="s">
        <v>183</v>
      </c>
      <c r="P46" s="238">
        <f>P44-P11-P12-P13</f>
        <v>5894018.7000000002</v>
      </c>
      <c r="Q46" s="98"/>
      <c r="R46" s="237" t="s">
        <v>183</v>
      </c>
      <c r="S46" s="238">
        <f>S44-S11-S12-S13</f>
        <v>1135789.6100000003</v>
      </c>
      <c r="V46" s="197"/>
      <c r="Y46" s="44">
        <f>+Y44+V44</f>
        <v>-2265.62</v>
      </c>
      <c r="AD46" s="58" t="s">
        <v>184</v>
      </c>
    </row>
    <row r="47" spans="1:30" ht="15" customHeight="1" x14ac:dyDescent="0.25">
      <c r="E47" s="239"/>
      <c r="J47" s="240"/>
      <c r="O47" s="241" t="s">
        <v>185</v>
      </c>
      <c r="P47" s="242">
        <f>V44</f>
        <v>-2830.89</v>
      </c>
      <c r="Q47" s="146"/>
      <c r="R47" s="241" t="s">
        <v>185</v>
      </c>
      <c r="S47" s="242">
        <f>Y44</f>
        <v>565.26999999999987</v>
      </c>
      <c r="V47" s="77" t="s">
        <v>186</v>
      </c>
      <c r="Y47" s="197"/>
    </row>
    <row r="48" spans="1:30" ht="15" customHeight="1" x14ac:dyDescent="0.25">
      <c r="E48" s="239"/>
      <c r="F48" s="77" t="s">
        <v>187</v>
      </c>
      <c r="P48" s="243">
        <f>P46+P47</f>
        <v>5891187.8100000005</v>
      </c>
      <c r="Q48" s="244"/>
      <c r="R48" s="244"/>
      <c r="S48" s="243">
        <f>S46+S47</f>
        <v>1136354.8800000004</v>
      </c>
      <c r="T48" s="244"/>
      <c r="U48" s="244"/>
      <c r="V48" s="245">
        <f>P11+P12+P13+S11+S12+S13</f>
        <v>-513777.02999999997</v>
      </c>
      <c r="Y48" s="246"/>
    </row>
    <row r="49" spans="1:25" ht="15" customHeight="1" x14ac:dyDescent="0.25">
      <c r="E49" s="239"/>
      <c r="K49" s="247"/>
      <c r="L49" s="248" t="s">
        <v>100</v>
      </c>
      <c r="M49" s="249" t="s">
        <v>188</v>
      </c>
      <c r="P49" s="250"/>
      <c r="S49" s="250"/>
      <c r="Y49" s="246"/>
    </row>
    <row r="50" spans="1:25" ht="14.1" customHeight="1" x14ac:dyDescent="0.25">
      <c r="K50" s="114"/>
      <c r="L50" s="248" t="s">
        <v>189</v>
      </c>
      <c r="M50" s="249" t="s">
        <v>190</v>
      </c>
      <c r="O50" s="83"/>
      <c r="Y50" s="246"/>
    </row>
    <row r="51" spans="1:25" ht="14.1" customHeight="1" x14ac:dyDescent="0.25">
      <c r="A51" s="77"/>
      <c r="K51" s="114"/>
      <c r="L51" s="248" t="s">
        <v>191</v>
      </c>
      <c r="M51" s="249" t="s">
        <v>192</v>
      </c>
    </row>
    <row r="52" spans="1:25" ht="14.1" customHeight="1" x14ac:dyDescent="0.25">
      <c r="A52" s="251"/>
      <c r="K52" s="114"/>
      <c r="L52" s="248" t="s">
        <v>193</v>
      </c>
      <c r="M52" s="249" t="s">
        <v>194</v>
      </c>
    </row>
    <row r="53" spans="1:25" ht="14.1" customHeight="1" x14ac:dyDescent="0.25">
      <c r="K53" s="114"/>
      <c r="L53" s="248" t="s">
        <v>195</v>
      </c>
      <c r="M53" s="252" t="s">
        <v>111</v>
      </c>
    </row>
    <row r="54" spans="1:25" ht="14.1" customHeight="1" x14ac:dyDescent="0.25">
      <c r="K54" s="114"/>
      <c r="L54" s="248" t="s">
        <v>196</v>
      </c>
      <c r="M54" s="249" t="s">
        <v>197</v>
      </c>
    </row>
    <row r="55" spans="1:25" ht="14.1" customHeight="1" x14ac:dyDescent="0.25">
      <c r="K55" s="114"/>
      <c r="L55" s="248" t="s">
        <v>198</v>
      </c>
      <c r="M55" s="249" t="s">
        <v>199</v>
      </c>
    </row>
    <row r="56" spans="1:25" ht="14.1" customHeight="1" x14ac:dyDescent="0.25">
      <c r="K56" s="114"/>
      <c r="L56" s="248" t="s">
        <v>200</v>
      </c>
      <c r="M56" s="249" t="s">
        <v>201</v>
      </c>
    </row>
    <row r="57" spans="1:25" ht="14.1" customHeight="1" x14ac:dyDescent="0.25">
      <c r="K57" s="98"/>
      <c r="L57" s="253"/>
      <c r="M57" s="249" t="s">
        <v>202</v>
      </c>
    </row>
    <row r="58" spans="1:25" ht="14.1" customHeight="1" thickBot="1" x14ac:dyDescent="0.3">
      <c r="O58" s="254" t="s">
        <v>143</v>
      </c>
      <c r="P58" s="255"/>
      <c r="Q58" s="254"/>
      <c r="R58" s="254" t="s">
        <v>143</v>
      </c>
      <c r="S58" s="255"/>
    </row>
    <row r="59" spans="1:25" ht="14.1" customHeight="1" x14ac:dyDescent="0.25">
      <c r="A59" s="77"/>
      <c r="I59" s="256" t="s">
        <v>203</v>
      </c>
      <c r="J59" s="257" t="s">
        <v>204</v>
      </c>
      <c r="K59" s="83"/>
      <c r="L59" s="75">
        <v>6011</v>
      </c>
      <c r="M59" s="249" t="s">
        <v>205</v>
      </c>
      <c r="O59" s="83" t="e">
        <f ca="1">[3]!SSGXA4(M$55&amp;"-"&amp;I59&amp;"-"&amp;$L59&amp;"-"&amp;$M59,M$49,M$51,M$52,M$53,M$54)</f>
        <v>#NAME?</v>
      </c>
      <c r="P59" s="79" t="e">
        <f ca="1">[3]!SSGXA4(M$55&amp;"-"&amp;I59&amp;"-"&amp;$L59&amp;"-"&amp;$M59,M$50,M$51,M$52,M$53,M$54)</f>
        <v>#NAME?</v>
      </c>
      <c r="Q59" s="146">
        <v>-1</v>
      </c>
      <c r="R59" s="83" t="e">
        <f ca="1">[3]!SSGXA4(M$55&amp;"-"&amp;J59&amp;"-"&amp;$L59&amp;"-"&amp;$M59,M$49,M$51,M$52,M$53,M$54)</f>
        <v>#NAME?</v>
      </c>
      <c r="S59" s="79" t="e">
        <f ca="1">[3]!SSGXA4(M$55&amp;"-"&amp;J59&amp;"-"&amp;$L59&amp;"-"&amp;$M59,M$50,M$51,M$52,M$53,M$54)</f>
        <v>#NAME?</v>
      </c>
      <c r="T59" s="258">
        <v>-4</v>
      </c>
    </row>
    <row r="60" spans="1:25" ht="14.1" customHeight="1" x14ac:dyDescent="0.25">
      <c r="I60" s="256" t="s">
        <v>203</v>
      </c>
      <c r="J60" s="257" t="s">
        <v>204</v>
      </c>
      <c r="K60" s="83"/>
      <c r="L60" s="75">
        <v>6011</v>
      </c>
      <c r="M60" s="75">
        <v>28082</v>
      </c>
      <c r="O60" s="83" t="e">
        <f ca="1">[3]!SSGXA4(M$55&amp;"-"&amp;I60&amp;"-"&amp;$L60&amp;"-"&amp;$M60,M$49,M$51,M$52,M$53,M$54)</f>
        <v>#NAME?</v>
      </c>
      <c r="P60" s="259" t="e">
        <f ca="1">[3]!SSGXA4(M$55&amp;"-"&amp;M$56&amp;"-"&amp;$L60&amp;"-"&amp;$M60,M$50,M$51,M$52,M$53,M$54)</f>
        <v>#NAME?</v>
      </c>
      <c r="Q60" s="146">
        <v>-2</v>
      </c>
      <c r="R60" s="79"/>
      <c r="S60" s="259"/>
      <c r="T60" s="258"/>
    </row>
    <row r="61" spans="1:25" ht="15" x14ac:dyDescent="0.25">
      <c r="I61" s="256" t="s">
        <v>203</v>
      </c>
      <c r="J61" s="257" t="s">
        <v>204</v>
      </c>
      <c r="K61" s="83"/>
      <c r="L61" s="75">
        <v>6011</v>
      </c>
      <c r="M61" s="75">
        <v>28120</v>
      </c>
      <c r="O61" s="83" t="e">
        <f ca="1">[3]!SSGXA4(M$55&amp;"-"&amp;I61&amp;"-"&amp;$L61&amp;"-"&amp;$M61,M$49,M$51,M$52,M$53,M$54)</f>
        <v>#NAME?</v>
      </c>
      <c r="P61" s="79" t="e">
        <f ca="1">[3]!SSGXA4(M$55&amp;"-"&amp;I61&amp;"-"&amp;$L61&amp;"-"&amp;$M61,M$50,M$51,M$52,M$53,M$54)</f>
        <v>#NAME?</v>
      </c>
      <c r="Q61" s="146">
        <v>-3</v>
      </c>
      <c r="R61" s="83" t="e">
        <f ca="1">[3]!SSGXA4(M$55&amp;"-"&amp;J61&amp;"-"&amp;$L61&amp;"-"&amp;$M61,M$49,M$51,M$52,M$53,M$54)</f>
        <v>#NAME?</v>
      </c>
      <c r="S61" s="79" t="e">
        <f ca="1">[3]!SSGXA4(M$55&amp;"-"&amp;J61&amp;"-"&amp;$L61&amp;"-"&amp;$M61,M$50,M$51,M$52,M$53,M$54)</f>
        <v>#NAME?</v>
      </c>
      <c r="T61" s="258">
        <v>-5</v>
      </c>
    </row>
    <row r="62" spans="1:25" ht="14.1" customHeight="1" x14ac:dyDescent="0.25">
      <c r="A62" s="76"/>
      <c r="O62" s="83"/>
      <c r="P62" s="260" t="e">
        <f ca="1">SUM(P59:P61)</f>
        <v>#NAME?</v>
      </c>
      <c r="Q62" s="121"/>
      <c r="R62" s="121"/>
      <c r="S62" s="260" t="e">
        <f ca="1">SUM(S59:S61)</f>
        <v>#NAME?</v>
      </c>
      <c r="T62" s="83"/>
    </row>
    <row r="63" spans="1:25" ht="14.1" customHeight="1" x14ac:dyDescent="0.25">
      <c r="O63" s="261"/>
      <c r="P63" s="262"/>
      <c r="Q63" s="261"/>
      <c r="R63" s="261"/>
      <c r="S63" s="262"/>
      <c r="T63" s="83"/>
    </row>
  </sheetData>
  <mergeCells count="15">
    <mergeCell ref="A5:D5"/>
    <mergeCell ref="V3:X3"/>
    <mergeCell ref="AA3:AB3"/>
    <mergeCell ref="I4:J4"/>
    <mergeCell ref="L4:M4"/>
    <mergeCell ref="O4:P4"/>
    <mergeCell ref="R4:S4"/>
    <mergeCell ref="U4:V4"/>
    <mergeCell ref="X4:Y4"/>
    <mergeCell ref="V1:X1"/>
    <mergeCell ref="A2:D2"/>
    <mergeCell ref="F2:G2"/>
    <mergeCell ref="I2:M2"/>
    <mergeCell ref="O2:S2"/>
    <mergeCell ref="V2:X2"/>
  </mergeCells>
  <printOptions gridLines="1"/>
  <pageMargins left="0" right="0" top="0.75" bottom="0" header="0.35" footer="0.24"/>
  <pageSetup scale="52" orientation="landscape" cellComments="asDisplayed" r:id="rId1"/>
  <headerFooter alignWithMargins="0">
    <oddHeader>&amp;C&amp;18&amp;A&amp;R&amp;18Page 6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D5C2ED-48AC-4D29-93B2-55E57F177ECC}">
  <dimension ref="A1:I28"/>
  <sheetViews>
    <sheetView showGridLines="0" view="pageBreakPreview" zoomScale="60" zoomScaleNormal="100" workbookViewId="0">
      <selection activeCell="J65" sqref="J65"/>
    </sheetView>
  </sheetViews>
  <sheetFormatPr defaultRowHeight="12.75" x14ac:dyDescent="0.2"/>
  <cols>
    <col min="1" max="1" width="9" style="263" customWidth="1"/>
    <col min="2" max="2" width="23.7109375" style="263" customWidth="1"/>
    <col min="3" max="3" width="20.42578125" style="263" customWidth="1"/>
    <col min="4" max="4" width="19" style="263" customWidth="1"/>
    <col min="5" max="6" width="16.42578125" style="263" bestFit="1" customWidth="1"/>
    <col min="7" max="7" width="3.7109375" style="263" customWidth="1"/>
    <col min="8" max="16384" width="9.140625" style="263"/>
  </cols>
  <sheetData>
    <row r="1" spans="1:9" ht="18" customHeight="1" x14ac:dyDescent="0.2">
      <c r="A1" s="310" t="s">
        <v>106</v>
      </c>
      <c r="B1" s="313"/>
      <c r="C1" s="313"/>
      <c r="D1" s="313"/>
      <c r="E1" s="313"/>
      <c r="F1" s="312"/>
      <c r="G1" s="311"/>
      <c r="H1" s="264"/>
      <c r="I1" s="264"/>
    </row>
    <row r="2" spans="1:9" ht="15" x14ac:dyDescent="0.2">
      <c r="A2" s="310" t="s">
        <v>107</v>
      </c>
      <c r="B2" s="309">
        <f>'[1]Core Cost Incurred'!A2</f>
        <v>43276</v>
      </c>
      <c r="C2" s="308"/>
      <c r="D2" s="308"/>
      <c r="E2" s="308"/>
      <c r="F2" s="308"/>
      <c r="G2" s="264"/>
      <c r="H2" s="264"/>
      <c r="I2" s="264"/>
    </row>
    <row r="3" spans="1:9" x14ac:dyDescent="0.2">
      <c r="A3" s="264"/>
      <c r="B3" s="264"/>
      <c r="C3" s="264"/>
      <c r="D3" s="264"/>
      <c r="E3" s="264"/>
      <c r="F3" s="264"/>
      <c r="G3" s="264"/>
      <c r="H3" s="264"/>
      <c r="I3" s="264"/>
    </row>
    <row r="4" spans="1:9" ht="15" customHeight="1" thickBot="1" x14ac:dyDescent="0.25">
      <c r="A4" s="307"/>
      <c r="B4" s="307"/>
      <c r="C4" s="307"/>
      <c r="D4" s="307"/>
      <c r="E4" s="306"/>
      <c r="F4" s="305"/>
      <c r="G4" s="264"/>
      <c r="H4" s="264"/>
      <c r="I4" s="264"/>
    </row>
    <row r="5" spans="1:9" ht="14.25" x14ac:dyDescent="0.2">
      <c r="A5" s="94"/>
      <c r="B5" s="94"/>
      <c r="C5" s="303" t="s">
        <v>93</v>
      </c>
      <c r="D5" s="303" t="s">
        <v>94</v>
      </c>
      <c r="E5" s="304" t="s">
        <v>6</v>
      </c>
      <c r="F5" s="303" t="s">
        <v>95</v>
      </c>
      <c r="G5" s="264"/>
      <c r="H5" s="264"/>
      <c r="I5" s="264"/>
    </row>
    <row r="6" spans="1:9" ht="14.25" x14ac:dyDescent="0.2">
      <c r="A6" s="289" t="s">
        <v>108</v>
      </c>
      <c r="B6" s="302"/>
      <c r="C6" s="300">
        <v>692010</v>
      </c>
      <c r="D6" s="300">
        <v>691010</v>
      </c>
      <c r="E6" s="301">
        <v>693010</v>
      </c>
      <c r="F6" s="300"/>
      <c r="G6" s="97"/>
      <c r="H6" s="264"/>
      <c r="I6" s="264"/>
    </row>
    <row r="7" spans="1:9" ht="16.5" customHeight="1" x14ac:dyDescent="0.2">
      <c r="A7" s="293" t="s">
        <v>109</v>
      </c>
      <c r="B7" s="264"/>
      <c r="C7" s="298">
        <v>2316877.9799999995</v>
      </c>
      <c r="D7" s="298">
        <v>1390352.2499999998</v>
      </c>
      <c r="E7" s="299">
        <v>475377.11000000004</v>
      </c>
      <c r="F7" s="298">
        <v>4182607.3399999994</v>
      </c>
      <c r="G7" s="264"/>
      <c r="H7" s="264"/>
      <c r="I7" s="264"/>
    </row>
    <row r="8" spans="1:9" ht="16.5" customHeight="1" x14ac:dyDescent="0.2">
      <c r="A8" s="293" t="s">
        <v>110</v>
      </c>
      <c r="B8" s="97"/>
      <c r="C8" s="297">
        <f>'[1]Core Cost Incurred'!J42</f>
        <v>1711839.9000000001</v>
      </c>
      <c r="D8" s="297">
        <f>'[1]Core Cost Incurred'!J43</f>
        <v>3665648.25</v>
      </c>
      <c r="E8" s="296">
        <v>0</v>
      </c>
      <c r="F8" s="295">
        <f>SUM(C8:D8)</f>
        <v>5377488.1500000004</v>
      </c>
      <c r="G8" s="264"/>
      <c r="H8" s="264"/>
      <c r="I8" s="264"/>
    </row>
    <row r="9" spans="1:9" ht="16.5" customHeight="1" x14ac:dyDescent="0.2">
      <c r="A9" s="293" t="s">
        <v>112</v>
      </c>
      <c r="B9" s="264"/>
      <c r="C9" s="287">
        <f>C7-C8</f>
        <v>605038.07999999938</v>
      </c>
      <c r="D9" s="294">
        <f>D7-D8</f>
        <v>-2275296</v>
      </c>
      <c r="E9" s="294">
        <f>E7-E8</f>
        <v>475377.11000000004</v>
      </c>
      <c r="F9" s="287">
        <f>F7-F8</f>
        <v>-1194880.810000001</v>
      </c>
      <c r="G9" s="264"/>
      <c r="H9" s="264"/>
      <c r="I9" s="264"/>
    </row>
    <row r="10" spans="1:9" ht="16.5" customHeight="1" x14ac:dyDescent="0.2">
      <c r="A10" s="293" t="s">
        <v>113</v>
      </c>
      <c r="B10" s="264"/>
      <c r="C10" s="290">
        <v>52.54</v>
      </c>
      <c r="D10" s="292"/>
      <c r="E10" s="291"/>
      <c r="F10" s="290">
        <v>52.54</v>
      </c>
      <c r="G10" s="264"/>
      <c r="H10" s="264"/>
      <c r="I10" s="264"/>
    </row>
    <row r="11" spans="1:9" ht="16.5" customHeight="1" x14ac:dyDescent="0.2">
      <c r="A11" s="289" t="s">
        <v>114</v>
      </c>
      <c r="B11" s="96"/>
      <c r="C11" s="287"/>
      <c r="D11" s="287">
        <v>255885.42</v>
      </c>
      <c r="E11" s="288"/>
      <c r="F11" s="287">
        <v>255885.42</v>
      </c>
      <c r="G11" s="264"/>
      <c r="H11" s="264"/>
      <c r="I11" s="264"/>
    </row>
    <row r="12" spans="1:9" ht="16.5" customHeight="1" x14ac:dyDescent="0.25">
      <c r="A12" s="286" t="s">
        <v>115</v>
      </c>
      <c r="B12" s="285"/>
      <c r="C12" s="283">
        <f>+C7-C8+C10</f>
        <v>605090.61999999941</v>
      </c>
      <c r="D12" s="283">
        <f>+D9+D11</f>
        <v>-2019410.58</v>
      </c>
      <c r="E12" s="284">
        <f>+E7-E8</f>
        <v>475377.11000000004</v>
      </c>
      <c r="F12" s="283">
        <f>F9+F11+F10</f>
        <v>-938942.85000000091</v>
      </c>
      <c r="G12" s="264"/>
      <c r="H12" s="264"/>
      <c r="I12" s="264"/>
    </row>
    <row r="13" spans="1:9" ht="14.25" customHeight="1" x14ac:dyDescent="0.2">
      <c r="A13" s="264"/>
      <c r="B13" s="264"/>
      <c r="C13" s="275"/>
      <c r="D13" s="275"/>
      <c r="E13" s="281"/>
      <c r="F13" s="275"/>
      <c r="G13" s="264"/>
      <c r="H13" s="264"/>
      <c r="I13" s="264"/>
    </row>
    <row r="14" spans="1:9" ht="14.25" customHeight="1" x14ac:dyDescent="0.2">
      <c r="A14" s="264"/>
      <c r="B14" s="264"/>
      <c r="C14" s="275" t="s">
        <v>116</v>
      </c>
      <c r="D14" s="275"/>
      <c r="E14" s="281"/>
      <c r="F14" s="275"/>
      <c r="G14" s="264"/>
      <c r="H14" s="264"/>
      <c r="I14" s="264"/>
    </row>
    <row r="15" spans="1:9" ht="14.25" customHeight="1" x14ac:dyDescent="0.2">
      <c r="A15" s="264"/>
      <c r="B15" s="264"/>
      <c r="C15" s="275"/>
      <c r="D15" s="282"/>
      <c r="E15" s="281"/>
      <c r="F15" s="275"/>
      <c r="G15" s="264"/>
      <c r="H15" s="264"/>
      <c r="I15" s="264"/>
    </row>
    <row r="16" spans="1:9" ht="14.25" customHeight="1" x14ac:dyDescent="0.2">
      <c r="A16" s="272" t="s">
        <v>117</v>
      </c>
      <c r="B16" s="272"/>
      <c r="C16" s="280" t="s">
        <v>102</v>
      </c>
      <c r="D16" s="279" t="s">
        <v>102</v>
      </c>
      <c r="E16" s="278"/>
      <c r="F16" s="268"/>
      <c r="G16" s="264"/>
      <c r="H16" s="264"/>
      <c r="I16" s="264"/>
    </row>
    <row r="17" spans="1:9" ht="14.25" customHeight="1" x14ac:dyDescent="0.2">
      <c r="A17" s="97"/>
      <c r="B17" s="97"/>
      <c r="C17" s="277"/>
      <c r="D17" s="277"/>
      <c r="E17" s="276"/>
      <c r="F17" s="275"/>
      <c r="G17" s="264"/>
      <c r="H17" s="264"/>
      <c r="I17" s="264"/>
    </row>
    <row r="18" spans="1:9" ht="14.25" customHeight="1" x14ac:dyDescent="0.2">
      <c r="A18" s="97"/>
      <c r="B18" s="97"/>
      <c r="C18" s="273">
        <f>-C12</f>
        <v>-605090.61999999941</v>
      </c>
      <c r="D18" s="273">
        <f>-D9-D11</f>
        <v>2019410.58</v>
      </c>
      <c r="E18" s="274">
        <f>-E12</f>
        <v>-475377.11000000004</v>
      </c>
      <c r="F18" s="273">
        <f>SUM(C18:E18)</f>
        <v>938942.85000000056</v>
      </c>
      <c r="G18" s="264"/>
      <c r="H18" s="264"/>
      <c r="I18" s="264"/>
    </row>
    <row r="19" spans="1:9" ht="14.25" customHeight="1" thickBot="1" x14ac:dyDescent="0.25">
      <c r="A19" s="272" t="s">
        <v>118</v>
      </c>
      <c r="B19" s="272"/>
      <c r="C19" s="271" t="s">
        <v>103</v>
      </c>
      <c r="D19" s="270" t="s">
        <v>104</v>
      </c>
      <c r="E19" s="269"/>
      <c r="F19" s="268"/>
      <c r="G19" s="264"/>
      <c r="H19" s="264"/>
      <c r="I19" s="264"/>
    </row>
    <row r="20" spans="1:9" x14ac:dyDescent="0.2">
      <c r="A20" s="97"/>
      <c r="B20" s="97"/>
      <c r="C20" s="97"/>
      <c r="D20" s="95"/>
      <c r="E20" s="95"/>
      <c r="F20" s="95"/>
      <c r="G20" s="264"/>
      <c r="H20" s="264"/>
      <c r="I20" s="264"/>
    </row>
    <row r="21" spans="1:9" x14ac:dyDescent="0.2">
      <c r="A21" s="264"/>
      <c r="B21" s="264"/>
      <c r="C21" s="264"/>
      <c r="D21" s="267"/>
      <c r="E21" s="266"/>
      <c r="F21" s="264"/>
      <c r="G21" s="264"/>
      <c r="H21" s="264"/>
      <c r="I21" s="264"/>
    </row>
    <row r="22" spans="1:9" x14ac:dyDescent="0.2">
      <c r="A22" s="264"/>
      <c r="B22" s="264"/>
      <c r="C22" s="264"/>
      <c r="D22" s="267"/>
      <c r="E22" s="266"/>
      <c r="F22" s="264"/>
      <c r="G22" s="264"/>
      <c r="H22" s="264"/>
      <c r="I22" s="264"/>
    </row>
    <row r="23" spans="1:9" x14ac:dyDescent="0.2">
      <c r="A23" s="264"/>
      <c r="B23" s="264"/>
      <c r="C23" s="264"/>
      <c r="D23" s="267"/>
      <c r="E23" s="266"/>
      <c r="F23" s="264"/>
      <c r="G23" s="264"/>
      <c r="H23" s="264"/>
      <c r="I23" s="264"/>
    </row>
    <row r="24" spans="1:9" x14ac:dyDescent="0.2">
      <c r="A24" s="264"/>
      <c r="B24" s="264"/>
      <c r="C24" s="264"/>
      <c r="D24" s="264"/>
      <c r="E24" s="266"/>
      <c r="F24" s="264"/>
      <c r="G24" s="264"/>
      <c r="H24" s="264"/>
      <c r="I24" s="264"/>
    </row>
    <row r="25" spans="1:9" x14ac:dyDescent="0.2">
      <c r="A25" s="264"/>
      <c r="B25" s="264"/>
      <c r="C25" s="264"/>
      <c r="D25" s="264"/>
      <c r="E25" s="264"/>
      <c r="F25" s="264"/>
      <c r="G25" s="264"/>
      <c r="H25" s="264"/>
      <c r="I25" s="264"/>
    </row>
    <row r="26" spans="1:9" x14ac:dyDescent="0.2">
      <c r="A26" s="264"/>
      <c r="B26" s="264"/>
      <c r="C26" s="264"/>
      <c r="D26" s="264"/>
      <c r="E26" s="264"/>
      <c r="F26" s="264"/>
      <c r="G26" s="264"/>
      <c r="H26" s="264"/>
      <c r="I26" s="264"/>
    </row>
    <row r="27" spans="1:9" x14ac:dyDescent="0.2">
      <c r="A27" s="265"/>
      <c r="B27" s="265"/>
      <c r="C27" s="264"/>
      <c r="D27" s="264"/>
      <c r="E27" s="264"/>
      <c r="F27" s="264"/>
      <c r="G27" s="264"/>
      <c r="H27" s="264"/>
      <c r="I27" s="264"/>
    </row>
    <row r="28" spans="1:9" x14ac:dyDescent="0.2">
      <c r="A28" s="264"/>
      <c r="B28" s="264"/>
      <c r="C28" s="264"/>
      <c r="D28" s="264"/>
      <c r="E28" s="264"/>
      <c r="F28" s="264"/>
      <c r="G28" s="264"/>
      <c r="H28" s="264"/>
      <c r="I28" s="264"/>
    </row>
  </sheetData>
  <mergeCells count="1">
    <mergeCell ref="A4:D4"/>
  </mergeCells>
  <pageMargins left="0.5" right="0.25" top="0.5" bottom="0.25" header="0.5" footer="0.5"/>
  <pageSetup scale="85" fitToHeight="0" orientation="portrait" r:id="rId1"/>
  <headerFooter scaleWithDoc="0" alignWithMargins="0">
    <oddFooter>&amp;L&amp;B&amp;"Calibri(Body)"&amp;10 Cascade Natural Gas Corporation&amp;C&amp;B&amp;"Calibri(Body)"&amp;10 Page &amp;P of &amp;N&amp;R&amp;B&amp;"Calibri(Body)"&amp;10 Washington Deferral Accounts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DD5600CA756744297A19A21C6C98AEB" ma:contentTypeVersion="104" ma:contentTypeDescription="" ma:contentTypeScope="" ma:versionID="ed2233ef10eeb664c97b23a25dbbdca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73172a68e7f9fac6748cf5da6db34b2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Document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2017-09-29T07:00:00+00:00</OpenedDate>
    <SignificantOrder xmlns="dc463f71-b30c-4ab2-9473-d307f9d35888">false</SignificantOrder>
    <Date1 xmlns="dc463f71-b30c-4ab2-9473-d307f9d35888">2018-07-27T07:00:00+00:00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Cascade Natural Gas Corporation</CaseCompanyNames>
    <Nickname xmlns="http://schemas.microsoft.com/sharepoint/v3" xsi:nil="true"/>
    <DocketNumber xmlns="dc463f71-b30c-4ab2-9473-d307f9d35888">171010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Props1.xml><?xml version="1.0" encoding="utf-8"?>
<ds:datastoreItem xmlns:ds="http://schemas.openxmlformats.org/officeDocument/2006/customXml" ds:itemID="{7615EA24-B15E-407E-8C76-A89BEE853B58}"/>
</file>

<file path=customXml/itemProps2.xml><?xml version="1.0" encoding="utf-8"?>
<ds:datastoreItem xmlns:ds="http://schemas.openxmlformats.org/officeDocument/2006/customXml" ds:itemID="{AC310BBA-A86B-4FF1-A481-6AED0F88DA40}"/>
</file>

<file path=customXml/itemProps3.xml><?xml version="1.0" encoding="utf-8"?>
<ds:datastoreItem xmlns:ds="http://schemas.openxmlformats.org/officeDocument/2006/customXml" ds:itemID="{9F1A5BC1-1B07-46AB-B774-D22242819DC6}"/>
</file>

<file path=customXml/itemProps4.xml><?xml version="1.0" encoding="utf-8"?>
<ds:datastoreItem xmlns:ds="http://schemas.openxmlformats.org/officeDocument/2006/customXml" ds:itemID="{31CFB8F0-4649-4D15-89AC-E306EED9750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WA Rates</vt:lpstr>
      <vt:lpstr>Core Cost Incurred</vt:lpstr>
      <vt:lpstr>DEFERRALS</vt:lpstr>
      <vt:lpstr>'Core Cost Incurred'!Print_Area</vt:lpstr>
      <vt:lpstr>DEFERRALS!Print_Area</vt:lpstr>
      <vt:lpstr>'WA Rates'!Print_Area</vt:lpstr>
      <vt:lpstr>'Core Cost Incurred'!Print_Titles</vt:lpstr>
      <vt:lpstr>'WA Rates'!Print_Titles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Cascade Natural Gas</dc:creator>
  <cp:lastModifiedBy>Cascade Natural Gas</cp:lastModifiedBy>
  <dcterms:created xsi:type="dcterms:W3CDTF">2018-07-16T21:26:45Z</dcterms:created>
  <dcterms:modified xsi:type="dcterms:W3CDTF">2018-07-16T21:28:33Z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0x0101006E56B4D1795A2E4DB2F0B01679ED314A00CDD5600CA756744297A19A21C6C98AEB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