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2"/>
  </bookViews>
  <sheets>
    <sheet name="Gas WC" sheetId="1" r:id="rId1"/>
    <sheet name="Allocation Factors" sheetId="2" r:id="rId2"/>
    <sheet name="Exhibit pages" sheetId="3" r:id="rId3"/>
  </sheets>
  <externalReferences>
    <externalReference r:id="rId6"/>
  </externalReferences>
  <definedNames>
    <definedName name="CONVFACT">'Exhibit pages'!$BW$1:$CA$31</definedName>
    <definedName name="DOCKET">'Exhibit pages'!$A$9</definedName>
    <definedName name="EMPL_INSURANCE_2.15">'Exhibit pages'!$BO$6:$BR$29</definedName>
    <definedName name="EMPLBENE">'Exhibit pages'!$BO$6:$BR$19</definedName>
    <definedName name="FACTORS">'Exhibit pages'!$BW$67:$CA$79</definedName>
    <definedName name="FEDERAL_INCOME_TAX">'Exhibit pages'!$BZ$26</definedName>
    <definedName name="FF">'Exhibit pages'!$CA$15</definedName>
    <definedName name="FIT_2.02">'Exhibit pages'!$G$1:$K$35</definedName>
    <definedName name="FOR_THE_TWELVE_MONTHS_ENDED_SEPTEMBER_30__2003">'Exhibit pages'!$AB$9</definedName>
    <definedName name="GasWC_LineItem">'[1]BS'!$AQ$7:$AQ$3469</definedName>
    <definedName name="INCSTMNT">'Exhibit pages'!$DB$6:$IV$49</definedName>
    <definedName name="INVPLAN">'Exhibit pages'!$BK$6:$BN$36</definedName>
    <definedName name="MISCELLANEOUS">'Exhibit pages'!$AB$1</definedName>
    <definedName name="MUNICIPAL_REVENUE">'Exhibit pages'!$CA$23</definedName>
    <definedName name="OPEXPRS">'Exhibit pages'!$AB$6:$AF$18</definedName>
    <definedName name="_xlnm.Print_Area" localSheetId="2">'Exhibit pages'!$CC$1:$DH$61</definedName>
    <definedName name="PRO_FORMA">'Exhibit pages'!$CV$6:$DC$53</definedName>
    <definedName name="PSPL">'Exhibit pages'!$A$6</definedName>
    <definedName name="PUGET_SOUND_ENERGY_GAS">'Exhibit pages'!$A$1:$F$53</definedName>
    <definedName name="RATEBASE">'Exhibit pages'!$A$6:$F$53</definedName>
    <definedName name="RESTATING">'Exhibit pages'!$CE$6:$DA$52</definedName>
    <definedName name="RETIREPLAN">'Exhibit pages'!#REF!</definedName>
    <definedName name="REVADJ">'Exhibit pages'!$A$1:$F$53</definedName>
    <definedName name="REVREQ">'Exhibit pages'!$BW$88:$CA$115</definedName>
    <definedName name="ROE">'Exhibit pages'!#REF!</definedName>
    <definedName name="ROR">'Exhibit pages'!$BW$67:$CA$88</definedName>
    <definedName name="Sep03AMA">'[1]BS'!$AN$7:$AN$3420</definedName>
    <definedName name="STATE_UTILITY_TAX">'Exhibit pages'!$BZ$22</definedName>
    <definedName name="SUMMARY">'Exhibit pages'!$CC$1:$DH$61</definedName>
    <definedName name="TAXINCOME">'Exhibit pages'!$G$6:$K$32</definedName>
    <definedName name="TAXPROPERTY">'Exhibit pages'!$AG$1:$AK$22</definedName>
    <definedName name="TESTYEAR">'Exhibit pages'!$A$8</definedName>
    <definedName name="WRKCAP">'Exhibit pages'!$DF$58</definedName>
    <definedName name="WUTC_FILING_FEE">'Exhibit pages'!$CA$24</definedName>
    <definedName name="Z_0673BB6A_7F01_4E93_A734_332A4BAA7AA8_.wvu.PrintArea" localSheetId="2" hidden="1">'Exhibit pages'!$BO$1:$BR$30</definedName>
    <definedName name="Z_0AC6C95F_AE73_47C9_B5E8_4A51D15D0A50_.wvu.PrintArea" localSheetId="2" hidden="1">'Exhibit pages'!#REF!</definedName>
    <definedName name="Z_114781A2_0298_429A_B53B_CCDE7FC07C8A_.wvu.PrintArea" localSheetId="2" hidden="1">'Exhibit pages'!$P$1:$S$28</definedName>
    <definedName name="Z_19E26D83_2F60_487F_9DA6_7BFA7448910F_.wvu.PrintArea" localSheetId="2" hidden="1">'Exhibit pages'!$BK$1:$BN$32</definedName>
    <definedName name="Z_19E26D83_2F60_487F_9DA6_7BFA7448910F_.wvu.PrintTitles" localSheetId="0" hidden="1">'Gas WC'!#REF!</definedName>
    <definedName name="Z_1DBB17B5_A9AB_4EE1_9C73_78E119B97135_.wvu.PrintArea" localSheetId="2" hidden="1">'Exhibit pages'!$BO$1:$BR$26</definedName>
    <definedName name="Z_1DBB17B5_A9AB_4EE1_9C73_78E119B97135_.wvu.PrintTitles" localSheetId="0" hidden="1">'Gas WC'!#REF!</definedName>
    <definedName name="Z_1E45DDAB_A557_4269_B1F7_CCA75743796E_.wvu.PrintArea" localSheetId="2" hidden="1">'Exhibit pages'!$L$1:$O$34</definedName>
    <definedName name="Z_1E9EB44D_AF97_4518_BB14_BF53339A448D_.wvu.PrintArea" localSheetId="2" hidden="1">'Exhibit pages'!$AL$1:$AO$30</definedName>
    <definedName name="Z_2B4691EB_1036_4999_AF4F_FFC1ACAF5BD5_.wvu.PrintArea" localSheetId="2" hidden="1">'Exhibit pages'!$AL$1:$AO$26</definedName>
    <definedName name="Z_2B4691EB_1036_4999_AF4F_FFC1ACAF5BD5_.wvu.PrintTitles" localSheetId="0" hidden="1">'Gas WC'!#REF!</definedName>
    <definedName name="Z_2C3700F5_7337_49E6_9C17_9B49CE910373_.wvu.PrintArea" localSheetId="2" hidden="1">'Exhibit pages'!$AB$1:$AF$54</definedName>
    <definedName name="Z_368BDFFC_8B6F_4E1E_88F3_F226428845CF_.wvu.PrintArea" localSheetId="2" hidden="1">'Exhibit pages'!$BD$1:$BJ$35</definedName>
    <definedName name="Z_3D5EEA51_762E_403C_8A5A_37C737B62D8B_.wvu.PrintArea" localSheetId="2" hidden="1">'Exhibit pages'!$BW$66:$CA$88</definedName>
    <definedName name="Z_44803784_91C7_4F11_964C_C2EEEF76D049_.wvu.PrintArea" localSheetId="2" hidden="1">'Exhibit pages'!$CC$1:$DH$59</definedName>
    <definedName name="Z_57344CAB_EDB4_4D23_8F83_6632FA133D6F_.wvu.PrintArea" localSheetId="2" hidden="1">'Exhibit pages'!$AG$1:$AK$25</definedName>
    <definedName name="Z_5D576E91_09F8_4ACA_BA33_064B57DF877B_.wvu.PrintArea" localSheetId="2" hidden="1">'Exhibit pages'!$A$1:$F$42</definedName>
    <definedName name="Z_63CA2F3E_EA7D_4137_B8BB_EE4DEC899B3B_.wvu.PrintArea" localSheetId="2" hidden="1">'Exhibit pages'!$AT$1:$AX$22</definedName>
    <definedName name="Z_63CA2F3E_EA7D_4137_B8BB_EE4DEC899B3B_.wvu.PrintTitles" localSheetId="0" hidden="1">'Gas WC'!#REF!</definedName>
    <definedName name="Z_64D7B28C_C8A2_4683_8DD2_BB3CFFD4AA44_.wvu.PrintArea" localSheetId="2" hidden="1">'Exhibit pages'!$AT$1:$AX$26</definedName>
    <definedName name="Z_6E917F0C_2AEF_45FA_BE92_02A869673ADF_.wvu.PrintArea" localSheetId="2" hidden="1">'Exhibit pages'!$BW$87:$CA$112</definedName>
    <definedName name="Z_6E917F0C_2AEF_45FA_BE92_02A869673ADF_.wvu.PrintTitles" localSheetId="0" hidden="1">'Gas WC'!#REF!</definedName>
    <definedName name="Z_6FAACDED_B3C4_46A9_9FD9_3493B1A05D5A_.wvu.PrintArea" localSheetId="2" hidden="1">'Exhibit pages'!$AY$1:$BC$29</definedName>
    <definedName name="Z_70410578_0BAB_407F_B45A_A1FD00E78914_.wvu.PrintArea" localSheetId="2" hidden="1">'Exhibit pages'!$T$1:$W$49</definedName>
    <definedName name="Z_7F37C563_10CC_4FB5_8228_8A04CD45DF93_.wvu.PrintArea" localSheetId="2" hidden="1">'Exhibit pages'!$BS$1:$BV$22</definedName>
    <definedName name="Z_7F37C563_10CC_4FB5_8228_8A04CD45DF93_.wvu.PrintTitles" localSheetId="0" hidden="1">'Gas WC'!#REF!</definedName>
    <definedName name="Z_7FD9C2ED_51CB_4723_A927_E14ADA14CE04_.wvu.PrintArea" localSheetId="2" hidden="1">'Exhibit pages'!$L$1:$O$31</definedName>
    <definedName name="Z_7FD9C2ED_51CB_4723_A927_E14ADA14CE04_.wvu.PrintTitles" localSheetId="0" hidden="1">'Gas WC'!#REF!</definedName>
    <definedName name="Z_833E8250_6973_4555_A9B1_5ACEC89F3481_.wvu.PrintArea" localSheetId="2" hidden="1">'Exhibit pages'!$X$1:$AA$27</definedName>
    <definedName name="Z_91E1FACE_0819_44A3_B8FA_54FA9EECAE75_.wvu.PrintArea" localSheetId="2" hidden="1">'Exhibit pages'!$AG$1:$AK$20</definedName>
    <definedName name="Z_91E1FACE_0819_44A3_B8FA_54FA9EECAE75_.wvu.PrintTitles" localSheetId="0" hidden="1">'Gas WC'!#REF!</definedName>
    <definedName name="Z_93FAEE54_893A_46D7_A023_5AC12F927902_.wvu.PrintArea" localSheetId="2" hidden="1">'Exhibit pages'!$BK$1:$BN$35</definedName>
    <definedName name="Z_980E67CB_B552_4FFC_BC8C_1169ADFE7896_.wvu.PrintArea" localSheetId="2" hidden="1">'Exhibit pages'!$P$1:$S$25</definedName>
    <definedName name="Z_980E67CB_B552_4FFC_BC8C_1169ADFE7896_.wvu.PrintTitles" localSheetId="0" hidden="1">'Gas WC'!#REF!</definedName>
    <definedName name="Z_997C2031_1E4D_4A93_AB70_B35AF8A7E8B3_.wvu.PrintArea" localSheetId="2" hidden="1">'Exhibit pages'!$AB$1:$AF$35</definedName>
    <definedName name="Z_997C2031_1E4D_4A93_AB70_B35AF8A7E8B3_.wvu.PrintTitles" localSheetId="0" hidden="1">'Gas WC'!#REF!</definedName>
    <definedName name="Z_9995C1CC_89F5_49D2_AE03_6C8C46F59D17_.wvu.PrintArea" localSheetId="2" hidden="1">'Exhibit pages'!$AP$1:$AS$37</definedName>
    <definedName name="Z_9995C1CC_89F5_49D2_AE03_6C8C46F59D17_.wvu.PrintTitles" localSheetId="0" hidden="1">'Gas WC'!#REF!</definedName>
    <definedName name="Z_A084B6D1_C400_4FCF_94ED_4E9EB97F0DD0_.wvu.PrintArea" localSheetId="2" hidden="1">'Exhibit pages'!$AY$1:$BC$22</definedName>
    <definedName name="Z_A084B6D1_C400_4FCF_94ED_4E9EB97F0DD0_.wvu.PrintTitles" localSheetId="0" hidden="1">'Gas WC'!#REF!</definedName>
    <definedName name="Z_A64BD0D0_8A35_4EF8_96DF_BBD409F13FD9_.wvu.PrintArea" localSheetId="2" hidden="1">'Exhibit pages'!#REF!</definedName>
    <definedName name="Z_A74B7FED_837E_46BE_A86A_510E0683DF4F_.wvu.PrintArea" localSheetId="2" hidden="1">'Exhibit pages'!$BW$88:$CA$115</definedName>
    <definedName name="Z_B2E4F77A_EA9F_4988_9A3A_0377A255FAE7_.wvu.PrintArea" localSheetId="2" hidden="1">'Exhibit pages'!$X$1:$AA$26</definedName>
    <definedName name="Z_B2E4F77A_EA9F_4988_9A3A_0377A255FAE7_.wvu.PrintTitles" localSheetId="0" hidden="1">'Gas WC'!#REF!</definedName>
    <definedName name="Z_BB03E1ED_CDCC_4E7D_9ACE_8636E7A21CDD_.wvu.PrintArea" localSheetId="2" hidden="1">'Exhibit pages'!$BW$1:$CA$64</definedName>
    <definedName name="Z_C65AA78E_3362_480E_A004_B0A3EF2BC556_.wvu.PrintArea" localSheetId="2" hidden="1">'Exhibit pages'!$BW$1:$CA$32</definedName>
    <definedName name="Z_C65AA78E_3362_480E_A004_B0A3EF2BC556_.wvu.PrintTitles" localSheetId="0" hidden="1">'Gas WC'!#REF!</definedName>
    <definedName name="Z_D39FF6E2_7C52_4003_8CC1_EC88D4B6B0F6_.wvu.PrintArea" localSheetId="2" hidden="1">'Exhibit pages'!$G$1:$K$35</definedName>
    <definedName name="Z_D39FF6E2_7C52_4003_8CC1_EC88D4B6B0F6_.wvu.PrintTitles" localSheetId="0" hidden="1">'Gas WC'!#REF!</definedName>
    <definedName name="Z_D4DE8EA2_A25B_4B13_B3E7_7FA36A81AD48_.wvu.PrintArea" localSheetId="2" hidden="1">'Exhibit pages'!$T$1:$W$36</definedName>
    <definedName name="Z_D4DE8EA2_A25B_4B13_B3E7_7FA36A81AD48_.wvu.PrintTitles" localSheetId="0" hidden="1">'Gas WC'!#REF!</definedName>
    <definedName name="Z_DB3BA276_8A52_4B03_B3AA_F96D9AC793CB_.wvu.PrintArea" localSheetId="2" hidden="1">'Exhibit pages'!$CC$1:$DH$61</definedName>
    <definedName name="Z_DB3BA276_8A52_4B03_B3AA_F96D9AC793CB_.wvu.PrintTitles" localSheetId="0" hidden="1">'Gas WC'!#REF!</definedName>
    <definedName name="Z_DBA8AB80_E69E_4A9C_B038_F147E830F6C2_.wvu.PrintArea" localSheetId="2" hidden="1">'Exhibit pages'!$BD$1:$BJ$32</definedName>
    <definedName name="Z_DBA8AB80_E69E_4A9C_B038_F147E830F6C2_.wvu.PrintTitles" localSheetId="0" hidden="1">'Gas WC'!#REF!</definedName>
    <definedName name="Z_DC288455_7108_4600_8089_E5B84429CFCD_.wvu.PrintArea" localSheetId="2" hidden="1">'Exhibit pages'!$BW$63:$CA$85</definedName>
    <definedName name="Z_DC288455_7108_4600_8089_E5B84429CFCD_.wvu.PrintTitles" localSheetId="0" hidden="1">'Gas WC'!#REF!</definedName>
    <definedName name="Z_DF51FD8A_8BA9_46B7_B455_DFD0D532E42D_.wvu.PrintArea" localSheetId="2" hidden="1">'Exhibit pages'!$G$1:$K$44</definedName>
    <definedName name="Z_E4FC78E1_3911_4CDF_BDC9_CDBD891F2166_.wvu.PrintArea" localSheetId="2" hidden="1">'Exhibit pages'!$BW$90:$CA$115</definedName>
    <definedName name="Z_EE493384_805C_4FC4_9FE7_B116EFD1ECFD_.wvu.PrintArea" localSheetId="2" hidden="1">'Exhibit pages'!$A$1:$F$53</definedName>
    <definedName name="Z_EE493384_805C_4FC4_9FE7_B116EFD1ECFD_.wvu.PrintTitles" localSheetId="0" hidden="1">'Gas WC'!#REF!</definedName>
    <definedName name="Z_F1A743EB_46C0_4C37_B8D0_AA378C31CB40_.wvu.PrintArea" localSheetId="2" hidden="1">'Exhibit pages'!$AP$1:$AS$45</definedName>
  </definedNames>
  <calcPr fullCalcOnLoad="1"/>
</workbook>
</file>

<file path=xl/sharedStrings.xml><?xml version="1.0" encoding="utf-8"?>
<sst xmlns="http://schemas.openxmlformats.org/spreadsheetml/2006/main" count="893" uniqueCount="446">
  <si>
    <t xml:space="preserve"> </t>
  </si>
  <si>
    <t>PAGE 2.01</t>
  </si>
  <si>
    <t>PAGE 2.02</t>
  </si>
  <si>
    <t>PAGE 2.03</t>
  </si>
  <si>
    <t>PAGE 2.04</t>
  </si>
  <si>
    <t>PAGE 2.05</t>
  </si>
  <si>
    <t>PAGE 2.06</t>
  </si>
  <si>
    <t>PAGE 2.07</t>
  </si>
  <si>
    <t>PAGE 2.08</t>
  </si>
  <si>
    <t>PAGE 2.09</t>
  </si>
  <si>
    <t>PAGE 2.10</t>
  </si>
  <si>
    <t>PAGE 2.11</t>
  </si>
  <si>
    <t>PAGE 2.12</t>
  </si>
  <si>
    <t>PAGE 2.13</t>
  </si>
  <si>
    <t>PAGE 2.14</t>
  </si>
  <si>
    <t>PAGE 2.15</t>
  </si>
  <si>
    <t>PAGE 2.16</t>
  </si>
  <si>
    <t>PAGE 4.03</t>
  </si>
  <si>
    <t>Page G3-A</t>
  </si>
  <si>
    <t>Page G3-B</t>
  </si>
  <si>
    <t>Page G3-C</t>
  </si>
  <si>
    <t>Summary</t>
  </si>
  <si>
    <t>PUGET SOUND ENERGY-GAS</t>
  </si>
  <si>
    <t xml:space="preserve">PUGET SOUND ENERGY-GAS </t>
  </si>
  <si>
    <t>STATEMENT OF OPERATING INCOME AND ADJUSTMENTS</t>
  </si>
  <si>
    <t>RESULTS OF OPERATIONS</t>
  </si>
  <si>
    <t/>
  </si>
  <si>
    <t>REVENUE &amp; PURCHASED GAS</t>
  </si>
  <si>
    <t>FEDERAL INCOME TAX</t>
  </si>
  <si>
    <t>TAX BENEFIT OF PRO FORMA INTEREST</t>
  </si>
  <si>
    <t>DEPRECIATION/AMORTIZATION</t>
  </si>
  <si>
    <t>CONSERVATION</t>
  </si>
  <si>
    <t>BAD DEBTS</t>
  </si>
  <si>
    <t>MISCELLANEOUS OPERATING EXPENSE</t>
  </si>
  <si>
    <t>PROPERTY TAXES</t>
  </si>
  <si>
    <t>EXCISE TAX &amp; FILING FEE</t>
  </si>
  <si>
    <t>RATE CASE EXPENSES</t>
  </si>
  <si>
    <t>PROPERTY &amp; LIABILITY INSURANCE</t>
  </si>
  <si>
    <t>PENSION PLAN</t>
  </si>
  <si>
    <t>WAGE INCREASE</t>
  </si>
  <si>
    <t>INVESTMENT PLAN</t>
  </si>
  <si>
    <t>EMPLOYEE INSURANCE</t>
  </si>
  <si>
    <t>LOW INCOME AMORTIZATION</t>
  </si>
  <si>
    <t>CONVERSION FACTOR</t>
  </si>
  <si>
    <t>FOR THE TWELVE MONTHS ENDED SEPTEMBER 30, 2003</t>
  </si>
  <si>
    <t>RESTATING AND PRO FORMA ADJUSTMENTS</t>
  </si>
  <si>
    <t>GENERAL RATE INCREASE</t>
  </si>
  <si>
    <t>&gt;</t>
  </si>
  <si>
    <t>LINE</t>
  </si>
  <si>
    <t xml:space="preserve">LINE </t>
  </si>
  <si>
    <t>RESTATED /</t>
  </si>
  <si>
    <t>ACTUAL RESULTS OF</t>
  </si>
  <si>
    <t>REVENUE &amp;</t>
  </si>
  <si>
    <t xml:space="preserve">FEDERAL </t>
  </si>
  <si>
    <t>TAX BENEFIT OF</t>
  </si>
  <si>
    <t>DEPRECIATION/</t>
  </si>
  <si>
    <t xml:space="preserve">BAD </t>
  </si>
  <si>
    <t>MISCELLANEOUS</t>
  </si>
  <si>
    <t xml:space="preserve">PROPERTY </t>
  </si>
  <si>
    <t>EXCISE TAX &amp;</t>
  </si>
  <si>
    <t>RATE CASE</t>
  </si>
  <si>
    <t>PROPERTY&amp;</t>
  </si>
  <si>
    <t>PENSION</t>
  </si>
  <si>
    <t>WAGE</t>
  </si>
  <si>
    <t>INVESTMENT</t>
  </si>
  <si>
    <t>EMPLOYEE</t>
  </si>
  <si>
    <t>LOW INCOME</t>
  </si>
  <si>
    <t>TOTAL</t>
  </si>
  <si>
    <t>ADJUSTED</t>
  </si>
  <si>
    <t>ACTUAL</t>
  </si>
  <si>
    <t>REVENUE</t>
  </si>
  <si>
    <t>AFTER</t>
  </si>
  <si>
    <t>NO.</t>
  </si>
  <si>
    <t>DESCRIPTION</t>
  </si>
  <si>
    <t>RESTATED</t>
  </si>
  <si>
    <t>ADJUSTMENT</t>
  </si>
  <si>
    <t>AMOUNT</t>
  </si>
  <si>
    <t>PROFORMA</t>
  </si>
  <si>
    <t>TEST YEAR</t>
  </si>
  <si>
    <t>RATE YEAR</t>
  </si>
  <si>
    <t>BASE</t>
  </si>
  <si>
    <t>RATE</t>
  </si>
  <si>
    <t>OPERATIONS</t>
  </si>
  <si>
    <t xml:space="preserve">PURCHASED GAS </t>
  </si>
  <si>
    <t>INCOME TAX</t>
  </si>
  <si>
    <t>PRO FORMA INTEREST</t>
  </si>
  <si>
    <t>AMORTIZATION</t>
  </si>
  <si>
    <t>DEBTS</t>
  </si>
  <si>
    <t>OPERATING EXPENSE</t>
  </si>
  <si>
    <t>TAXES</t>
  </si>
  <si>
    <t>FILING FEE</t>
  </si>
  <si>
    <t>EXPENSES</t>
  </si>
  <si>
    <t>LIABILITY INS</t>
  </si>
  <si>
    <t>PLAN</t>
  </si>
  <si>
    <t>INCREASE</t>
  </si>
  <si>
    <t>INSURANCE</t>
  </si>
  <si>
    <t>ADJUSTMENTS</t>
  </si>
  <si>
    <t>RESULTS OF</t>
  </si>
  <si>
    <t>REQUIREMENT</t>
  </si>
  <si>
    <t>OPERATING EXPENSES (RESTATED)</t>
  </si>
  <si>
    <t>DEFICIENCY</t>
  </si>
  <si>
    <t>TAXABLE INCOME</t>
  </si>
  <si>
    <t>RATE BASE</t>
  </si>
  <si>
    <t>RESTATING</t>
  </si>
  <si>
    <t>1</t>
  </si>
  <si>
    <t>ACTUAL BAD DEBT WRITE-OFF</t>
  </si>
  <si>
    <t>RESTATED PROPERTY TAX</t>
  </si>
  <si>
    <t>RESTATED EXCISE TAXES</t>
  </si>
  <si>
    <t>2001 GRC EXPENSE BALANCE @ 9/30/03</t>
  </si>
  <si>
    <t>PROPERTY INSURANCE EXPENSE</t>
  </si>
  <si>
    <t>QUALIFIED RETIREMENT FUND</t>
  </si>
  <si>
    <t>WAGES:</t>
  </si>
  <si>
    <t>MANAGEMENT (INC. EXECUTIVES)</t>
  </si>
  <si>
    <t>BENEFIT CONTRIBUTION:</t>
  </si>
  <si>
    <t>AMORTIZATION FOR TEST YEAR</t>
  </si>
  <si>
    <t>TOTAL OPERATING REVENUE</t>
  </si>
  <si>
    <t>-</t>
  </si>
  <si>
    <t>OPERATING REVENUE</t>
  </si>
  <si>
    <t>DEDUCTIBLE CWIP</t>
  </si>
  <si>
    <t>ACTUAL ACCT 403-DEPRECIATION EXPENSE</t>
  </si>
  <si>
    <t>ACTUAL CONSERVATION TRACKER AMORTIZATION</t>
  </si>
  <si>
    <t>INCENTIVE/MERIT PAY</t>
  </si>
  <si>
    <t>CHARGED TO EXPENSE IN TY</t>
  </si>
  <si>
    <t>CHARGED TO EXPENSE FOR TEST YEAR</t>
  </si>
  <si>
    <t>LESS PROJECTED AMORTIZATION FROM 10/01/03-2/28/05</t>
  </si>
  <si>
    <t>LIABILITY INSURANCE EXPENSE</t>
  </si>
  <si>
    <t>SERP PLAN</t>
  </si>
  <si>
    <t>PRODUCTION MANUF. GAS</t>
  </si>
  <si>
    <t>INVESTMENT PLAN APPLICABLE TO MANAGEMENT</t>
  </si>
  <si>
    <t>SALARIED EMPLOYEES</t>
  </si>
  <si>
    <t>OPERATING REVENUES</t>
  </si>
  <si>
    <t>OPERATING REVENUES:</t>
  </si>
  <si>
    <t xml:space="preserve">FEDERAL INCOME TAX </t>
  </si>
  <si>
    <t>RESTATED ACCT 403-DEPRECIATION EXPENSE</t>
  </si>
  <si>
    <t>RESTATED CONSERVATION TRACKER AMORTIZATION</t>
  </si>
  <si>
    <t>BAD DEBT PROVISION</t>
  </si>
  <si>
    <t>PAYROLL TAXES ASSOC WITH MERIT PAY</t>
  </si>
  <si>
    <t>INCREASE(DECREASE) EXPENSE</t>
  </si>
  <si>
    <t>INCREASE(DECREASE) EXCISE TAX</t>
  </si>
  <si>
    <t>REMAINING BALANCE @ 02/28/2005</t>
  </si>
  <si>
    <t>OTHER GAS SUPPLY</t>
  </si>
  <si>
    <t xml:space="preserve">RATE YEAR MANAGEMENT WAGE INCREASE </t>
  </si>
  <si>
    <t>UNION EMPLOYEES</t>
  </si>
  <si>
    <t>OPERATING REVENUE DEDUCTION</t>
  </si>
  <si>
    <t>SALES TO CUSTOMERS</t>
  </si>
  <si>
    <t>PROFORMA OPERATING REVENUE</t>
  </si>
  <si>
    <t xml:space="preserve">   CURRENT FIT    @</t>
  </si>
  <si>
    <t>INCREASE (DECREASE) DEPRECIATION EXPENSE</t>
  </si>
  <si>
    <t>INCREASE (DECREASE) EXPENSE</t>
  </si>
  <si>
    <t>STORAGE, LNG T&amp;G</t>
  </si>
  <si>
    <t>TOTAL COMPANY CONTRIBUTION FOR MANAGEMENT</t>
  </si>
  <si>
    <t>PRO FORMA INSURANCE COSTS</t>
  </si>
  <si>
    <t>INCREASE (DECREASE) NOI</t>
  </si>
  <si>
    <t xml:space="preserve">     OTHER OPERATIONS</t>
  </si>
  <si>
    <t>MUNICIPAL ADDITIONS</t>
  </si>
  <si>
    <t xml:space="preserve">   DEFERRED FIT - DEBIT</t>
  </si>
  <si>
    <t>WEIGHTED COST OF DEBT</t>
  </si>
  <si>
    <t>INCREASE (DECREASE) OPERATING INCOME</t>
  </si>
  <si>
    <t>INCREASE (DECREASE) BAD DEBT EXPENSE</t>
  </si>
  <si>
    <t>INCREASE(DECREASE) FIT @</t>
  </si>
  <si>
    <t>RESTATED WUTC FILING FEE</t>
  </si>
  <si>
    <t>PROFORMA 2004 RATE CASE EXPENSE:</t>
  </si>
  <si>
    <t>TRANSMISSION</t>
  </si>
  <si>
    <t xml:space="preserve">     OTHER TAXES</t>
  </si>
  <si>
    <t>OTHER OPERATING REVENUES</t>
  </si>
  <si>
    <t>INCREASE TO OPERATING REVENUE</t>
  </si>
  <si>
    <t xml:space="preserve">   DEFERRED FIT - CREDIT</t>
  </si>
  <si>
    <t>RESTATED INTEREST</t>
  </si>
  <si>
    <t>INCREASE(DECREASE) NOI</t>
  </si>
  <si>
    <t>COST OF SERVICE</t>
  </si>
  <si>
    <t>INCREASE (DECREASE) FIT @</t>
  </si>
  <si>
    <t>DISTRIBUTION</t>
  </si>
  <si>
    <t>UNION</t>
  </si>
  <si>
    <t>APPLICABLE TO OPERATIONS @</t>
  </si>
  <si>
    <t xml:space="preserve">     STATE UTILITY</t>
  </si>
  <si>
    <t>TOTAL OPERATING REVENUES</t>
  </si>
  <si>
    <t xml:space="preserve">   DEFERRED FIT - INV TAX CREDIT, NET OF AMORTIZATION</t>
  </si>
  <si>
    <t>ACTUAL LOST MARGIN ON GAS WATER HEATER</t>
  </si>
  <si>
    <t xml:space="preserve">INCREASE (DECREASE) FIT @ </t>
  </si>
  <si>
    <t>INCREASE(DECREASE) WUTC FILING FEE</t>
  </si>
  <si>
    <t>OUTSIDE SERVICE-PROFESSIONAL</t>
  </si>
  <si>
    <t>CUSTOMER ACCTS</t>
  </si>
  <si>
    <t>INVESTMENT PLAN APPLICABLE TO UNION</t>
  </si>
  <si>
    <t>CHARGED TO EXPENSE 09/30/03</t>
  </si>
  <si>
    <t xml:space="preserve">                    TOTAL RESTATED FIT</t>
  </si>
  <si>
    <t>INTEREST EXPENSE ITEMS PER BOOKS:</t>
  </si>
  <si>
    <t>ADJUST RATE BASE FOR LINE 10 @</t>
  </si>
  <si>
    <t>RESTATED LOST MARGIN ON GAS WATER HEATER</t>
  </si>
  <si>
    <t>INCREASE (DECREASE) IN EXPENSE</t>
  </si>
  <si>
    <t>OUTSIDE SERVICE-LEGAL</t>
  </si>
  <si>
    <t>CUSTOMER SERVICE</t>
  </si>
  <si>
    <t xml:space="preserve">RATE YEAR UNION WAGE INCREASE                   </t>
  </si>
  <si>
    <t>INTEREST ON LONG TERM DEBT</t>
  </si>
  <si>
    <t>INCREASE(DECREASE) OPERATING EXPENSE</t>
  </si>
  <si>
    <t>OUTSIDE SERVICE-IT</t>
  </si>
  <si>
    <t>SALES</t>
  </si>
  <si>
    <t xml:space="preserve">TOTAL COMPANY CONTRIBUTION FOR UNION </t>
  </si>
  <si>
    <t xml:space="preserve">     STATE UTILITY TAX</t>
  </si>
  <si>
    <t>OPERATING REVENUE DEDUCTIONS:</t>
  </si>
  <si>
    <t>OTHER OPERATING REVENUE</t>
  </si>
  <si>
    <t>FIT PER BOOKS:</t>
  </si>
  <si>
    <t>AMORTIZATION OF DEBT DISCOUNT</t>
  </si>
  <si>
    <t>ADJUSTMENT TO RATE BASE</t>
  </si>
  <si>
    <t>INCREASE(DECREASE) INCOME</t>
  </si>
  <si>
    <t>SAS CODING</t>
  </si>
  <si>
    <t>ADMIN. &amp; GENERAL</t>
  </si>
  <si>
    <t xml:space="preserve">     MUNICIPAL REVENUE</t>
  </si>
  <si>
    <t xml:space="preserve">   CURRENT FIT    </t>
  </si>
  <si>
    <t xml:space="preserve">    AND EXPENSE, NET OF PREMIUMS</t>
  </si>
  <si>
    <t>INCREASE(DECREASE) FIT</t>
  </si>
  <si>
    <t>TOTAL WAGE INCREASE</t>
  </si>
  <si>
    <t xml:space="preserve">     ALL OTHER (FILING FEE)</t>
  </si>
  <si>
    <t>GAS COSTS:</t>
  </si>
  <si>
    <t>REVENUE BEFORE OTHER ADJUSTMENTS</t>
  </si>
  <si>
    <t>OTHER INTEREST EXPENSE</t>
  </si>
  <si>
    <t>TOTAL PROFORMA 2004 RATE CASE EXPENSE</t>
  </si>
  <si>
    <t>TOTAL PROFORMA COSTS (LN 4 + LN 9)</t>
  </si>
  <si>
    <t>FEDERAL INCOME TAX:</t>
  </si>
  <si>
    <t>CHARGED TO EXPENSE IN TEST YEAR</t>
  </si>
  <si>
    <t>CONSERVATION REGULATORY ASSET-ACCT #18230422 WATER HEATER PRGM</t>
  </si>
  <si>
    <t>PAYROLL TAXES</t>
  </si>
  <si>
    <t>PRO FORMA COSTS APPLICABLE TO OPERATIONS</t>
  </si>
  <si>
    <t xml:space="preserve">     CURRENT</t>
  </si>
  <si>
    <t xml:space="preserve"> PURCHASED GAS</t>
  </si>
  <si>
    <t>MISC CUSTOMER CHARGE REVENUE</t>
  </si>
  <si>
    <t>INCREASE (DECREASE) INTEREST EXPENSE</t>
  </si>
  <si>
    <t>CONSERVATION AMORTIZATION FOR RATE YEAR (BASE ON 3 YEAR AVERAGE)</t>
  </si>
  <si>
    <t>AMOUNT TO BE AMORTIZED OVER 3 YEARS</t>
  </si>
  <si>
    <t>TOTAL WAGES &amp; TAXES</t>
  </si>
  <si>
    <t>CHARGED TO EXPENSE FOR YEAR ENDED 9/30/2003</t>
  </si>
  <si>
    <t>TOTAL PRODUCTION EXPENSES</t>
  </si>
  <si>
    <t xml:space="preserve">                    TOTAL CHARGED TO EXPENSE</t>
  </si>
  <si>
    <t>RATEBASE</t>
  </si>
  <si>
    <t>ANNUAL AMORTIZATION OVER 3 YEARS</t>
  </si>
  <si>
    <t>INCREASE (DECREASE) OPERATING EXPENSE</t>
  </si>
  <si>
    <t xml:space="preserve">                   TOTAL OPERATING REVENUE DEDUCTIONS</t>
  </si>
  <si>
    <t>TOTAL REVENUE ADJUSTMENTS</t>
  </si>
  <si>
    <t>CWIP "IN SERVICE" BUT NOT TRANSFERRED TO PLANT</t>
  </si>
  <si>
    <t>LESS TEST YEAR AMORTIZATION @ $50,078/MONTH</t>
  </si>
  <si>
    <t>INCREASE (DECREASE) FIT</t>
  </si>
  <si>
    <t>@</t>
  </si>
  <si>
    <t>OTHER ENERGY SUPPLY EXPENSES</t>
  </si>
  <si>
    <t>OTHER POWER SUPPLY EXPENSES</t>
  </si>
  <si>
    <t>INCREASE (DECREASE) INCOME</t>
  </si>
  <si>
    <t>TRANSMISSION EXPENSE</t>
  </si>
  <si>
    <t>INCREASE(DECREASE) DEFERRED FIT</t>
  </si>
  <si>
    <t>DISTRIBUTION EXPENSE</t>
  </si>
  <si>
    <t xml:space="preserve">     PURCHASED GAS</t>
  </si>
  <si>
    <t>INCREASE(DECREASE) ITC</t>
  </si>
  <si>
    <t>TOTAL ADJUSTMENT TO RATEBASE</t>
  </si>
  <si>
    <t>CUSTOMER ACCTS EXPENSES</t>
  </si>
  <si>
    <t>CUSTOMER ACCOUNT EXPENSES</t>
  </si>
  <si>
    <t xml:space="preserve">INCREASE(DECREASE) NOI </t>
  </si>
  <si>
    <t>CUSTOMER SERVICE EXPENSES</t>
  </si>
  <si>
    <t xml:space="preserve">     OTHER OPERATIONS EXPENSE (APUA)</t>
  </si>
  <si>
    <t>CONSERVATION AMORTIZATION</t>
  </si>
  <si>
    <t>ADMIN &amp; GENERAL EXPENSE</t>
  </si>
  <si>
    <t>PAGE 4.02</t>
  </si>
  <si>
    <t>DEPRECIATION</t>
  </si>
  <si>
    <t xml:space="preserve">     GROSS RECEIPTS</t>
  </si>
  <si>
    <t xml:space="preserve">   </t>
  </si>
  <si>
    <t>PRO FORMA COST OF CAPITAL</t>
  </si>
  <si>
    <t>AMORTIZATION OF PROPERTY LOSS</t>
  </si>
  <si>
    <t>FEDERAL INCOME TAXES</t>
  </si>
  <si>
    <t>OTHER OPERATING EXPENSES</t>
  </si>
  <si>
    <t>TAXES OTHER THAN F.I.T.</t>
  </si>
  <si>
    <t>DEFERRED INCOME TAXES</t>
  </si>
  <si>
    <t>PRO FORMA</t>
  </si>
  <si>
    <t>COST OF</t>
  </si>
  <si>
    <t>TOTAL OPERATING REV. DEDUCT.</t>
  </si>
  <si>
    <t>TOTAL INCREASE/(DECREASE) REVENUE</t>
  </si>
  <si>
    <t>CAPITAL %</t>
  </si>
  <si>
    <t>COST %</t>
  </si>
  <si>
    <t>CAPITAL</t>
  </si>
  <si>
    <t>NET OPERATING INCOME</t>
  </si>
  <si>
    <t>TOTAL INCREASE/(DECREASE) OPERATING EXPENSE BEFORE FIT</t>
  </si>
  <si>
    <t>DEBT</t>
  </si>
  <si>
    <t>PREFERRED</t>
  </si>
  <si>
    <t xml:space="preserve">RATE BASE </t>
  </si>
  <si>
    <t>TOTAL INCREASE/(DECREASE) FIT</t>
  </si>
  <si>
    <t>EQUITY</t>
  </si>
  <si>
    <t>RATE OF RETURN</t>
  </si>
  <si>
    <t>TOAL INCREASE/(DECREASE) NOI</t>
  </si>
  <si>
    <t>AFTER TAX DEBT ( LINE 1 * 65%)</t>
  </si>
  <si>
    <t>RATE BASE:</t>
  </si>
  <si>
    <t xml:space="preserve">  UTILITY PLANT IN SERVICE AND OTHER ASSETS</t>
  </si>
  <si>
    <t xml:space="preserve">  ACCUMULATED DEPRECIATION</t>
  </si>
  <si>
    <t>TOTAL AFTER TAX COST OF CAPITAL</t>
  </si>
  <si>
    <t xml:space="preserve">  ACCUMULATED DEFERRED FIT - LIBERALIZED</t>
  </si>
  <si>
    <t xml:space="preserve">  DEPRECIATION AND OTHER LIABILITIES</t>
  </si>
  <si>
    <t>TOTAL NET INVESTMENT</t>
  </si>
  <si>
    <t xml:space="preserve">  ALLOWANCE FOR WORKING CAPITAL</t>
  </si>
  <si>
    <t>TOTAL RATE BASE</t>
  </si>
  <si>
    <t>check</t>
  </si>
  <si>
    <t>OPERATING INCOME REQUIREMENT</t>
  </si>
  <si>
    <t>PRO FORMA OPERATING INCOME</t>
  </si>
  <si>
    <t>OPERATING INCOME DEFICIENCY</t>
  </si>
  <si>
    <t>REVENUE REQUIREMENT DEFICIENCY</t>
  </si>
  <si>
    <t xml:space="preserve">     MISCELLANEOUS SETTLEMENT ADJUSTMENT</t>
  </si>
  <si>
    <t>TOTAL REVENUE REQUIREMENT</t>
  </si>
  <si>
    <r>
      <t>PROFORMA</t>
    </r>
    <r>
      <rPr>
        <sz val="10"/>
        <rFont val="Times New Roman"/>
        <family val="1"/>
      </rPr>
      <t xml:space="preserve"> - (RYE 02/28/2006)</t>
    </r>
  </si>
  <si>
    <t>Puget Sound Energy</t>
  </si>
  <si>
    <t>Electric</t>
  </si>
  <si>
    <t>Gas</t>
  </si>
  <si>
    <t>Description</t>
  </si>
  <si>
    <t xml:space="preserve">Gas Allowance For Working Capital </t>
  </si>
  <si>
    <t>Average-of-the-Monthly-Averages for the Thirteen-Month Period Ended September 30, 2003</t>
  </si>
  <si>
    <t xml:space="preserve">Allocation factor  </t>
  </si>
  <si>
    <t>Tax factor</t>
  </si>
  <si>
    <t xml:space="preserve">   Line</t>
  </si>
  <si>
    <t xml:space="preserve">    No.</t>
  </si>
  <si>
    <t>Average Invested Capital</t>
  </si>
  <si>
    <t xml:space="preserve">   Debt</t>
  </si>
  <si>
    <t xml:space="preserve">     Less:Debt Discount and Expense</t>
  </si>
  <si>
    <t xml:space="preserve">             Compensating Balance Requirements</t>
  </si>
  <si>
    <t xml:space="preserve">                               Net Debt</t>
  </si>
  <si>
    <t xml:space="preserve">   Preferred Stock</t>
  </si>
  <si>
    <t xml:space="preserve">   Investment Tax Credit</t>
  </si>
  <si>
    <t xml:space="preserve">   Common Equity</t>
  </si>
  <si>
    <t xml:space="preserve">                               Total Invested Capital</t>
  </si>
  <si>
    <t>Average Investment</t>
  </si>
  <si>
    <t xml:space="preserve"> Gas Operating:</t>
  </si>
  <si>
    <t xml:space="preserve">   Gas Utility Plant in Service</t>
  </si>
  <si>
    <t xml:space="preserve">     Plus:Software in Service Reclassified</t>
  </si>
  <si>
    <t xml:space="preserve">   Gas Completed Work Not Classified</t>
  </si>
  <si>
    <t xml:space="preserve">     Plus:Paving in Service Reclassified</t>
  </si>
  <si>
    <t xml:space="preserve">   Gas Stored Underground, Non-Current</t>
  </si>
  <si>
    <t xml:space="preserve">   Gas Accumulated  Depreciation</t>
  </si>
  <si>
    <t xml:space="preserve">   Gas Customer Advances for Construction</t>
  </si>
  <si>
    <t xml:space="preserve">   Gas Contributions in Aid of Construction</t>
  </si>
  <si>
    <t xml:space="preserve">   Gas Deferred Federal Income Tax</t>
  </si>
  <si>
    <t xml:space="preserve">     Less:Deferred tax - Regulatory Tax Liabiltiy</t>
  </si>
  <si>
    <t xml:space="preserve">             ADIT SFAS 109 </t>
  </si>
  <si>
    <t xml:space="preserve">             DSM &amp; Environmental</t>
  </si>
  <si>
    <t xml:space="preserve">             Other Utility ADIT</t>
  </si>
  <si>
    <t xml:space="preserve">   Restating and Pro Forma Adjustments</t>
  </si>
  <si>
    <t xml:space="preserve">     Average Gas Operating Investment-Direct</t>
  </si>
  <si>
    <t xml:space="preserve">   Common Plant-Allocation to Gas </t>
  </si>
  <si>
    <t>23a</t>
  </si>
  <si>
    <t>Investment in Assoc Company - Rainier Receivables</t>
  </si>
  <si>
    <t xml:space="preserve">   Common Accumulated Depreciation-Allocation to Gas</t>
  </si>
  <si>
    <t xml:space="preserve">     Average Common Operating Invest-Allocation to Gas</t>
  </si>
  <si>
    <t xml:space="preserve">             Total Average Gas Operating Investment</t>
  </si>
  <si>
    <t>Non Operating:</t>
  </si>
  <si>
    <t xml:space="preserve">   Construction Work in Progress</t>
  </si>
  <si>
    <t xml:space="preserve">   Common Construct Work in Progress-Alloc to Gas</t>
  </si>
  <si>
    <t xml:space="preserve">     Less:Software in Service Reclassified</t>
  </si>
  <si>
    <t xml:space="preserve">   Intercompany Accounts -net</t>
  </si>
  <si>
    <t xml:space="preserve">   Merchandising Receivable -net</t>
  </si>
  <si>
    <t xml:space="preserve">   Investment related deferred debits</t>
  </si>
  <si>
    <t xml:space="preserve">     Less:Paving in Service Reclassified</t>
  </si>
  <si>
    <t xml:space="preserve">   Environmental Remediation - Deferred Credits</t>
  </si>
  <si>
    <t xml:space="preserve">   Environmental remediation - Accounts Receivable</t>
  </si>
  <si>
    <t xml:space="preserve">   Environmental Remediation - Accounts Payable</t>
  </si>
  <si>
    <t xml:space="preserve">   Gas Regulatory Asset SFAS 109</t>
  </si>
  <si>
    <t xml:space="preserve">   Gas Regulatory Liability SFAS 109</t>
  </si>
  <si>
    <t xml:space="preserve">   ADIT SFAS 109</t>
  </si>
  <si>
    <t xml:space="preserve">   Less Other Utility ADIT</t>
  </si>
  <si>
    <t xml:space="preserve">   Merchandising Inventory</t>
  </si>
  <si>
    <t xml:space="preserve">   Deferred Purchased Gas Costs - Accounts Rec'ble</t>
  </si>
  <si>
    <t xml:space="preserve">   Deferred Purchased Gas Costs - Accounts Payable</t>
  </si>
  <si>
    <t xml:space="preserve">   Misc. Reserves for Deferred Dr's - Accounts Receivable</t>
  </si>
  <si>
    <t xml:space="preserve">   Deferred SERP - Current Liabilities</t>
  </si>
  <si>
    <t xml:space="preserve">   Deferred Severence - Current Liabilities</t>
  </si>
  <si>
    <t xml:space="preserve">   Gas Premilinary Work</t>
  </si>
  <si>
    <t xml:space="preserve">   Electric Plant in Service</t>
  </si>
  <si>
    <t>50a</t>
  </si>
  <si>
    <t xml:space="preserve">   Common Current Accounts-Electric Share</t>
  </si>
  <si>
    <t>50b</t>
  </si>
  <si>
    <t xml:space="preserve">   Electric Current Accounts</t>
  </si>
  <si>
    <t xml:space="preserve">   Common Plant-Allocation to Electric</t>
  </si>
  <si>
    <t xml:space="preserve">   Electric Future Use Property</t>
  </si>
  <si>
    <t xml:space="preserve">   Common Future Use Property-Allocation to Electric</t>
  </si>
  <si>
    <t xml:space="preserve">   Customer Advances for Construction</t>
  </si>
  <si>
    <t xml:space="preserve">   Customer Deposits</t>
  </si>
  <si>
    <t xml:space="preserve">   Deferred Taxes</t>
  </si>
  <si>
    <t xml:space="preserve">   Deferred Debits - Other</t>
  </si>
  <si>
    <t xml:space="preserve">   Less: Electric Accumulated Depreciation</t>
  </si>
  <si>
    <t xml:space="preserve">   Less: Common Accum Depr-Allocation to Electric</t>
  </si>
  <si>
    <t xml:space="preserve">   Electric Completed Const. Not Classified</t>
  </si>
  <si>
    <t xml:space="preserve">   Conservation Investment</t>
  </si>
  <si>
    <t xml:space="preserve">   Other &amp; FAS 133</t>
  </si>
  <si>
    <t xml:space="preserve">             Total Non Operating &amp; Electric Plant Investment</t>
  </si>
  <si>
    <t>Total Average Net Investment</t>
  </si>
  <si>
    <t>Total Investor Supplied Working Capital</t>
  </si>
  <si>
    <t>Total Average Investments</t>
  </si>
  <si>
    <t>Less:   Gas CWIP</t>
  </si>
  <si>
    <t xml:space="preserve">           Other work in progress</t>
  </si>
  <si>
    <t xml:space="preserve">           Preliminary surveys</t>
  </si>
  <si>
    <t xml:space="preserve">Total  </t>
  </si>
  <si>
    <t>Working Capital %</t>
  </si>
  <si>
    <t>Utility Allowance</t>
  </si>
  <si>
    <t>PAGE 4.01</t>
  </si>
  <si>
    <t>ALLOCATION METHODS</t>
  </si>
  <si>
    <t>Method</t>
  </si>
  <si>
    <t>Total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</si>
  <si>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</si>
  <si>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</si>
  <si>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</si>
  <si>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</si>
  <si>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</si>
  <si>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</si>
  <si>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</si>
  <si>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</si>
  <si>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</si>
  <si>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</si>
  <si>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</si>
  <si>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</si>
  <si>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</si>
  <si>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Plant)</t>
  </si>
  <si>
    <t>Total Percentages</t>
  </si>
  <si>
    <t>Labor</t>
  </si>
  <si>
    <t>Benefit Assessment Distribution</t>
  </si>
  <si>
    <t xml:space="preserve">Current &amp; Deferred FIT </t>
  </si>
  <si>
    <t>Docket Number UG-04_______</t>
  </si>
  <si>
    <t>Exhibit No. _______ (BAL-G3)</t>
  </si>
  <si>
    <t>Page 7 of 26</t>
  </si>
  <si>
    <t>Page 6 of 26</t>
  </si>
  <si>
    <t>Page 5 of 26</t>
  </si>
  <si>
    <t>Page 8 of 26</t>
  </si>
  <si>
    <t>Page 9 of 26</t>
  </si>
  <si>
    <t>Page 10 of 26</t>
  </si>
  <si>
    <t>Page 11 of 26</t>
  </si>
  <si>
    <t>Page 12 of 26</t>
  </si>
  <si>
    <t>Page 13 of 26</t>
  </si>
  <si>
    <t>Page 14 of 26</t>
  </si>
  <si>
    <t>Page 15 of 26</t>
  </si>
  <si>
    <t>Page 16 of 26</t>
  </si>
  <si>
    <t>Page 17 of 26</t>
  </si>
  <si>
    <t>Page 18 of 26</t>
  </si>
  <si>
    <t>Page 19 of 26</t>
  </si>
  <si>
    <t>Page 20 of 26</t>
  </si>
  <si>
    <t>Page 21 of 26</t>
  </si>
  <si>
    <t>Page 25 of 26</t>
  </si>
  <si>
    <t>Page 24 of 26</t>
  </si>
  <si>
    <t>Page 26 of 26</t>
  </si>
  <si>
    <t>Page 22 of 26</t>
  </si>
  <si>
    <t>Non Operating (continued):</t>
  </si>
  <si>
    <t>Page 23 of 26</t>
  </si>
  <si>
    <t>12ME Sept. 30, 2003</t>
  </si>
  <si>
    <t>Page 2 of 26</t>
  </si>
  <si>
    <t>Page 3 of 26</t>
  </si>
  <si>
    <t>Page 4 of 26</t>
  </si>
  <si>
    <t>Page 1 of 26</t>
  </si>
  <si>
    <t>Page 4.04</t>
  </si>
  <si>
    <t>PAGE 4.05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</si>
</sst>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000"/>
    <numFmt numFmtId="167" formatCode="0.0%"/>
    <numFmt numFmtId="168" formatCode="0.000%"/>
    <numFmt numFmtId="169" formatCode="0.00000"/>
    <numFmt numFmtId="170" formatCode="&quot;$&quot;#,##0.0000\ ;\(&quot;$&quot;#,##0.0000\)"/>
    <numFmt numFmtId="171" formatCode="0.00000%"/>
    <numFmt numFmtId="172" formatCode="&quot;$&quot;#,##0.00000\ ;\(&quot;$&quot;#,##0.00000\)"/>
    <numFmt numFmtId="173" formatCode="mmm"/>
    <numFmt numFmtId="174" formatCode="0.000"/>
    <numFmt numFmtId="175" formatCode="0,000.00000"/>
    <numFmt numFmtId="176" formatCode="0.0000000"/>
    <numFmt numFmtId="177" formatCode="0.000000"/>
    <numFmt numFmtId="178" formatCode="0.%"/>
    <numFmt numFmtId="179" formatCode="#,##0.000;\(#,##0.000\)"/>
    <numFmt numFmtId="180" formatCode="#,##0.0000"/>
    <numFmt numFmtId="181" formatCode="#,##0.00000"/>
    <numFmt numFmtId="182" formatCode="mmmm\ yyyy"/>
    <numFmt numFmtId="183" formatCode="#,##0.0000000;\(#,##0.0000000\)"/>
    <numFmt numFmtId="184" formatCode="#,##0;\(#,##0\)"/>
    <numFmt numFmtId="185" formatCode="&quot;$&quot;#,##0.00;\(&quot;$&quot;#,##0.00\)"/>
    <numFmt numFmtId="186" formatCode="yyyy"/>
    <numFmt numFmtId="187" formatCode="#,##0.0\ ;\(#,##0.0\)"/>
    <numFmt numFmtId="188" formatCode="#,##0\ ;\(#,##0\)"/>
    <numFmt numFmtId="189" formatCode="#,##0.00000;\(#,##0.00000\)"/>
    <numFmt numFmtId="190" formatCode="mmmm\-yy"/>
    <numFmt numFmtId="191" formatCode="mm\-yy"/>
    <numFmt numFmtId="192" formatCode="0.0000000%"/>
    <numFmt numFmtId="193" formatCode="0."/>
    <numFmt numFmtId="194" formatCode=".0000000"/>
    <numFmt numFmtId="195" formatCode="&quot;$&quot;#,##0_);\(#,##0\)"/>
    <numFmt numFmtId="196" formatCode="#,##0.0_);\(#,##0.0\)"/>
    <numFmt numFmtId="197" formatCode="#,##0.0"/>
    <numFmt numFmtId="198" formatCode="_(* #,##0_);_(* \(#,##0\);_(* &quot;-&quot;??_);_(@_)"/>
    <numFmt numFmtId="199" formatCode="_(&quot;$&quot;* #,##0_);_(&quot;$&quot;* \(#,##0\);_(&quot;$&quot;* &quot;-&quot;??_);_(@_)"/>
    <numFmt numFmtId="200" formatCode="#,##0.000000"/>
    <numFmt numFmtId="201" formatCode="#,##0.0000000"/>
    <numFmt numFmtId="202" formatCode="#,###_);[Red]\(#,###\)"/>
    <numFmt numFmtId="203" formatCode="General_)"/>
    <numFmt numFmtId="204" formatCode="_(* #,##0_);[Red]_(* \(#,##0\);_(* &quot;-&quot;_);_(@_)"/>
    <numFmt numFmtId="205" formatCode="mmmm\ d\,\ yyyy"/>
    <numFmt numFmtId="206" formatCode="_(* #,##0.000000_);_(* \(#,##0.000000\);_(* &quot;-&quot;??_);_(@_)"/>
    <numFmt numFmtId="207" formatCode="&quot;$&quot;#,##0.0_);[Red]\(&quot;$&quot;#,##0.0\)"/>
    <numFmt numFmtId="208" formatCode="00000"/>
    <numFmt numFmtId="209" formatCode="#,##0.0_);[Red]\(#,##0.0\)"/>
    <numFmt numFmtId="210" formatCode="_(* #,##0.0_);_(* \(#,##0.0\);_(* &quot;-&quot;??_);_(@_)"/>
    <numFmt numFmtId="211" formatCode="#,##0.0;\(#,##0.0\)"/>
    <numFmt numFmtId="212" formatCode="#,##0.00;\(#,##0.00\)"/>
    <numFmt numFmtId="213" formatCode="0.00_);\(0.00\)"/>
    <numFmt numFmtId="214" formatCode="0.0_);\(0.0\)"/>
    <numFmt numFmtId="215" formatCode="0_);\(0\)"/>
    <numFmt numFmtId="216" formatCode="_(* #,##0.0_);_(* \(#,##0.0\);_(* &quot;-&quot;_);_(@_)"/>
    <numFmt numFmtId="217" formatCode="_(* #,##0.00_);_(* \(#,##0.00\);_(* &quot;-&quot;_);_(@_)"/>
    <numFmt numFmtId="218" formatCode="#,##0.000"/>
    <numFmt numFmtId="219" formatCode="0.0"/>
    <numFmt numFmtId="220" formatCode="_(&quot;$&quot;* #,##0_);[Red]_(&quot;$&quot;* \(#,##0\);_(&quot;$&quot;* &quot;-&quot;_);_(@_)"/>
    <numFmt numFmtId="221" formatCode="#.##%"/>
    <numFmt numFmtId="222" formatCode="_(* #,##0.000_);[Red]_(* \(#,##0.000\);_(* &quot;-&quot;_);_(@_)"/>
    <numFmt numFmtId="223" formatCode="_(&quot;$&quot;* #,##0.0_);[Red]_(&quot;$&quot;* \(#,##0.0\);_(&quot;$&quot;* &quot;-&quot;_);_(@_)"/>
    <numFmt numFmtId="224" formatCode="_(&quot;$&quot;* #,##0.00_);[Red]_(&quot;$&quot;* \(#,##0.00\);_(&quot;$&quot;* &quot;-&quot;_);_(@_)"/>
    <numFmt numFmtId="225" formatCode="_(&quot;$&quot;* #,##0.000_);[Red]_(&quot;$&quot;* \(#,##0.000\);_(&quot;$&quot;* &quot;-&quot;_);_(@_)"/>
    <numFmt numFmtId="226" formatCode="_(&quot;$&quot;* #,##0.0000_);[Red]_(&quot;$&quot;* \(#,##0.0000\);_(&quot;$&quot;* &quot;-&quot;_);_(@_)"/>
    <numFmt numFmtId="227" formatCode="_(&quot;$&quot;* #,##0.00000_);[Red]_(&quot;$&quot;* \(#,##0.00000\);_(&quot;$&quot;* &quot;-&quot;_);_(@_)"/>
    <numFmt numFmtId="228" formatCode="m/d/yy\ h:mm\ AM/PM"/>
    <numFmt numFmtId="229" formatCode="_(* #,##0.0_);[Red]_(* \(#,##0.0\);_(* &quot;-&quot;_);_(@_)"/>
    <numFmt numFmtId="230" formatCode="_(* #,##0.00_);[Red]_(* \(#,##0.00\);_(* &quot;-&quot;_);_(@_)"/>
    <numFmt numFmtId="231" formatCode="_(* #,##0.0000_);[Red]_(* \(#,##0.0000\);_(* &quot;-&quot;_);_(@_)"/>
    <numFmt numFmtId="232" formatCode="_(* #,##0.00000_);[Red]_(* \(#,##0.00000\);_(* &quot;-&quot;_);_(@_)"/>
    <numFmt numFmtId="233" formatCode="&quot;$&quot;#,##0.000_);[Red]\(&quot;$&quot;#,##0.000\)"/>
    <numFmt numFmtId="234" formatCode="&quot;$&quot;#,##0.0000_);[Red]\(&quot;$&quot;#,##0.0000\)"/>
    <numFmt numFmtId="235" formatCode="&quot;$&quot;#,##0.00000_);[Red]\(&quot;$&quot;#,##0.00000\)"/>
    <numFmt numFmtId="236" formatCode="&quot;$&quot;#,##0.000000_);[Red]\(&quot;$&quot;#,##0.000000\)"/>
    <numFmt numFmtId="237" formatCode="&quot;$&quot;#,##0.0_);\(&quot;$&quot;#,##0.0\)"/>
    <numFmt numFmtId="238" formatCode="#,##0.0000_);[Red]\(#,##0.0000\)"/>
    <numFmt numFmtId="239" formatCode="_(&quot;$&quot;* #,##0.0_);_(&quot;$&quot;* \(#,##0.0\);_(&quot;$&quot;* &quot;-&quot;??_);_(@_)"/>
    <numFmt numFmtId="240" formatCode="_(&quot;$&quot;* #,##0.0_);_(&quot;$&quot;* \(#,##0.0\);_(&quot;$&quot;* &quot;-&quot;_);_(@_)"/>
    <numFmt numFmtId="241" formatCode="_(&quot;$&quot;* #,##0.00_);_(&quot;$&quot;* \(#,##0.00\);_(&quot;$&quot;* &quot;-&quot;_);_(@_)"/>
    <numFmt numFmtId="242" formatCode="_(&quot;$&quot;* #,##0.000_);_(&quot;$&quot;* \(#,##0.000\);_(&quot;$&quot;* &quot;-&quot;_);_(@_)"/>
    <numFmt numFmtId="243" formatCode="_(&quot;$&quot;* #,##0.0000_);_(&quot;$&quot;* \(#,##0.0000\);_(&quot;$&quot;* &quot;-&quot;_);_(@_)"/>
    <numFmt numFmtId="244" formatCode="_(&quot;$&quot;* #,##0.00000_);_(&quot;$&quot;* \(#,##0.00000\);_(&quot;$&quot;* &quot;-&quot;_);_(@_)"/>
    <numFmt numFmtId="245" formatCode="_(&quot;$&quot;* #,##0.000000_);_(&quot;$&quot;* \(#,##0.000000\);_(&quot;$&quot;* &quot;-&quot;_);_(@_)"/>
    <numFmt numFmtId="246" formatCode="_(&quot;$&quot;* #,##0.0000000_);_(&quot;$&quot;* \(#,##0.0000000\);_(&quot;$&quot;* &quot;-&quot;_);_(@_)"/>
    <numFmt numFmtId="247" formatCode="_(* #,##0.000_);_(* \(#,##0.000\);_(* &quot;-&quot;_);_(@_)"/>
    <numFmt numFmtId="248" formatCode="_(* #,##0.0000_);_(* \(#,##0.0000\);_(* &quot;-&quot;_);_(@_)"/>
    <numFmt numFmtId="249" formatCode="_(* #,##0.00000_);_(* \(#,##0.00000\);_(* &quot;-&quot;_);_(@_)"/>
    <numFmt numFmtId="250" formatCode="_(* #,##0.000000_);_(* \(#,##0.000000\);_(* &quot;-&quot;_);_(@_)"/>
    <numFmt numFmtId="251" formatCode="_(* #,##0.0000000_);_(* \(#,##0.0000000\);_(* &quot;-&quot;_);_(@_)"/>
    <numFmt numFmtId="252" formatCode="0.000000%"/>
    <numFmt numFmtId="253" formatCode="0.00000000%"/>
    <numFmt numFmtId="254" formatCode="0.000000000%"/>
    <numFmt numFmtId="255" formatCode="0.0000000000%"/>
    <numFmt numFmtId="256" formatCode="#,##0.00000_);[Red]\(#,##0.00000\)"/>
    <numFmt numFmtId="257" formatCode="_(&quot;$&quot;* #,##0.000_);_(&quot;$&quot;* \(#,##0.000\);_(&quot;$&quot;* &quot;-&quot;??_);_(@_)"/>
    <numFmt numFmtId="258" formatCode="_(&quot;$&quot;* #,##0.0000_);_(&quot;$&quot;* \(#,##0.0000\);_(&quot;$&quot;* &quot;-&quot;??_);_(@_)"/>
    <numFmt numFmtId="259" formatCode="#,##0.00000000;\(#,##0.00000000\)"/>
    <numFmt numFmtId="260" formatCode="#,##0.000000000;\(#,##0.000000000\)"/>
    <numFmt numFmtId="261" formatCode="#,##0.0000000000;\(#,##0.0000000000\)"/>
    <numFmt numFmtId="262" formatCode="#,##0.00000000000;\(#,##0.00000000000\)"/>
    <numFmt numFmtId="263" formatCode="#,##0.000000000000;\(#,##0.000000000000\)"/>
    <numFmt numFmtId="264" formatCode="_(&quot;$&quot;* #,##0.000_);_(&quot;$&quot;* \(#,##0.000\);_(&quot;$&quot;* &quot;-&quot;???_);_(@_)"/>
    <numFmt numFmtId="265" formatCode="&quot;$&quot;#,##0"/>
    <numFmt numFmtId="266" formatCode="_(&quot;$&quot;* #,##0.0000000_);_(&quot;$&quot;* \(#,##0.0000000\);_(&quot;$&quot;* &quot;-&quot;???????_);_(@_)"/>
    <numFmt numFmtId="267" formatCode="0.00000000"/>
    <numFmt numFmtId="268" formatCode="0.000000000"/>
    <numFmt numFmtId="269" formatCode="0.0000000000"/>
    <numFmt numFmtId="270" formatCode="0.00000000000"/>
    <numFmt numFmtId="271" formatCode="0.000000000000"/>
    <numFmt numFmtId="272" formatCode="&quot;Common Shares &quot;\ 0,000"/>
    <numFmt numFmtId="273" formatCode="&quot;$&quot;#,##0.00000_);\(&quot;$&quot;#,##0.00000\)"/>
    <numFmt numFmtId="274" formatCode="&quot;$&quot;#,##0.000000_);\(&quot;$&quot;#,##0.000000\)"/>
    <numFmt numFmtId="275" formatCode="#,##0.000000;\(#,##0.000000\)"/>
    <numFmt numFmtId="276" formatCode="0.000000;\(0.000000\)"/>
    <numFmt numFmtId="277" formatCode="0.00000%;\(0.00000%\)"/>
    <numFmt numFmtId="278" formatCode="_(&quot;$&quot;* #,##0.000000_);_(&quot;$&quot;* \(#,##0.000000\);_(&quot;$&quot;* &quot;-&quot;??????_);_(@_)"/>
    <numFmt numFmtId="279" formatCode="_(&quot;$&quot;* #,##0.00000_);_(&quot;$&quot;* \(#,##0.00000\);_(&quot;$&quot;* &quot;-&quot;??_);_(@_)"/>
    <numFmt numFmtId="280" formatCode="_(&quot;$&quot;* #,##0.000000_);_(&quot;$&quot;* \(#,##0.000000\);_(&quot;$&quot;* &quot;-&quot;??_);_(@_)"/>
    <numFmt numFmtId="281" formatCode="_(* #,##0.000000_);_(* \(#,##0.000000\);_(* &quot;-&quot;??????_);_(@_)"/>
    <numFmt numFmtId="282" formatCode="_(&quot;$&quot;* #,##0.00000000_);_(&quot;$&quot;* \(#,##0.00000000\);_(&quot;$&quot;* &quot;-&quot;_);_(@_)"/>
    <numFmt numFmtId="283" formatCode="_(&quot;$&quot;* #,##0.0000000_);_(&quot;$&quot;* \(#,##0.0000000\);_(&quot;$&quot;* &quot;-&quot;??_);_(@_)"/>
    <numFmt numFmtId="284" formatCode="_(* #,##0.00000_);_(* \(#,##0.00000\);_(* &quot;-&quot;??????_);_(@_)"/>
    <numFmt numFmtId="285" formatCode="_(* #,##0.0000_);_(* \(#,##0.0000\);_(* &quot;-&quot;??????_);_(@_)"/>
    <numFmt numFmtId="286" formatCode="_(* #,##0.000_);_(* \(#,##0.000\);_(* &quot;-&quot;??????_);_(@_)"/>
    <numFmt numFmtId="287" formatCode="_(* #,##0.00_);_(* \(#,##0.00\);_(* &quot;-&quot;??????_);_(@_)"/>
    <numFmt numFmtId="288" formatCode="_(* #,##0.0_);_(* \(#,##0.0\);_(* &quot;-&quot;??????_);_(@_)"/>
    <numFmt numFmtId="289" formatCode="_(* #,##0_);_(* \(#,##0\);_(* &quot;-&quot;??????_);_(@_)"/>
    <numFmt numFmtId="290" formatCode="_(* #,##0.00000000_);_(* \(#,##0.00000000\);_(* &quot;-&quot;????????_);_(@_)"/>
    <numFmt numFmtId="291" formatCode="_(* #,##0.0000000_);_(* \(#,##0.0000000\);_(* &quot;-&quot;??????_);_(@_)"/>
    <numFmt numFmtId="292" formatCode="_(* #,##0.00000000_);_(* \(#,##0.00000000\);_(* &quot;-&quot;??????_);_(@_)"/>
    <numFmt numFmtId="293" formatCode="_(* #,##0.000_);_(* \(#,##0.000\);_(* &quot;-&quot;??_);_(@_)"/>
    <numFmt numFmtId="294" formatCode="#,##0.000_);\(#,##0.000\)"/>
    <numFmt numFmtId="295" formatCode="_(* #,##0.000_);_(* \(#,##0.000\);_(* &quot;-&quot;???_);_(@_)"/>
    <numFmt numFmtId="296" formatCode="_(* #,##0.000000_);_(* \(#,##0.000000\);_(&quot;$&quot;* &quot;-&quot;_);_(@_)"/>
    <numFmt numFmtId="297" formatCode="#,##0.0000;\(#,##0.0000\)"/>
    <numFmt numFmtId="298" formatCode="\ "/>
    <numFmt numFmtId="299" formatCode="#,###.####_);[Red]\(#,###.####\)"/>
    <numFmt numFmtId="300" formatCode="m/d"/>
    <numFmt numFmtId="301" formatCode="mm/dd/yy"/>
    <numFmt numFmtId="302" formatCode=";;;"/>
    <numFmt numFmtId="303" formatCode="&quot;&quot;"/>
    <numFmt numFmtId="304" formatCode="&quot; &quot;"/>
    <numFmt numFmtId="305" formatCode="&quot;_&quot;"/>
    <numFmt numFmtId="306" formatCode="#,##0,_);\(#,##0,\)"/>
    <numFmt numFmtId="307" formatCode="[Blue]#,##0_);[Red]\(#,##0\)"/>
    <numFmt numFmtId="308" formatCode="[Blue]#,##0.00_);[Red]\(#,##0.00\)"/>
    <numFmt numFmtId="309" formatCode="#,##0.00_);[Magenta]\(#,##0.00\)"/>
    <numFmt numFmtId="310" formatCode="dd\-mmm\-yy_)"/>
    <numFmt numFmtId="311" formatCode="&quot;For&quot;\ mmmm\ yyyy\ &quot;Close&quot;"/>
    <numFmt numFmtId="312" formatCode="&quot;FOR&quot;\ mmmm\ yyyy\ &quot;CLOSE&quot;"/>
    <numFmt numFmtId="313" formatCode="0000"/>
    <numFmt numFmtId="314" formatCode="00"/>
    <numFmt numFmtId="315" formatCode="#,##0.0000_);\(#,##0.0000\)"/>
    <numFmt numFmtId="316" formatCode="_(* #,##0.0000_);_(* \(#,##0.0000\);_(* &quot;-&quot;??_);_(@_)"/>
    <numFmt numFmtId="317" formatCode="_(* #,##0.00000_);_(* \(#,##0.00000\);_(* &quot;-&quot;??_);_(@_)"/>
    <numFmt numFmtId="318" formatCode="_(&quot;$&quot;*#\,##0_);[Red]_(&quot;$&quot;*(#,##0\)"/>
    <numFmt numFmtId="319" formatCode="&quot;FOR THE MONTH ENDED&quot;\ mmmm\ yyyy"/>
    <numFmt numFmtId="320" formatCode="&quot;For the Month Ended&quot;\ mmmm\ yyyy"/>
    <numFmt numFmtId="321" formatCode="#,##0.0_);[Red]\(#,##0.0\);"/>
    <numFmt numFmtId="322" formatCode="#,##0.00_);[Red]\(#,##0.00\);"/>
    <numFmt numFmtId="323" formatCode="_(* ###0_);_(* \(###0\);_(* &quot;-&quot;_);_(@_)"/>
    <numFmt numFmtId="324" formatCode="#,"/>
    <numFmt numFmtId="325" formatCode="#.0,"/>
    <numFmt numFmtId="326" formatCode="#.#,"/>
    <numFmt numFmtId="327" formatCode="#,;\(#,\)"/>
    <numFmt numFmtId="328" formatCode="&quot;$&quot;#,##0.000_);\(&quot;$&quot;#,##0.000\)"/>
    <numFmt numFmtId="329" formatCode="&quot;$&quot;#,##0.0000_);\(&quot;$&quot;#,##0.0000\)"/>
    <numFmt numFmtId="330" formatCode="&quot;$&quot;#,##0.00"/>
    <numFmt numFmtId="331" formatCode="&quot;$&quot;#,##0;\-&quot;$&quot;#,##0"/>
    <numFmt numFmtId="332" formatCode="&quot;$&quot;#,##0;[Red]\-&quot;$&quot;#,##0"/>
    <numFmt numFmtId="333" formatCode="&quot;$&quot;#,##0.00;\-&quot;$&quot;#,##0.00"/>
    <numFmt numFmtId="334" formatCode="&quot;$&quot;#,##0.00;[Red]\-&quot;$&quot;#,##0.00"/>
    <numFmt numFmtId="335" formatCode="_-&quot;$&quot;* #,##0_-;\-&quot;$&quot;* #,##0_-;_-&quot;$&quot;* &quot;-&quot;_-;_-@_-"/>
    <numFmt numFmtId="336" formatCode="_-* #,##0_-;\-* #,##0_-;_-* &quot;-&quot;_-;_-@_-"/>
    <numFmt numFmtId="337" formatCode="_-&quot;$&quot;* #,##0.00_-;\-&quot;$&quot;* #,##0.00_-;_-&quot;$&quot;* &quot;-&quot;??_-;_-@_-"/>
    <numFmt numFmtId="338" formatCode="_-* #,##0.00_-;\-* #,##0.00_-;_-* &quot;-&quot;??_-;_-@_-"/>
    <numFmt numFmtId="339" formatCode="0_)"/>
    <numFmt numFmtId="340" formatCode="0.0_);[Red]\(0.0\)"/>
    <numFmt numFmtId="341" formatCode="0_);[Red]\(0\)"/>
    <numFmt numFmtId="342" formatCode="0.00_);[Red]\(0.00\)"/>
    <numFmt numFmtId="343" formatCode="0.0_)"/>
    <numFmt numFmtId="344" formatCode="&quot;L&quot;#,##0_);\(&quot;L&quot;#,##0\)"/>
    <numFmt numFmtId="345" formatCode="&quot;L&quot;#,##0_);[Red]\(&quot;L&quot;#,##0\)"/>
    <numFmt numFmtId="346" formatCode="&quot;L&quot;#,##0.00_);\(&quot;L&quot;#,##0.00\)"/>
    <numFmt numFmtId="347" formatCode="&quot;L&quot;#,##0.00_);[Red]\(&quot;L&quot;#,##0.00\)"/>
    <numFmt numFmtId="348" formatCode="_(&quot;L&quot;* #,##0_);_(&quot;L&quot;* \(#,##0\);_(&quot;L&quot;* &quot;-&quot;_);_(@_)"/>
    <numFmt numFmtId="349" formatCode="_(&quot;L&quot;* #,##0.00_);_(&quot;L&quot;* \(#,##0.00\);_(&quot;L&quot;* &quot;-&quot;??_);_(@_)"/>
    <numFmt numFmtId="350" formatCode="&quot;R&quot;\ #,##0;&quot;R&quot;\ \-#,##0"/>
    <numFmt numFmtId="351" formatCode="&quot;R&quot;\ #,##0;[Red]&quot;R&quot;\ \-#,##0"/>
    <numFmt numFmtId="352" formatCode="&quot;R&quot;\ #,##0.00;&quot;R&quot;\ \-#,##0.00"/>
    <numFmt numFmtId="353" formatCode="&quot;R&quot;\ #,##0.00;[Red]&quot;R&quot;\ \-#,##0.00"/>
    <numFmt numFmtId="354" formatCode="_ &quot;R&quot;\ * #,##0_ ;_ &quot;R&quot;\ * \-#,##0_ ;_ &quot;R&quot;\ * &quot;-&quot;_ ;_ @_ "/>
    <numFmt numFmtId="355" formatCode="_ * #,##0_ ;_ * \-#,##0_ ;_ * &quot;-&quot;_ ;_ @_ "/>
    <numFmt numFmtId="356" formatCode="_ &quot;R&quot;\ * #,##0.00_ ;_ &quot;R&quot;\ * \-#,##0.00_ ;_ &quot;R&quot;\ * &quot;-&quot;??_ ;_ @_ "/>
    <numFmt numFmtId="357" formatCode="_ * #,##0.00_ ;_ * \-#,##0.00_ ;_ * &quot;-&quot;??_ ;_ @_ "/>
    <numFmt numFmtId="358" formatCode="_-* #,##0.0_-;\-* #,##0.0_-;_-* &quot;-&quot;??_-;_-@_-"/>
    <numFmt numFmtId="359" formatCode="_-* #,##0_-;\-* #,##0_-;_-* &quot;-&quot;??_-;_-@_-"/>
    <numFmt numFmtId="360" formatCode="&quot;£&quot;#,##0;\-&quot;£&quot;#,##0"/>
  </numFmts>
  <fonts count="38">
    <font>
      <sz val="8"/>
      <name val="Helv"/>
      <family val="0"/>
    </font>
    <font>
      <sz val="8"/>
      <name val="Roman 17cpi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1"/>
      <name val="univers (E1)"/>
      <family val="0"/>
    </font>
    <font>
      <sz val="10"/>
      <name val="Arial"/>
      <family val="0"/>
    </font>
    <font>
      <sz val="10"/>
      <name val="MS Sans Serif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Helv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name val="Symbol"/>
      <family val="1"/>
    </font>
    <font>
      <u val="singleAccounting"/>
      <sz val="10"/>
      <name val="Times New Roman"/>
      <family val="1"/>
    </font>
    <font>
      <b/>
      <sz val="12"/>
      <name val="Times New Roman"/>
      <family val="1"/>
    </font>
    <font>
      <b/>
      <sz val="12"/>
      <name val="MS Sans Serif"/>
      <family val="2"/>
    </font>
    <font>
      <sz val="10"/>
      <name val="Helv"/>
      <family val="0"/>
    </font>
    <font>
      <sz val="10"/>
      <name val="Geneva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Univers (W1)"/>
      <family val="0"/>
    </font>
    <font>
      <sz val="12"/>
      <name val="Times New Roman"/>
      <family val="0"/>
    </font>
    <font>
      <sz val="12"/>
      <name val="Helv"/>
      <family val="0"/>
    </font>
    <font>
      <sz val="10"/>
      <name val="Univers (WN)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Helv"/>
      <family val="0"/>
    </font>
    <font>
      <b/>
      <sz val="10"/>
      <name val="Helv"/>
      <family val="0"/>
    </font>
    <font>
      <sz val="6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ck"/>
    </border>
  </borders>
  <cellStyleXfs count="3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59" fontId="0" fillId="0" borderId="0" applyFont="0" applyFill="0" applyBorder="0" applyAlignment="0" applyProtection="0"/>
    <xf numFmtId="336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359" fontId="0" fillId="0" borderId="0" applyFont="0" applyFill="0" applyBorder="0" applyAlignment="0" applyProtection="0"/>
    <xf numFmtId="35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36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36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338" fontId="5" fillId="0" borderId="0" applyFont="0" applyFill="0" applyBorder="0" applyAlignment="0" applyProtection="0"/>
    <xf numFmtId="338" fontId="5" fillId="0" borderId="0" applyFont="0" applyFill="0" applyBorder="0" applyAlignment="0" applyProtection="0"/>
    <xf numFmtId="338" fontId="5" fillId="0" borderId="0" applyFont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4" fontId="4" fillId="0" borderId="0" applyFont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38" fontId="5" fillId="0" borderId="0" applyFont="0" applyFill="0" applyBorder="0" applyAlignment="0" applyProtection="0"/>
    <xf numFmtId="338" fontId="5" fillId="0" borderId="0" applyFont="0" applyFill="0" applyBorder="0" applyAlignment="0" applyProtection="0"/>
    <xf numFmtId="338" fontId="5" fillId="0" borderId="0" applyFont="0" applyFill="0" applyBorder="0" applyAlignment="0" applyProtection="0"/>
    <xf numFmtId="338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338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338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338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356" fontId="0" fillId="0" borderId="0" applyFont="0" applyFill="0" applyBorder="0" applyAlignment="0" applyProtection="0"/>
    <xf numFmtId="356" fontId="0" fillId="0" borderId="0" applyFont="0" applyFill="0" applyBorder="0" applyAlignment="0" applyProtection="0"/>
    <xf numFmtId="338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338" fontId="5" fillId="0" borderId="0" applyFont="0" applyFill="0" applyBorder="0" applyAlignment="0" applyProtection="0"/>
    <xf numFmtId="356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338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9" fillId="0" borderId="0" applyFont="0" applyFill="0" applyBorder="0" applyAlignment="0" applyProtection="0"/>
    <xf numFmtId="338" fontId="5" fillId="0" borderId="0" applyFont="0" applyFill="0" applyBorder="0" applyAlignment="0" applyProtection="0"/>
    <xf numFmtId="338" fontId="5" fillId="0" borderId="0" applyFont="0" applyFill="0" applyBorder="0" applyAlignment="0" applyProtection="0"/>
    <xf numFmtId="338" fontId="5" fillId="0" borderId="0" applyFont="0" applyFill="0" applyBorder="0" applyAlignment="0" applyProtection="0"/>
    <xf numFmtId="338" fontId="5" fillId="0" borderId="0" applyFont="0" applyFill="0" applyBorder="0" applyAlignment="0" applyProtection="0"/>
    <xf numFmtId="338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20" fillId="0" borderId="0" applyFont="0" applyFill="0" applyBorder="0" applyAlignment="0" applyProtection="0"/>
    <xf numFmtId="338" fontId="5" fillId="0" borderId="0" applyFont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38" fontId="5" fillId="0" borderId="0" applyFont="0" applyFill="0" applyBorder="0" applyAlignment="0" applyProtection="0"/>
    <xf numFmtId="338" fontId="5" fillId="0" borderId="0" applyFont="0" applyFill="0" applyBorder="0" applyAlignment="0" applyProtection="0"/>
    <xf numFmtId="338" fontId="5" fillId="0" borderId="0" applyFont="0" applyFill="0" applyBorder="0" applyAlignment="0" applyProtection="0"/>
    <xf numFmtId="338" fontId="5" fillId="0" borderId="0" applyFont="0" applyFill="0" applyBorder="0" applyAlignment="0" applyProtection="0"/>
    <xf numFmtId="338" fontId="5" fillId="0" borderId="0" applyFont="0" applyFill="0" applyBorder="0" applyAlignment="0" applyProtection="0"/>
    <xf numFmtId="338" fontId="5" fillId="0" borderId="0" applyFont="0" applyFill="0" applyBorder="0" applyAlignment="0" applyProtection="0"/>
    <xf numFmtId="338" fontId="5" fillId="0" borderId="0" applyFont="0" applyFill="0" applyBorder="0" applyAlignment="0" applyProtection="0"/>
    <xf numFmtId="338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338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33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5" fillId="0" borderId="0" applyFont="0" applyFill="0" applyBorder="0" applyAlignment="0" applyProtection="0"/>
    <xf numFmtId="332" fontId="6" fillId="0" borderId="0" applyFont="0" applyFill="0" applyBorder="0" applyAlignment="0" applyProtection="0"/>
    <xf numFmtId="332" fontId="6" fillId="0" borderId="0" applyFont="0" applyFill="0" applyBorder="0" applyAlignment="0" applyProtection="0"/>
    <xf numFmtId="332" fontId="6" fillId="0" borderId="0" applyFont="0" applyFill="0" applyBorder="0" applyAlignment="0" applyProtection="0"/>
    <xf numFmtId="332" fontId="6" fillId="0" borderId="0" applyFont="0" applyFill="0" applyBorder="0" applyAlignment="0" applyProtection="0"/>
    <xf numFmtId="332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275" fontId="0" fillId="0" borderId="0" applyFont="0" applyFill="0" applyBorder="0" applyAlignment="0" applyProtection="0"/>
    <xf numFmtId="332" fontId="6" fillId="0" borderId="0" applyFont="0" applyFill="0" applyBorder="0" applyAlignment="0" applyProtection="0"/>
    <xf numFmtId="332" fontId="6" fillId="0" borderId="0" applyFont="0" applyFill="0" applyBorder="0" applyAlignment="0" applyProtection="0"/>
    <xf numFmtId="358" fontId="0" fillId="0" borderId="0" applyFont="0" applyFill="0" applyBorder="0" applyAlignment="0" applyProtection="0"/>
    <xf numFmtId="335" fontId="5" fillId="0" borderId="0" applyFont="0" applyFill="0" applyBorder="0" applyAlignment="0" applyProtection="0"/>
    <xf numFmtId="335" fontId="5" fillId="0" borderId="0" applyFont="0" applyFill="0" applyBorder="0" applyAlignment="0" applyProtection="0"/>
    <xf numFmtId="358" fontId="0" fillId="0" borderId="0" applyFont="0" applyFill="0" applyBorder="0" applyAlignment="0" applyProtection="0"/>
    <xf numFmtId="358" fontId="0" fillId="0" borderId="0" applyFont="0" applyFill="0" applyBorder="0" applyAlignment="0" applyProtection="0"/>
    <xf numFmtId="332" fontId="6" fillId="0" borderId="0" applyFont="0" applyFill="0" applyBorder="0" applyAlignment="0" applyProtection="0"/>
    <xf numFmtId="332" fontId="6" fillId="0" borderId="0" applyFont="0" applyFill="0" applyBorder="0" applyAlignment="0" applyProtection="0"/>
    <xf numFmtId="335" fontId="5" fillId="0" borderId="0" applyFont="0" applyFill="0" applyBorder="0" applyAlignment="0" applyProtection="0"/>
    <xf numFmtId="332" fontId="6" fillId="0" borderId="0" applyFont="0" applyFill="0" applyBorder="0" applyAlignment="0" applyProtection="0"/>
    <xf numFmtId="332" fontId="6" fillId="0" borderId="0" applyFont="0" applyFill="0" applyBorder="0" applyAlignment="0" applyProtection="0"/>
    <xf numFmtId="332" fontId="6" fillId="0" borderId="0" applyFont="0" applyFill="0" applyBorder="0" applyAlignment="0" applyProtection="0"/>
    <xf numFmtId="332" fontId="6" fillId="0" borderId="0" applyFont="0" applyFill="0" applyBorder="0" applyAlignment="0" applyProtection="0"/>
    <xf numFmtId="332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335" fontId="5" fillId="0" borderId="0" applyFont="0" applyFill="0" applyBorder="0" applyAlignment="0" applyProtection="0"/>
    <xf numFmtId="278" fontId="0" fillId="0" borderId="0" applyFont="0" applyFill="0" applyBorder="0" applyAlignment="0" applyProtection="0"/>
    <xf numFmtId="332" fontId="6" fillId="0" borderId="0" applyFont="0" applyFill="0" applyBorder="0" applyAlignment="0" applyProtection="0"/>
    <xf numFmtId="332" fontId="6" fillId="0" borderId="0" applyFont="0" applyFill="0" applyBorder="0" applyAlignment="0" applyProtection="0"/>
    <xf numFmtId="332" fontId="6" fillId="0" borderId="0" applyFont="0" applyFill="0" applyBorder="0" applyAlignment="0" applyProtection="0"/>
    <xf numFmtId="332" fontId="6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334" fontId="6" fillId="0" borderId="0" applyFont="0" applyFill="0" applyBorder="0" applyAlignment="0" applyProtection="0"/>
    <xf numFmtId="8" fontId="4" fillId="0" borderId="0" applyFont="0" applyFill="0" applyBorder="0" applyAlignment="0" applyProtection="0"/>
    <xf numFmtId="334" fontId="6" fillId="0" borderId="0" applyFont="0" applyFill="0" applyBorder="0" applyAlignment="0" applyProtection="0"/>
    <xf numFmtId="334" fontId="6" fillId="0" borderId="0" applyFont="0" applyFill="0" applyBorder="0" applyAlignment="0" applyProtection="0"/>
    <xf numFmtId="334" fontId="6" fillId="0" borderId="0" applyFont="0" applyFill="0" applyBorder="0" applyAlignment="0" applyProtection="0"/>
    <xf numFmtId="334" fontId="6" fillId="0" borderId="0" applyFont="0" applyFill="0" applyBorder="0" applyAlignment="0" applyProtection="0"/>
    <xf numFmtId="277" fontId="0" fillId="0" borderId="0" applyFont="0" applyFill="0" applyBorder="0" applyAlignment="0" applyProtection="0"/>
    <xf numFmtId="334" fontId="6" fillId="0" borderId="0" applyFont="0" applyFill="0" applyBorder="0" applyAlignment="0" applyProtection="0"/>
    <xf numFmtId="334" fontId="6" fillId="0" borderId="0" applyFont="0" applyFill="0" applyBorder="0" applyAlignment="0" applyProtection="0"/>
    <xf numFmtId="360" fontId="0" fillId="0" borderId="0" applyFont="0" applyFill="0" applyBorder="0" applyAlignment="0" applyProtection="0"/>
    <xf numFmtId="337" fontId="5" fillId="0" borderId="0" applyFont="0" applyFill="0" applyBorder="0" applyAlignment="0" applyProtection="0"/>
    <xf numFmtId="360" fontId="0" fillId="0" borderId="0" applyFont="0" applyFill="0" applyBorder="0" applyAlignment="0" applyProtection="0"/>
    <xf numFmtId="334" fontId="6" fillId="0" borderId="0" applyFont="0" applyFill="0" applyBorder="0" applyAlignment="0" applyProtection="0"/>
    <xf numFmtId="33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359" fontId="0" fillId="0" borderId="0" applyFont="0" applyFill="0" applyBorder="0" applyAlignment="0" applyProtection="0"/>
    <xf numFmtId="334" fontId="6" fillId="0" borderId="0" applyFont="0" applyFill="0" applyBorder="0" applyAlignment="0" applyProtection="0"/>
    <xf numFmtId="334" fontId="6" fillId="0" borderId="0" applyFont="0" applyFill="0" applyBorder="0" applyAlignment="0" applyProtection="0"/>
    <xf numFmtId="334" fontId="6" fillId="0" borderId="0" applyFont="0" applyFill="0" applyBorder="0" applyAlignment="0" applyProtection="0"/>
    <xf numFmtId="334" fontId="6" fillId="0" borderId="0" applyFont="0" applyFill="0" applyBorder="0" applyAlignment="0" applyProtection="0"/>
    <xf numFmtId="334" fontId="6" fillId="0" borderId="0" applyFont="0" applyFill="0" applyBorder="0" applyAlignment="0" applyProtection="0"/>
    <xf numFmtId="8" fontId="20" fillId="0" borderId="0" applyFont="0" applyFill="0" applyBorder="0" applyAlignment="0" applyProtection="0"/>
    <xf numFmtId="337" fontId="5" fillId="0" borderId="0" applyFont="0" applyFill="0" applyBorder="0" applyAlignment="0" applyProtection="0"/>
    <xf numFmtId="279" fontId="0" fillId="0" borderId="0" applyFont="0" applyFill="0" applyBorder="0" applyAlignment="0" applyProtection="0"/>
    <xf numFmtId="334" fontId="6" fillId="0" borderId="0" applyFont="0" applyFill="0" applyBorder="0" applyAlignment="0" applyProtection="0"/>
    <xf numFmtId="334" fontId="6" fillId="0" borderId="0" applyFont="0" applyFill="0" applyBorder="0" applyAlignment="0" applyProtection="0"/>
    <xf numFmtId="334" fontId="6" fillId="0" borderId="0" applyFont="0" applyFill="0" applyBorder="0" applyAlignment="0" applyProtection="0"/>
    <xf numFmtId="33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38" fontId="7" fillId="0" borderId="0">
      <alignment/>
      <protection/>
    </xf>
    <xf numFmtId="40" fontId="7" fillId="0" borderId="0">
      <alignment/>
      <protection/>
    </xf>
    <xf numFmtId="0" fontId="22" fillId="0" borderId="0" applyNumberFormat="0" applyFill="0" applyBorder="0" applyAlignment="0" applyProtection="0"/>
    <xf numFmtId="10" fontId="8" fillId="3" borderId="1" applyNumberFormat="0" applyBorder="0" applyAlignment="0" applyProtection="0"/>
    <xf numFmtId="10" fontId="8" fillId="4" borderId="1" applyNumberFormat="0" applyBorder="0" applyAlignment="0" applyProtection="0"/>
    <xf numFmtId="309" fontId="0" fillId="0" borderId="0">
      <alignment/>
      <protection/>
    </xf>
    <xf numFmtId="309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0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0" fontId="5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3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23" fillId="0" borderId="2">
      <alignment/>
      <protection/>
    </xf>
    <xf numFmtId="0" fontId="24" fillId="0" borderId="0">
      <alignment/>
      <protection/>
    </xf>
    <xf numFmtId="0" fontId="5" fillId="0" borderId="0">
      <alignment wrapText="1"/>
      <protection/>
    </xf>
    <xf numFmtId="0" fontId="5" fillId="0" borderId="0">
      <alignment/>
      <protection/>
    </xf>
    <xf numFmtId="0" fontId="10" fillId="0" borderId="0">
      <alignment/>
      <protection/>
    </xf>
    <xf numFmtId="0" fontId="23" fillId="0" borderId="2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5" fillId="0" borderId="0">
      <alignment wrapText="1"/>
      <protection/>
    </xf>
    <xf numFmtId="0" fontId="5" fillId="0" borderId="0" applyBorder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5" fillId="0" borderId="0" applyBorder="0">
      <alignment/>
      <protection/>
    </xf>
    <xf numFmtId="0" fontId="6" fillId="0" borderId="0">
      <alignment/>
      <protection/>
    </xf>
    <xf numFmtId="309" fontId="0" fillId="0" borderId="0">
      <alignment/>
      <protection/>
    </xf>
    <xf numFmtId="309" fontId="0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203" fontId="2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203" fontId="26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38" fontId="8" fillId="0" borderId="3">
      <alignment/>
      <protection/>
    </xf>
    <xf numFmtId="38" fontId="7" fillId="0" borderId="4">
      <alignment/>
      <protection/>
    </xf>
  </cellStyleXfs>
  <cellXfs count="468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5" fontId="10" fillId="0" borderId="0" xfId="0" applyNumberFormat="1" applyFont="1" applyFill="1" applyAlignment="1">
      <alignment/>
    </xf>
    <xf numFmtId="184" fontId="10" fillId="0" borderId="0" xfId="0" applyNumberFormat="1" applyFont="1" applyFill="1" applyBorder="1" applyAlignment="1">
      <alignment/>
    </xf>
    <xf numFmtId="41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Continuous"/>
    </xf>
    <xf numFmtId="3" fontId="10" fillId="0" borderId="0" xfId="15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 quotePrefix="1">
      <alignment horizontal="right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15" fontId="11" fillId="0" borderId="0" xfId="0" applyNumberFormat="1" applyFont="1" applyFill="1" applyAlignment="1">
      <alignment/>
    </xf>
    <xf numFmtId="0" fontId="11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Border="1" applyAlignment="1">
      <alignment/>
    </xf>
    <xf numFmtId="184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 applyProtection="1">
      <alignment horizontal="centerContinuous"/>
      <protection locked="0"/>
    </xf>
    <xf numFmtId="3" fontId="10" fillId="0" borderId="0" xfId="15" applyNumberFormat="1" applyFont="1" applyFill="1" applyAlignment="1">
      <alignment horizontal="centerContinuous"/>
    </xf>
    <xf numFmtId="3" fontId="11" fillId="0" borderId="0" xfId="15" applyNumberFormat="1" applyFont="1" applyFill="1" applyAlignment="1">
      <alignment horizontal="centerContinuous"/>
    </xf>
    <xf numFmtId="41" fontId="11" fillId="0" borderId="0" xfId="0" applyNumberFormat="1" applyFont="1" applyFill="1" applyAlignment="1">
      <alignment horizontal="centerContinuous"/>
    </xf>
    <xf numFmtId="184" fontId="11" fillId="0" borderId="0" xfId="0" applyNumberFormat="1" applyFont="1" applyFill="1" applyBorder="1" applyAlignment="1">
      <alignment horizontal="centerContinuous"/>
    </xf>
    <xf numFmtId="0" fontId="11" fillId="0" borderId="0" xfId="0" applyFont="1" applyFill="1" applyBorder="1" applyAlignment="1" quotePrefix="1">
      <alignment horizontal="centerContinuous"/>
    </xf>
    <xf numFmtId="0" fontId="12" fillId="0" borderId="0" xfId="0" applyFont="1" applyFill="1" applyAlignment="1">
      <alignment horizontal="centerContinuous"/>
    </xf>
    <xf numFmtId="0" fontId="11" fillId="0" borderId="0" xfId="0" applyFont="1" applyFill="1" applyAlignment="1" quotePrefix="1">
      <alignment horizontal="left"/>
    </xf>
    <xf numFmtId="15" fontId="13" fillId="0" borderId="0" xfId="0" applyNumberFormat="1" applyFont="1" applyFill="1" applyAlignment="1">
      <alignment horizontal="centerContinuous"/>
    </xf>
    <xf numFmtId="15" fontId="11" fillId="0" borderId="0" xfId="0" applyNumberFormat="1" applyFont="1" applyFill="1" applyAlignment="1">
      <alignment horizontal="centerContinuous"/>
    </xf>
    <xf numFmtId="18" fontId="11" fillId="0" borderId="0" xfId="0" applyNumberFormat="1" applyFont="1" applyFill="1" applyAlignment="1">
      <alignment horizontal="centerContinuous"/>
    </xf>
    <xf numFmtId="37" fontId="11" fillId="0" borderId="0" xfId="0" applyNumberFormat="1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11" fillId="0" borderId="0" xfId="0" applyFont="1" applyFill="1" applyAlignment="1" applyProtection="1">
      <alignment/>
      <protection locked="0"/>
    </xf>
    <xf numFmtId="3" fontId="11" fillId="0" borderId="0" xfId="15" applyNumberFormat="1" applyFont="1" applyFill="1" applyAlignment="1">
      <alignment/>
    </xf>
    <xf numFmtId="18" fontId="11" fillId="0" borderId="0" xfId="0" applyNumberFormat="1" applyFont="1" applyFill="1" applyAlignment="1">
      <alignment/>
    </xf>
    <xf numFmtId="41" fontId="11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center"/>
    </xf>
    <xf numFmtId="0" fontId="11" fillId="0" borderId="0" xfId="0" applyFont="1" applyFill="1" applyAlignment="1" applyProtection="1">
      <alignment horizontal="right"/>
      <protection locked="0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 quotePrefix="1">
      <alignment horizontal="fill"/>
    </xf>
    <xf numFmtId="0" fontId="11" fillId="0" borderId="0" xfId="0" applyFont="1" applyFill="1" applyAlignment="1">
      <alignment horizontal="fill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>
      <alignment/>
    </xf>
    <xf numFmtId="0" fontId="11" fillId="0" borderId="2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/>
      <protection locked="0"/>
    </xf>
    <xf numFmtId="3" fontId="11" fillId="0" borderId="2" xfId="15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right"/>
      <protection locked="0"/>
    </xf>
    <xf numFmtId="0" fontId="11" fillId="0" borderId="2" xfId="0" applyFont="1" applyFill="1" applyBorder="1" applyAlignment="1">
      <alignment horizontal="left"/>
    </xf>
    <xf numFmtId="41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right"/>
    </xf>
    <xf numFmtId="2" fontId="11" fillId="0" borderId="2" xfId="0" applyNumberFormat="1" applyFont="1" applyFill="1" applyBorder="1" applyAlignment="1">
      <alignment horizontal="center"/>
    </xf>
    <xf numFmtId="184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" fontId="10" fillId="0" borderId="0" xfId="0" applyNumberFormat="1" applyFont="1" applyFill="1" applyBorder="1" applyAlignment="1">
      <alignment horizontal="left"/>
    </xf>
    <xf numFmtId="184" fontId="10" fillId="0" borderId="0" xfId="0" applyNumberFormat="1" applyFont="1" applyFill="1" applyAlignment="1" applyProtection="1">
      <alignment horizontal="right"/>
      <protection locked="0"/>
    </xf>
    <xf numFmtId="184" fontId="10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 horizontal="fill"/>
    </xf>
    <xf numFmtId="0" fontId="10" fillId="0" borderId="0" xfId="0" applyFont="1" applyFill="1" applyAlignment="1" applyProtection="1">
      <alignment horizontal="fill"/>
      <protection locked="0"/>
    </xf>
    <xf numFmtId="9" fontId="10" fillId="0" borderId="0" xfId="0" applyNumberFormat="1" applyFont="1" applyFill="1" applyBorder="1" applyAlignment="1" applyProtection="1">
      <alignment horizontal="left"/>
      <protection locked="0"/>
    </xf>
    <xf numFmtId="37" fontId="10" fillId="0" borderId="0" xfId="0" applyNumberFormat="1" applyFont="1" applyFill="1" applyBorder="1" applyAlignment="1" applyProtection="1">
      <alignment/>
      <protection locked="0"/>
    </xf>
    <xf numFmtId="41" fontId="10" fillId="0" borderId="0" xfId="0" applyNumberFormat="1" applyFont="1" applyFill="1" applyBorder="1" applyAlignment="1" applyProtection="1">
      <alignment/>
      <protection locked="0"/>
    </xf>
    <xf numFmtId="1" fontId="10" fillId="0" borderId="0" xfId="0" applyNumberFormat="1" applyFont="1" applyFill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Alignment="1" applyProtection="1">
      <alignment horizontal="center"/>
      <protection locked="0"/>
    </xf>
    <xf numFmtId="0" fontId="10" fillId="0" borderId="2" xfId="0" applyFont="1" applyFill="1" applyBorder="1" applyAlignment="1">
      <alignment/>
    </xf>
    <xf numFmtId="0" fontId="14" fillId="0" borderId="0" xfId="0" applyFont="1" applyFill="1" applyAlignment="1">
      <alignment/>
    </xf>
    <xf numFmtId="164" fontId="10" fillId="0" borderId="0" xfId="0" applyNumberFormat="1" applyFont="1" applyFill="1" applyAlignment="1">
      <alignment horizontal="left"/>
    </xf>
    <xf numFmtId="42" fontId="10" fillId="0" borderId="0" xfId="141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 quotePrefix="1">
      <alignment horizontal="left"/>
    </xf>
    <xf numFmtId="0" fontId="14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center"/>
      <protection locked="0"/>
    </xf>
    <xf numFmtId="184" fontId="10" fillId="0" borderId="0" xfId="0" applyNumberFormat="1" applyFont="1" applyFill="1" applyAlignment="1">
      <alignment/>
    </xf>
    <xf numFmtId="42" fontId="10" fillId="0" borderId="0" xfId="141" applyNumberFormat="1" applyFont="1" applyFill="1" applyAlignment="1" applyProtection="1">
      <alignment/>
      <protection locked="0"/>
    </xf>
    <xf numFmtId="0" fontId="11" fillId="0" borderId="0" xfId="141" applyNumberFormat="1" applyFont="1" applyFill="1" applyAlignment="1" applyProtection="1">
      <alignment/>
      <protection locked="0"/>
    </xf>
    <xf numFmtId="0" fontId="10" fillId="0" borderId="0" xfId="141" applyNumberFormat="1" applyFont="1" applyFill="1" applyAlignment="1" applyProtection="1">
      <alignment/>
      <protection locked="0"/>
    </xf>
    <xf numFmtId="0" fontId="10" fillId="0" borderId="0" xfId="0" applyFont="1" applyFill="1" applyAlignment="1" quotePrefix="1">
      <alignment horizontal="left"/>
    </xf>
    <xf numFmtId="184" fontId="10" fillId="0" borderId="0" xfId="0" applyNumberFormat="1" applyFont="1" applyFill="1" applyAlignment="1" applyProtection="1">
      <alignment/>
      <protection locked="0"/>
    </xf>
    <xf numFmtId="184" fontId="10" fillId="0" borderId="0" xfId="0" applyNumberFormat="1" applyFont="1" applyFill="1" applyAlignment="1" applyProtection="1">
      <alignment horizontal="center"/>
      <protection locked="0"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99" fontId="10" fillId="0" borderId="0" xfId="141" applyNumberFormat="1" applyFont="1" applyFill="1" applyBorder="1" applyAlignment="1">
      <alignment/>
    </xf>
    <xf numFmtId="9" fontId="10" fillId="0" borderId="2" xfId="367" applyFont="1" applyFill="1" applyBorder="1" applyAlignment="1">
      <alignment/>
    </xf>
    <xf numFmtId="9" fontId="10" fillId="0" borderId="0" xfId="367" applyFont="1" applyFill="1" applyBorder="1" applyAlignment="1">
      <alignment/>
    </xf>
    <xf numFmtId="0" fontId="10" fillId="0" borderId="0" xfId="0" applyFont="1" applyFill="1" applyAlignment="1" quotePrefix="1">
      <alignment horizontal="fill"/>
    </xf>
    <xf numFmtId="17" fontId="11" fillId="0" borderId="0" xfId="0" applyNumberFormat="1" applyFont="1" applyFill="1" applyAlignment="1">
      <alignment/>
    </xf>
    <xf numFmtId="198" fontId="10" fillId="0" borderId="0" xfId="15" applyNumberFormat="1" applyFont="1" applyFill="1" applyAlignment="1">
      <alignment/>
    </xf>
    <xf numFmtId="42" fontId="10" fillId="0" borderId="0" xfId="141" applyNumberFormat="1" applyFont="1" applyFill="1" applyAlignment="1">
      <alignment/>
    </xf>
    <xf numFmtId="42" fontId="10" fillId="0" borderId="0" xfId="141" applyNumberFormat="1" applyFont="1" applyFill="1" applyBorder="1" applyAlignment="1">
      <alignment horizontal="right"/>
    </xf>
    <xf numFmtId="37" fontId="10" fillId="0" borderId="0" xfId="15" applyNumberFormat="1" applyFont="1" applyFill="1" applyAlignment="1">
      <alignment/>
    </xf>
    <xf numFmtId="184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 applyProtection="1" quotePrefix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42" fontId="10" fillId="0" borderId="0" xfId="0" applyNumberFormat="1" applyFont="1" applyFill="1" applyBorder="1" applyAlignment="1">
      <alignment/>
    </xf>
    <xf numFmtId="42" fontId="10" fillId="0" borderId="0" xfId="0" applyNumberFormat="1" applyFont="1" applyFill="1" applyAlignment="1">
      <alignment/>
    </xf>
    <xf numFmtId="41" fontId="10" fillId="0" borderId="2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Alignment="1" applyProtection="1">
      <alignment/>
      <protection locked="0"/>
    </xf>
    <xf numFmtId="41" fontId="10" fillId="0" borderId="0" xfId="0" applyNumberFormat="1" applyFont="1" applyFill="1" applyAlignment="1" applyProtection="1">
      <alignment/>
      <protection locked="0"/>
    </xf>
    <xf numFmtId="42" fontId="10" fillId="0" borderId="0" xfId="0" applyNumberFormat="1" applyFont="1" applyFill="1" applyAlignment="1" applyProtection="1">
      <alignment/>
      <protection locked="0"/>
    </xf>
    <xf numFmtId="37" fontId="10" fillId="0" borderId="0" xfId="0" applyNumberFormat="1" applyFont="1" applyFill="1" applyAlignment="1">
      <alignment/>
    </xf>
    <xf numFmtId="42" fontId="10" fillId="0" borderId="0" xfId="15" applyNumberFormat="1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165" fontId="10" fillId="0" borderId="0" xfId="0" applyNumberFormat="1" applyFont="1" applyFill="1" applyAlignment="1">
      <alignment/>
    </xf>
    <xf numFmtId="41" fontId="10" fillId="0" borderId="0" xfId="15" applyNumberFormat="1" applyFont="1" applyFill="1" applyBorder="1" applyAlignment="1">
      <alignment/>
    </xf>
    <xf numFmtId="9" fontId="10" fillId="0" borderId="0" xfId="0" applyNumberFormat="1" applyFont="1" applyFill="1" applyAlignment="1">
      <alignment horizontal="center"/>
    </xf>
    <xf numFmtId="37" fontId="10" fillId="0" borderId="0" xfId="15" applyNumberFormat="1" applyFont="1" applyFill="1" applyBorder="1" applyAlignment="1" applyProtection="1">
      <alignment/>
      <protection locked="0"/>
    </xf>
    <xf numFmtId="42" fontId="10" fillId="0" borderId="4" xfId="0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/>
    </xf>
    <xf numFmtId="0" fontId="10" fillId="0" borderId="0" xfId="141" applyNumberFormat="1" applyFont="1" applyFill="1" applyBorder="1" applyAlignment="1" applyProtection="1">
      <alignment/>
      <protection locked="0"/>
    </xf>
    <xf numFmtId="42" fontId="10" fillId="0" borderId="0" xfId="141" applyNumberFormat="1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 horizontal="right"/>
    </xf>
    <xf numFmtId="41" fontId="10" fillId="0" borderId="4" xfId="0" applyNumberFormat="1" applyFont="1" applyFill="1" applyBorder="1" applyAlignment="1" applyProtection="1">
      <alignment/>
      <protection locked="0"/>
    </xf>
    <xf numFmtId="42" fontId="10" fillId="0" borderId="4" xfId="141" applyNumberFormat="1" applyFont="1" applyFill="1" applyBorder="1" applyAlignment="1" applyProtection="1">
      <alignment/>
      <protection locked="0"/>
    </xf>
    <xf numFmtId="37" fontId="10" fillId="0" borderId="0" xfId="0" applyNumberFormat="1" applyFont="1" applyFill="1" applyAlignment="1" applyProtection="1">
      <alignment/>
      <protection locked="0"/>
    </xf>
    <xf numFmtId="184" fontId="10" fillId="0" borderId="2" xfId="0" applyNumberFormat="1" applyFont="1" applyFill="1" applyBorder="1" applyAlignment="1">
      <alignment/>
    </xf>
    <xf numFmtId="41" fontId="10" fillId="0" borderId="0" xfId="15" applyNumberFormat="1" applyFont="1" applyFill="1" applyBorder="1" applyAlignment="1">
      <alignment/>
    </xf>
    <xf numFmtId="168" fontId="10" fillId="0" borderId="0" xfId="0" applyNumberFormat="1" applyFont="1" applyFill="1" applyAlignment="1">
      <alignment/>
    </xf>
    <xf numFmtId="42" fontId="10" fillId="0" borderId="0" xfId="141" applyNumberFormat="1" applyFont="1" applyFill="1" applyAlignment="1">
      <alignment horizontal="right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9" fontId="10" fillId="0" borderId="0" xfId="367" applyNumberFormat="1" applyFont="1" applyFill="1" applyAlignment="1">
      <alignment/>
    </xf>
    <xf numFmtId="41" fontId="10" fillId="0" borderId="0" xfId="15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Alignment="1">
      <alignment vertical="center"/>
    </xf>
    <xf numFmtId="42" fontId="10" fillId="0" borderId="1" xfId="141" applyNumberFormat="1" applyFont="1" applyFill="1" applyBorder="1" applyAlignment="1">
      <alignment/>
    </xf>
    <xf numFmtId="168" fontId="10" fillId="0" borderId="0" xfId="367" applyNumberFormat="1" applyFont="1" applyFill="1" applyBorder="1" applyAlignment="1">
      <alignment/>
    </xf>
    <xf numFmtId="41" fontId="10" fillId="0" borderId="0" xfId="15" applyNumberFormat="1" applyFont="1" applyFill="1" applyAlignment="1">
      <alignment/>
    </xf>
    <xf numFmtId="41" fontId="10" fillId="0" borderId="0" xfId="0" applyNumberFormat="1" applyFont="1" applyFill="1" applyAlignment="1">
      <alignment horizontal="right"/>
    </xf>
    <xf numFmtId="17" fontId="10" fillId="0" borderId="0" xfId="0" applyNumberFormat="1" applyFont="1" applyFill="1" applyAlignment="1">
      <alignment/>
    </xf>
    <xf numFmtId="10" fontId="10" fillId="0" borderId="2" xfId="367" applyNumberFormat="1" applyFont="1" applyFill="1" applyBorder="1" applyAlignment="1">
      <alignment horizontal="right"/>
    </xf>
    <xf numFmtId="42" fontId="10" fillId="0" borderId="1" xfId="141" applyNumberFormat="1" applyFont="1" applyFill="1" applyBorder="1" applyAlignment="1">
      <alignment/>
    </xf>
    <xf numFmtId="18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11" fillId="0" borderId="0" xfId="141" applyNumberFormat="1" applyFont="1" applyFill="1" applyAlignment="1" applyProtection="1" quotePrefix="1">
      <alignment/>
      <protection locked="0"/>
    </xf>
    <xf numFmtId="0" fontId="10" fillId="0" borderId="0" xfId="141" applyNumberFormat="1" applyFont="1" applyFill="1" applyAlignment="1" applyProtection="1" quotePrefix="1">
      <alignment/>
      <protection locked="0"/>
    </xf>
    <xf numFmtId="42" fontId="10" fillId="0" borderId="0" xfId="0" applyNumberFormat="1" applyFont="1" applyFill="1" applyBorder="1" applyAlignment="1">
      <alignment/>
    </xf>
    <xf numFmtId="41" fontId="10" fillId="0" borderId="2" xfId="0" applyNumberFormat="1" applyFont="1" applyFill="1" applyBorder="1" applyAlignment="1">
      <alignment/>
    </xf>
    <xf numFmtId="41" fontId="10" fillId="0" borderId="2" xfId="15" applyNumberFormat="1" applyFont="1" applyFill="1" applyBorder="1" applyAlignment="1">
      <alignment/>
    </xf>
    <xf numFmtId="37" fontId="10" fillId="0" borderId="2" xfId="15" applyNumberFormat="1" applyFont="1" applyFill="1" applyBorder="1" applyAlignment="1">
      <alignment/>
    </xf>
    <xf numFmtId="41" fontId="10" fillId="0" borderId="2" xfId="0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>
      <alignment horizontal="right"/>
    </xf>
    <xf numFmtId="41" fontId="10" fillId="0" borderId="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horizontal="left"/>
    </xf>
    <xf numFmtId="42" fontId="11" fillId="0" borderId="1" xfId="141" applyNumberFormat="1" applyFont="1" applyFill="1" applyBorder="1" applyAlignment="1">
      <alignment/>
    </xf>
    <xf numFmtId="9" fontId="10" fillId="0" borderId="0" xfId="0" applyNumberFormat="1" applyFont="1" applyFill="1" applyAlignment="1">
      <alignment/>
    </xf>
    <xf numFmtId="184" fontId="10" fillId="0" borderId="0" xfId="0" applyNumberFormat="1" applyFont="1" applyFill="1" applyAlignment="1">
      <alignment horizontal="center"/>
    </xf>
    <xf numFmtId="41" fontId="10" fillId="0" borderId="0" xfId="0" applyNumberFormat="1" applyFont="1" applyFill="1" applyAlignment="1">
      <alignment/>
    </xf>
    <xf numFmtId="9" fontId="10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 applyProtection="1">
      <alignment/>
      <protection locked="0"/>
    </xf>
    <xf numFmtId="10" fontId="10" fillId="0" borderId="0" xfId="367" applyNumberFormat="1" applyFont="1" applyFill="1" applyAlignment="1">
      <alignment/>
    </xf>
    <xf numFmtId="42" fontId="10" fillId="0" borderId="0" xfId="0" applyNumberFormat="1" applyFont="1" applyFill="1" applyBorder="1" applyAlignment="1" applyProtection="1">
      <alignment/>
      <protection locked="0"/>
    </xf>
    <xf numFmtId="3" fontId="10" fillId="0" borderId="0" xfId="15" applyNumberFormat="1" applyFont="1" applyFill="1" applyAlignment="1">
      <alignment horizontal="right"/>
    </xf>
    <xf numFmtId="42" fontId="10" fillId="0" borderId="0" xfId="141" applyNumberFormat="1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0" xfId="141" applyNumberFormat="1" applyFont="1" applyFill="1" applyBorder="1" applyAlignment="1" applyProtection="1" quotePrefix="1">
      <alignment/>
      <protection locked="0"/>
    </xf>
    <xf numFmtId="168" fontId="10" fillId="0" borderId="0" xfId="367" applyNumberFormat="1" applyFont="1" applyFill="1" applyAlignment="1">
      <alignment/>
    </xf>
    <xf numFmtId="184" fontId="10" fillId="0" borderId="0" xfId="0" applyNumberFormat="1" applyFont="1" applyFill="1" applyBorder="1" applyAlignment="1" applyProtection="1">
      <alignment/>
      <protection locked="0"/>
    </xf>
    <xf numFmtId="199" fontId="10" fillId="0" borderId="0" xfId="141" applyNumberFormat="1" applyFont="1" applyFill="1" applyAlignment="1">
      <alignment/>
    </xf>
    <xf numFmtId="17" fontId="14" fillId="0" borderId="0" xfId="0" applyNumberFormat="1" applyFont="1" applyFill="1" applyBorder="1" applyAlignment="1">
      <alignment horizontal="left"/>
    </xf>
    <xf numFmtId="42" fontId="11" fillId="0" borderId="1" xfId="0" applyNumberFormat="1" applyFont="1" applyFill="1" applyBorder="1" applyAlignment="1">
      <alignment/>
    </xf>
    <xf numFmtId="184" fontId="10" fillId="0" borderId="0" xfId="0" applyNumberFormat="1" applyFont="1" applyFill="1" applyAlignment="1" applyProtection="1">
      <alignment horizontal="left"/>
      <protection locked="0"/>
    </xf>
    <xf numFmtId="184" fontId="10" fillId="0" borderId="0" xfId="0" applyNumberFormat="1" applyFont="1" applyFill="1" applyBorder="1" applyAlignment="1">
      <alignment horizontal="left"/>
    </xf>
    <xf numFmtId="3" fontId="10" fillId="0" borderId="0" xfId="15" applyNumberFormat="1" applyFont="1" applyFill="1" applyAlignment="1" applyProtection="1">
      <alignment/>
      <protection locked="0"/>
    </xf>
    <xf numFmtId="198" fontId="10" fillId="0" borderId="0" xfId="0" applyNumberFormat="1" applyFont="1" applyFill="1" applyAlignment="1">
      <alignment/>
    </xf>
    <xf numFmtId="3" fontId="10" fillId="0" borderId="0" xfId="15" applyNumberFormat="1" applyFont="1" applyFill="1" applyBorder="1" applyAlignment="1">
      <alignment/>
    </xf>
    <xf numFmtId="199" fontId="10" fillId="0" borderId="0" xfId="0" applyNumberFormat="1" applyFont="1" applyFill="1" applyBorder="1" applyAlignment="1">
      <alignment/>
    </xf>
    <xf numFmtId="10" fontId="10" fillId="0" borderId="0" xfId="0" applyNumberFormat="1" applyFont="1" applyFill="1" applyAlignment="1">
      <alignment/>
    </xf>
    <xf numFmtId="42" fontId="11" fillId="0" borderId="1" xfId="0" applyNumberFormat="1" applyFont="1" applyFill="1" applyBorder="1" applyAlignment="1">
      <alignment horizontal="right"/>
    </xf>
    <xf numFmtId="3" fontId="10" fillId="0" borderId="0" xfId="15" applyNumberFormat="1" applyFont="1" applyFill="1" applyBorder="1" applyAlignment="1" applyProtection="1">
      <alignment/>
      <protection locked="0"/>
    </xf>
    <xf numFmtId="9" fontId="10" fillId="0" borderId="0" xfId="367" applyFont="1" applyFill="1" applyAlignment="1">
      <alignment horizontal="center"/>
    </xf>
    <xf numFmtId="199" fontId="10" fillId="0" borderId="0" xfId="0" applyNumberFormat="1" applyFont="1" applyFill="1" applyAlignment="1">
      <alignment/>
    </xf>
    <xf numFmtId="42" fontId="10" fillId="0" borderId="0" xfId="0" applyNumberFormat="1" applyFont="1" applyFill="1" applyAlignment="1">
      <alignment vertical="center"/>
    </xf>
    <xf numFmtId="0" fontId="10" fillId="0" borderId="2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199" fontId="10" fillId="0" borderId="4" xfId="141" applyNumberFormat="1" applyFont="1" applyFill="1" applyBorder="1" applyAlignment="1">
      <alignment/>
    </xf>
    <xf numFmtId="42" fontId="11" fillId="0" borderId="1" xfId="0" applyNumberFormat="1" applyFont="1" applyFill="1" applyBorder="1" applyAlignment="1">
      <alignment/>
    </xf>
    <xf numFmtId="41" fontId="10" fillId="0" borderId="4" xfId="0" applyNumberFormat="1" applyFont="1" applyFill="1" applyBorder="1" applyAlignment="1">
      <alignment horizontal="right"/>
    </xf>
    <xf numFmtId="41" fontId="10" fillId="0" borderId="0" xfId="141" applyNumberFormat="1" applyFont="1" applyFill="1" applyAlignment="1" applyProtection="1">
      <alignment/>
      <protection locked="0"/>
    </xf>
    <xf numFmtId="41" fontId="10" fillId="0" borderId="0" xfId="141" applyNumberFormat="1" applyFont="1" applyFill="1" applyAlignment="1">
      <alignment/>
    </xf>
    <xf numFmtId="41" fontId="10" fillId="0" borderId="0" xfId="141" applyNumberFormat="1" applyFont="1" applyFill="1" applyAlignment="1">
      <alignment horizontal="right"/>
    </xf>
    <xf numFmtId="41" fontId="10" fillId="0" borderId="2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 quotePrefix="1">
      <alignment horizontal="left"/>
      <protection locked="0"/>
    </xf>
    <xf numFmtId="199" fontId="11" fillId="0" borderId="1" xfId="0" applyNumberFormat="1" applyFont="1" applyFill="1" applyBorder="1" applyAlignment="1">
      <alignment/>
    </xf>
    <xf numFmtId="42" fontId="10" fillId="0" borderId="4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42" fontId="10" fillId="0" borderId="5" xfId="0" applyNumberFormat="1" applyFont="1" applyFill="1" applyBorder="1" applyAlignment="1" applyProtection="1">
      <alignment/>
      <protection locked="0"/>
    </xf>
    <xf numFmtId="37" fontId="10" fillId="0" borderId="0" xfId="15" applyNumberFormat="1" applyFont="1" applyFill="1" applyBorder="1" applyAlignment="1">
      <alignment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84" fontId="10" fillId="0" borderId="0" xfId="0" applyNumberFormat="1" applyFont="1" applyFill="1" applyAlignment="1" applyProtection="1">
      <alignment vertical="center"/>
      <protection locked="0"/>
    </xf>
    <xf numFmtId="42" fontId="10" fillId="0" borderId="4" xfId="141" applyNumberFormat="1" applyFont="1" applyFill="1" applyBorder="1" applyAlignment="1">
      <alignment/>
    </xf>
    <xf numFmtId="0" fontId="10" fillId="0" borderId="0" xfId="0" applyFont="1" applyFill="1" applyAlignment="1">
      <alignment horizontal="left" vertical="top"/>
    </xf>
    <xf numFmtId="42" fontId="10" fillId="0" borderId="0" xfId="141" applyNumberFormat="1" applyFont="1" applyFill="1" applyBorder="1" applyAlignment="1" applyProtection="1">
      <alignment vertical="top"/>
      <protection locked="0"/>
    </xf>
    <xf numFmtId="9" fontId="10" fillId="0" borderId="0" xfId="0" applyNumberFormat="1" applyFont="1" applyFill="1" applyAlignment="1">
      <alignment/>
    </xf>
    <xf numFmtId="0" fontId="10" fillId="0" borderId="0" xfId="0" applyFont="1" applyFill="1" applyAlignment="1" applyProtection="1">
      <alignment horizontal="center" vertical="top"/>
      <protection locked="0"/>
    </xf>
    <xf numFmtId="41" fontId="10" fillId="0" borderId="0" xfId="0" applyNumberFormat="1" applyFont="1" applyFill="1" applyBorder="1" applyAlignment="1">
      <alignment vertical="top"/>
    </xf>
    <xf numFmtId="184" fontId="10" fillId="0" borderId="0" xfId="0" applyNumberFormat="1" applyFont="1" applyFill="1" applyAlignment="1">
      <alignment vertical="top"/>
    </xf>
    <xf numFmtId="199" fontId="10" fillId="0" borderId="0" xfId="0" applyNumberFormat="1" applyFont="1" applyFill="1" applyAlignment="1">
      <alignment vertical="top"/>
    </xf>
    <xf numFmtId="42" fontId="10" fillId="0" borderId="0" xfId="0" applyNumberFormat="1" applyFont="1" applyFill="1" applyAlignment="1" applyProtection="1">
      <alignment vertical="center"/>
      <protection locked="0"/>
    </xf>
    <xf numFmtId="168" fontId="10" fillId="0" borderId="2" xfId="367" applyNumberFormat="1" applyFont="1" applyFill="1" applyBorder="1" applyAlignment="1">
      <alignment vertical="top"/>
    </xf>
    <xf numFmtId="168" fontId="10" fillId="0" borderId="0" xfId="367" applyNumberFormat="1" applyFont="1" applyFill="1" applyBorder="1" applyAlignment="1">
      <alignment vertical="top"/>
    </xf>
    <xf numFmtId="184" fontId="10" fillId="0" borderId="0" xfId="0" applyNumberFormat="1" applyFont="1" applyFill="1" applyBorder="1" applyAlignment="1">
      <alignment vertical="top"/>
    </xf>
    <xf numFmtId="42" fontId="10" fillId="0" borderId="0" xfId="0" applyNumberFormat="1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199" fontId="11" fillId="0" borderId="6" xfId="141" applyNumberFormat="1" applyFont="1" applyFill="1" applyBorder="1" applyAlignment="1">
      <alignment/>
    </xf>
    <xf numFmtId="6" fontId="10" fillId="0" borderId="0" xfId="141" applyNumberFormat="1" applyFont="1" applyFill="1" applyAlignment="1">
      <alignment/>
    </xf>
    <xf numFmtId="176" fontId="10" fillId="0" borderId="0" xfId="0" applyNumberFormat="1" applyFont="1" applyFill="1" applyBorder="1" applyAlignment="1">
      <alignment vertical="top"/>
    </xf>
    <xf numFmtId="9" fontId="10" fillId="0" borderId="0" xfId="367" applyFont="1" applyFill="1" applyAlignment="1">
      <alignment horizontal="left"/>
    </xf>
    <xf numFmtId="9" fontId="10" fillId="0" borderId="0" xfId="0" applyNumberFormat="1" applyFont="1" applyFill="1" applyBorder="1" applyAlignment="1">
      <alignment/>
    </xf>
    <xf numFmtId="168" fontId="10" fillId="0" borderId="0" xfId="0" applyNumberFormat="1" applyFont="1" applyFill="1" applyBorder="1" applyAlignment="1">
      <alignment/>
    </xf>
    <xf numFmtId="41" fontId="10" fillId="0" borderId="0" xfId="15" applyNumberFormat="1" applyFont="1" applyFill="1" applyBorder="1" applyAlignment="1">
      <alignment horizontal="center"/>
    </xf>
    <xf numFmtId="42" fontId="10" fillId="0" borderId="0" xfId="15" applyNumberFormat="1" applyFont="1" applyFill="1" applyBorder="1" applyAlignment="1">
      <alignment/>
    </xf>
    <xf numFmtId="41" fontId="10" fillId="0" borderId="0" xfId="0" applyNumberFormat="1" applyFont="1" applyFill="1" applyAlignment="1">
      <alignment vertical="center"/>
    </xf>
    <xf numFmtId="199" fontId="10" fillId="0" borderId="4" xfId="0" applyNumberFormat="1" applyFont="1" applyFill="1" applyBorder="1" applyAlignment="1" applyProtection="1">
      <alignment/>
      <protection locked="0"/>
    </xf>
    <xf numFmtId="171" fontId="10" fillId="0" borderId="0" xfId="367" applyNumberFormat="1" applyFont="1" applyFill="1" applyBorder="1" applyAlignment="1" applyProtection="1">
      <alignment/>
      <protection locked="0"/>
    </xf>
    <xf numFmtId="9" fontId="10" fillId="0" borderId="0" xfId="15" applyNumberFormat="1" applyFont="1" applyFill="1" applyBorder="1" applyAlignment="1">
      <alignment horizontal="center"/>
    </xf>
    <xf numFmtId="1" fontId="10" fillId="0" borderId="0" xfId="0" applyNumberFormat="1" applyFont="1" applyFill="1" applyAlignment="1">
      <alignment horizontal="center" vertical="top"/>
    </xf>
    <xf numFmtId="42" fontId="11" fillId="0" borderId="0" xfId="141" applyNumberFormat="1" applyFont="1" applyFill="1" applyAlignment="1">
      <alignment/>
    </xf>
    <xf numFmtId="176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top"/>
    </xf>
    <xf numFmtId="41" fontId="10" fillId="0" borderId="0" xfId="0" applyNumberFormat="1" applyFont="1" applyFill="1" applyAlignment="1" applyProtection="1">
      <alignment vertical="center"/>
      <protection locked="0"/>
    </xf>
    <xf numFmtId="42" fontId="11" fillId="0" borderId="1" xfId="15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 vertical="center"/>
    </xf>
    <xf numFmtId="184" fontId="10" fillId="0" borderId="0" xfId="0" applyNumberFormat="1" applyFont="1" applyFill="1" applyBorder="1" applyAlignment="1" applyProtection="1">
      <alignment vertical="center"/>
      <protection locked="0"/>
    </xf>
    <xf numFmtId="265" fontId="10" fillId="0" borderId="0" xfId="0" applyNumberFormat="1" applyFont="1" applyFill="1" applyAlignment="1">
      <alignment/>
    </xf>
    <xf numFmtId="247" fontId="10" fillId="0" borderId="0" xfId="0" applyNumberFormat="1" applyFont="1" applyFill="1" applyBorder="1" applyAlignment="1">
      <alignment horizontal="right"/>
    </xf>
    <xf numFmtId="17" fontId="10" fillId="0" borderId="0" xfId="0" applyNumberFormat="1" applyFont="1" applyFill="1" applyAlignment="1">
      <alignment vertical="top"/>
    </xf>
    <xf numFmtId="198" fontId="16" fillId="0" borderId="0" xfId="15" applyNumberFormat="1" applyFont="1" applyFill="1" applyAlignment="1">
      <alignment vertical="top"/>
    </xf>
    <xf numFmtId="41" fontId="16" fillId="0" borderId="0" xfId="15" applyNumberFormat="1" applyFont="1" applyFill="1" applyAlignment="1">
      <alignment vertical="top"/>
    </xf>
    <xf numFmtId="41" fontId="14" fillId="0" borderId="0" xfId="0" applyNumberFormat="1" applyFont="1" applyFill="1" applyBorder="1" applyAlignment="1">
      <alignment horizontal="right" vertical="top"/>
    </xf>
    <xf numFmtId="41" fontId="14" fillId="0" borderId="0" xfId="15" applyNumberFormat="1" applyFont="1" applyFill="1" applyBorder="1" applyAlignment="1">
      <alignment vertical="top"/>
    </xf>
    <xf numFmtId="17" fontId="10" fillId="0" borderId="0" xfId="0" applyNumberFormat="1" applyFont="1" applyFill="1" applyAlignment="1">
      <alignment horizontal="right"/>
    </xf>
    <xf numFmtId="37" fontId="10" fillId="0" borderId="0" xfId="0" applyNumberFormat="1" applyFont="1" applyFill="1" applyBorder="1" applyAlignment="1">
      <alignment/>
    </xf>
    <xf numFmtId="199" fontId="10" fillId="0" borderId="0" xfId="141" applyNumberFormat="1" applyFont="1" applyFill="1" applyBorder="1" applyAlignment="1">
      <alignment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42" fontId="10" fillId="0" borderId="0" xfId="0" applyNumberFormat="1" applyFont="1" applyFill="1" applyAlignment="1">
      <alignment horizontal="left"/>
    </xf>
    <xf numFmtId="42" fontId="10" fillId="0" borderId="0" xfId="141" applyNumberFormat="1" applyFont="1" applyFill="1" applyAlignment="1" applyProtection="1">
      <alignment horizontal="left"/>
      <protection locked="0"/>
    </xf>
    <xf numFmtId="42" fontId="10" fillId="0" borderId="0" xfId="141" applyNumberFormat="1" applyFont="1" applyFill="1" applyAlignment="1">
      <alignment horizontal="left"/>
    </xf>
    <xf numFmtId="10" fontId="10" fillId="0" borderId="0" xfId="0" applyNumberFormat="1" applyFont="1" applyFill="1" applyAlignment="1">
      <alignment/>
    </xf>
    <xf numFmtId="5" fontId="10" fillId="0" borderId="0" xfId="0" applyNumberFormat="1" applyFont="1" applyFill="1" applyAlignment="1">
      <alignment/>
    </xf>
    <xf numFmtId="10" fontId="10" fillId="0" borderId="0" xfId="0" applyNumberFormat="1" applyFont="1" applyFill="1" applyBorder="1" applyAlignment="1">
      <alignment/>
    </xf>
    <xf numFmtId="10" fontId="10" fillId="0" borderId="2" xfId="0" applyNumberFormat="1" applyFont="1" applyFill="1" applyBorder="1" applyAlignment="1">
      <alignment/>
    </xf>
    <xf numFmtId="10" fontId="10" fillId="0" borderId="4" xfId="0" applyNumberFormat="1" applyFont="1" applyFill="1" applyBorder="1" applyAlignment="1">
      <alignment/>
    </xf>
    <xf numFmtId="10" fontId="10" fillId="0" borderId="0" xfId="0" applyNumberFormat="1" applyFont="1" applyFill="1" applyBorder="1" applyAlignment="1">
      <alignment/>
    </xf>
    <xf numFmtId="10" fontId="10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199" fontId="11" fillId="0" borderId="1" xfId="141" applyNumberFormat="1" applyFont="1" applyFill="1" applyBorder="1" applyAlignment="1">
      <alignment/>
    </xf>
    <xf numFmtId="258" fontId="10" fillId="0" borderId="0" xfId="0" applyNumberFormat="1" applyFont="1" applyFill="1" applyAlignment="1">
      <alignment/>
    </xf>
    <xf numFmtId="199" fontId="10" fillId="0" borderId="0" xfId="15" applyNumberFormat="1" applyFont="1" applyFill="1" applyBorder="1" applyAlignment="1">
      <alignment/>
    </xf>
    <xf numFmtId="0" fontId="10" fillId="0" borderId="0" xfId="0" applyFont="1" applyFill="1" applyBorder="1" applyAlignment="1" applyProtection="1">
      <alignment horizontal="center"/>
      <protection locked="0"/>
    </xf>
    <xf numFmtId="10" fontId="10" fillId="0" borderId="2" xfId="0" applyNumberFormat="1" applyFont="1" applyFill="1" applyBorder="1" applyAlignment="1">
      <alignment/>
    </xf>
    <xf numFmtId="167" fontId="10" fillId="0" borderId="0" xfId="0" applyNumberFormat="1" applyFont="1" applyFill="1" applyBorder="1" applyAlignment="1">
      <alignment horizontal="center"/>
    </xf>
    <xf numFmtId="41" fontId="10" fillId="0" borderId="0" xfId="0" applyNumberFormat="1" applyFont="1" applyFill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center"/>
    </xf>
    <xf numFmtId="167" fontId="10" fillId="0" borderId="0" xfId="0" applyNumberFormat="1" applyFont="1" applyFill="1" applyAlignment="1">
      <alignment horizontal="center"/>
    </xf>
    <xf numFmtId="0" fontId="14" fillId="0" borderId="0" xfId="0" applyFont="1" applyFill="1" applyBorder="1" applyAlignment="1" quotePrefix="1">
      <alignment horizontal="left"/>
    </xf>
    <xf numFmtId="4" fontId="10" fillId="0" borderId="0" xfId="15" applyFont="1" applyFill="1" applyAlignment="1">
      <alignment/>
    </xf>
    <xf numFmtId="6" fontId="10" fillId="0" borderId="0" xfId="141" applyNumberFormat="1" applyFont="1" applyFill="1" applyBorder="1" applyAlignment="1">
      <alignment horizontal="right"/>
    </xf>
    <xf numFmtId="6" fontId="10" fillId="0" borderId="0" xfId="141" applyNumberFormat="1" applyFont="1" applyFill="1" applyAlignment="1">
      <alignment horizontal="right"/>
    </xf>
    <xf numFmtId="0" fontId="10" fillId="0" borderId="0" xfId="0" applyFont="1" applyFill="1" applyBorder="1" applyAlignment="1" quotePrefix="1">
      <alignment horizontal="left"/>
    </xf>
    <xf numFmtId="38" fontId="10" fillId="0" borderId="0" xfId="15" applyNumberFormat="1" applyFont="1" applyFill="1" applyBorder="1" applyAlignment="1">
      <alignment/>
    </xf>
    <xf numFmtId="0" fontId="10" fillId="0" borderId="2" xfId="0" applyFont="1" applyFill="1" applyBorder="1" applyAlignment="1">
      <alignment vertical="top"/>
    </xf>
    <xf numFmtId="37" fontId="10" fillId="0" borderId="0" xfId="0" applyNumberFormat="1" applyFont="1" applyFill="1" applyBorder="1" applyAlignment="1">
      <alignment horizontal="right"/>
    </xf>
    <xf numFmtId="183" fontId="10" fillId="0" borderId="0" xfId="0" applyNumberFormat="1" applyFont="1" applyFill="1" applyBorder="1" applyAlignment="1" applyProtection="1">
      <alignment/>
      <protection locked="0"/>
    </xf>
    <xf numFmtId="6" fontId="10" fillId="0" borderId="0" xfId="141" applyNumberFormat="1" applyFont="1" applyFill="1" applyAlignment="1">
      <alignment vertical="top"/>
    </xf>
    <xf numFmtId="0" fontId="10" fillId="0" borderId="0" xfId="0" applyFont="1" applyFill="1" applyBorder="1" applyAlignment="1" applyProtection="1">
      <alignment horizontal="centerContinuous"/>
      <protection locked="0"/>
    </xf>
    <xf numFmtId="9" fontId="10" fillId="0" borderId="0" xfId="367" applyFont="1" applyFill="1" applyBorder="1" applyAlignment="1">
      <alignment horizontal="right"/>
    </xf>
    <xf numFmtId="6" fontId="10" fillId="0" borderId="0" xfId="0" applyNumberFormat="1" applyFont="1" applyFill="1" applyAlignment="1">
      <alignment vertical="top"/>
    </xf>
    <xf numFmtId="171" fontId="10" fillId="0" borderId="2" xfId="367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>
      <alignment horizontal="right"/>
    </xf>
    <xf numFmtId="9" fontId="10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Alignment="1">
      <alignment vertical="top"/>
    </xf>
    <xf numFmtId="6" fontId="17" fillId="0" borderId="7" xfId="141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2" fontId="10" fillId="0" borderId="0" xfId="15" applyNumberFormat="1" applyFont="1" applyFill="1" applyAlignment="1">
      <alignment/>
    </xf>
    <xf numFmtId="41" fontId="10" fillId="0" borderId="2" xfId="141" applyNumberFormat="1" applyFont="1" applyFill="1" applyBorder="1" applyAlignment="1" applyProtection="1">
      <alignment/>
      <protection locked="0"/>
    </xf>
    <xf numFmtId="10" fontId="10" fillId="0" borderId="0" xfId="0" applyNumberFormat="1" applyFont="1" applyFill="1" applyAlignment="1">
      <alignment horizontal="center"/>
    </xf>
    <xf numFmtId="41" fontId="10" fillId="0" borderId="0" xfId="15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41" fontId="10" fillId="0" borderId="2" xfId="15" applyNumberFormat="1" applyFont="1" applyFill="1" applyBorder="1" applyAlignment="1" applyProtection="1">
      <alignment/>
      <protection locked="0"/>
    </xf>
    <xf numFmtId="198" fontId="10" fillId="0" borderId="0" xfId="141" applyNumberFormat="1" applyFont="1" applyFill="1" applyBorder="1" applyAlignment="1">
      <alignment horizontal="center"/>
    </xf>
    <xf numFmtId="198" fontId="10" fillId="0" borderId="2" xfId="15" applyNumberFormat="1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42" fontId="10" fillId="0" borderId="0" xfId="15" applyNumberFormat="1" applyFont="1" applyFill="1" applyAlignment="1">
      <alignment horizontal="right"/>
    </xf>
    <xf numFmtId="41" fontId="10" fillId="0" borderId="0" xfId="15" applyNumberFormat="1" applyFont="1" applyFill="1" applyAlignment="1">
      <alignment horizontal="right"/>
    </xf>
    <xf numFmtId="41" fontId="10" fillId="0" borderId="2" xfId="15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198" fontId="10" fillId="0" borderId="0" xfId="0" applyNumberFormat="1" applyFont="1" applyFill="1" applyBorder="1" applyAlignment="1">
      <alignment/>
    </xf>
    <xf numFmtId="37" fontId="10" fillId="0" borderId="0" xfId="0" applyNumberFormat="1" applyFont="1" applyFill="1" applyAlignment="1" applyProtection="1">
      <alignment horizontal="left"/>
      <protection/>
    </xf>
    <xf numFmtId="42" fontId="10" fillId="0" borderId="0" xfId="141" applyNumberFormat="1" applyFont="1" applyFill="1" applyAlignment="1" applyProtection="1">
      <alignment/>
      <protection/>
    </xf>
    <xf numFmtId="220" fontId="10" fillId="0" borderId="0" xfId="0" applyNumberFormat="1" applyFont="1" applyFill="1" applyAlignment="1" applyProtection="1">
      <alignment horizontal="left"/>
      <protection/>
    </xf>
    <xf numFmtId="41" fontId="10" fillId="0" borderId="0" xfId="0" applyNumberFormat="1" applyFont="1" applyFill="1" applyAlignment="1" applyProtection="1">
      <alignment horizontal="left"/>
      <protection/>
    </xf>
    <xf numFmtId="41" fontId="10" fillId="0" borderId="0" xfId="0" applyNumberFormat="1" applyFont="1" applyFill="1" applyBorder="1" applyAlignment="1" applyProtection="1">
      <alignment/>
      <protection/>
    </xf>
    <xf numFmtId="42" fontId="10" fillId="0" borderId="4" xfId="141" applyNumberFormat="1" applyFont="1" applyFill="1" applyBorder="1" applyAlignment="1" applyProtection="1">
      <alignment/>
      <protection/>
    </xf>
    <xf numFmtId="42" fontId="10" fillId="0" borderId="0" xfId="141" applyNumberFormat="1" applyFont="1" applyFill="1" applyBorder="1" applyAlignment="1" applyProtection="1">
      <alignment/>
      <protection/>
    </xf>
    <xf numFmtId="204" fontId="10" fillId="0" borderId="0" xfId="0" applyNumberFormat="1" applyFont="1" applyFill="1" applyAlignment="1" applyProtection="1">
      <alignment horizontal="left"/>
      <protection/>
    </xf>
    <xf numFmtId="42" fontId="10" fillId="0" borderId="6" xfId="141" applyNumberFormat="1" applyFont="1" applyFill="1" applyBorder="1" applyAlignment="1" applyProtection="1">
      <alignment/>
      <protection/>
    </xf>
    <xf numFmtId="42" fontId="10" fillId="0" borderId="5" xfId="141" applyNumberFormat="1" applyFont="1" applyFill="1" applyBorder="1" applyAlignment="1" applyProtection="1">
      <alignment/>
      <protection/>
    </xf>
    <xf numFmtId="10" fontId="10" fillId="0" borderId="0" xfId="0" applyNumberFormat="1" applyFont="1" applyFill="1" applyAlignment="1" applyProtection="1">
      <alignment/>
      <protection/>
    </xf>
    <xf numFmtId="37" fontId="10" fillId="0" borderId="0" xfId="15" applyNumberFormat="1" applyFont="1" applyFill="1" applyAlignment="1">
      <alignment vertical="top"/>
    </xf>
    <xf numFmtId="168" fontId="10" fillId="0" borderId="5" xfId="367" applyNumberFormat="1" applyFont="1" applyFill="1" applyBorder="1" applyAlignment="1" applyProtection="1">
      <alignment/>
      <protection locked="0"/>
    </xf>
    <xf numFmtId="37" fontId="10" fillId="0" borderId="4" xfId="15" applyNumberFormat="1" applyFont="1" applyFill="1" applyBorder="1" applyAlignment="1">
      <alignment/>
    </xf>
    <xf numFmtId="37" fontId="10" fillId="0" borderId="0" xfId="15" applyNumberFormat="1" applyFont="1" applyFill="1" applyAlignment="1" applyProtection="1">
      <alignment vertical="center"/>
      <protection locked="0"/>
    </xf>
    <xf numFmtId="37" fontId="10" fillId="0" borderId="2" xfId="15" applyNumberFormat="1" applyFont="1" applyFill="1" applyBorder="1" applyAlignment="1" applyProtection="1">
      <alignment/>
      <protection locked="0"/>
    </xf>
    <xf numFmtId="5" fontId="11" fillId="0" borderId="1" xfId="141" applyNumberFormat="1" applyFont="1" applyFill="1" applyBorder="1" applyAlignment="1">
      <alignment/>
    </xf>
    <xf numFmtId="0" fontId="27" fillId="0" borderId="0" xfId="366" applyFont="1">
      <alignment/>
      <protection/>
    </xf>
    <xf numFmtId="0" fontId="5" fillId="0" borderId="0" xfId="366" applyFont="1" applyBorder="1">
      <alignment/>
      <protection/>
    </xf>
    <xf numFmtId="37" fontId="29" fillId="0" borderId="0" xfId="366" applyNumberFormat="1" applyFont="1" applyBorder="1" applyAlignment="1" applyProtection="1">
      <alignment horizontal="centerContinuous"/>
      <protection/>
    </xf>
    <xf numFmtId="0" fontId="29" fillId="0" borderId="0" xfId="366" applyFont="1" applyBorder="1">
      <alignment/>
      <protection/>
    </xf>
    <xf numFmtId="0" fontId="5" fillId="0" borderId="0" xfId="366" applyFont="1">
      <alignment/>
      <protection/>
    </xf>
    <xf numFmtId="0" fontId="5" fillId="0" borderId="0" xfId="366" applyFont="1" applyFill="1">
      <alignment/>
      <protection/>
    </xf>
    <xf numFmtId="0" fontId="5" fillId="0" borderId="0" xfId="366" applyFont="1" applyFill="1" applyBorder="1">
      <alignment/>
      <protection/>
    </xf>
    <xf numFmtId="37" fontId="28" fillId="0" borderId="8" xfId="366" applyNumberFormat="1" applyFont="1" applyBorder="1" applyAlignment="1" applyProtection="1">
      <alignment horizontal="centerContinuous"/>
      <protection/>
    </xf>
    <xf numFmtId="37" fontId="30" fillId="0" borderId="4" xfId="366" applyNumberFormat="1" applyFont="1" applyBorder="1" applyAlignment="1" applyProtection="1">
      <alignment horizontal="centerContinuous"/>
      <protection/>
    </xf>
    <xf numFmtId="0" fontId="5" fillId="0" borderId="4" xfId="366" applyFont="1" applyBorder="1" applyAlignment="1">
      <alignment horizontal="centerContinuous"/>
      <protection/>
    </xf>
    <xf numFmtId="0" fontId="5" fillId="0" borderId="0" xfId="366" applyFont="1" applyBorder="1">
      <alignment/>
      <protection/>
    </xf>
    <xf numFmtId="37" fontId="28" fillId="0" borderId="9" xfId="366" applyNumberFormat="1" applyFont="1" applyBorder="1" applyAlignment="1" applyProtection="1">
      <alignment horizontal="centerContinuous"/>
      <protection locked="0"/>
    </xf>
    <xf numFmtId="37" fontId="30" fillId="0" borderId="0" xfId="366" applyNumberFormat="1" applyFont="1" applyBorder="1" applyAlignment="1" applyProtection="1" quotePrefix="1">
      <alignment horizontal="centerContinuous"/>
      <protection locked="0"/>
    </xf>
    <xf numFmtId="0" fontId="5" fillId="0" borderId="0" xfId="366" applyFont="1" applyBorder="1" applyAlignment="1">
      <alignment horizontal="centerContinuous"/>
      <protection/>
    </xf>
    <xf numFmtId="0" fontId="5" fillId="0" borderId="10" xfId="366" applyFont="1" applyBorder="1" applyAlignment="1">
      <alignment horizontal="centerContinuous"/>
      <protection/>
    </xf>
    <xf numFmtId="37" fontId="28" fillId="0" borderId="11" xfId="366" applyNumberFormat="1" applyFont="1" applyBorder="1" applyAlignment="1" applyProtection="1">
      <alignment horizontal="centerContinuous"/>
      <protection/>
    </xf>
    <xf numFmtId="37" fontId="30" fillId="0" borderId="2" xfId="366" applyNumberFormat="1" applyFont="1" applyBorder="1" applyAlignment="1" applyProtection="1">
      <alignment horizontal="centerContinuous"/>
      <protection/>
    </xf>
    <xf numFmtId="0" fontId="5" fillId="0" borderId="2" xfId="366" applyFont="1" applyBorder="1" applyAlignment="1">
      <alignment horizontal="centerContinuous"/>
      <protection/>
    </xf>
    <xf numFmtId="0" fontId="5" fillId="0" borderId="12" xfId="366" applyFont="1" applyBorder="1" applyAlignment="1">
      <alignment horizontal="centerContinuous"/>
      <protection/>
    </xf>
    <xf numFmtId="0" fontId="30" fillId="0" borderId="9" xfId="366" applyNumberFormat="1" applyFont="1" applyBorder="1" applyAlignment="1" applyProtection="1">
      <alignment horizontal="centerContinuous"/>
      <protection/>
    </xf>
    <xf numFmtId="37" fontId="30" fillId="0" borderId="0" xfId="366" applyNumberFormat="1" applyFont="1" applyFill="1" applyBorder="1" applyAlignment="1" applyProtection="1">
      <alignment horizontal="centerContinuous"/>
      <protection/>
    </xf>
    <xf numFmtId="0" fontId="5" fillId="0" borderId="9" xfId="366" applyFont="1" applyBorder="1">
      <alignment/>
      <protection/>
    </xf>
    <xf numFmtId="0" fontId="30" fillId="0" borderId="0" xfId="366" applyNumberFormat="1" applyFont="1" applyBorder="1" applyAlignment="1" applyProtection="1">
      <alignment horizontal="center"/>
      <protection/>
    </xf>
    <xf numFmtId="37" fontId="30" fillId="0" borderId="10" xfId="366" applyNumberFormat="1" applyFont="1" applyFill="1" applyBorder="1" applyAlignment="1" applyProtection="1">
      <alignment horizontal="center"/>
      <protection/>
    </xf>
    <xf numFmtId="0" fontId="5" fillId="0" borderId="0" xfId="366" applyFont="1" applyBorder="1" applyAlignment="1">
      <alignment horizontal="right"/>
      <protection/>
    </xf>
    <xf numFmtId="0" fontId="5" fillId="0" borderId="2" xfId="366" applyFont="1" applyBorder="1">
      <alignment/>
      <protection/>
    </xf>
    <xf numFmtId="0" fontId="5" fillId="0" borderId="2" xfId="366" applyFont="1" applyBorder="1" applyAlignment="1">
      <alignment horizontal="right"/>
      <protection/>
    </xf>
    <xf numFmtId="37" fontId="30" fillId="0" borderId="9" xfId="366" applyNumberFormat="1" applyFont="1" applyBorder="1" applyAlignment="1" applyProtection="1">
      <alignment horizontal="left"/>
      <protection/>
    </xf>
    <xf numFmtId="37" fontId="30" fillId="0" borderId="11" xfId="366" applyNumberFormat="1" applyFont="1" applyBorder="1" applyAlignment="1" applyProtection="1">
      <alignment horizontal="left"/>
      <protection/>
    </xf>
    <xf numFmtId="0" fontId="29" fillId="0" borderId="0" xfId="366" applyNumberFormat="1" applyFont="1" applyBorder="1" applyAlignment="1" applyProtection="1">
      <alignment horizontal="left"/>
      <protection/>
    </xf>
    <xf numFmtId="0" fontId="30" fillId="0" borderId="0" xfId="366" applyNumberFormat="1" applyFont="1" applyBorder="1" applyAlignment="1" applyProtection="1">
      <alignment horizontal="left"/>
      <protection/>
    </xf>
    <xf numFmtId="0" fontId="28" fillId="0" borderId="0" xfId="366" applyNumberFormat="1" applyFont="1" applyBorder="1" applyAlignment="1" applyProtection="1">
      <alignment horizontal="left"/>
      <protection/>
    </xf>
    <xf numFmtId="198" fontId="30" fillId="0" borderId="0" xfId="140" applyNumberFormat="1" applyFont="1" applyFill="1" applyBorder="1" applyAlignment="1" applyProtection="1">
      <alignment horizontal="left"/>
      <protection/>
    </xf>
    <xf numFmtId="198" fontId="30" fillId="0" borderId="0" xfId="140" applyNumberFormat="1" applyFont="1" applyFill="1" applyBorder="1" applyAlignment="1" applyProtection="1">
      <alignment/>
      <protection locked="0"/>
    </xf>
    <xf numFmtId="198" fontId="30" fillId="0" borderId="0" xfId="140" applyNumberFormat="1" applyFont="1" applyFill="1" applyBorder="1" applyAlignment="1" applyProtection="1">
      <alignment horizontal="left"/>
      <protection locked="0"/>
    </xf>
    <xf numFmtId="0" fontId="29" fillId="0" borderId="0" xfId="366" applyNumberFormat="1" applyFont="1" applyBorder="1" applyAlignment="1" applyProtection="1" quotePrefix="1">
      <alignment horizontal="left"/>
      <protection/>
    </xf>
    <xf numFmtId="198" fontId="30" fillId="0" borderId="0" xfId="140" applyNumberFormat="1" applyFont="1" applyFill="1" applyBorder="1" applyAlignment="1" applyProtection="1">
      <alignment/>
      <protection/>
    </xf>
    <xf numFmtId="198" fontId="30" fillId="0" borderId="2" xfId="140" applyNumberFormat="1" applyFont="1" applyFill="1" applyBorder="1" applyAlignment="1" applyProtection="1">
      <alignment/>
      <protection locked="0"/>
    </xf>
    <xf numFmtId="198" fontId="5" fillId="0" borderId="0" xfId="140" applyNumberFormat="1" applyFont="1" applyFill="1" applyBorder="1" applyAlignment="1">
      <alignment/>
    </xf>
    <xf numFmtId="198" fontId="30" fillId="0" borderId="0" xfId="140" applyNumberFormat="1" applyFont="1" applyFill="1" applyBorder="1" applyAlignment="1" applyProtection="1">
      <alignment horizontal="right"/>
      <protection/>
    </xf>
    <xf numFmtId="0" fontId="28" fillId="0" borderId="0" xfId="366" applyNumberFormat="1" applyFont="1" applyBorder="1" applyAlignment="1" applyProtection="1" quotePrefix="1">
      <alignment horizontal="left"/>
      <protection/>
    </xf>
    <xf numFmtId="0" fontId="29" fillId="0" borderId="0" xfId="366" applyNumberFormat="1" applyFont="1" applyBorder="1" applyProtection="1">
      <alignment/>
      <protection/>
    </xf>
    <xf numFmtId="0" fontId="29" fillId="0" borderId="0" xfId="366" applyNumberFormat="1" applyFont="1" applyFill="1" applyBorder="1" applyAlignment="1" applyProtection="1" quotePrefix="1">
      <alignment horizontal="left"/>
      <protection/>
    </xf>
    <xf numFmtId="0" fontId="5" fillId="0" borderId="0" xfId="366" applyFont="1" applyBorder="1" applyAlignment="1" quotePrefix="1">
      <alignment horizontal="left"/>
      <protection/>
    </xf>
    <xf numFmtId="198" fontId="30" fillId="0" borderId="4" xfId="140" applyNumberFormat="1" applyFont="1" applyFill="1" applyBorder="1" applyAlignment="1" applyProtection="1">
      <alignment/>
      <protection locked="0"/>
    </xf>
    <xf numFmtId="198" fontId="30" fillId="0" borderId="2" xfId="140" applyNumberFormat="1" applyFont="1" applyFill="1" applyBorder="1" applyAlignment="1" applyProtection="1">
      <alignment/>
      <protection/>
    </xf>
    <xf numFmtId="0" fontId="29" fillId="0" borderId="0" xfId="366" applyNumberFormat="1" applyFont="1" applyBorder="1" applyAlignment="1" quotePrefix="1">
      <alignment horizontal="left"/>
      <protection/>
    </xf>
    <xf numFmtId="198" fontId="30" fillId="0" borderId="0" xfId="140" applyNumberFormat="1" applyFont="1" applyFill="1" applyBorder="1" applyAlignment="1" applyProtection="1" quotePrefix="1">
      <alignment horizontal="left"/>
      <protection/>
    </xf>
    <xf numFmtId="198" fontId="30" fillId="0" borderId="13" xfId="140" applyNumberFormat="1" applyFont="1" applyFill="1" applyBorder="1" applyAlignment="1" applyProtection="1">
      <alignment/>
      <protection/>
    </xf>
    <xf numFmtId="0" fontId="30" fillId="0" borderId="0" xfId="366" applyNumberFormat="1" applyFont="1" applyFill="1" applyBorder="1" applyAlignment="1" applyProtection="1">
      <alignment horizontal="right"/>
      <protection/>
    </xf>
    <xf numFmtId="0" fontId="31" fillId="0" borderId="0" xfId="366" applyNumberFormat="1" applyFont="1" applyFill="1" applyBorder="1" applyProtection="1">
      <alignment/>
      <protection locked="0"/>
    </xf>
    <xf numFmtId="0" fontId="30" fillId="0" borderId="0" xfId="366" applyFont="1" applyFill="1" applyBorder="1">
      <alignment/>
      <protection/>
    </xf>
    <xf numFmtId="10" fontId="30" fillId="0" borderId="2" xfId="366" applyNumberFormat="1" applyFont="1" applyFill="1" applyBorder="1" applyProtection="1">
      <alignment/>
      <protection/>
    </xf>
    <xf numFmtId="10" fontId="30" fillId="0" borderId="0" xfId="366" applyNumberFormat="1" applyFont="1" applyFill="1" applyBorder="1" applyProtection="1">
      <alignment/>
      <protection/>
    </xf>
    <xf numFmtId="0" fontId="29" fillId="0" borderId="0" xfId="366" applyNumberFormat="1" applyFont="1" applyBorder="1" applyAlignment="1" applyProtection="1">
      <alignment horizontal="left"/>
      <protection locked="0"/>
    </xf>
    <xf numFmtId="0" fontId="29" fillId="0" borderId="2" xfId="366" applyFont="1" applyBorder="1">
      <alignment/>
      <protection/>
    </xf>
    <xf numFmtId="0" fontId="30" fillId="0" borderId="2" xfId="366" applyFont="1" applyFill="1" applyBorder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7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14" fontId="19" fillId="0" borderId="0" xfId="0" applyNumberFormat="1" applyFont="1" applyFill="1" applyAlignment="1">
      <alignment horizontal="center"/>
    </xf>
    <xf numFmtId="198" fontId="19" fillId="0" borderId="0" xfId="78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10" fontId="32" fillId="0" borderId="6" xfId="367" applyNumberFormat="1" applyFont="1" applyFill="1" applyBorder="1" applyAlignment="1">
      <alignment/>
    </xf>
    <xf numFmtId="10" fontId="19" fillId="0" borderId="6" xfId="367" applyNumberFormat="1" applyFont="1" applyFill="1" applyBorder="1" applyAlignment="1">
      <alignment/>
    </xf>
    <xf numFmtId="3" fontId="19" fillId="0" borderId="0" xfId="78" applyNumberFormat="1" applyFont="1" applyFill="1" applyAlignment="1">
      <alignment/>
    </xf>
    <xf numFmtId="0" fontId="19" fillId="0" borderId="0" xfId="0" applyFont="1" applyFill="1" applyAlignment="1">
      <alignment horizontal="left" wrapText="1"/>
    </xf>
    <xf numFmtId="42" fontId="19" fillId="0" borderId="0" xfId="175" applyNumberFormat="1" applyFont="1" applyFill="1" applyAlignment="1">
      <alignment/>
    </xf>
    <xf numFmtId="41" fontId="19" fillId="0" borderId="0" xfId="175" applyNumberFormat="1" applyFont="1" applyFill="1" applyAlignment="1">
      <alignment/>
    </xf>
    <xf numFmtId="0" fontId="19" fillId="0" borderId="0" xfId="0" applyFont="1" applyFill="1" applyBorder="1" applyAlignment="1">
      <alignment horizontal="center"/>
    </xf>
    <xf numFmtId="42" fontId="19" fillId="0" borderId="13" xfId="175" applyNumberFormat="1" applyFont="1" applyFill="1" applyBorder="1" applyAlignment="1">
      <alignment/>
    </xf>
    <xf numFmtId="0" fontId="32" fillId="0" borderId="0" xfId="0" applyFont="1" applyAlignment="1">
      <alignment horizontal="center"/>
    </xf>
    <xf numFmtId="0" fontId="13" fillId="0" borderId="0" xfId="0" applyFont="1" applyAlignment="1">
      <alignment/>
    </xf>
    <xf numFmtId="14" fontId="19" fillId="0" borderId="0" xfId="0" applyNumberFormat="1" applyFont="1" applyAlignment="1">
      <alignment horizontal="center"/>
    </xf>
    <xf numFmtId="198" fontId="19" fillId="0" borderId="0" xfId="78" applyNumberFormat="1" applyFont="1" applyAlignment="1">
      <alignment/>
    </xf>
    <xf numFmtId="0" fontId="19" fillId="0" borderId="0" xfId="0" applyFont="1" applyAlignment="1">
      <alignment horizontal="left"/>
    </xf>
    <xf numFmtId="10" fontId="19" fillId="0" borderId="13" xfId="367" applyNumberFormat="1" applyFont="1" applyBorder="1" applyAlignment="1">
      <alignment/>
    </xf>
    <xf numFmtId="10" fontId="19" fillId="0" borderId="13" xfId="0" applyNumberFormat="1" applyFont="1" applyBorder="1" applyAlignment="1">
      <alignment/>
    </xf>
    <xf numFmtId="199" fontId="19" fillId="0" borderId="0" xfId="175" applyNumberFormat="1" applyFont="1" applyFill="1" applyAlignment="1">
      <alignment/>
    </xf>
    <xf numFmtId="199" fontId="19" fillId="0" borderId="0" xfId="0" applyNumberFormat="1" applyFont="1" applyAlignment="1">
      <alignment/>
    </xf>
    <xf numFmtId="199" fontId="19" fillId="0" borderId="0" xfId="175" applyNumberFormat="1" applyFont="1" applyAlignment="1">
      <alignment/>
    </xf>
    <xf numFmtId="0" fontId="19" fillId="0" borderId="0" xfId="0" applyFont="1" applyBorder="1" applyAlignment="1">
      <alignment/>
    </xf>
    <xf numFmtId="10" fontId="19" fillId="0" borderId="2" xfId="367" applyNumberFormat="1" applyFont="1" applyBorder="1" applyAlignment="1">
      <alignment/>
    </xf>
    <xf numFmtId="4" fontId="19" fillId="0" borderId="0" xfId="78" applyFont="1" applyAlignment="1">
      <alignment/>
    </xf>
    <xf numFmtId="10" fontId="19" fillId="0" borderId="6" xfId="367" applyNumberFormat="1" applyFont="1" applyBorder="1" applyAlignment="1">
      <alignment/>
    </xf>
    <xf numFmtId="43" fontId="19" fillId="0" borderId="0" xfId="0" applyNumberFormat="1" applyFont="1" applyFill="1" applyAlignment="1">
      <alignment/>
    </xf>
    <xf numFmtId="199" fontId="19" fillId="0" borderId="13" xfId="175" applyNumberFormat="1" applyFont="1" applyFill="1" applyBorder="1" applyAlignment="1">
      <alignment/>
    </xf>
    <xf numFmtId="10" fontId="19" fillId="0" borderId="6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32" fillId="0" borderId="0" xfId="0" applyFont="1" applyFill="1" applyAlignment="1">
      <alignment/>
    </xf>
    <xf numFmtId="0" fontId="13" fillId="0" borderId="0" xfId="0" applyFont="1" applyFill="1" applyAlignment="1" quotePrefix="1">
      <alignment horizontal="left"/>
    </xf>
    <xf numFmtId="42" fontId="19" fillId="0" borderId="2" xfId="0" applyNumberFormat="1" applyFont="1" applyFill="1" applyBorder="1" applyAlignment="1">
      <alignment/>
    </xf>
    <xf numFmtId="10" fontId="32" fillId="0" borderId="6" xfId="0" applyNumberFormat="1" applyFont="1" applyFill="1" applyBorder="1" applyAlignment="1">
      <alignment/>
    </xf>
    <xf numFmtId="0" fontId="33" fillId="0" borderId="0" xfId="0" applyFont="1" applyAlignment="1">
      <alignment/>
    </xf>
    <xf numFmtId="10" fontId="5" fillId="0" borderId="0" xfId="367" applyNumberFormat="1" applyFont="1" applyFill="1" applyBorder="1" applyAlignment="1">
      <alignment horizontal="center"/>
    </xf>
    <xf numFmtId="10" fontId="30" fillId="0" borderId="10" xfId="366" applyNumberFormat="1" applyFont="1" applyFill="1" applyBorder="1" applyAlignment="1" applyProtection="1">
      <alignment horizontal="center"/>
      <protection/>
    </xf>
    <xf numFmtId="10" fontId="5" fillId="0" borderId="2" xfId="367" applyNumberFormat="1" applyFont="1" applyFill="1" applyBorder="1" applyAlignment="1">
      <alignment horizontal="center"/>
    </xf>
    <xf numFmtId="10" fontId="30" fillId="0" borderId="12" xfId="366" applyNumberFormat="1" applyFont="1" applyFill="1" applyBorder="1" applyAlignment="1" applyProtection="1">
      <alignment horizontal="center"/>
      <protection/>
    </xf>
    <xf numFmtId="22" fontId="10" fillId="0" borderId="0" xfId="0" applyNumberFormat="1" applyFont="1" applyFill="1" applyAlignment="1">
      <alignment vertical="center"/>
    </xf>
    <xf numFmtId="15" fontId="10" fillId="0" borderId="0" xfId="0" applyNumberFormat="1" applyFont="1" applyFill="1" applyAlignment="1">
      <alignment vertical="center"/>
    </xf>
    <xf numFmtId="184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 quotePrefix="1">
      <alignment horizontal="right" vertical="center"/>
    </xf>
    <xf numFmtId="0" fontId="11" fillId="0" borderId="7" xfId="0" applyFont="1" applyFill="1" applyBorder="1" applyAlignment="1" quotePrefix="1">
      <alignment horizontal="center" vertical="center"/>
    </xf>
    <xf numFmtId="0" fontId="10" fillId="0" borderId="0" xfId="0" applyFont="1" applyFill="1" applyAlignment="1">
      <alignment horizontal="centerContinuous" vertical="center"/>
    </xf>
    <xf numFmtId="3" fontId="10" fillId="0" borderId="0" xfId="15" applyNumberFormat="1" applyFont="1" applyFill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Font="1" applyFill="1" applyAlignment="1">
      <alignment/>
    </xf>
    <xf numFmtId="14" fontId="17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horizontal="centerContinuous"/>
    </xf>
    <xf numFmtId="3" fontId="24" fillId="0" borderId="0" xfId="15" applyNumberFormat="1" applyFont="1" applyFill="1" applyAlignment="1">
      <alignment/>
    </xf>
    <xf numFmtId="0" fontId="17" fillId="0" borderId="0" xfId="0" applyFont="1" applyFill="1" applyAlignment="1">
      <alignment horizontal="left"/>
    </xf>
    <xf numFmtId="14" fontId="24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34" fillId="0" borderId="0" xfId="0" applyFont="1" applyFill="1" applyAlignment="1">
      <alignment vertical="top"/>
    </xf>
    <xf numFmtId="14" fontId="35" fillId="0" borderId="0" xfId="0" applyNumberFormat="1" applyFont="1" applyFill="1" applyAlignment="1">
      <alignment horizontal="right" vertical="top"/>
    </xf>
    <xf numFmtId="0" fontId="34" fillId="0" borderId="0" xfId="0" applyFont="1" applyFill="1" applyAlignment="1">
      <alignment horizontal="centerContinuous" vertical="top"/>
    </xf>
    <xf numFmtId="3" fontId="34" fillId="0" borderId="0" xfId="15" applyNumberFormat="1" applyFont="1" applyFill="1" applyAlignment="1">
      <alignment vertical="top"/>
    </xf>
    <xf numFmtId="0" fontId="35" fillId="0" borderId="0" xfId="0" applyFont="1" applyFill="1" applyAlignment="1">
      <alignment horizontal="left" vertical="top"/>
    </xf>
    <xf numFmtId="14" fontId="34" fillId="0" borderId="0" xfId="0" applyNumberFormat="1" applyFont="1" applyFill="1" applyAlignment="1">
      <alignment vertical="top"/>
    </xf>
    <xf numFmtId="0" fontId="34" fillId="0" borderId="0" xfId="0" applyFont="1" applyAlignment="1">
      <alignment vertical="top"/>
    </xf>
    <xf numFmtId="0" fontId="30" fillId="0" borderId="0" xfId="366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98" fontId="29" fillId="0" borderId="0" xfId="366" applyNumberFormat="1" applyFont="1" applyBorder="1" applyAlignment="1" applyProtection="1">
      <alignment horizontal="left"/>
      <protection/>
    </xf>
    <xf numFmtId="0" fontId="29" fillId="0" borderId="0" xfId="366" applyNumberFormat="1" applyFont="1" applyFill="1" applyBorder="1" applyAlignment="1" applyProtection="1">
      <alignment horizontal="left"/>
      <protection/>
    </xf>
    <xf numFmtId="0" fontId="29" fillId="0" borderId="0" xfId="366" applyFont="1" applyFill="1" applyBorder="1">
      <alignment/>
      <protection/>
    </xf>
    <xf numFmtId="6" fontId="30" fillId="0" borderId="0" xfId="141" applyNumberFormat="1" applyFont="1" applyFill="1" applyBorder="1" applyAlignment="1" applyProtection="1">
      <alignment/>
      <protection locked="0"/>
    </xf>
    <xf numFmtId="6" fontId="30" fillId="0" borderId="5" xfId="141" applyNumberFormat="1" applyFont="1" applyFill="1" applyBorder="1" applyAlignment="1" applyProtection="1">
      <alignment/>
      <protection/>
    </xf>
    <xf numFmtId="0" fontId="36" fillId="0" borderId="7" xfId="0" applyFont="1" applyFill="1" applyBorder="1" applyAlignment="1">
      <alignment horizontal="center" vertical="center"/>
    </xf>
    <xf numFmtId="0" fontId="11" fillId="0" borderId="14" xfId="0" applyFont="1" applyFill="1" applyBorder="1" applyAlignment="1" quotePrefix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366" applyFont="1">
      <alignment/>
      <protection/>
    </xf>
    <xf numFmtId="14" fontId="11" fillId="0" borderId="0" xfId="0" applyNumberFormat="1" applyFont="1" applyFill="1" applyAlignment="1">
      <alignment horizontal="right" vertical="center"/>
    </xf>
    <xf numFmtId="14" fontId="37" fillId="0" borderId="0" xfId="0" applyNumberFormat="1" applyFont="1" applyFill="1" applyAlignment="1">
      <alignment horizontal="right" vertical="center"/>
    </xf>
    <xf numFmtId="42" fontId="30" fillId="0" borderId="0" xfId="141" applyNumberFormat="1" applyFont="1" applyFill="1" applyBorder="1" applyAlignment="1" applyProtection="1">
      <alignment/>
      <protection locked="0"/>
    </xf>
    <xf numFmtId="42" fontId="19" fillId="0" borderId="0" xfId="0" applyNumberFormat="1" applyFont="1" applyFill="1" applyAlignment="1">
      <alignment/>
    </xf>
    <xf numFmtId="42" fontId="30" fillId="0" borderId="13" xfId="141" applyNumberFormat="1" applyFont="1" applyFill="1" applyBorder="1" applyAlignment="1" applyProtection="1">
      <alignment/>
      <protection locked="0"/>
    </xf>
    <xf numFmtId="42" fontId="30" fillId="0" borderId="4" xfId="141" applyNumberFormat="1" applyFont="1" applyFill="1" applyBorder="1" applyAlignment="1" applyProtection="1">
      <alignment/>
      <protection/>
    </xf>
    <xf numFmtId="42" fontId="19" fillId="0" borderId="0" xfId="0" applyNumberFormat="1" applyFont="1" applyAlignment="1">
      <alignment/>
    </xf>
    <xf numFmtId="42" fontId="30" fillId="0" borderId="6" xfId="141" applyNumberFormat="1" applyFont="1" applyFill="1" applyBorder="1" applyAlignment="1" applyProtection="1">
      <alignment/>
      <protection/>
    </xf>
    <xf numFmtId="42" fontId="19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center"/>
    </xf>
  </cellXfs>
  <cellStyles count="357">
    <cellStyle name="Normal" xfId="0"/>
    <cellStyle name="Comma" xfId="15"/>
    <cellStyle name="Comma [0]" xfId="16"/>
    <cellStyle name="Comma [0]_CCOCPX" xfId="17"/>
    <cellStyle name="Comma [0]_E&amp;ONW1" xfId="18"/>
    <cellStyle name="Comma [0]_E&amp;ONW2" xfId="19"/>
    <cellStyle name="Comma [0]_E&amp;OOCPX" xfId="20"/>
    <cellStyle name="Comma [0]_F&amp;COCPX" xfId="21"/>
    <cellStyle name="Comma [0]_GRC Unit Cost 2003 to 2001" xfId="22"/>
    <cellStyle name="Comma [0]_Inputs" xfId="23"/>
    <cellStyle name="Comma [0]_ITOCPX" xfId="24"/>
    <cellStyle name="Comma [0]_laroux" xfId="25"/>
    <cellStyle name="Comma [0]_laroux_1" xfId="26"/>
    <cellStyle name="Comma [0]_laroux_2" xfId="27"/>
    <cellStyle name="Comma [0]_laroux_2_pldt" xfId="28"/>
    <cellStyle name="Comma [0]_laroux_MATERAL2" xfId="29"/>
    <cellStyle name="Comma [0]_laroux_MATERAL2_pldt" xfId="30"/>
    <cellStyle name="Comma [0]_laroux_mud plant bolted" xfId="31"/>
    <cellStyle name="Comma [0]_MATERAL2" xfId="32"/>
    <cellStyle name="Comma [0]_MKGOCPX" xfId="33"/>
    <cellStyle name="Comma [0]_MOBCPX" xfId="34"/>
    <cellStyle name="Comma [0]_mud plant bolted" xfId="35"/>
    <cellStyle name="Comma [0]_mud plant bolted_pldt" xfId="36"/>
    <cellStyle name="Comma [0]_OSMOCPX" xfId="37"/>
    <cellStyle name="Comma [0]_PGMKOCPX" xfId="38"/>
    <cellStyle name="Comma [0]_PGNW1" xfId="39"/>
    <cellStyle name="Comma [0]_PGNW2" xfId="40"/>
    <cellStyle name="Comma [0]_PGNWOCPX" xfId="41"/>
    <cellStyle name="Comma [0]_pldt" xfId="42"/>
    <cellStyle name="Comma [0]_pldt_1" xfId="43"/>
    <cellStyle name="Comma [0]_SATOCPX" xfId="44"/>
    <cellStyle name="Comma [0]_TMSNW1" xfId="45"/>
    <cellStyle name="Comma [0]_TMSNW2" xfId="46"/>
    <cellStyle name="Comma [0]_TMSOCPX" xfId="47"/>
    <cellStyle name="Comma [0]_Unit Cost Gas 2003 to 2001" xfId="48"/>
    <cellStyle name="Comma_ALLOC 4-factor 0903" xfId="49"/>
    <cellStyle name="Comma_Capex" xfId="50"/>
    <cellStyle name="Comma_Capex per line" xfId="51"/>
    <cellStyle name="Comma_Capex%rev" xfId="52"/>
    <cellStyle name="Comma_C-Cap intensity" xfId="53"/>
    <cellStyle name="Comma_C-Cap intensity_pldt" xfId="54"/>
    <cellStyle name="Comma_C-Capex%rev" xfId="55"/>
    <cellStyle name="Comma_C-Capex%rev_pldt" xfId="56"/>
    <cellStyle name="Comma_CCOCPX" xfId="57"/>
    <cellStyle name="Comma_Cht-Capex per line" xfId="58"/>
    <cellStyle name="Comma_Cht-Capex per line_pldt" xfId="59"/>
    <cellStyle name="Comma_Cht-Cum Real Opr Cf" xfId="60"/>
    <cellStyle name="Comma_Cht-Cum Real Opr Cf_pldt" xfId="61"/>
    <cellStyle name="Comma_Cht-Dep%Rev" xfId="62"/>
    <cellStyle name="Comma_Cht-Dep%Rev_pldt" xfId="63"/>
    <cellStyle name="Comma_Cht-Real Opr Cf" xfId="64"/>
    <cellStyle name="Comma_Cht-Real Opr Cf_pldt" xfId="65"/>
    <cellStyle name="Comma_Cht-Rev dist" xfId="66"/>
    <cellStyle name="Comma_Cht-Rev dist_pldt" xfId="67"/>
    <cellStyle name="Comma_Cht-Rev p line" xfId="68"/>
    <cellStyle name="Comma_Cht-Rev p line_pldt" xfId="69"/>
    <cellStyle name="Comma_Cht-Rev per Staff" xfId="70"/>
    <cellStyle name="Comma_Cht-Rev per Staff_pldt" xfId="71"/>
    <cellStyle name="Comma_Cht-Staff cost%revenue" xfId="72"/>
    <cellStyle name="Comma_Cht-Staff cost%revenue_pldt" xfId="73"/>
    <cellStyle name="Comma_C-Line per Staff" xfId="74"/>
    <cellStyle name="Comma_C-Line per Staff_pldt" xfId="75"/>
    <cellStyle name="Comma_C-lines distribution" xfId="76"/>
    <cellStyle name="Comma_C-lines distribution_pldt" xfId="77"/>
    <cellStyle name="Comma_Common Allocators GRC TY 0903" xfId="78"/>
    <cellStyle name="Comma_C-Orig PLDT lines" xfId="79"/>
    <cellStyle name="Comma_C-Orig PLDT lines_pldt" xfId="80"/>
    <cellStyle name="Comma_C-Ret on Rev" xfId="81"/>
    <cellStyle name="Comma_C-Ret on Rev_pldt" xfId="82"/>
    <cellStyle name="Comma_C-ROACE" xfId="83"/>
    <cellStyle name="Comma_C-ROACE_pldt" xfId="84"/>
    <cellStyle name="Comma_CROCF" xfId="85"/>
    <cellStyle name="Comma_Cum Real Opr Cf" xfId="86"/>
    <cellStyle name="Comma_Demand Fcst." xfId="87"/>
    <cellStyle name="Comma_Dep%Rev" xfId="88"/>
    <cellStyle name="Comma_E&amp;ONW1" xfId="89"/>
    <cellStyle name="Comma_E&amp;ONW2" xfId="90"/>
    <cellStyle name="Comma_E&amp;OOCPX" xfId="91"/>
    <cellStyle name="Comma_EPS" xfId="92"/>
    <cellStyle name="Comma_F&amp;COCPX" xfId="93"/>
    <cellStyle name="Comma_GRC Unit Cost 2003 to 2001" xfId="94"/>
    <cellStyle name="Comma_Inputs" xfId="95"/>
    <cellStyle name="Comma_IRR" xfId="96"/>
    <cellStyle name="Comma_ITOCPX" xfId="97"/>
    <cellStyle name="Comma_laroux" xfId="98"/>
    <cellStyle name="Comma_laroux_1" xfId="99"/>
    <cellStyle name="Comma_laroux_1_pldt" xfId="100"/>
    <cellStyle name="Comma_laroux_2" xfId="101"/>
    <cellStyle name="Comma_laroux_2_pldt" xfId="102"/>
    <cellStyle name="Comma_laroux_pldt" xfId="103"/>
    <cellStyle name="Comma_Line Inst." xfId="104"/>
    <cellStyle name="Comma_MATERAL2" xfId="105"/>
    <cellStyle name="Comma_MKGOCPX" xfId="106"/>
    <cellStyle name="Comma_Mkt Shr" xfId="107"/>
    <cellStyle name="Comma_MOBCPX" xfId="108"/>
    <cellStyle name="Comma_model" xfId="109"/>
    <cellStyle name="Comma_mud plant bolted" xfId="110"/>
    <cellStyle name="Comma_NCR-C&amp;W Val" xfId="111"/>
    <cellStyle name="Comma_NCR-Cap intensity" xfId="112"/>
    <cellStyle name="Comma_NCR-Line per Staff" xfId="113"/>
    <cellStyle name="Comma_NCR-Rev dist" xfId="114"/>
    <cellStyle name="Comma_Op Cost Break" xfId="115"/>
    <cellStyle name="Comma_OSMOCPX" xfId="116"/>
    <cellStyle name="Comma_PGMKOCPX" xfId="117"/>
    <cellStyle name="Comma_PGNW1" xfId="118"/>
    <cellStyle name="Comma_PGNW2" xfId="119"/>
    <cellStyle name="Comma_PGNWOCPX" xfId="120"/>
    <cellStyle name="Comma_pldt" xfId="121"/>
    <cellStyle name="Comma_pldt_1" xfId="122"/>
    <cellStyle name="Comma_pldt_2" xfId="123"/>
    <cellStyle name="Comma_pldt_2_pldt" xfId="124"/>
    <cellStyle name="Comma_Real Opr Cf" xfId="125"/>
    <cellStyle name="Comma_Real Rev per Staff (1)" xfId="126"/>
    <cellStyle name="Comma_Real Rev per Staff (2)" xfId="127"/>
    <cellStyle name="Comma_Region 2-C&amp;W" xfId="128"/>
    <cellStyle name="Comma_Return on Rev" xfId="129"/>
    <cellStyle name="Comma_Rev p line" xfId="130"/>
    <cellStyle name="Comma_ROACE" xfId="131"/>
    <cellStyle name="Comma_ROCF (Tot)" xfId="132"/>
    <cellStyle name="Comma_SATOCPX" xfId="133"/>
    <cellStyle name="Comma_Staff cost%rev" xfId="134"/>
    <cellStyle name="Comma_TMSNW1" xfId="135"/>
    <cellStyle name="Comma_TMSNW2" xfId="136"/>
    <cellStyle name="Comma_TMSOCPX" xfId="137"/>
    <cellStyle name="Comma_Total-Rev dist." xfId="138"/>
    <cellStyle name="Comma_Unit Cost Gas 2003 to 2001" xfId="139"/>
    <cellStyle name="Comma_WC-RB GRC TY0903 RY0206" xfId="140"/>
    <cellStyle name="Currency" xfId="141"/>
    <cellStyle name="Currency [0]" xfId="142"/>
    <cellStyle name="Currency [0]_CCOCPX" xfId="143"/>
    <cellStyle name="Currency [0]_E&amp;ONW1" xfId="144"/>
    <cellStyle name="Currency [0]_E&amp;ONW2" xfId="145"/>
    <cellStyle name="Currency [0]_E&amp;OOCPX" xfId="146"/>
    <cellStyle name="Currency [0]_F&amp;COCPX" xfId="147"/>
    <cellStyle name="Currency [0]_GRC Unit Cost 2003 to 2001" xfId="148"/>
    <cellStyle name="Currency [0]_Inputs" xfId="149"/>
    <cellStyle name="Currency [0]_ITOCPX" xfId="150"/>
    <cellStyle name="Currency [0]_laroux" xfId="151"/>
    <cellStyle name="Currency [0]_laroux_1" xfId="152"/>
    <cellStyle name="Currency [0]_laroux_2" xfId="153"/>
    <cellStyle name="Currency [0]_laroux_MATERAL2" xfId="154"/>
    <cellStyle name="Currency [0]_laroux_mud plant bolted" xfId="155"/>
    <cellStyle name="Currency [0]_MATERAL2" xfId="156"/>
    <cellStyle name="Currency [0]_MKGOCPX" xfId="157"/>
    <cellStyle name="Currency [0]_MOBCPX" xfId="158"/>
    <cellStyle name="Currency [0]_mud plant bolted" xfId="159"/>
    <cellStyle name="Currency [0]_OSMOCPX" xfId="160"/>
    <cellStyle name="Currency [0]_PGMKOCPX" xfId="161"/>
    <cellStyle name="Currency [0]_PGNW1" xfId="162"/>
    <cellStyle name="Currency [0]_PGNW2" xfId="163"/>
    <cellStyle name="Currency [0]_PGNWOCPX" xfId="164"/>
    <cellStyle name="Currency [0]_pldt" xfId="165"/>
    <cellStyle name="Currency [0]_pldt_1" xfId="166"/>
    <cellStyle name="Currency [0]_pldt_2" xfId="167"/>
    <cellStyle name="Currency [0]_SATOCPX" xfId="168"/>
    <cellStyle name="Currency [0]_TMSNW1" xfId="169"/>
    <cellStyle name="Currency [0]_TMSNW2" xfId="170"/>
    <cellStyle name="Currency [0]_TMSOCPX" xfId="171"/>
    <cellStyle name="Currency [0]_Unit Cost Gas 2003 to 2001" xfId="172"/>
    <cellStyle name="Currency_ALLOC 4-factor 0903" xfId="173"/>
    <cellStyle name="Currency_CCOCPX" xfId="174"/>
    <cellStyle name="Currency_Common Allocators GRC TY 0903" xfId="175"/>
    <cellStyle name="Currency_E&amp;ONW1" xfId="176"/>
    <cellStyle name="Currency_E&amp;ONW2" xfId="177"/>
    <cellStyle name="Currency_E&amp;OOCPX" xfId="178"/>
    <cellStyle name="Currency_F&amp;COCPX" xfId="179"/>
    <cellStyle name="Currency_Inputs" xfId="180"/>
    <cellStyle name="Currency_ITOCPX" xfId="181"/>
    <cellStyle name="Currency_laroux" xfId="182"/>
    <cellStyle name="Currency_laroux_1" xfId="183"/>
    <cellStyle name="Currency_laroux_2" xfId="184"/>
    <cellStyle name="Currency_MATERAL2" xfId="185"/>
    <cellStyle name="Currency_MKGOCPX" xfId="186"/>
    <cellStyle name="Currency_MOBCPX" xfId="187"/>
    <cellStyle name="Currency_model" xfId="188"/>
    <cellStyle name="Currency_mud plant bolted" xfId="189"/>
    <cellStyle name="Currency_OSMOCPX" xfId="190"/>
    <cellStyle name="Currency_PGMKOCPX" xfId="191"/>
    <cellStyle name="Currency_PGNW1" xfId="192"/>
    <cellStyle name="Currency_PGNW2" xfId="193"/>
    <cellStyle name="Currency_PGNWOCPX" xfId="194"/>
    <cellStyle name="Currency_pldt" xfId="195"/>
    <cellStyle name="Currency_pldt_1" xfId="196"/>
    <cellStyle name="Currency_pldt_2" xfId="197"/>
    <cellStyle name="Currency_SATOCPX" xfId="198"/>
    <cellStyle name="Currency_TMSNW1" xfId="199"/>
    <cellStyle name="Currency_TMSNW2" xfId="200"/>
    <cellStyle name="Currency_TMSOCPX" xfId="201"/>
    <cellStyle name="Currency_Unit Cost Gas 2003 to 2001" xfId="202"/>
    <cellStyle name="Currency_WC-RB GRC TY0903 RY0206" xfId="203"/>
    <cellStyle name="Followed Hyperlink" xfId="204"/>
    <cellStyle name="Grey" xfId="205"/>
    <cellStyle name="Grey_pldt" xfId="206"/>
    <cellStyle name="Heading1" xfId="207"/>
    <cellStyle name="Heading2" xfId="208"/>
    <cellStyle name="Hyperlink" xfId="209"/>
    <cellStyle name="Input [yellow]" xfId="210"/>
    <cellStyle name="Input [yellow]_pldt" xfId="211"/>
    <cellStyle name="Normal - Style1" xfId="212"/>
    <cellStyle name="Normal - Style1_WC-RB GRC TY0903 RY0206" xfId="213"/>
    <cellStyle name="Normal_60010000" xfId="214"/>
    <cellStyle name="Normal_60012000" xfId="215"/>
    <cellStyle name="Normal_60013000" xfId="216"/>
    <cellStyle name="Normal_60014000" xfId="217"/>
    <cellStyle name="Normal_60020000" xfId="218"/>
    <cellStyle name="Normal_60022000" xfId="219"/>
    <cellStyle name="Normal_60023000" xfId="220"/>
    <cellStyle name="Normal_60024000" xfId="221"/>
    <cellStyle name="Normal_60030000" xfId="222"/>
    <cellStyle name="Normal_60031000" xfId="223"/>
    <cellStyle name="Normal_60032000" xfId="224"/>
    <cellStyle name="Normal_60040000" xfId="225"/>
    <cellStyle name="Normal_60041000" xfId="226"/>
    <cellStyle name="Normal_60042000" xfId="227"/>
    <cellStyle name="Normal_60043000" xfId="228"/>
    <cellStyle name="Normal_60050000" xfId="229"/>
    <cellStyle name="Normal_60051000" xfId="230"/>
    <cellStyle name="Normal_60052000" xfId="231"/>
    <cellStyle name="Normal_60053000" xfId="232"/>
    <cellStyle name="Normal_60054000" xfId="233"/>
    <cellStyle name="Normal_60070000" xfId="234"/>
    <cellStyle name="Normal_60081000" xfId="235"/>
    <cellStyle name="Normal_60085000" xfId="236"/>
    <cellStyle name="Normal_60091000" xfId="237"/>
    <cellStyle name="Normal_69980040" xfId="238"/>
    <cellStyle name="Normal_69990070" xfId="239"/>
    <cellStyle name="Normal_80300000" xfId="240"/>
    <cellStyle name="Normal_80300003" xfId="241"/>
    <cellStyle name="Normal_acct_description" xfId="242"/>
    <cellStyle name="Normal_ALL_Labor" xfId="243"/>
    <cellStyle name="Normal_asset report 093003" xfId="244"/>
    <cellStyle name="Normal_BASECOST" xfId="245"/>
    <cellStyle name="Normal_Book2" xfId="246"/>
    <cellStyle name="Normal_Capex" xfId="247"/>
    <cellStyle name="Normal_Capex per line" xfId="248"/>
    <cellStyle name="Normal_Capex%rev" xfId="249"/>
    <cellStyle name="Normal_C-Cap intensity" xfId="250"/>
    <cellStyle name="Normal_C-Cap intensity_pldt" xfId="251"/>
    <cellStyle name="Normal_C-Capex%rev" xfId="252"/>
    <cellStyle name="Normal_C-Capex%rev_pldt" xfId="253"/>
    <cellStyle name="Normal_CCOCPX" xfId="254"/>
    <cellStyle name="Normal_Cht-Capex per line" xfId="255"/>
    <cellStyle name="Normal_Cht-Capex per line_pldt" xfId="256"/>
    <cellStyle name="Normal_Cht-Cum Real Opr Cf" xfId="257"/>
    <cellStyle name="Normal_Cht-Cum Real Opr Cf_pldt" xfId="258"/>
    <cellStyle name="Normal_Cht-Dep%Rev" xfId="259"/>
    <cellStyle name="Normal_Cht-Dep%Rev_pldt" xfId="260"/>
    <cellStyle name="Normal_Cht-Real Opr Cf" xfId="261"/>
    <cellStyle name="Normal_Cht-Real Opr Cf_pldt" xfId="262"/>
    <cellStyle name="Normal_Cht-Rev dist" xfId="263"/>
    <cellStyle name="Normal_Cht-Rev dist_pldt" xfId="264"/>
    <cellStyle name="Normal_Cht-Rev p line" xfId="265"/>
    <cellStyle name="Normal_Cht-Rev p line_pldt" xfId="266"/>
    <cellStyle name="Normal_Cht-Rev per Staff" xfId="267"/>
    <cellStyle name="Normal_Cht-Rev per Staff_pldt" xfId="268"/>
    <cellStyle name="Normal_Cht-Staff cost%revenue" xfId="269"/>
    <cellStyle name="Normal_Cht-Staff cost%revenue_pldt" xfId="270"/>
    <cellStyle name="Normal_C-Line per Staff" xfId="271"/>
    <cellStyle name="Normal_C-Line per Staff_pldt" xfId="272"/>
    <cellStyle name="Normal_C-lines distribution" xfId="273"/>
    <cellStyle name="Normal_C-lines distribution_pldt" xfId="274"/>
    <cellStyle name="Normal_C-Orig PLDT lines" xfId="275"/>
    <cellStyle name="Normal_C-Orig PLDT lines_pldt" xfId="276"/>
    <cellStyle name="Normal_Co-wide Monthly" xfId="277"/>
    <cellStyle name="Normal_C-Ret on Rev" xfId="278"/>
    <cellStyle name="Normal_C-Ret on Rev_pldt" xfId="279"/>
    <cellStyle name="Normal_C-ROACE" xfId="280"/>
    <cellStyle name="Normal_C-ROACE_pldt" xfId="281"/>
    <cellStyle name="Normal_CROCF" xfId="282"/>
    <cellStyle name="Normal_Cum Real Opr Cf" xfId="283"/>
    <cellStyle name="Normal_Data" xfId="284"/>
    <cellStyle name="Normal_Demand Fcst." xfId="285"/>
    <cellStyle name="Normal_Dep%Rev" xfId="286"/>
    <cellStyle name="Normal_E&amp;ONW1" xfId="287"/>
    <cellStyle name="Normal_E&amp;ONW2" xfId="288"/>
    <cellStyle name="Normal_E&amp;OOCPX" xfId="289"/>
    <cellStyle name="Normal_EPS" xfId="290"/>
    <cellStyle name="Normal_F&amp;COCPX" xfId="291"/>
    <cellStyle name="Normal_FA" xfId="292"/>
    <cellStyle name="Normal_GRC Unit Cost 2003 to 2001" xfId="293"/>
    <cellStyle name="Normal_Inputs" xfId="294"/>
    <cellStyle name="Normal_IRR" xfId="295"/>
    <cellStyle name="Normal_ITOCPX" xfId="296"/>
    <cellStyle name="Normal_laroux" xfId="297"/>
    <cellStyle name="Normal_laroux_1" xfId="298"/>
    <cellStyle name="Normal_laroux_1_pldt" xfId="299"/>
    <cellStyle name="Normal_laroux_2" xfId="300"/>
    <cellStyle name="Normal_laroux_2_pldt" xfId="301"/>
    <cellStyle name="Normal_laroux_3" xfId="302"/>
    <cellStyle name="Normal_laroux_3_pldt" xfId="303"/>
    <cellStyle name="Normal_laroux_3_pldt_1" xfId="304"/>
    <cellStyle name="Normal_laroux_4" xfId="305"/>
    <cellStyle name="Normal_laroux_4_pldt" xfId="306"/>
    <cellStyle name="Normal_laroux_5" xfId="307"/>
    <cellStyle name="Normal_laroux_5_pldt" xfId="308"/>
    <cellStyle name="Normal_laroux_5_pldt_pldt" xfId="309"/>
    <cellStyle name="Normal_laroux_6" xfId="310"/>
    <cellStyle name="Normal_laroux_6_pldt" xfId="311"/>
    <cellStyle name="Normal_laroux_7" xfId="312"/>
    <cellStyle name="Normal_laroux_8" xfId="313"/>
    <cellStyle name="Normal_laroux_pldt" xfId="314"/>
    <cellStyle name="Normal_laroux_pldt_WC-RB GRC TY0903 RY0206" xfId="315"/>
    <cellStyle name="Normal_Line Inst." xfId="316"/>
    <cellStyle name="Normal_MATERAL2" xfId="317"/>
    <cellStyle name="Normal_MATERAL2_pldt" xfId="318"/>
    <cellStyle name="Normal_MKGOCPX" xfId="319"/>
    <cellStyle name="Normal_Mkt Shr" xfId="320"/>
    <cellStyle name="Normal_MOBCPX" xfId="321"/>
    <cellStyle name="Normal_model" xfId="322"/>
    <cellStyle name="Normal_Monthly Detail by Class&amp;Rate" xfId="323"/>
    <cellStyle name="Normal_mud plant bolted" xfId="324"/>
    <cellStyle name="Normal_NCR-C&amp;W Val" xfId="325"/>
    <cellStyle name="Normal_NCR-Cap intensity" xfId="326"/>
    <cellStyle name="Normal_NCR-Line per Staff" xfId="327"/>
    <cellStyle name="Normal_NCR-Rev dist" xfId="328"/>
    <cellStyle name="Normal_O&amp;M_Labor" xfId="329"/>
    <cellStyle name="Normal_Op Cost Break" xfId="330"/>
    <cellStyle name="Normal_OSMOCPX" xfId="331"/>
    <cellStyle name="Normal_PGMKOCPX" xfId="332"/>
    <cellStyle name="Normal_PGNW1" xfId="333"/>
    <cellStyle name="Normal_PGNW2" xfId="334"/>
    <cellStyle name="Normal_PGNWOCPX" xfId="335"/>
    <cellStyle name="Normal_PLDT" xfId="336"/>
    <cellStyle name="Normal_PLDT_1" xfId="337"/>
    <cellStyle name="Normal_pldt_2" xfId="338"/>
    <cellStyle name="Normal_pldt_2_pldt" xfId="339"/>
    <cellStyle name="Normal_pldt_3" xfId="340"/>
    <cellStyle name="Normal_pldt_4" xfId="341"/>
    <cellStyle name="Normal_pldt_4_pldt" xfId="342"/>
    <cellStyle name="Normal_pldt_5" xfId="343"/>
    <cellStyle name="Normal_pldt_6" xfId="344"/>
    <cellStyle name="Normal_Real Opr Cf" xfId="345"/>
    <cellStyle name="Normal_Real Rev per Staff (1)" xfId="346"/>
    <cellStyle name="Normal_Real Rev per Staff (2)" xfId="347"/>
    <cellStyle name="Normal_Region 2-C&amp;W" xfId="348"/>
    <cellStyle name="Normal_RESCOST" xfId="349"/>
    <cellStyle name="Normal_Return on Rev" xfId="350"/>
    <cellStyle name="Normal_Rev p line" xfId="351"/>
    <cellStyle name="Normal_ROACE" xfId="352"/>
    <cellStyle name="Normal_ROCF (Tot)" xfId="353"/>
    <cellStyle name="Normal_SATOCPX" xfId="354"/>
    <cellStyle name="Normal_Sheet1" xfId="355"/>
    <cellStyle name="Normal_Staff cost%rev" xfId="356"/>
    <cellStyle name="Normal_T&amp;D_Labor" xfId="357"/>
    <cellStyle name="Normal_TD&amp;G Plant" xfId="358"/>
    <cellStyle name="Normal_TMSNW1" xfId="359"/>
    <cellStyle name="Normal_TMSNW2" xfId="360"/>
    <cellStyle name="Normal_TMSOCPX" xfId="361"/>
    <cellStyle name="Normal_Total-Rev dist." xfId="362"/>
    <cellStyle name="Normal_Transp Data" xfId="363"/>
    <cellStyle name="Normal_Unit Cost Gas 2003 to 2001" xfId="364"/>
    <cellStyle name="Normal_VS_BUDGT" xfId="365"/>
    <cellStyle name="Normal_WC-RB GRC TY0903 RY0206" xfId="366"/>
    <cellStyle name="Percent" xfId="367"/>
    <cellStyle name="Percent [2]" xfId="368"/>
    <cellStyle name="StmtTtl1" xfId="369"/>
    <cellStyle name="StmtTtl2" xfId="3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4</xdr:row>
      <xdr:rowOff>0</xdr:rowOff>
    </xdr:from>
    <xdr:to>
      <xdr:col>37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539275" y="952500"/>
          <a:ext cx="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GrpRevnu\PUBLIC\#%20PCA%20&amp;%20RC%2006_2003%20TY\GRC\WC-RB%20GRC%20TY0903%20RY0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4">
        <row r="10">
          <cell r="AN10">
            <v>3899156234.736666</v>
          </cell>
          <cell r="AQ10" t="str">
            <v>50</v>
          </cell>
        </row>
        <row r="11">
          <cell r="AN11">
            <v>1633292456.7583332</v>
          </cell>
          <cell r="AQ11" t="str">
            <v>9</v>
          </cell>
        </row>
        <row r="12">
          <cell r="AN12">
            <v>370185426.1933333</v>
          </cell>
          <cell r="AQ12" t="str">
            <v>23/51</v>
          </cell>
        </row>
        <row r="13">
          <cell r="AN13">
            <v>0</v>
          </cell>
          <cell r="AQ13" t="str">
            <v>50</v>
          </cell>
        </row>
        <row r="14">
          <cell r="AN14">
            <v>0</v>
          </cell>
          <cell r="AQ14" t="str">
            <v>50</v>
          </cell>
        </row>
        <row r="15">
          <cell r="AN15">
            <v>0</v>
          </cell>
          <cell r="AQ15" t="str">
            <v>50</v>
          </cell>
        </row>
        <row r="16">
          <cell r="AN16">
            <v>0</v>
          </cell>
          <cell r="AQ16" t="str">
            <v>50</v>
          </cell>
        </row>
        <row r="17">
          <cell r="AN17">
            <v>0</v>
          </cell>
          <cell r="AQ17" t="str">
            <v>50</v>
          </cell>
        </row>
        <row r="18">
          <cell r="AN18">
            <v>0</v>
          </cell>
          <cell r="AQ18" t="str">
            <v>50</v>
          </cell>
        </row>
        <row r="19">
          <cell r="AN19">
            <v>159671484.9941667</v>
          </cell>
          <cell r="AQ19" t="str">
            <v>50</v>
          </cell>
        </row>
        <row r="20">
          <cell r="AN20">
            <v>0</v>
          </cell>
          <cell r="AQ20" t="str">
            <v>50</v>
          </cell>
        </row>
        <row r="21">
          <cell r="AN21">
            <v>6772283.680000001</v>
          </cell>
          <cell r="AQ21" t="str">
            <v>52</v>
          </cell>
        </row>
        <row r="22">
          <cell r="AN22">
            <v>1087695.7925</v>
          </cell>
          <cell r="AQ22" t="str">
            <v>9</v>
          </cell>
        </row>
        <row r="23">
          <cell r="AN23">
            <v>0</v>
          </cell>
          <cell r="AQ23" t="str">
            <v>23/53</v>
          </cell>
        </row>
        <row r="24">
          <cell r="AN24">
            <v>83909888.50958334</v>
          </cell>
          <cell r="AQ24" t="str">
            <v>62</v>
          </cell>
        </row>
        <row r="25">
          <cell r="AN25">
            <v>24020721.867083337</v>
          </cell>
          <cell r="AQ25" t="str">
            <v>28</v>
          </cell>
        </row>
        <row r="26">
          <cell r="AN26">
            <v>9591058.523333333</v>
          </cell>
          <cell r="AQ26" t="str">
            <v>29/62</v>
          </cell>
        </row>
        <row r="27">
          <cell r="AN27">
            <v>2843517.26125</v>
          </cell>
          <cell r="AQ27" t="str">
            <v>29/62</v>
          </cell>
        </row>
        <row r="28">
          <cell r="AN28">
            <v>24118.18875</v>
          </cell>
          <cell r="AQ28" t="str">
            <v>62</v>
          </cell>
        </row>
        <row r="29">
          <cell r="AN29">
            <v>0</v>
          </cell>
          <cell r="AQ29" t="str">
            <v>62</v>
          </cell>
        </row>
        <row r="30">
          <cell r="AN30">
            <v>3738085.9166666665</v>
          </cell>
          <cell r="AQ30" t="str">
            <v>62</v>
          </cell>
        </row>
        <row r="31">
          <cell r="AN31">
            <v>3989117.7083333335</v>
          </cell>
          <cell r="AQ31" t="str">
            <v>28</v>
          </cell>
        </row>
        <row r="32">
          <cell r="AN32">
            <v>-1640346898.7474997</v>
          </cell>
          <cell r="AQ32" t="str">
            <v>58</v>
          </cell>
        </row>
        <row r="33">
          <cell r="AN33">
            <v>-513210444.23708326</v>
          </cell>
          <cell r="AQ33" t="str">
            <v>14</v>
          </cell>
        </row>
        <row r="34">
          <cell r="AN34">
            <v>-32186693.927916672</v>
          </cell>
          <cell r="AQ34" t="str">
            <v>24/59</v>
          </cell>
        </row>
        <row r="35">
          <cell r="AN35">
            <v>22635835.908749998</v>
          </cell>
          <cell r="AQ35" t="str">
            <v>58</v>
          </cell>
        </row>
        <row r="36">
          <cell r="AN36">
            <v>18910570.395833332</v>
          </cell>
          <cell r="AQ36" t="str">
            <v>14</v>
          </cell>
        </row>
        <row r="37">
          <cell r="AN37">
            <v>3533454.0866666664</v>
          </cell>
          <cell r="AQ37" t="str">
            <v>14/58</v>
          </cell>
        </row>
        <row r="38">
          <cell r="AN38">
            <v>-4605907.993333333</v>
          </cell>
          <cell r="AQ38" t="str">
            <v>58</v>
          </cell>
        </row>
        <row r="39">
          <cell r="AN39">
            <v>398163.8079166667</v>
          </cell>
          <cell r="AQ39" t="str">
            <v>14</v>
          </cell>
        </row>
        <row r="40">
          <cell r="AN40">
            <v>3113429.970833333</v>
          </cell>
          <cell r="AQ40" t="str">
            <v>58</v>
          </cell>
        </row>
        <row r="41">
          <cell r="AN41">
            <v>3115699.4562500003</v>
          </cell>
          <cell r="AQ41" t="str">
            <v>14</v>
          </cell>
        </row>
        <row r="42">
          <cell r="AN42">
            <v>176298.335</v>
          </cell>
          <cell r="AQ42" t="str">
            <v>14/58</v>
          </cell>
        </row>
        <row r="43">
          <cell r="AN43">
            <v>-487236.82</v>
          </cell>
          <cell r="AQ43" t="str">
            <v>58</v>
          </cell>
        </row>
        <row r="44">
          <cell r="AN44">
            <v>-82542.28500000002</v>
          </cell>
          <cell r="AQ44" t="str">
            <v>14</v>
          </cell>
        </row>
        <row r="45">
          <cell r="AN45">
            <v>-3152272.2174999993</v>
          </cell>
          <cell r="AQ45" t="str">
            <v>58</v>
          </cell>
        </row>
        <row r="46">
          <cell r="AN46">
            <v>-1184736.531666667</v>
          </cell>
          <cell r="AQ46" t="str">
            <v>14</v>
          </cell>
        </row>
        <row r="47">
          <cell r="AN47">
            <v>1702574.0900000005</v>
          </cell>
          <cell r="AQ47" t="str">
            <v>24/59</v>
          </cell>
        </row>
        <row r="48">
          <cell r="AN48">
            <v>0</v>
          </cell>
          <cell r="AQ48" t="str">
            <v>58</v>
          </cell>
        </row>
        <row r="49">
          <cell r="AN49">
            <v>0</v>
          </cell>
          <cell r="AQ49" t="str">
            <v>58</v>
          </cell>
        </row>
        <row r="50">
          <cell r="AN50">
            <v>0</v>
          </cell>
          <cell r="AQ50" t="str">
            <v>58</v>
          </cell>
        </row>
        <row r="51">
          <cell r="AN51">
            <v>0</v>
          </cell>
          <cell r="AQ51" t="str">
            <v>58</v>
          </cell>
        </row>
        <row r="52">
          <cell r="AN52">
            <v>-80246014.89083333</v>
          </cell>
          <cell r="AQ52" t="str">
            <v>58</v>
          </cell>
        </row>
        <row r="53">
          <cell r="AN53">
            <v>0</v>
          </cell>
          <cell r="AQ53" t="str">
            <v>58</v>
          </cell>
        </row>
        <row r="54">
          <cell r="AN54">
            <v>-17367913.75625</v>
          </cell>
          <cell r="AQ54" t="str">
            <v>58</v>
          </cell>
        </row>
        <row r="55">
          <cell r="AN55">
            <v>-13223254.255416663</v>
          </cell>
          <cell r="AQ55" t="str">
            <v>14</v>
          </cell>
        </row>
        <row r="56">
          <cell r="AN56">
            <v>-81381462.30375</v>
          </cell>
          <cell r="AQ56" t="str">
            <v>24/59</v>
          </cell>
        </row>
        <row r="57">
          <cell r="AN57">
            <v>197297.82000000004</v>
          </cell>
          <cell r="AQ57" t="str">
            <v>58</v>
          </cell>
        </row>
        <row r="58">
          <cell r="AN58">
            <v>-214508.51</v>
          </cell>
          <cell r="AQ58" t="str">
            <v>14</v>
          </cell>
        </row>
        <row r="59">
          <cell r="AN59">
            <v>3888461.8937500007</v>
          </cell>
          <cell r="AQ59" t="str">
            <v>58</v>
          </cell>
        </row>
        <row r="60">
          <cell r="AN60">
            <v>299322.7125</v>
          </cell>
          <cell r="AQ60" t="str">
            <v>14</v>
          </cell>
        </row>
        <row r="61">
          <cell r="AN61">
            <v>-2985532.45375</v>
          </cell>
          <cell r="AQ61" t="str">
            <v>24/59</v>
          </cell>
        </row>
        <row r="62">
          <cell r="AN62">
            <v>946172.25</v>
          </cell>
          <cell r="AQ62" t="str">
            <v>50</v>
          </cell>
        </row>
        <row r="63">
          <cell r="AN63">
            <v>317009.91000000003</v>
          </cell>
          <cell r="AQ63" t="str">
            <v>9</v>
          </cell>
        </row>
        <row r="64">
          <cell r="AN64">
            <v>302358.00999999995</v>
          </cell>
          <cell r="AQ64" t="str">
            <v>50</v>
          </cell>
        </row>
        <row r="65">
          <cell r="AN65">
            <v>0</v>
          </cell>
          <cell r="AQ65" t="str">
            <v>50</v>
          </cell>
        </row>
        <row r="66">
          <cell r="AN66">
            <v>76622596.84000002</v>
          </cell>
          <cell r="AQ66" t="str">
            <v>50</v>
          </cell>
        </row>
        <row r="67">
          <cell r="AN67">
            <v>-544839</v>
          </cell>
          <cell r="AQ67" t="str">
            <v>58</v>
          </cell>
        </row>
        <row r="68">
          <cell r="AN68">
            <v>-317009.91000000003</v>
          </cell>
          <cell r="AQ68" t="str">
            <v>14</v>
          </cell>
        </row>
        <row r="69">
          <cell r="AN69">
            <v>-207199.27000000002</v>
          </cell>
          <cell r="AQ69" t="str">
            <v>58</v>
          </cell>
        </row>
        <row r="70">
          <cell r="AN70">
            <v>0</v>
          </cell>
          <cell r="AQ70" t="str">
            <v>58</v>
          </cell>
        </row>
        <row r="71">
          <cell r="AN71">
            <v>-24669963.66</v>
          </cell>
          <cell r="AQ71" t="str">
            <v>58</v>
          </cell>
        </row>
        <row r="72">
          <cell r="AN72">
            <v>3246533.970416667</v>
          </cell>
          <cell r="AQ72" t="str">
            <v>13</v>
          </cell>
        </row>
        <row r="73">
          <cell r="AN73">
            <v>0</v>
          </cell>
          <cell r="AQ73" t="str">
            <v>23/51</v>
          </cell>
        </row>
        <row r="74">
          <cell r="AN74">
            <v>-654955.2279166667</v>
          </cell>
          <cell r="AQ74" t="str">
            <v>62</v>
          </cell>
        </row>
        <row r="75">
          <cell r="AN75">
            <v>2868151.7229166664</v>
          </cell>
          <cell r="AQ75" t="str">
            <v>62</v>
          </cell>
        </row>
        <row r="76">
          <cell r="AN76">
            <v>-423291.69708333333</v>
          </cell>
          <cell r="AQ76" t="str">
            <v>62</v>
          </cell>
        </row>
        <row r="77">
          <cell r="AN77">
            <v>0</v>
          </cell>
          <cell r="AQ77" t="str">
            <v>62</v>
          </cell>
        </row>
        <row r="78">
          <cell r="AN78">
            <v>117880815.76083332</v>
          </cell>
          <cell r="AQ78" t="str">
            <v>62</v>
          </cell>
        </row>
        <row r="79">
          <cell r="AN79">
            <v>13123277.291666666</v>
          </cell>
          <cell r="AQ79" t="str">
            <v>23a</v>
          </cell>
        </row>
        <row r="80">
          <cell r="AN80">
            <v>0</v>
          </cell>
          <cell r="AQ80" t="str">
            <v>62</v>
          </cell>
        </row>
        <row r="81">
          <cell r="AN81">
            <v>100000</v>
          </cell>
          <cell r="AQ81" t="str">
            <v>62</v>
          </cell>
        </row>
        <row r="82">
          <cell r="AN82">
            <v>37362672.0525</v>
          </cell>
          <cell r="AQ82" t="str">
            <v>62</v>
          </cell>
        </row>
        <row r="83">
          <cell r="AN83">
            <v>-79166.66666666667</v>
          </cell>
          <cell r="AQ83" t="str">
            <v>62</v>
          </cell>
        </row>
        <row r="84">
          <cell r="AN84">
            <v>0</v>
          </cell>
          <cell r="AQ84" t="str">
            <v>62</v>
          </cell>
        </row>
        <row r="85">
          <cell r="AN85">
            <v>0</v>
          </cell>
          <cell r="AQ85" t="str">
            <v>62</v>
          </cell>
        </row>
        <row r="86">
          <cell r="AN86">
            <v>0</v>
          </cell>
          <cell r="AQ86" t="str">
            <v>62</v>
          </cell>
        </row>
        <row r="87">
          <cell r="AN87">
            <v>0</v>
          </cell>
          <cell r="AQ87" t="str">
            <v>62</v>
          </cell>
        </row>
        <row r="88">
          <cell r="AN88">
            <v>0</v>
          </cell>
          <cell r="AQ88" t="str">
            <v>62</v>
          </cell>
        </row>
        <row r="89">
          <cell r="AN89">
            <v>640.4166666666666</v>
          </cell>
          <cell r="AQ89" t="str">
            <v>62</v>
          </cell>
        </row>
        <row r="90">
          <cell r="AN90">
            <v>83856.875</v>
          </cell>
          <cell r="AQ90" t="str">
            <v>62</v>
          </cell>
        </row>
        <row r="91">
          <cell r="AN91">
            <v>0</v>
          </cell>
          <cell r="AQ91" t="str">
            <v>62</v>
          </cell>
        </row>
        <row r="92">
          <cell r="AN92">
            <v>69889.99375</v>
          </cell>
          <cell r="AQ92" t="str">
            <v>62</v>
          </cell>
        </row>
        <row r="93">
          <cell r="AN93">
            <v>0</v>
          </cell>
          <cell r="AQ93" t="str">
            <v>62</v>
          </cell>
        </row>
        <row r="94">
          <cell r="AN94">
            <v>-308356.2229166667</v>
          </cell>
          <cell r="AQ94" t="str">
            <v>62</v>
          </cell>
        </row>
        <row r="95">
          <cell r="AN95">
            <v>608000</v>
          </cell>
          <cell r="AQ95" t="str">
            <v>62</v>
          </cell>
        </row>
        <row r="96">
          <cell r="AN96">
            <v>0</v>
          </cell>
          <cell r="AQ96" t="str">
            <v>62</v>
          </cell>
        </row>
        <row r="97">
          <cell r="AN97">
            <v>0</v>
          </cell>
          <cell r="AQ97" t="str">
            <v>62</v>
          </cell>
        </row>
        <row r="98">
          <cell r="AN98">
            <v>0</v>
          </cell>
          <cell r="AQ98" t="str">
            <v>62</v>
          </cell>
        </row>
        <row r="99">
          <cell r="AN99">
            <v>0</v>
          </cell>
          <cell r="AQ99" t="str">
            <v>62</v>
          </cell>
        </row>
        <row r="100">
          <cell r="AN100">
            <v>0</v>
          </cell>
          <cell r="AQ100" t="str">
            <v>62</v>
          </cell>
        </row>
        <row r="101">
          <cell r="AN101">
            <v>39357.33541666667</v>
          </cell>
          <cell r="AQ101" t="str">
            <v>62</v>
          </cell>
        </row>
        <row r="102">
          <cell r="AN102">
            <v>0</v>
          </cell>
          <cell r="AQ102" t="str">
            <v>62</v>
          </cell>
        </row>
        <row r="103">
          <cell r="AN103">
            <v>1812152.0066666666</v>
          </cell>
          <cell r="AQ103" t="str">
            <v>62</v>
          </cell>
        </row>
        <row r="104">
          <cell r="AN104">
            <v>0</v>
          </cell>
          <cell r="AQ104" t="str">
            <v>62</v>
          </cell>
        </row>
        <row r="105">
          <cell r="AN105">
            <v>0</v>
          </cell>
          <cell r="AQ105" t="str">
            <v>62</v>
          </cell>
        </row>
        <row r="106">
          <cell r="AN106">
            <v>134.84583333333333</v>
          </cell>
          <cell r="AQ106" t="str">
            <v>62</v>
          </cell>
        </row>
        <row r="107">
          <cell r="AN107">
            <v>98444.43416666666</v>
          </cell>
          <cell r="AQ107" t="str">
            <v>62</v>
          </cell>
        </row>
        <row r="108">
          <cell r="AN108">
            <v>1881863.5720833335</v>
          </cell>
          <cell r="AQ108" t="str">
            <v>62</v>
          </cell>
        </row>
        <row r="109">
          <cell r="AN109">
            <v>905.625</v>
          </cell>
          <cell r="AQ109" t="str">
            <v>62</v>
          </cell>
        </row>
        <row r="110">
          <cell r="AN110">
            <v>0</v>
          </cell>
          <cell r="AQ110" t="str">
            <v>62</v>
          </cell>
        </row>
        <row r="111">
          <cell r="AN111">
            <v>0</v>
          </cell>
          <cell r="AQ111" t="str">
            <v>62</v>
          </cell>
        </row>
        <row r="112">
          <cell r="AN112">
            <v>0</v>
          </cell>
          <cell r="AQ112" t="str">
            <v>62</v>
          </cell>
        </row>
        <row r="113">
          <cell r="AN113">
            <v>1574230.5337499997</v>
          </cell>
          <cell r="AQ113" t="str">
            <v>62</v>
          </cell>
        </row>
        <row r="114">
          <cell r="AN114">
            <v>0</v>
          </cell>
          <cell r="AQ114" t="str">
            <v>62</v>
          </cell>
        </row>
        <row r="115">
          <cell r="AN115">
            <v>95175.52166666668</v>
          </cell>
          <cell r="AQ115" t="str">
            <v>62</v>
          </cell>
        </row>
        <row r="116">
          <cell r="AN116">
            <v>22176.08083333333</v>
          </cell>
          <cell r="AQ116" t="str">
            <v>62</v>
          </cell>
        </row>
        <row r="117">
          <cell r="AN117">
            <v>9198.925833333333</v>
          </cell>
          <cell r="AQ117" t="str">
            <v>62</v>
          </cell>
        </row>
        <row r="118">
          <cell r="AN118">
            <v>76825.60291666667</v>
          </cell>
          <cell r="AQ118" t="str">
            <v>62</v>
          </cell>
        </row>
        <row r="119">
          <cell r="AN119">
            <v>31676.75</v>
          </cell>
          <cell r="AQ119" t="str">
            <v>62</v>
          </cell>
        </row>
        <row r="120">
          <cell r="AN120">
            <v>-1247018.3233333332</v>
          </cell>
          <cell r="AQ120" t="str">
            <v>62</v>
          </cell>
        </row>
        <row r="121">
          <cell r="AN121">
            <v>145833.33333333334</v>
          </cell>
          <cell r="AQ121" t="str">
            <v>62</v>
          </cell>
        </row>
        <row r="122">
          <cell r="AN122">
            <v>8739.610416666666</v>
          </cell>
          <cell r="AQ122" t="str">
            <v>62</v>
          </cell>
        </row>
        <row r="123">
          <cell r="AN123">
            <v>0</v>
          </cell>
          <cell r="AQ123" t="str">
            <v>50a</v>
          </cell>
        </row>
        <row r="124">
          <cell r="AN124">
            <v>1234237589.2425003</v>
          </cell>
          <cell r="AQ124" t="str">
            <v>50a</v>
          </cell>
        </row>
        <row r="125">
          <cell r="AN125">
            <v>-18124051.317083333</v>
          </cell>
          <cell r="AQ125" t="str">
            <v>50a</v>
          </cell>
        </row>
        <row r="126">
          <cell r="AN126">
            <v>-106146.49708333334</v>
          </cell>
          <cell r="AQ126" t="str">
            <v>50a</v>
          </cell>
        </row>
        <row r="127">
          <cell r="AN127">
            <v>0</v>
          </cell>
          <cell r="AQ127" t="str">
            <v>50a</v>
          </cell>
        </row>
        <row r="128">
          <cell r="AN128">
            <v>0</v>
          </cell>
          <cell r="AQ128" t="str">
            <v>50a</v>
          </cell>
        </row>
        <row r="129">
          <cell r="AN129">
            <v>0</v>
          </cell>
          <cell r="AQ129" t="str">
            <v>50a</v>
          </cell>
        </row>
        <row r="130">
          <cell r="AN130">
            <v>0</v>
          </cell>
          <cell r="AQ130" t="str">
            <v>50a</v>
          </cell>
        </row>
        <row r="131">
          <cell r="AN131">
            <v>0</v>
          </cell>
          <cell r="AQ131" t="str">
            <v>50b</v>
          </cell>
        </row>
        <row r="132">
          <cell r="AN132">
            <v>0</v>
          </cell>
          <cell r="AQ132" t="str">
            <v>50a</v>
          </cell>
        </row>
        <row r="133">
          <cell r="AN133">
            <v>0</v>
          </cell>
          <cell r="AQ133" t="str">
            <v>50a</v>
          </cell>
        </row>
        <row r="134">
          <cell r="AN134">
            <v>-1261.3045833333329</v>
          </cell>
          <cell r="AQ134" t="str">
            <v>50a</v>
          </cell>
        </row>
        <row r="135">
          <cell r="AN135">
            <v>-25163.570000000003</v>
          </cell>
          <cell r="AQ135" t="str">
            <v>50a</v>
          </cell>
        </row>
        <row r="136">
          <cell r="AN136">
            <v>0</v>
          </cell>
          <cell r="AQ136" t="str">
            <v>50a</v>
          </cell>
        </row>
        <row r="137">
          <cell r="AN137">
            <v>0</v>
          </cell>
          <cell r="AQ137" t="str">
            <v>50a</v>
          </cell>
        </row>
        <row r="138">
          <cell r="AN138">
            <v>-1226371867.3899999</v>
          </cell>
          <cell r="AQ138" t="str">
            <v>50a</v>
          </cell>
        </row>
        <row r="139">
          <cell r="AN139">
            <v>0</v>
          </cell>
          <cell r="AQ139" t="str">
            <v>50a</v>
          </cell>
        </row>
        <row r="140">
          <cell r="AN140">
            <v>-8647.801666666666</v>
          </cell>
          <cell r="AQ140" t="str">
            <v>50a</v>
          </cell>
        </row>
        <row r="141">
          <cell r="AN141">
            <v>0</v>
          </cell>
          <cell r="AQ141" t="str">
            <v>50a</v>
          </cell>
        </row>
        <row r="142">
          <cell r="AN142">
            <v>0</v>
          </cell>
          <cell r="AQ142" t="str">
            <v>50a</v>
          </cell>
        </row>
        <row r="143">
          <cell r="AN143">
            <v>0</v>
          </cell>
          <cell r="AQ143" t="str">
            <v>50a</v>
          </cell>
        </row>
        <row r="144">
          <cell r="AN144">
            <v>0</v>
          </cell>
          <cell r="AQ144" t="str">
            <v>50a</v>
          </cell>
        </row>
        <row r="145">
          <cell r="AN145">
            <v>0</v>
          </cell>
          <cell r="AQ145" t="str">
            <v>50a</v>
          </cell>
        </row>
        <row r="146">
          <cell r="AN146">
            <v>16.125</v>
          </cell>
          <cell r="AQ146" t="str">
            <v>50a</v>
          </cell>
        </row>
        <row r="147">
          <cell r="AN147">
            <v>17074.78875</v>
          </cell>
          <cell r="AQ147" t="str">
            <v>50a</v>
          </cell>
        </row>
        <row r="148">
          <cell r="AN148">
            <v>0</v>
          </cell>
          <cell r="AQ148" t="str">
            <v>50a</v>
          </cell>
        </row>
        <row r="149">
          <cell r="AN149">
            <v>1061816.1187500001</v>
          </cell>
          <cell r="AQ149" t="str">
            <v>50a</v>
          </cell>
        </row>
        <row r="150">
          <cell r="AN150">
            <v>-337554.1654166667</v>
          </cell>
          <cell r="AQ150" t="str">
            <v>50a</v>
          </cell>
        </row>
        <row r="151">
          <cell r="AN151">
            <v>-355523.2775</v>
          </cell>
          <cell r="AQ151" t="str">
            <v>50a</v>
          </cell>
        </row>
        <row r="152">
          <cell r="AN152">
            <v>0</v>
          </cell>
          <cell r="AQ152" t="str">
            <v>50a</v>
          </cell>
        </row>
        <row r="153">
          <cell r="AN153">
            <v>0</v>
          </cell>
          <cell r="AQ153" t="str">
            <v>50a</v>
          </cell>
        </row>
        <row r="154">
          <cell r="AN154">
            <v>10498553.943333335</v>
          </cell>
          <cell r="AQ154" t="str">
            <v>50a</v>
          </cell>
        </row>
        <row r="155">
          <cell r="AN155">
            <v>52993.567500000005</v>
          </cell>
          <cell r="AQ155" t="str">
            <v>50a</v>
          </cell>
        </row>
        <row r="156">
          <cell r="AN156">
            <v>-1192.2820833333333</v>
          </cell>
          <cell r="AQ156" t="str">
            <v>50a</v>
          </cell>
        </row>
        <row r="157">
          <cell r="AN157">
            <v>7545.730416666668</v>
          </cell>
          <cell r="AQ157" t="str">
            <v>50a</v>
          </cell>
        </row>
        <row r="158">
          <cell r="AN158">
            <v>-9665.370416666667</v>
          </cell>
          <cell r="AQ158" t="str">
            <v>50a</v>
          </cell>
        </row>
        <row r="159">
          <cell r="AN159">
            <v>-4889.517916666667</v>
          </cell>
          <cell r="AQ159" t="str">
            <v>50a</v>
          </cell>
        </row>
        <row r="160">
          <cell r="AN160">
            <v>219380.88041666665</v>
          </cell>
          <cell r="AQ160" t="str">
            <v>50b</v>
          </cell>
        </row>
        <row r="161">
          <cell r="AN161">
            <v>14023725.663333332</v>
          </cell>
          <cell r="AQ161" t="str">
            <v>62</v>
          </cell>
        </row>
        <row r="162">
          <cell r="AN162">
            <v>1572.804166666666</v>
          </cell>
          <cell r="AQ162" t="str">
            <v>50a</v>
          </cell>
        </row>
        <row r="163">
          <cell r="AN163">
            <v>23785947.33583333</v>
          </cell>
          <cell r="AQ163" t="str">
            <v>50a</v>
          </cell>
        </row>
        <row r="164">
          <cell r="AN164">
            <v>-7756.5225</v>
          </cell>
          <cell r="AQ164" t="str">
            <v>50a</v>
          </cell>
        </row>
        <row r="165">
          <cell r="AN165">
            <v>21787935.76458333</v>
          </cell>
          <cell r="AQ165" t="str">
            <v>50a</v>
          </cell>
        </row>
        <row r="166">
          <cell r="AN166">
            <v>313636.16208333336</v>
          </cell>
          <cell r="AQ166" t="str">
            <v>50a</v>
          </cell>
        </row>
        <row r="167">
          <cell r="AN167">
            <v>466.8720833333335</v>
          </cell>
          <cell r="AQ167" t="str">
            <v>50a</v>
          </cell>
        </row>
        <row r="168">
          <cell r="AN168">
            <v>153.57125000000005</v>
          </cell>
          <cell r="AQ168" t="str">
            <v>50a</v>
          </cell>
        </row>
        <row r="169">
          <cell r="AN169">
            <v>-16412.782916666667</v>
          </cell>
          <cell r="AQ169" t="str">
            <v>50a</v>
          </cell>
        </row>
        <row r="170">
          <cell r="AN170">
            <v>35333.8525</v>
          </cell>
          <cell r="AQ170" t="str">
            <v>50a</v>
          </cell>
        </row>
        <row r="171">
          <cell r="AN171">
            <v>-220615.16208333336</v>
          </cell>
          <cell r="AQ171" t="str">
            <v>50a</v>
          </cell>
        </row>
        <row r="172">
          <cell r="AN172">
            <v>-234779.88583333333</v>
          </cell>
          <cell r="AQ172" t="str">
            <v>50a</v>
          </cell>
        </row>
        <row r="173">
          <cell r="AN173">
            <v>-19982277.413750004</v>
          </cell>
          <cell r="AQ173" t="str">
            <v>50a</v>
          </cell>
        </row>
        <row r="174">
          <cell r="AN174">
            <v>-67407.32333333335</v>
          </cell>
          <cell r="AQ174" t="str">
            <v>50a</v>
          </cell>
        </row>
        <row r="175">
          <cell r="AN175">
            <v>-102332.89541666668</v>
          </cell>
          <cell r="AQ175" t="str">
            <v>50a</v>
          </cell>
        </row>
        <row r="176">
          <cell r="AN176">
            <v>0</v>
          </cell>
          <cell r="AQ176" t="str">
            <v>50a</v>
          </cell>
        </row>
        <row r="177">
          <cell r="AN177">
            <v>0</v>
          </cell>
          <cell r="AQ177" t="str">
            <v>50a</v>
          </cell>
        </row>
        <row r="178">
          <cell r="AN178">
            <v>-260218.25625</v>
          </cell>
          <cell r="AQ178" t="str">
            <v>50a</v>
          </cell>
        </row>
        <row r="179">
          <cell r="AN179">
            <v>277723.9270833333</v>
          </cell>
          <cell r="AQ179" t="str">
            <v>50a</v>
          </cell>
        </row>
        <row r="180">
          <cell r="AN180">
            <v>0</v>
          </cell>
          <cell r="AQ180" t="str">
            <v>50b</v>
          </cell>
        </row>
        <row r="181">
          <cell r="AN181">
            <v>41580</v>
          </cell>
          <cell r="AQ181" t="str">
            <v>50b</v>
          </cell>
        </row>
        <row r="182">
          <cell r="AN182">
            <v>16100.873333333338</v>
          </cell>
          <cell r="AQ182" t="str">
            <v>50a</v>
          </cell>
        </row>
        <row r="183">
          <cell r="AN183">
            <v>308482.5883333334</v>
          </cell>
          <cell r="AQ183" t="str">
            <v>50a</v>
          </cell>
        </row>
        <row r="184">
          <cell r="AN184">
            <v>0</v>
          </cell>
          <cell r="AQ184" t="str">
            <v>50b</v>
          </cell>
        </row>
        <row r="185">
          <cell r="AN185">
            <v>122504.74</v>
          </cell>
          <cell r="AQ185" t="str">
            <v>50a</v>
          </cell>
        </row>
        <row r="186">
          <cell r="AN186">
            <v>0</v>
          </cell>
          <cell r="AQ186" t="str">
            <v>50a</v>
          </cell>
        </row>
        <row r="187">
          <cell r="AN187">
            <v>0</v>
          </cell>
          <cell r="AQ187" t="str">
            <v>50a</v>
          </cell>
        </row>
        <row r="188">
          <cell r="AN188">
            <v>3056.375</v>
          </cell>
          <cell r="AQ188" t="str">
            <v>62</v>
          </cell>
        </row>
        <row r="189">
          <cell r="AN189">
            <v>633028.2083333334</v>
          </cell>
          <cell r="AQ189" t="str">
            <v>62</v>
          </cell>
        </row>
        <row r="190">
          <cell r="AN190">
            <v>4675.729999999999</v>
          </cell>
          <cell r="AQ190" t="str">
            <v>50a</v>
          </cell>
        </row>
        <row r="191">
          <cell r="AN191">
            <v>496915.75</v>
          </cell>
          <cell r="AQ191" t="str">
            <v>62</v>
          </cell>
        </row>
        <row r="192">
          <cell r="AN192">
            <v>4060.035833333334</v>
          </cell>
          <cell r="AQ192" t="str">
            <v>50a</v>
          </cell>
        </row>
        <row r="193">
          <cell r="AN193">
            <v>-3227.534166666667</v>
          </cell>
          <cell r="AQ193" t="str">
            <v>50b</v>
          </cell>
        </row>
        <row r="194">
          <cell r="AN194">
            <v>0</v>
          </cell>
          <cell r="AQ194" t="str">
            <v>62</v>
          </cell>
        </row>
        <row r="195">
          <cell r="AN195">
            <v>0</v>
          </cell>
          <cell r="AQ195" t="str">
            <v>50b</v>
          </cell>
        </row>
        <row r="196">
          <cell r="AN196">
            <v>13395.565416666665</v>
          </cell>
        </row>
        <row r="197">
          <cell r="AN197">
            <v>443538.54458333337</v>
          </cell>
          <cell r="AQ197" t="str">
            <v>50a</v>
          </cell>
        </row>
        <row r="198">
          <cell r="AN198">
            <v>803.66</v>
          </cell>
          <cell r="AQ198" t="str">
            <v>50a</v>
          </cell>
        </row>
        <row r="199">
          <cell r="AN199">
            <v>156.7141666666667</v>
          </cell>
        </row>
        <row r="200">
          <cell r="AN200">
            <v>58181.324583333335</v>
          </cell>
          <cell r="AQ200" t="str">
            <v>50b</v>
          </cell>
        </row>
        <row r="201">
          <cell r="AN201">
            <v>44974984.604166664</v>
          </cell>
          <cell r="AQ201" t="str">
            <v>62</v>
          </cell>
        </row>
        <row r="202">
          <cell r="AN202">
            <v>5991164.7625</v>
          </cell>
          <cell r="AQ202" t="str">
            <v>62</v>
          </cell>
        </row>
        <row r="203">
          <cell r="AN203">
            <v>0</v>
          </cell>
          <cell r="AQ203" t="str">
            <v>62</v>
          </cell>
        </row>
        <row r="204">
          <cell r="AN204">
            <v>0</v>
          </cell>
          <cell r="AQ204" t="str">
            <v>62</v>
          </cell>
        </row>
        <row r="205">
          <cell r="AN205">
            <v>0</v>
          </cell>
          <cell r="AQ205" t="str">
            <v>62</v>
          </cell>
        </row>
        <row r="206">
          <cell r="AN206">
            <v>0</v>
          </cell>
          <cell r="AQ206" t="str">
            <v>62</v>
          </cell>
        </row>
        <row r="207">
          <cell r="AN207">
            <v>0</v>
          </cell>
          <cell r="AQ207" t="str">
            <v>62</v>
          </cell>
        </row>
        <row r="208">
          <cell r="AN208">
            <v>308356.2229166667</v>
          </cell>
          <cell r="AQ208" t="str">
            <v>62</v>
          </cell>
        </row>
        <row r="209">
          <cell r="AN209">
            <v>385556.92083333334</v>
          </cell>
          <cell r="AQ209" t="str">
            <v>62</v>
          </cell>
        </row>
        <row r="210">
          <cell r="AN210">
            <v>0</v>
          </cell>
          <cell r="AQ210" t="str">
            <v>50b</v>
          </cell>
        </row>
        <row r="211">
          <cell r="AN211">
            <v>0</v>
          </cell>
        </row>
        <row r="212">
          <cell r="AN212">
            <v>-384343.55583333335</v>
          </cell>
          <cell r="AQ212" t="str">
            <v>50a</v>
          </cell>
        </row>
        <row r="213">
          <cell r="AN213">
            <v>94563801.19916667</v>
          </cell>
          <cell r="AQ213" t="str">
            <v>50b</v>
          </cell>
        </row>
        <row r="214">
          <cell r="AN214">
            <v>7002.849999999999</v>
          </cell>
          <cell r="AQ214" t="str">
            <v>33b/62</v>
          </cell>
        </row>
        <row r="215">
          <cell r="AN215">
            <v>0</v>
          </cell>
          <cell r="AQ215" t="str">
            <v>33b/62</v>
          </cell>
        </row>
        <row r="216">
          <cell r="AN216">
            <v>38562477.24958334</v>
          </cell>
        </row>
        <row r="217">
          <cell r="AN217">
            <v>-67254823.875</v>
          </cell>
          <cell r="AQ217" t="str">
            <v>50b</v>
          </cell>
        </row>
        <row r="218">
          <cell r="AN218">
            <v>-27224954.083333332</v>
          </cell>
        </row>
        <row r="219">
          <cell r="AN219">
            <v>133104704.33333333</v>
          </cell>
          <cell r="AQ219" t="str">
            <v>33b/62x</v>
          </cell>
        </row>
        <row r="220">
          <cell r="AN220">
            <v>-4875000</v>
          </cell>
          <cell r="AQ220" t="str">
            <v>2b</v>
          </cell>
        </row>
        <row r="221">
          <cell r="AN221">
            <v>41382.125</v>
          </cell>
          <cell r="AQ221" t="str">
            <v>50b</v>
          </cell>
        </row>
        <row r="222">
          <cell r="AN222">
            <v>15675</v>
          </cell>
        </row>
        <row r="223">
          <cell r="AN223">
            <v>-22454849.852500003</v>
          </cell>
          <cell r="AQ223" t="str">
            <v>33b/62</v>
          </cell>
        </row>
        <row r="224">
          <cell r="AN224">
            <v>-3.6491666666666664</v>
          </cell>
          <cell r="AQ224" t="str">
            <v>50a</v>
          </cell>
        </row>
        <row r="225">
          <cell r="AN225">
            <v>3288.349166666667</v>
          </cell>
          <cell r="AQ225" t="str">
            <v>50a</v>
          </cell>
        </row>
        <row r="226">
          <cell r="AN226">
            <v>0</v>
          </cell>
          <cell r="AQ226" t="str">
            <v>50b</v>
          </cell>
        </row>
        <row r="227">
          <cell r="AN227">
            <v>1532.8754166666668</v>
          </cell>
          <cell r="AQ227" t="str">
            <v>50a</v>
          </cell>
        </row>
        <row r="228">
          <cell r="AN228">
            <v>-1697.2174999999997</v>
          </cell>
          <cell r="AQ228" t="str">
            <v>50b</v>
          </cell>
        </row>
        <row r="229">
          <cell r="AN229">
            <v>10854058.44875</v>
          </cell>
        </row>
        <row r="230">
          <cell r="AN230">
            <v>122053.60000000002</v>
          </cell>
        </row>
        <row r="231">
          <cell r="AN231">
            <v>114732.37</v>
          </cell>
        </row>
        <row r="232">
          <cell r="AN232">
            <v>0</v>
          </cell>
          <cell r="AQ232" t="str">
            <v>50b</v>
          </cell>
        </row>
        <row r="233">
          <cell r="AN233">
            <v>0</v>
          </cell>
          <cell r="AQ233" t="str">
            <v>50b</v>
          </cell>
        </row>
        <row r="234">
          <cell r="AN234">
            <v>13656149.512500001</v>
          </cell>
          <cell r="AQ234" t="str">
            <v>50b</v>
          </cell>
        </row>
        <row r="235">
          <cell r="AN235">
            <v>1086103.84375</v>
          </cell>
          <cell r="AQ235" t="str">
            <v>50b</v>
          </cell>
        </row>
        <row r="236">
          <cell r="AN236">
            <v>12444851.593750002</v>
          </cell>
          <cell r="AQ236" t="str">
            <v>50b</v>
          </cell>
        </row>
        <row r="237">
          <cell r="AN237">
            <v>0</v>
          </cell>
          <cell r="AQ237" t="str">
            <v>50b</v>
          </cell>
        </row>
        <row r="238">
          <cell r="AN238">
            <v>41967.10583333333</v>
          </cell>
          <cell r="AQ238" t="str">
            <v>50a</v>
          </cell>
        </row>
        <row r="239">
          <cell r="AN239">
            <v>-21041.14375</v>
          </cell>
          <cell r="AQ239" t="str">
            <v>50a</v>
          </cell>
        </row>
        <row r="240">
          <cell r="AN240">
            <v>0</v>
          </cell>
          <cell r="AQ240" t="str">
            <v>50a</v>
          </cell>
        </row>
        <row r="241">
          <cell r="AN241">
            <v>0</v>
          </cell>
          <cell r="AQ241" t="str">
            <v>50a</v>
          </cell>
        </row>
        <row r="242">
          <cell r="AN242">
            <v>0</v>
          </cell>
          <cell r="AQ242" t="str">
            <v>50b</v>
          </cell>
        </row>
        <row r="243">
          <cell r="AN243">
            <v>-6.924166666666667</v>
          </cell>
          <cell r="AQ243" t="str">
            <v>50a</v>
          </cell>
        </row>
        <row r="244">
          <cell r="AN244">
            <v>298000.9366666667</v>
          </cell>
          <cell r="AQ244" t="str">
            <v>50a</v>
          </cell>
        </row>
        <row r="245">
          <cell r="AN245">
            <v>2704883.19</v>
          </cell>
          <cell r="AQ245" t="str">
            <v>50a</v>
          </cell>
        </row>
        <row r="246">
          <cell r="AN246">
            <v>6441.557916666668</v>
          </cell>
          <cell r="AQ246" t="str">
            <v>50a</v>
          </cell>
        </row>
        <row r="247">
          <cell r="AN247">
            <v>50997.32791666667</v>
          </cell>
          <cell r="AQ247" t="str">
            <v>50a</v>
          </cell>
        </row>
        <row r="248">
          <cell r="AN248">
            <v>9947142.529166667</v>
          </cell>
          <cell r="AQ248" t="str">
            <v>50a</v>
          </cell>
        </row>
        <row r="249">
          <cell r="AN249">
            <v>66505247.61833335</v>
          </cell>
          <cell r="AQ249" t="str">
            <v>50b</v>
          </cell>
        </row>
        <row r="250">
          <cell r="AN250">
            <v>666.37</v>
          </cell>
          <cell r="AQ250" t="str">
            <v>50b</v>
          </cell>
        </row>
        <row r="251">
          <cell r="AN251">
            <v>0</v>
          </cell>
        </row>
        <row r="252">
          <cell r="AN252">
            <v>0</v>
          </cell>
          <cell r="AQ252" t="str">
            <v>50b</v>
          </cell>
        </row>
        <row r="253">
          <cell r="AN253">
            <v>-11693.827916666667</v>
          </cell>
          <cell r="AQ253" t="str">
            <v>50b</v>
          </cell>
        </row>
        <row r="254">
          <cell r="AN254">
            <v>33875.05541666666</v>
          </cell>
        </row>
        <row r="255">
          <cell r="AN255">
            <v>28722.26958333333</v>
          </cell>
          <cell r="AQ255" t="str">
            <v>50b</v>
          </cell>
        </row>
        <row r="256">
          <cell r="AN256">
            <v>686901.1125000002</v>
          </cell>
        </row>
        <row r="257">
          <cell r="AN257">
            <v>59841.26583333334</v>
          </cell>
          <cell r="AQ257" t="str">
            <v>50a</v>
          </cell>
        </row>
        <row r="258">
          <cell r="AN258">
            <v>46501.36875</v>
          </cell>
          <cell r="AQ258" t="str">
            <v>50a</v>
          </cell>
        </row>
        <row r="259">
          <cell r="AN259">
            <v>470316.98499999987</v>
          </cell>
          <cell r="AQ259" t="str">
            <v>50a</v>
          </cell>
        </row>
        <row r="260">
          <cell r="AN260">
            <v>981065.8029166668</v>
          </cell>
          <cell r="AQ260" t="str">
            <v>50a</v>
          </cell>
        </row>
        <row r="261">
          <cell r="AN261">
            <v>405602.2233333333</v>
          </cell>
          <cell r="AQ261" t="str">
            <v>50b</v>
          </cell>
        </row>
        <row r="262">
          <cell r="AN262">
            <v>153376.68416666667</v>
          </cell>
          <cell r="AQ262" t="str">
            <v>50b</v>
          </cell>
        </row>
        <row r="263">
          <cell r="AN263">
            <v>15566.456666666667</v>
          </cell>
          <cell r="AQ263" t="str">
            <v>50b</v>
          </cell>
        </row>
        <row r="264">
          <cell r="AN264">
            <v>588802.12125</v>
          </cell>
          <cell r="AQ264" t="str">
            <v>50b</v>
          </cell>
        </row>
        <row r="265">
          <cell r="AN265">
            <v>196945.65041666664</v>
          </cell>
          <cell r="AQ265" t="str">
            <v>50b</v>
          </cell>
        </row>
        <row r="266">
          <cell r="AN266">
            <v>153834.93</v>
          </cell>
          <cell r="AQ266" t="str">
            <v>50b</v>
          </cell>
        </row>
        <row r="267">
          <cell r="AN267">
            <v>0</v>
          </cell>
          <cell r="AQ267" t="str">
            <v>50b</v>
          </cell>
        </row>
        <row r="268">
          <cell r="AN268">
            <v>0</v>
          </cell>
        </row>
        <row r="269">
          <cell r="AN269">
            <v>-762055.0599999999</v>
          </cell>
          <cell r="AQ269" t="str">
            <v>50b</v>
          </cell>
        </row>
        <row r="270">
          <cell r="AN270">
            <v>0</v>
          </cell>
          <cell r="AQ270" t="str">
            <v>50a</v>
          </cell>
        </row>
        <row r="271">
          <cell r="AN271">
            <v>-259983.76041666666</v>
          </cell>
        </row>
        <row r="272">
          <cell r="AN272">
            <v>-41487700</v>
          </cell>
          <cell r="AQ272" t="str">
            <v>50b</v>
          </cell>
        </row>
        <row r="273">
          <cell r="AN273">
            <v>0</v>
          </cell>
          <cell r="AQ273" t="str">
            <v>50b</v>
          </cell>
        </row>
        <row r="274">
          <cell r="AN274">
            <v>599755.4166666666</v>
          </cell>
          <cell r="AQ274" t="str">
            <v>50b</v>
          </cell>
        </row>
        <row r="275">
          <cell r="AN275">
            <v>204427.75</v>
          </cell>
        </row>
        <row r="276">
          <cell r="AN276">
            <v>-121878.65916666668</v>
          </cell>
          <cell r="AQ276" t="str">
            <v>50a</v>
          </cell>
        </row>
        <row r="277">
          <cell r="AN277">
            <v>-512625.4849999999</v>
          </cell>
          <cell r="AQ277" t="str">
            <v>50a</v>
          </cell>
        </row>
        <row r="278">
          <cell r="AN278">
            <v>3843.232083333334</v>
          </cell>
          <cell r="AQ278" t="str">
            <v>50a</v>
          </cell>
        </row>
        <row r="279">
          <cell r="AN279">
            <v>120748.51666666668</v>
          </cell>
          <cell r="AQ279" t="str">
            <v>50a</v>
          </cell>
        </row>
        <row r="280">
          <cell r="AN280">
            <v>69075.08833333333</v>
          </cell>
          <cell r="AQ280" t="str">
            <v>50a</v>
          </cell>
        </row>
        <row r="281">
          <cell r="AN281">
            <v>67092.24624999998</v>
          </cell>
          <cell r="AQ281" t="str">
            <v>50a</v>
          </cell>
        </row>
        <row r="282">
          <cell r="AN282">
            <v>37206.120833333334</v>
          </cell>
          <cell r="AQ282" t="str">
            <v>50a</v>
          </cell>
        </row>
        <row r="283">
          <cell r="AN283">
            <v>3600500.1133333333</v>
          </cell>
          <cell r="AQ283" t="str">
            <v>36b</v>
          </cell>
        </row>
        <row r="284">
          <cell r="AN284">
            <v>0</v>
          </cell>
          <cell r="AQ284" t="str">
            <v>50b</v>
          </cell>
        </row>
        <row r="285">
          <cell r="AN285">
            <v>657716.0370833334</v>
          </cell>
          <cell r="AQ285" t="str">
            <v>50b</v>
          </cell>
        </row>
        <row r="286">
          <cell r="AN286">
            <v>934256.2629166666</v>
          </cell>
          <cell r="AQ286" t="str">
            <v>50b</v>
          </cell>
        </row>
        <row r="287">
          <cell r="AN287">
            <v>119152.40666666668</v>
          </cell>
          <cell r="AQ287" t="str">
            <v>50b</v>
          </cell>
        </row>
        <row r="288">
          <cell r="AN288">
            <v>19446.528333333332</v>
          </cell>
          <cell r="AQ288" t="str">
            <v>50b</v>
          </cell>
        </row>
        <row r="289">
          <cell r="AN289">
            <v>0</v>
          </cell>
          <cell r="AQ289" t="str">
            <v>50b</v>
          </cell>
        </row>
        <row r="290">
          <cell r="AN290">
            <v>3925921.1716666664</v>
          </cell>
          <cell r="AQ290" t="str">
            <v>50b</v>
          </cell>
        </row>
        <row r="291">
          <cell r="AN291">
            <v>1184995.9208333332</v>
          </cell>
          <cell r="AQ291" t="str">
            <v>50b</v>
          </cell>
        </row>
        <row r="292">
          <cell r="AN292">
            <v>0</v>
          </cell>
          <cell r="AQ292" t="str">
            <v>50b</v>
          </cell>
        </row>
        <row r="293">
          <cell r="AN293">
            <v>2684186.3008333337</v>
          </cell>
          <cell r="AQ293" t="str">
            <v>50b</v>
          </cell>
        </row>
        <row r="294">
          <cell r="AN294">
            <v>7359.289999999998</v>
          </cell>
        </row>
        <row r="295">
          <cell r="AN295">
            <v>354008.19</v>
          </cell>
        </row>
        <row r="296">
          <cell r="AN296">
            <v>0</v>
          </cell>
          <cell r="AQ296" t="str">
            <v>50b</v>
          </cell>
        </row>
        <row r="297">
          <cell r="AN297">
            <v>1358124.6708333332</v>
          </cell>
        </row>
        <row r="298">
          <cell r="AN298">
            <v>226.11750000000004</v>
          </cell>
          <cell r="AQ298" t="str">
            <v>50b</v>
          </cell>
        </row>
        <row r="299">
          <cell r="AN299">
            <v>70091.86166666666</v>
          </cell>
          <cell r="AQ299" t="str">
            <v>50b</v>
          </cell>
        </row>
        <row r="300">
          <cell r="AN300">
            <v>110.46124999999996</v>
          </cell>
          <cell r="AQ300" t="str">
            <v>50b</v>
          </cell>
        </row>
        <row r="301">
          <cell r="AN301">
            <v>144056.90166666664</v>
          </cell>
          <cell r="AQ301" t="str">
            <v>50b</v>
          </cell>
        </row>
        <row r="302">
          <cell r="AN302">
            <v>0</v>
          </cell>
          <cell r="AQ302" t="str">
            <v>50b</v>
          </cell>
        </row>
        <row r="303">
          <cell r="AN303">
            <v>563111.1091666667</v>
          </cell>
          <cell r="AQ303" t="str">
            <v>50b</v>
          </cell>
        </row>
        <row r="304">
          <cell r="AN304">
            <v>82554.49166666667</v>
          </cell>
          <cell r="AQ304" t="str">
            <v>50b</v>
          </cell>
        </row>
        <row r="305">
          <cell r="AN305">
            <v>0</v>
          </cell>
          <cell r="AQ305" t="str">
            <v>50b</v>
          </cell>
        </row>
        <row r="306">
          <cell r="AN306">
            <v>0</v>
          </cell>
          <cell r="AQ306" t="str">
            <v>50b</v>
          </cell>
        </row>
        <row r="307">
          <cell r="AN307">
            <v>0</v>
          </cell>
          <cell r="AQ307" t="str">
            <v>50b</v>
          </cell>
        </row>
        <row r="308">
          <cell r="AN308">
            <v>0</v>
          </cell>
          <cell r="AQ308" t="str">
            <v>50a</v>
          </cell>
        </row>
        <row r="309">
          <cell r="AN309">
            <v>-2932.5733333333333</v>
          </cell>
          <cell r="AQ309" t="str">
            <v>50b</v>
          </cell>
        </row>
        <row r="310">
          <cell r="AN310">
            <v>-1264.26625</v>
          </cell>
        </row>
        <row r="311">
          <cell r="AN311">
            <v>0</v>
          </cell>
          <cell r="AQ311" t="str">
            <v>50b</v>
          </cell>
        </row>
        <row r="312">
          <cell r="AN312">
            <v>5227346.22625</v>
          </cell>
          <cell r="AQ312" t="str">
            <v>50a</v>
          </cell>
        </row>
        <row r="313">
          <cell r="AN313">
            <v>2868952.8283333336</v>
          </cell>
          <cell r="AQ313" t="str">
            <v>50b</v>
          </cell>
        </row>
        <row r="314">
          <cell r="AN314">
            <v>-5199695.92375</v>
          </cell>
          <cell r="AQ314" t="str">
            <v>50a</v>
          </cell>
        </row>
        <row r="315">
          <cell r="AN315">
            <v>2216670.4983333326</v>
          </cell>
          <cell r="AQ315" t="str">
            <v>50b</v>
          </cell>
        </row>
        <row r="316">
          <cell r="AN316">
            <v>0</v>
          </cell>
          <cell r="AQ316" t="str">
            <v>50b</v>
          </cell>
        </row>
        <row r="317">
          <cell r="AN317">
            <v>11436204.515</v>
          </cell>
          <cell r="AQ317" t="str">
            <v>50b</v>
          </cell>
        </row>
        <row r="318">
          <cell r="AN318">
            <v>3872220.080833333</v>
          </cell>
        </row>
        <row r="319">
          <cell r="AN319">
            <v>2137950.25125</v>
          </cell>
          <cell r="AQ319" t="str">
            <v>50a</v>
          </cell>
        </row>
        <row r="320">
          <cell r="AN320">
            <v>2499029.757916667</v>
          </cell>
          <cell r="AQ320" t="str">
            <v>50b</v>
          </cell>
        </row>
        <row r="321">
          <cell r="AN321">
            <v>0</v>
          </cell>
          <cell r="AQ321" t="str">
            <v>62</v>
          </cell>
        </row>
        <row r="322">
          <cell r="AN322">
            <v>1354044.1820833336</v>
          </cell>
          <cell r="AQ322" t="str">
            <v>50a</v>
          </cell>
        </row>
        <row r="323">
          <cell r="AN323">
            <v>0</v>
          </cell>
          <cell r="AQ323" t="str">
            <v>50a</v>
          </cell>
        </row>
        <row r="324">
          <cell r="AN324">
            <v>181387.84208333332</v>
          </cell>
          <cell r="AQ324" t="str">
            <v>50a</v>
          </cell>
        </row>
        <row r="325">
          <cell r="AN325">
            <v>55403.83458333332</v>
          </cell>
          <cell r="AQ325" t="str">
            <v>50a</v>
          </cell>
        </row>
        <row r="326">
          <cell r="AN326">
            <v>-25958.445000000007</v>
          </cell>
          <cell r="AQ326" t="str">
            <v>50a</v>
          </cell>
        </row>
        <row r="327">
          <cell r="AN327">
            <v>9032550.867083335</v>
          </cell>
        </row>
        <row r="328">
          <cell r="AN328">
            <v>6095338.384999999</v>
          </cell>
        </row>
        <row r="329">
          <cell r="AN329">
            <v>12512721.42375</v>
          </cell>
        </row>
        <row r="330">
          <cell r="AN330">
            <v>541186.2999999999</v>
          </cell>
        </row>
        <row r="331">
          <cell r="AN331">
            <v>3630.079166666668</v>
          </cell>
        </row>
        <row r="332">
          <cell r="AN332">
            <v>0</v>
          </cell>
          <cell r="AQ332" t="str">
            <v>50a</v>
          </cell>
        </row>
        <row r="333">
          <cell r="AN333">
            <v>680741.7345833333</v>
          </cell>
          <cell r="AQ333" t="str">
            <v>50a</v>
          </cell>
        </row>
        <row r="334">
          <cell r="AN334">
            <v>6106.710416666666</v>
          </cell>
          <cell r="AQ334" t="str">
            <v>50b</v>
          </cell>
        </row>
        <row r="335">
          <cell r="AN335">
            <v>7462.1483333333335</v>
          </cell>
          <cell r="AQ335" t="str">
            <v>50a</v>
          </cell>
        </row>
        <row r="336">
          <cell r="AN336">
            <v>646609.0841666666</v>
          </cell>
          <cell r="AQ336" t="str">
            <v>50a</v>
          </cell>
        </row>
        <row r="337">
          <cell r="AN337">
            <v>15423.300000000001</v>
          </cell>
          <cell r="AQ337" t="str">
            <v>50b</v>
          </cell>
        </row>
        <row r="338">
          <cell r="AN338">
            <v>0</v>
          </cell>
          <cell r="AQ338" t="str">
            <v>50a</v>
          </cell>
        </row>
        <row r="339">
          <cell r="AN339">
            <v>36650.65916666667</v>
          </cell>
          <cell r="AQ339" t="str">
            <v>50a</v>
          </cell>
        </row>
        <row r="340">
          <cell r="AN340">
            <v>22508.721666666665</v>
          </cell>
          <cell r="AQ340" t="str">
            <v>50a</v>
          </cell>
        </row>
        <row r="341">
          <cell r="AN341">
            <v>662932.3754166666</v>
          </cell>
          <cell r="AQ341" t="str">
            <v>50a</v>
          </cell>
        </row>
        <row r="342">
          <cell r="AN342">
            <v>11853.29166666667</v>
          </cell>
          <cell r="AQ342" t="str">
            <v>50a</v>
          </cell>
        </row>
        <row r="343">
          <cell r="AN343">
            <v>0</v>
          </cell>
          <cell r="AQ343" t="str">
            <v>50b</v>
          </cell>
        </row>
        <row r="344">
          <cell r="AN344">
            <v>28968.7525</v>
          </cell>
          <cell r="AQ344" t="str">
            <v>50a</v>
          </cell>
        </row>
        <row r="345">
          <cell r="AN345">
            <v>0</v>
          </cell>
          <cell r="AQ345" t="str">
            <v>50b</v>
          </cell>
        </row>
        <row r="346">
          <cell r="AN346">
            <v>0</v>
          </cell>
          <cell r="AQ346" t="str">
            <v>50b</v>
          </cell>
        </row>
        <row r="347">
          <cell r="AN347">
            <v>0</v>
          </cell>
          <cell r="AQ347" t="str">
            <v>50b</v>
          </cell>
        </row>
        <row r="348">
          <cell r="AN348">
            <v>0</v>
          </cell>
          <cell r="AQ348" t="str">
            <v>50b</v>
          </cell>
        </row>
        <row r="349">
          <cell r="AN349">
            <v>0</v>
          </cell>
          <cell r="AQ349" t="str">
            <v>50b</v>
          </cell>
        </row>
        <row r="350">
          <cell r="AN350">
            <v>0</v>
          </cell>
          <cell r="AQ350" t="str">
            <v>50b</v>
          </cell>
        </row>
        <row r="351">
          <cell r="AN351">
            <v>0</v>
          </cell>
          <cell r="AQ351" t="str">
            <v>50b</v>
          </cell>
        </row>
        <row r="352">
          <cell r="AN352">
            <v>0</v>
          </cell>
          <cell r="AQ352" t="str">
            <v>50b</v>
          </cell>
        </row>
        <row r="353">
          <cell r="AN353">
            <v>0</v>
          </cell>
          <cell r="AQ353" t="str">
            <v>50b</v>
          </cell>
        </row>
        <row r="354">
          <cell r="AN354">
            <v>0</v>
          </cell>
          <cell r="AQ354" t="str">
            <v>50b</v>
          </cell>
        </row>
        <row r="355">
          <cell r="AN355">
            <v>0</v>
          </cell>
          <cell r="AQ355" t="str">
            <v>50b</v>
          </cell>
        </row>
        <row r="356">
          <cell r="AN356">
            <v>6125.975833333334</v>
          </cell>
          <cell r="AQ356" t="str">
            <v>50a</v>
          </cell>
        </row>
        <row r="357">
          <cell r="AN357">
            <v>414599.38166666665</v>
          </cell>
          <cell r="AQ357" t="str">
            <v>50a</v>
          </cell>
        </row>
        <row r="358">
          <cell r="AN358">
            <v>99502.51</v>
          </cell>
        </row>
        <row r="359">
          <cell r="AN359">
            <v>359695.8033333334</v>
          </cell>
          <cell r="AQ359" t="str">
            <v>50a</v>
          </cell>
        </row>
        <row r="360">
          <cell r="AN360">
            <v>0</v>
          </cell>
          <cell r="AQ360" t="str">
            <v>50a</v>
          </cell>
        </row>
        <row r="361">
          <cell r="AN361">
            <v>0</v>
          </cell>
          <cell r="AQ361" t="str">
            <v>50b</v>
          </cell>
        </row>
        <row r="362">
          <cell r="AN362">
            <v>1324.1266666666663</v>
          </cell>
          <cell r="AQ362" t="str">
            <v>50a</v>
          </cell>
        </row>
        <row r="363">
          <cell r="AN363">
            <v>4972.070416666667</v>
          </cell>
          <cell r="AQ363" t="str">
            <v>50b</v>
          </cell>
        </row>
        <row r="364">
          <cell r="AN364">
            <v>0</v>
          </cell>
          <cell r="AQ364" t="str">
            <v>50b</v>
          </cell>
        </row>
        <row r="365">
          <cell r="AN365">
            <v>43099.18875</v>
          </cell>
          <cell r="AQ365" t="str">
            <v>50a</v>
          </cell>
        </row>
        <row r="366">
          <cell r="AN366">
            <v>17780.01875</v>
          </cell>
          <cell r="AQ366" t="str">
            <v>50a</v>
          </cell>
        </row>
        <row r="367">
          <cell r="AN367">
            <v>46166.786666666674</v>
          </cell>
          <cell r="AQ367" t="str">
            <v>50b</v>
          </cell>
        </row>
        <row r="368">
          <cell r="AN368">
            <v>46166.798749999994</v>
          </cell>
          <cell r="AQ368" t="str">
            <v>50b</v>
          </cell>
        </row>
        <row r="369">
          <cell r="AN369">
            <v>668507.4500000002</v>
          </cell>
          <cell r="AQ369" t="str">
            <v>50b</v>
          </cell>
        </row>
        <row r="370">
          <cell r="AN370">
            <v>2212040.5683333334</v>
          </cell>
          <cell r="AQ370" t="str">
            <v>50b</v>
          </cell>
        </row>
        <row r="371">
          <cell r="AN371">
            <v>150159.4325</v>
          </cell>
          <cell r="AQ371" t="str">
            <v> </v>
          </cell>
        </row>
        <row r="372">
          <cell r="AN372">
            <v>0</v>
          </cell>
          <cell r="AQ372" t="str">
            <v>50a</v>
          </cell>
        </row>
        <row r="373">
          <cell r="AN373">
            <v>0</v>
          </cell>
          <cell r="AQ373" t="str">
            <v>50a</v>
          </cell>
        </row>
        <row r="374">
          <cell r="AN374">
            <v>43442.52333333332</v>
          </cell>
          <cell r="AQ374" t="str">
            <v>50a</v>
          </cell>
        </row>
        <row r="375">
          <cell r="AN375">
            <v>75516.625</v>
          </cell>
          <cell r="AQ375" t="str">
            <v>50a</v>
          </cell>
        </row>
        <row r="376">
          <cell r="AN376">
            <v>0</v>
          </cell>
          <cell r="AQ376" t="str">
            <v>50b</v>
          </cell>
        </row>
        <row r="377">
          <cell r="AN377">
            <v>7594.294583333333</v>
          </cell>
          <cell r="AQ377" t="str">
            <v>50a</v>
          </cell>
        </row>
        <row r="378">
          <cell r="AN378">
            <v>19879.167916666665</v>
          </cell>
          <cell r="AQ378" t="str">
            <v>50b</v>
          </cell>
        </row>
        <row r="379">
          <cell r="AN379">
            <v>19312.5</v>
          </cell>
        </row>
        <row r="380">
          <cell r="AN380">
            <v>0</v>
          </cell>
          <cell r="AQ380" t="str">
            <v>50a</v>
          </cell>
        </row>
        <row r="381">
          <cell r="AN381">
            <v>245653.81208333335</v>
          </cell>
          <cell r="AQ381" t="str">
            <v>50b</v>
          </cell>
        </row>
        <row r="382">
          <cell r="AN382">
            <v>0</v>
          </cell>
          <cell r="AQ382" t="str">
            <v>50a</v>
          </cell>
        </row>
        <row r="383">
          <cell r="AN383">
            <v>111041.65541666669</v>
          </cell>
          <cell r="AQ383" t="str">
            <v>50a</v>
          </cell>
        </row>
        <row r="384">
          <cell r="AN384">
            <v>0</v>
          </cell>
          <cell r="AQ384" t="str">
            <v>50b</v>
          </cell>
        </row>
        <row r="385">
          <cell r="AN385">
            <v>58619.3675</v>
          </cell>
          <cell r="AQ385" t="str">
            <v>50a</v>
          </cell>
        </row>
        <row r="386">
          <cell r="AN386">
            <v>0</v>
          </cell>
          <cell r="AQ386" t="str">
            <v>62</v>
          </cell>
        </row>
        <row r="387">
          <cell r="AN387">
            <v>0</v>
          </cell>
          <cell r="AQ387" t="str">
            <v>62</v>
          </cell>
        </row>
        <row r="388">
          <cell r="AN388">
            <v>649.1270833333332</v>
          </cell>
          <cell r="AQ388" t="str">
            <v>62</v>
          </cell>
        </row>
        <row r="389">
          <cell r="AN389">
            <v>0</v>
          </cell>
          <cell r="AQ389" t="str">
            <v>62</v>
          </cell>
        </row>
        <row r="390">
          <cell r="AN390">
            <v>0</v>
          </cell>
          <cell r="AQ390" t="str">
            <v>62</v>
          </cell>
        </row>
        <row r="391">
          <cell r="AN391">
            <v>71331.55125</v>
          </cell>
          <cell r="AQ391" t="str">
            <v>62</v>
          </cell>
        </row>
        <row r="392">
          <cell r="AN392">
            <v>9500</v>
          </cell>
          <cell r="AQ392" t="str">
            <v>62</v>
          </cell>
        </row>
        <row r="393">
          <cell r="AN393">
            <v>0</v>
          </cell>
          <cell r="AQ393" t="str">
            <v>62</v>
          </cell>
        </row>
        <row r="394">
          <cell r="AN394">
            <v>0</v>
          </cell>
          <cell r="AQ394" t="str">
            <v>62</v>
          </cell>
        </row>
        <row r="395">
          <cell r="AN395">
            <v>0</v>
          </cell>
          <cell r="AQ395" t="str">
            <v>62</v>
          </cell>
        </row>
        <row r="396">
          <cell r="AN396">
            <v>0</v>
          </cell>
          <cell r="AQ396" t="str">
            <v>62</v>
          </cell>
        </row>
        <row r="397">
          <cell r="AN397">
            <v>0</v>
          </cell>
          <cell r="AQ397" t="str">
            <v>62</v>
          </cell>
        </row>
        <row r="398">
          <cell r="AN398">
            <v>0</v>
          </cell>
          <cell r="AQ398" t="str">
            <v>62</v>
          </cell>
        </row>
        <row r="399">
          <cell r="AN399">
            <v>738.3341666666666</v>
          </cell>
          <cell r="AQ399" t="str">
            <v>62</v>
          </cell>
        </row>
        <row r="400">
          <cell r="AN400">
            <v>0</v>
          </cell>
          <cell r="AQ400" t="str">
            <v>62</v>
          </cell>
        </row>
        <row r="401">
          <cell r="AN401">
            <v>0</v>
          </cell>
          <cell r="AQ401" t="str">
            <v>62</v>
          </cell>
        </row>
        <row r="402">
          <cell r="AN402">
            <v>0</v>
          </cell>
          <cell r="AQ402" t="str">
            <v>62</v>
          </cell>
        </row>
        <row r="403">
          <cell r="AN403">
            <v>0</v>
          </cell>
          <cell r="AQ403" t="str">
            <v>62</v>
          </cell>
        </row>
        <row r="404">
          <cell r="AN404">
            <v>-1.0275</v>
          </cell>
          <cell r="AQ404" t="str">
            <v>62</v>
          </cell>
        </row>
        <row r="405">
          <cell r="AN405">
            <v>0</v>
          </cell>
          <cell r="AQ405" t="str">
            <v>62</v>
          </cell>
        </row>
        <row r="406">
          <cell r="AN406">
            <v>2.4683333333333333</v>
          </cell>
          <cell r="AQ406" t="str">
            <v>62</v>
          </cell>
        </row>
        <row r="407">
          <cell r="AN407">
            <v>1110.9816666666668</v>
          </cell>
          <cell r="AQ407" t="str">
            <v>62</v>
          </cell>
        </row>
        <row r="408">
          <cell r="AN408">
            <v>58614595.25</v>
          </cell>
          <cell r="AQ408" t="str">
            <v>50b</v>
          </cell>
        </row>
        <row r="409">
          <cell r="AN409">
            <v>22637718.637916666</v>
          </cell>
        </row>
        <row r="410">
          <cell r="AN410">
            <v>1086343.9495833335</v>
          </cell>
          <cell r="AQ410" t="str">
            <v>50b</v>
          </cell>
        </row>
        <row r="411">
          <cell r="AN411">
            <v>-37783158.25</v>
          </cell>
          <cell r="AQ411" t="str">
            <v>50b</v>
          </cell>
        </row>
        <row r="412">
          <cell r="AN412">
            <v>-16492420.083333334</v>
          </cell>
        </row>
        <row r="413">
          <cell r="AN413">
            <v>1383664.6833333333</v>
          </cell>
          <cell r="AQ413" t="str">
            <v>50b</v>
          </cell>
        </row>
        <row r="414">
          <cell r="AN414">
            <v>252788.125</v>
          </cell>
          <cell r="AQ414" t="str">
            <v>62</v>
          </cell>
        </row>
        <row r="415">
          <cell r="AN415">
            <v>2955821.5</v>
          </cell>
          <cell r="AQ415" t="str">
            <v>62</v>
          </cell>
        </row>
        <row r="416">
          <cell r="AN416">
            <v>2899347.4583333335</v>
          </cell>
          <cell r="AQ416" t="str">
            <v>62</v>
          </cell>
        </row>
        <row r="417">
          <cell r="AN417">
            <v>7243287.625</v>
          </cell>
          <cell r="AQ417" t="str">
            <v>62</v>
          </cell>
        </row>
        <row r="418">
          <cell r="AN418">
            <v>1534962.6999999995</v>
          </cell>
          <cell r="AQ418" t="str">
            <v>2</v>
          </cell>
        </row>
        <row r="419">
          <cell r="AN419">
            <v>0</v>
          </cell>
          <cell r="AQ419" t="str">
            <v>2</v>
          </cell>
        </row>
        <row r="420">
          <cell r="AN420">
            <v>87362</v>
          </cell>
          <cell r="AQ420" t="str">
            <v>2</v>
          </cell>
        </row>
        <row r="421">
          <cell r="AN421">
            <v>145417.71875</v>
          </cell>
          <cell r="AQ421" t="str">
            <v>2</v>
          </cell>
        </row>
        <row r="422">
          <cell r="AN422">
            <v>212115.30375</v>
          </cell>
          <cell r="AQ422" t="str">
            <v>2</v>
          </cell>
        </row>
        <row r="423">
          <cell r="AN423">
            <v>445187.73</v>
          </cell>
          <cell r="AQ423" t="str">
            <v>2</v>
          </cell>
        </row>
        <row r="424">
          <cell r="AN424">
            <v>50594.44</v>
          </cell>
          <cell r="AQ424" t="str">
            <v>2</v>
          </cell>
        </row>
        <row r="425">
          <cell r="AN425">
            <v>214371.86000000002</v>
          </cell>
          <cell r="AQ425" t="str">
            <v>2</v>
          </cell>
        </row>
        <row r="426">
          <cell r="AN426">
            <v>12793.300833333333</v>
          </cell>
          <cell r="AQ426" t="str">
            <v>2</v>
          </cell>
        </row>
        <row r="427">
          <cell r="AN427">
            <v>11189.38875</v>
          </cell>
          <cell r="AQ427" t="str">
            <v>2</v>
          </cell>
        </row>
        <row r="428">
          <cell r="AN428">
            <v>208644.91</v>
          </cell>
          <cell r="AQ428" t="str">
            <v>2</v>
          </cell>
        </row>
        <row r="429">
          <cell r="AN429">
            <v>177947.74958333335</v>
          </cell>
          <cell r="AQ429" t="str">
            <v>2</v>
          </cell>
        </row>
        <row r="430">
          <cell r="AN430">
            <v>591888.4041666667</v>
          </cell>
          <cell r="AQ430" t="str">
            <v>2</v>
          </cell>
        </row>
        <row r="431">
          <cell r="AN431">
            <v>181218.59416666665</v>
          </cell>
          <cell r="AQ431" t="str">
            <v>2</v>
          </cell>
        </row>
        <row r="432">
          <cell r="AN432">
            <v>190733.79583333337</v>
          </cell>
          <cell r="AQ432" t="str">
            <v>2</v>
          </cell>
        </row>
        <row r="433">
          <cell r="AN433">
            <v>0</v>
          </cell>
          <cell r="AQ433" t="str">
            <v>2</v>
          </cell>
        </row>
        <row r="434">
          <cell r="AN434">
            <v>80607.14</v>
          </cell>
          <cell r="AQ434" t="str">
            <v>2</v>
          </cell>
        </row>
        <row r="435">
          <cell r="AN435">
            <v>0</v>
          </cell>
          <cell r="AQ435" t="str">
            <v>2</v>
          </cell>
        </row>
        <row r="436">
          <cell r="AN436">
            <v>0.0025</v>
          </cell>
          <cell r="AQ436" t="str">
            <v>2</v>
          </cell>
        </row>
        <row r="437">
          <cell r="AN437">
            <v>0</v>
          </cell>
          <cell r="AQ437" t="str">
            <v>2</v>
          </cell>
        </row>
        <row r="438">
          <cell r="AN438">
            <v>0</v>
          </cell>
          <cell r="AQ438" t="str">
            <v>2</v>
          </cell>
        </row>
        <row r="439">
          <cell r="AN439">
            <v>0</v>
          </cell>
          <cell r="AQ439" t="str">
            <v>2</v>
          </cell>
        </row>
        <row r="440">
          <cell r="AN440">
            <v>0</v>
          </cell>
          <cell r="AQ440" t="str">
            <v>2</v>
          </cell>
        </row>
        <row r="441">
          <cell r="AN441">
            <v>314.70666666666665</v>
          </cell>
          <cell r="AQ441" t="str">
            <v>2</v>
          </cell>
        </row>
        <row r="442">
          <cell r="AN442">
            <v>61426.11499999999</v>
          </cell>
          <cell r="AQ442" t="str">
            <v>2</v>
          </cell>
        </row>
        <row r="443">
          <cell r="AN443">
            <v>90771.48375000001</v>
          </cell>
          <cell r="AQ443" t="str">
            <v>2</v>
          </cell>
        </row>
        <row r="444">
          <cell r="AN444">
            <v>0</v>
          </cell>
          <cell r="AQ444" t="str">
            <v>2</v>
          </cell>
        </row>
        <row r="445">
          <cell r="AN445">
            <v>1501.8595833333331</v>
          </cell>
          <cell r="AQ445" t="str">
            <v>2</v>
          </cell>
        </row>
        <row r="446">
          <cell r="AN446">
            <v>1752.7050000000002</v>
          </cell>
          <cell r="AQ446" t="str">
            <v>2</v>
          </cell>
        </row>
        <row r="447">
          <cell r="AN447">
            <v>6426.785</v>
          </cell>
          <cell r="AQ447" t="str">
            <v>2</v>
          </cell>
        </row>
        <row r="448">
          <cell r="AN448">
            <v>367204.02999999997</v>
          </cell>
          <cell r="AQ448" t="str">
            <v>2</v>
          </cell>
        </row>
        <row r="449">
          <cell r="AN449">
            <v>29993.054999999997</v>
          </cell>
          <cell r="AQ449" t="str">
            <v>2</v>
          </cell>
        </row>
        <row r="450">
          <cell r="AN450">
            <v>913839.09</v>
          </cell>
          <cell r="AQ450" t="str">
            <v>2</v>
          </cell>
        </row>
        <row r="451">
          <cell r="AN451">
            <v>2497800.4912500004</v>
          </cell>
          <cell r="AQ451" t="str">
            <v>2</v>
          </cell>
        </row>
        <row r="452">
          <cell r="AN452">
            <v>651522.33</v>
          </cell>
          <cell r="AQ452" t="str">
            <v>2</v>
          </cell>
        </row>
        <row r="453">
          <cell r="AN453">
            <v>823708.9945833334</v>
          </cell>
          <cell r="AQ453" t="str">
            <v>2</v>
          </cell>
        </row>
        <row r="454">
          <cell r="AN454">
            <v>1179723.84</v>
          </cell>
          <cell r="AQ454" t="str">
            <v>2</v>
          </cell>
        </row>
        <row r="455">
          <cell r="AN455">
            <v>132497.37</v>
          </cell>
          <cell r="AQ455" t="str">
            <v>2</v>
          </cell>
        </row>
        <row r="456">
          <cell r="AN456">
            <v>1431709.83</v>
          </cell>
          <cell r="AQ456" t="str">
            <v>2</v>
          </cell>
        </row>
        <row r="457">
          <cell r="AN457">
            <v>0</v>
          </cell>
          <cell r="AQ457" t="str">
            <v>2</v>
          </cell>
        </row>
        <row r="458">
          <cell r="AN458">
            <v>6447608.1925</v>
          </cell>
          <cell r="AQ458" t="str">
            <v>2</v>
          </cell>
        </row>
        <row r="459">
          <cell r="AN459">
            <v>85995.42125</v>
          </cell>
          <cell r="AQ459" t="str">
            <v>2</v>
          </cell>
        </row>
        <row r="460">
          <cell r="AN460">
            <v>3220944.573333333</v>
          </cell>
          <cell r="AQ460" t="str">
            <v>2</v>
          </cell>
        </row>
        <row r="461">
          <cell r="AN461">
            <v>544345.6791666666</v>
          </cell>
          <cell r="AQ461" t="str">
            <v>2</v>
          </cell>
        </row>
        <row r="462">
          <cell r="AN462">
            <v>512487.51666666666</v>
          </cell>
          <cell r="AQ462" t="str">
            <v>2</v>
          </cell>
        </row>
        <row r="463">
          <cell r="AN463">
            <v>376220.6770833333</v>
          </cell>
          <cell r="AQ463" t="str">
            <v>2</v>
          </cell>
        </row>
        <row r="464">
          <cell r="AN464">
            <v>316460.45458333334</v>
          </cell>
          <cell r="AQ464" t="str">
            <v>2</v>
          </cell>
        </row>
        <row r="465">
          <cell r="AN465">
            <v>0</v>
          </cell>
          <cell r="AQ465" t="str">
            <v>2</v>
          </cell>
        </row>
        <row r="466">
          <cell r="AN466">
            <v>0</v>
          </cell>
          <cell r="AQ466" t="str">
            <v>62</v>
          </cell>
        </row>
        <row r="467">
          <cell r="AN467">
            <v>0</v>
          </cell>
          <cell r="AQ467" t="str">
            <v>62</v>
          </cell>
        </row>
        <row r="468">
          <cell r="AN468">
            <v>12869228.72</v>
          </cell>
          <cell r="AQ468" t="str">
            <v>62</v>
          </cell>
        </row>
        <row r="469">
          <cell r="AN469">
            <v>4776552.71</v>
          </cell>
          <cell r="AQ469" t="str">
            <v>62</v>
          </cell>
        </row>
        <row r="470">
          <cell r="AN470">
            <v>2705896.4200000004</v>
          </cell>
          <cell r="AQ470" t="str">
            <v>62</v>
          </cell>
        </row>
        <row r="471">
          <cell r="AN471">
            <v>227519603.87625003</v>
          </cell>
          <cell r="AQ471" t="str">
            <v>62</v>
          </cell>
        </row>
        <row r="472">
          <cell r="AN472">
            <v>10161321.180000002</v>
          </cell>
          <cell r="AQ472" t="str">
            <v>45b</v>
          </cell>
        </row>
        <row r="473">
          <cell r="AN473">
            <v>126367.20833333333</v>
          </cell>
          <cell r="AQ473" t="str">
            <v>45b</v>
          </cell>
        </row>
        <row r="474">
          <cell r="AN474">
            <v>9473741.284166666</v>
          </cell>
          <cell r="AQ474" t="str">
            <v>57</v>
          </cell>
        </row>
        <row r="475">
          <cell r="AN475">
            <v>0</v>
          </cell>
          <cell r="AQ475" t="str">
            <v>50a</v>
          </cell>
        </row>
        <row r="476">
          <cell r="AN476">
            <v>30054378.090000004</v>
          </cell>
          <cell r="AQ476" t="str">
            <v>57</v>
          </cell>
        </row>
        <row r="477">
          <cell r="AN477">
            <v>1750805.6758333335</v>
          </cell>
          <cell r="AQ477" t="str">
            <v>42b</v>
          </cell>
        </row>
        <row r="478">
          <cell r="AN478">
            <v>21589277</v>
          </cell>
          <cell r="AQ478" t="str">
            <v>57</v>
          </cell>
        </row>
        <row r="479">
          <cell r="AN479">
            <v>258457.40333333332</v>
          </cell>
          <cell r="AQ479" t="str">
            <v>42b</v>
          </cell>
        </row>
        <row r="480">
          <cell r="AN480">
            <v>-9367927.86</v>
          </cell>
          <cell r="AQ480" t="str">
            <v>57</v>
          </cell>
        </row>
        <row r="481">
          <cell r="AN481">
            <v>2947396</v>
          </cell>
          <cell r="AQ481" t="str">
            <v>58</v>
          </cell>
        </row>
        <row r="482">
          <cell r="AN482">
            <v>0</v>
          </cell>
          <cell r="AQ482" t="str">
            <v>42b</v>
          </cell>
        </row>
        <row r="483">
          <cell r="AN483">
            <v>113632921</v>
          </cell>
          <cell r="AQ483" t="str">
            <v>57</v>
          </cell>
        </row>
        <row r="484">
          <cell r="AN484">
            <v>-63378677.99</v>
          </cell>
          <cell r="AQ484" t="str">
            <v>57</v>
          </cell>
        </row>
        <row r="485">
          <cell r="AN485">
            <v>0</v>
          </cell>
          <cell r="AQ485" t="str">
            <v>42b</v>
          </cell>
        </row>
        <row r="486">
          <cell r="AN486">
            <v>0</v>
          </cell>
          <cell r="AQ486" t="str">
            <v>57</v>
          </cell>
        </row>
        <row r="487">
          <cell r="AN487">
            <v>0</v>
          </cell>
          <cell r="AQ487" t="str">
            <v>42b</v>
          </cell>
        </row>
        <row r="488">
          <cell r="AN488">
            <v>0</v>
          </cell>
          <cell r="AQ488" t="str">
            <v>8b</v>
          </cell>
        </row>
        <row r="489">
          <cell r="AN489">
            <v>0</v>
          </cell>
          <cell r="AQ489" t="str">
            <v>42b</v>
          </cell>
        </row>
        <row r="490">
          <cell r="AN490">
            <v>23436.809999999998</v>
          </cell>
          <cell r="AQ490" t="str">
            <v>62</v>
          </cell>
        </row>
        <row r="491">
          <cell r="AN491">
            <v>0</v>
          </cell>
          <cell r="AQ491" t="str">
            <v>62</v>
          </cell>
        </row>
        <row r="492">
          <cell r="AN492">
            <v>2164556</v>
          </cell>
          <cell r="AQ492" t="str">
            <v>62</v>
          </cell>
        </row>
        <row r="493">
          <cell r="AN493">
            <v>0</v>
          </cell>
          <cell r="AQ493" t="str">
            <v>8b</v>
          </cell>
        </row>
        <row r="494">
          <cell r="AN494">
            <v>12239095.37375</v>
          </cell>
          <cell r="AQ494" t="str">
            <v>62</v>
          </cell>
        </row>
        <row r="495">
          <cell r="AN495">
            <v>0</v>
          </cell>
          <cell r="AQ495" t="str">
            <v>8b</v>
          </cell>
        </row>
        <row r="496">
          <cell r="AN496">
            <v>1186509.5266666666</v>
          </cell>
          <cell r="AQ496" t="str">
            <v> </v>
          </cell>
        </row>
        <row r="497">
          <cell r="AN497">
            <v>0</v>
          </cell>
          <cell r="AQ497" t="str">
            <v>8b</v>
          </cell>
        </row>
        <row r="498">
          <cell r="AN498">
            <v>0</v>
          </cell>
          <cell r="AQ498" t="str">
            <v>8b</v>
          </cell>
        </row>
        <row r="499">
          <cell r="AN499">
            <v>154505.82791666666</v>
          </cell>
          <cell r="AQ499" t="str">
            <v>61</v>
          </cell>
        </row>
        <row r="500">
          <cell r="AN500">
            <v>0</v>
          </cell>
          <cell r="AQ500" t="str">
            <v>62</v>
          </cell>
        </row>
        <row r="501">
          <cell r="AN501">
            <v>0</v>
          </cell>
          <cell r="AQ501" t="str">
            <v>57</v>
          </cell>
        </row>
        <row r="502">
          <cell r="AN502">
            <v>0</v>
          </cell>
          <cell r="AQ502" t="str">
            <v>57</v>
          </cell>
        </row>
        <row r="503">
          <cell r="AN503">
            <v>13359763.299999999</v>
          </cell>
          <cell r="AQ503" t="str">
            <v>57</v>
          </cell>
        </row>
        <row r="504">
          <cell r="AN504">
            <v>-13359763.299999999</v>
          </cell>
          <cell r="AQ504" t="str">
            <v>57</v>
          </cell>
        </row>
        <row r="505">
          <cell r="AN505">
            <v>0</v>
          </cell>
          <cell r="AQ505" t="str">
            <v>42b</v>
          </cell>
        </row>
        <row r="506">
          <cell r="AN506">
            <v>25007.430833333332</v>
          </cell>
          <cell r="AQ506" t="str">
            <v>42b</v>
          </cell>
        </row>
        <row r="507">
          <cell r="AN507">
            <v>0</v>
          </cell>
          <cell r="AQ507" t="str">
            <v>42b</v>
          </cell>
        </row>
        <row r="508">
          <cell r="AN508">
            <v>157544.79416666666</v>
          </cell>
          <cell r="AQ508" t="str">
            <v>42b</v>
          </cell>
        </row>
        <row r="509">
          <cell r="AN509">
            <v>1710.4541666666667</v>
          </cell>
          <cell r="AQ509" t="str">
            <v>42b</v>
          </cell>
        </row>
        <row r="510">
          <cell r="AN510">
            <v>5586.189583333333</v>
          </cell>
          <cell r="AQ510" t="str">
            <v>42b</v>
          </cell>
        </row>
        <row r="511">
          <cell r="AN511">
            <v>2236.8454166666666</v>
          </cell>
          <cell r="AQ511" t="str">
            <v>42b</v>
          </cell>
        </row>
        <row r="512">
          <cell r="AN512">
            <v>1233.49375</v>
          </cell>
          <cell r="AQ512" t="str">
            <v>42b</v>
          </cell>
        </row>
        <row r="513">
          <cell r="AN513">
            <v>4767.8625</v>
          </cell>
          <cell r="AQ513" t="str">
            <v>57</v>
          </cell>
        </row>
        <row r="514">
          <cell r="AN514">
            <v>243828.87583333332</v>
          </cell>
          <cell r="AQ514" t="str">
            <v>42b</v>
          </cell>
        </row>
        <row r="515">
          <cell r="AN515">
            <v>1640884.4600000002</v>
          </cell>
          <cell r="AQ515" t="str">
            <v>42b</v>
          </cell>
        </row>
        <row r="516">
          <cell r="AN516">
            <v>2109769.442083333</v>
          </cell>
          <cell r="AQ516" t="str">
            <v>42b</v>
          </cell>
        </row>
        <row r="517">
          <cell r="AN517">
            <v>-338012.85625</v>
          </cell>
          <cell r="AQ517" t="str">
            <v>42b</v>
          </cell>
        </row>
        <row r="518">
          <cell r="AN518">
            <v>-9321538.991666665</v>
          </cell>
          <cell r="AQ518" t="str">
            <v>57</v>
          </cell>
        </row>
        <row r="519">
          <cell r="AN519">
            <v>160943064</v>
          </cell>
          <cell r="AQ519" t="str">
            <v>62</v>
          </cell>
        </row>
        <row r="520">
          <cell r="AN520">
            <v>416303.3333333333</v>
          </cell>
          <cell r="AQ520" t="str">
            <v>57</v>
          </cell>
        </row>
        <row r="521">
          <cell r="AN521">
            <v>-416303.3333333333</v>
          </cell>
          <cell r="AQ521" t="str">
            <v>57</v>
          </cell>
        </row>
        <row r="522">
          <cell r="AN522">
            <v>1197064.0645833334</v>
          </cell>
          <cell r="AQ522" t="str">
            <v>57</v>
          </cell>
        </row>
        <row r="523">
          <cell r="AN523">
            <v>27032433.507499997</v>
          </cell>
          <cell r="AQ523" t="str">
            <v>42b</v>
          </cell>
        </row>
        <row r="524">
          <cell r="AN524">
            <v>2085211.582916667</v>
          </cell>
          <cell r="AQ524" t="str">
            <v>57</v>
          </cell>
        </row>
        <row r="525">
          <cell r="AN525">
            <v>2044654.6291666671</v>
          </cell>
          <cell r="AQ525" t="str">
            <v> </v>
          </cell>
        </row>
        <row r="526">
          <cell r="AN526">
            <v>281517.1770833333</v>
          </cell>
          <cell r="AQ526" t="str">
            <v>41b</v>
          </cell>
        </row>
        <row r="527">
          <cell r="AN527">
            <v>0</v>
          </cell>
          <cell r="AQ527" t="str">
            <v>62</v>
          </cell>
        </row>
        <row r="528">
          <cell r="AN528">
            <v>0</v>
          </cell>
          <cell r="AQ528" t="str">
            <v>62</v>
          </cell>
        </row>
        <row r="529">
          <cell r="AN529">
            <v>0</v>
          </cell>
          <cell r="AQ529" t="str">
            <v>62</v>
          </cell>
        </row>
        <row r="530">
          <cell r="AN530">
            <v>0</v>
          </cell>
          <cell r="AQ530" t="str">
            <v>62</v>
          </cell>
        </row>
        <row r="531">
          <cell r="AN531">
            <v>0</v>
          </cell>
          <cell r="AQ531" t="str">
            <v>62</v>
          </cell>
        </row>
        <row r="532">
          <cell r="AN532">
            <v>0</v>
          </cell>
          <cell r="AQ532" t="str">
            <v>62</v>
          </cell>
        </row>
        <row r="533">
          <cell r="AN533">
            <v>0</v>
          </cell>
          <cell r="AQ533" t="str">
            <v>62</v>
          </cell>
        </row>
        <row r="534">
          <cell r="AN534">
            <v>1538686.2429166667</v>
          </cell>
          <cell r="AQ534" t="str">
            <v>62</v>
          </cell>
        </row>
        <row r="535">
          <cell r="AN535">
            <v>0</v>
          </cell>
          <cell r="AQ535" t="str">
            <v>62</v>
          </cell>
        </row>
        <row r="536">
          <cell r="AN536">
            <v>2227541.2941666665</v>
          </cell>
          <cell r="AQ536" t="str">
            <v>62</v>
          </cell>
        </row>
        <row r="537">
          <cell r="AN537">
            <v>41891.93750000001</v>
          </cell>
          <cell r="AQ537" t="str">
            <v>62</v>
          </cell>
        </row>
        <row r="538">
          <cell r="AN538">
            <v>73572.84208333334</v>
          </cell>
          <cell r="AQ538" t="str">
            <v>62</v>
          </cell>
        </row>
        <row r="539">
          <cell r="AN539">
            <v>50000</v>
          </cell>
          <cell r="AQ539" t="str">
            <v>62</v>
          </cell>
        </row>
        <row r="540">
          <cell r="AN540">
            <v>7477.98</v>
          </cell>
          <cell r="AQ540" t="str">
            <v>62</v>
          </cell>
        </row>
        <row r="541">
          <cell r="AN541">
            <v>0</v>
          </cell>
          <cell r="AQ541" t="str">
            <v>62</v>
          </cell>
        </row>
        <row r="542">
          <cell r="AN542">
            <v>10680.527499999998</v>
          </cell>
          <cell r="AQ542" t="str">
            <v>62</v>
          </cell>
        </row>
        <row r="543">
          <cell r="AN543">
            <v>17916.666666666668</v>
          </cell>
          <cell r="AQ543" t="str">
            <v>62</v>
          </cell>
        </row>
        <row r="544">
          <cell r="AN544">
            <v>0</v>
          </cell>
          <cell r="AQ544" t="str">
            <v>62</v>
          </cell>
        </row>
        <row r="545">
          <cell r="AN545">
            <v>0</v>
          </cell>
          <cell r="AQ545" t="str">
            <v>62</v>
          </cell>
        </row>
        <row r="546">
          <cell r="AN546">
            <v>0</v>
          </cell>
          <cell r="AQ546" t="str">
            <v>62</v>
          </cell>
        </row>
        <row r="547">
          <cell r="AN547">
            <v>0</v>
          </cell>
          <cell r="AQ547" t="str">
            <v>62</v>
          </cell>
        </row>
        <row r="548">
          <cell r="AN548">
            <v>0</v>
          </cell>
          <cell r="AQ548" t="str">
            <v>62</v>
          </cell>
        </row>
        <row r="549">
          <cell r="AN549">
            <v>0</v>
          </cell>
          <cell r="AQ549" t="str">
            <v>62</v>
          </cell>
        </row>
        <row r="550">
          <cell r="AN550">
            <v>0</v>
          </cell>
          <cell r="AQ550" t="str">
            <v>62</v>
          </cell>
        </row>
        <row r="551">
          <cell r="AN551">
            <v>0</v>
          </cell>
          <cell r="AQ551" t="str">
            <v>62</v>
          </cell>
        </row>
        <row r="552">
          <cell r="AN552">
            <v>0</v>
          </cell>
          <cell r="AQ552" t="str">
            <v>62</v>
          </cell>
        </row>
        <row r="553">
          <cell r="AN553">
            <v>0</v>
          </cell>
          <cell r="AQ553" t="str">
            <v>62</v>
          </cell>
        </row>
        <row r="554">
          <cell r="AN554">
            <v>0</v>
          </cell>
          <cell r="AQ554" t="str">
            <v>62</v>
          </cell>
        </row>
        <row r="555">
          <cell r="AN555">
            <v>0</v>
          </cell>
          <cell r="AQ555" t="str">
            <v>62</v>
          </cell>
        </row>
        <row r="556">
          <cell r="AN556">
            <v>0</v>
          </cell>
          <cell r="AQ556" t="str">
            <v>62</v>
          </cell>
        </row>
        <row r="557">
          <cell r="AN557">
            <v>0</v>
          </cell>
          <cell r="AQ557" t="str">
            <v>62</v>
          </cell>
        </row>
        <row r="558">
          <cell r="AN558">
            <v>0</v>
          </cell>
          <cell r="AQ558" t="str">
            <v>62</v>
          </cell>
        </row>
        <row r="559">
          <cell r="AN559">
            <v>0</v>
          </cell>
          <cell r="AQ559" t="str">
            <v>62</v>
          </cell>
        </row>
        <row r="560">
          <cell r="AN560">
            <v>0</v>
          </cell>
          <cell r="AQ560" t="str">
            <v>62</v>
          </cell>
        </row>
        <row r="561">
          <cell r="AN561">
            <v>0</v>
          </cell>
          <cell r="AQ561" t="str">
            <v>62</v>
          </cell>
        </row>
        <row r="562">
          <cell r="AN562">
            <v>0</v>
          </cell>
          <cell r="AQ562" t="str">
            <v>62</v>
          </cell>
        </row>
        <row r="563">
          <cell r="AN563">
            <v>0</v>
          </cell>
          <cell r="AQ563" t="str">
            <v>62</v>
          </cell>
        </row>
        <row r="564">
          <cell r="AN564">
            <v>0</v>
          </cell>
          <cell r="AQ564" t="str">
            <v>62</v>
          </cell>
        </row>
        <row r="565">
          <cell r="AN565">
            <v>0</v>
          </cell>
          <cell r="AQ565" t="str">
            <v>62</v>
          </cell>
        </row>
        <row r="566">
          <cell r="AN566">
            <v>0</v>
          </cell>
          <cell r="AQ566" t="str">
            <v>62</v>
          </cell>
        </row>
        <row r="567">
          <cell r="AN567">
            <v>0</v>
          </cell>
          <cell r="AQ567" t="str">
            <v>62</v>
          </cell>
        </row>
        <row r="568">
          <cell r="AN568">
            <v>0</v>
          </cell>
          <cell r="AQ568" t="str">
            <v>62</v>
          </cell>
        </row>
        <row r="569">
          <cell r="AN569">
            <v>359965.02791666664</v>
          </cell>
          <cell r="AQ569" t="str">
            <v>62</v>
          </cell>
        </row>
        <row r="570">
          <cell r="AN570">
            <v>37.1175</v>
          </cell>
          <cell r="AQ570" t="str">
            <v>42b</v>
          </cell>
        </row>
        <row r="571">
          <cell r="AN571">
            <v>2150.6454166666667</v>
          </cell>
          <cell r="AQ571" t="str">
            <v>42b</v>
          </cell>
        </row>
        <row r="572">
          <cell r="AN572">
            <v>1794.6570833333328</v>
          </cell>
          <cell r="AQ572" t="str">
            <v>42b</v>
          </cell>
        </row>
        <row r="573">
          <cell r="AN573">
            <v>1332.3158333333333</v>
          </cell>
          <cell r="AQ573" t="str">
            <v>42b</v>
          </cell>
        </row>
        <row r="574">
          <cell r="AN574">
            <v>50447.73291666667</v>
          </cell>
          <cell r="AQ574" t="str">
            <v>42b</v>
          </cell>
        </row>
        <row r="575">
          <cell r="AN575">
            <v>2981.5475</v>
          </cell>
          <cell r="AQ575" t="str">
            <v>42b</v>
          </cell>
        </row>
        <row r="576">
          <cell r="AN576">
            <v>23008.210000000003</v>
          </cell>
          <cell r="AQ576" t="str">
            <v>42b</v>
          </cell>
        </row>
        <row r="577">
          <cell r="AN577">
            <v>87974.39</v>
          </cell>
          <cell r="AQ577" t="str">
            <v>42b</v>
          </cell>
        </row>
        <row r="578">
          <cell r="AN578">
            <v>8473.544583333334</v>
          </cell>
          <cell r="AQ578" t="str">
            <v>42b</v>
          </cell>
        </row>
        <row r="579">
          <cell r="AN579">
            <v>0</v>
          </cell>
          <cell r="AQ579" t="str">
            <v>62</v>
          </cell>
        </row>
        <row r="580">
          <cell r="AN580">
            <v>0</v>
          </cell>
          <cell r="AQ580" t="str">
            <v>62</v>
          </cell>
        </row>
        <row r="581">
          <cell r="AN581">
            <v>1278687.9079166667</v>
          </cell>
          <cell r="AQ581" t="str">
            <v>62</v>
          </cell>
        </row>
        <row r="582">
          <cell r="AN582">
            <v>144359.67166666666</v>
          </cell>
          <cell r="AQ582" t="str">
            <v> </v>
          </cell>
        </row>
        <row r="583">
          <cell r="AN583">
            <v>109085.04625000001</v>
          </cell>
          <cell r="AQ583" t="str">
            <v>62</v>
          </cell>
        </row>
        <row r="584">
          <cell r="AN584">
            <v>53926.082083333335</v>
          </cell>
          <cell r="AQ584" t="str">
            <v> </v>
          </cell>
        </row>
        <row r="585">
          <cell r="AN585">
            <v>10585.2075</v>
          </cell>
          <cell r="AQ585" t="str">
            <v>50a</v>
          </cell>
        </row>
        <row r="586">
          <cell r="AN586">
            <v>403096.9116666667</v>
          </cell>
          <cell r="AQ586" t="str">
            <v>62</v>
          </cell>
        </row>
        <row r="587">
          <cell r="AN587">
            <v>189152.93999999997</v>
          </cell>
        </row>
        <row r="588">
          <cell r="AN588">
            <v>-1790443.5249999997</v>
          </cell>
          <cell r="AQ588" t="str">
            <v>62</v>
          </cell>
        </row>
        <row r="589">
          <cell r="AN589">
            <v>-387028.1745833333</v>
          </cell>
          <cell r="AQ589" t="str">
            <v>  </v>
          </cell>
        </row>
        <row r="590">
          <cell r="AN590">
            <v>549882.8770833332</v>
          </cell>
          <cell r="AQ590" t="str">
            <v>62</v>
          </cell>
        </row>
        <row r="591">
          <cell r="AN591">
            <v>0</v>
          </cell>
          <cell r="AQ591" t="str">
            <v>62</v>
          </cell>
        </row>
        <row r="592">
          <cell r="AN592">
            <v>72189.94625</v>
          </cell>
          <cell r="AQ592" t="str">
            <v>62</v>
          </cell>
        </row>
        <row r="593">
          <cell r="AN593">
            <v>6774.901249999999</v>
          </cell>
          <cell r="AQ593" t="str">
            <v>62</v>
          </cell>
        </row>
        <row r="594">
          <cell r="AN594">
            <v>0</v>
          </cell>
          <cell r="AQ594" t="str">
            <v>41b</v>
          </cell>
        </row>
        <row r="595">
          <cell r="AN595">
            <v>-571963.7470833333</v>
          </cell>
          <cell r="AQ595" t="str">
            <v>41b</v>
          </cell>
        </row>
        <row r="596">
          <cell r="AN596">
            <v>0</v>
          </cell>
          <cell r="AQ596" t="str">
            <v>41b</v>
          </cell>
        </row>
        <row r="597">
          <cell r="AN597">
            <v>338563.01666666666</v>
          </cell>
          <cell r="AQ597" t="str">
            <v>41b</v>
          </cell>
        </row>
        <row r="598">
          <cell r="AN598">
            <v>-328040.98666666663</v>
          </cell>
          <cell r="AQ598" t="str">
            <v>41b</v>
          </cell>
        </row>
        <row r="599">
          <cell r="AN599">
            <v>15467.631249999997</v>
          </cell>
          <cell r="AQ599" t="str">
            <v>41b</v>
          </cell>
        </row>
        <row r="600">
          <cell r="AN600">
            <v>16349.248750000006</v>
          </cell>
          <cell r="AQ600" t="str">
            <v>41b</v>
          </cell>
        </row>
        <row r="601">
          <cell r="AN601">
            <v>0</v>
          </cell>
          <cell r="AQ601" t="str">
            <v>41b</v>
          </cell>
        </row>
        <row r="602">
          <cell r="AN602">
            <v>0</v>
          </cell>
          <cell r="AQ602" t="str">
            <v>41b</v>
          </cell>
        </row>
        <row r="603">
          <cell r="AN603">
            <v>-67.65166666666667</v>
          </cell>
          <cell r="AQ603" t="str">
            <v>41b</v>
          </cell>
        </row>
        <row r="604">
          <cell r="AN604">
            <v>0</v>
          </cell>
          <cell r="AQ604" t="str">
            <v>41b</v>
          </cell>
        </row>
        <row r="605">
          <cell r="AN605">
            <v>294637.04416666663</v>
          </cell>
          <cell r="AQ605" t="str">
            <v>41b</v>
          </cell>
        </row>
        <row r="606">
          <cell r="AN606">
            <v>0</v>
          </cell>
          <cell r="AQ606" t="str">
            <v>41b</v>
          </cell>
        </row>
        <row r="607">
          <cell r="AN607">
            <v>-89.58333333333333</v>
          </cell>
          <cell r="AQ607" t="str">
            <v>41b</v>
          </cell>
        </row>
        <row r="608">
          <cell r="AN608">
            <v>0</v>
          </cell>
          <cell r="AQ608" t="str">
            <v>41b</v>
          </cell>
        </row>
        <row r="609">
          <cell r="AN609">
            <v>0</v>
          </cell>
          <cell r="AQ609" t="str">
            <v>41b</v>
          </cell>
        </row>
        <row r="610">
          <cell r="AN610">
            <v>0</v>
          </cell>
          <cell r="AQ610" t="str">
            <v>41b</v>
          </cell>
        </row>
        <row r="611">
          <cell r="AN611">
            <v>619.84625</v>
          </cell>
          <cell r="AQ611" t="str">
            <v>41b</v>
          </cell>
        </row>
        <row r="612">
          <cell r="AN612">
            <v>1436.0620833333335</v>
          </cell>
          <cell r="AQ612" t="str">
            <v>41b</v>
          </cell>
        </row>
        <row r="613">
          <cell r="AN613">
            <v>12878.130833333335</v>
          </cell>
          <cell r="AQ613" t="str">
            <v>41b</v>
          </cell>
        </row>
        <row r="614">
          <cell r="AN614">
            <v>912.4808333333334</v>
          </cell>
          <cell r="AQ614" t="str">
            <v>41b</v>
          </cell>
        </row>
        <row r="615">
          <cell r="AN615">
            <v>303.78125</v>
          </cell>
          <cell r="AQ615" t="str">
            <v>41b</v>
          </cell>
        </row>
        <row r="616">
          <cell r="AN616">
            <v>499.4708333333333</v>
          </cell>
          <cell r="AQ616" t="str">
            <v>41b</v>
          </cell>
        </row>
        <row r="617">
          <cell r="AN617">
            <v>-261.0541666666667</v>
          </cell>
          <cell r="AQ617" t="str">
            <v>41b</v>
          </cell>
        </row>
        <row r="618">
          <cell r="AN618">
            <v>60.58833333333333</v>
          </cell>
          <cell r="AQ618" t="str">
            <v>41b</v>
          </cell>
        </row>
        <row r="619">
          <cell r="AN619">
            <v>282.75166666666667</v>
          </cell>
          <cell r="AQ619" t="str">
            <v>41b</v>
          </cell>
        </row>
        <row r="620">
          <cell r="AN620">
            <v>0</v>
          </cell>
          <cell r="AQ620" t="str">
            <v>41b</v>
          </cell>
        </row>
        <row r="621">
          <cell r="AN621">
            <v>0</v>
          </cell>
          <cell r="AQ621" t="str">
            <v>41b</v>
          </cell>
        </row>
        <row r="622">
          <cell r="AN622">
            <v>0</v>
          </cell>
          <cell r="AQ622" t="str">
            <v>41b</v>
          </cell>
        </row>
        <row r="623">
          <cell r="AN623">
            <v>0</v>
          </cell>
          <cell r="AQ623" t="str">
            <v>41b</v>
          </cell>
        </row>
        <row r="624">
          <cell r="AN624">
            <v>0</v>
          </cell>
          <cell r="AQ624" t="str">
            <v>41b</v>
          </cell>
        </row>
        <row r="625">
          <cell r="AN625">
            <v>0</v>
          </cell>
          <cell r="AQ625" t="str">
            <v>41b</v>
          </cell>
        </row>
        <row r="626">
          <cell r="AN626">
            <v>-1311.0908333333334</v>
          </cell>
          <cell r="AQ626" t="str">
            <v>41b</v>
          </cell>
        </row>
        <row r="627">
          <cell r="AN627">
            <v>-16.465</v>
          </cell>
          <cell r="AQ627" t="str">
            <v>41b</v>
          </cell>
        </row>
        <row r="628">
          <cell r="AN628">
            <v>-80999.08999999998</v>
          </cell>
          <cell r="AQ628" t="str">
            <v>42b/62</v>
          </cell>
        </row>
        <row r="629">
          <cell r="AN629">
            <v>21766.872916666664</v>
          </cell>
          <cell r="AQ629" t="str">
            <v>62</v>
          </cell>
        </row>
        <row r="630">
          <cell r="AN630">
            <v>626744.5562499999</v>
          </cell>
          <cell r="AQ630" t="str">
            <v>42b/62</v>
          </cell>
        </row>
        <row r="631">
          <cell r="AN631">
            <v>0</v>
          </cell>
          <cell r="AQ631" t="str">
            <v>2</v>
          </cell>
        </row>
        <row r="632">
          <cell r="AN632">
            <v>1241972.534166667</v>
          </cell>
          <cell r="AQ632" t="str">
            <v>50a</v>
          </cell>
        </row>
        <row r="633">
          <cell r="AN633">
            <v>297.21833333333336</v>
          </cell>
          <cell r="AQ633" t="str">
            <v>42b/62</v>
          </cell>
        </row>
        <row r="634">
          <cell r="AN634">
            <v>40.083333333333336</v>
          </cell>
          <cell r="AQ634" t="str">
            <v>62</v>
          </cell>
        </row>
        <row r="635">
          <cell r="AN635">
            <v>10420892.5</v>
          </cell>
          <cell r="AQ635" t="str">
            <v>42b/62</v>
          </cell>
        </row>
        <row r="636">
          <cell r="AN636">
            <v>186.35166666666666</v>
          </cell>
          <cell r="AQ636" t="str">
            <v>62</v>
          </cell>
        </row>
        <row r="637">
          <cell r="AN637">
            <v>83276858.47916667</v>
          </cell>
          <cell r="AQ637" t="str">
            <v>42b/62</v>
          </cell>
        </row>
        <row r="638">
          <cell r="AN638">
            <v>3370.8970833333333</v>
          </cell>
          <cell r="AQ638" t="str">
            <v>62</v>
          </cell>
        </row>
        <row r="639">
          <cell r="AN639">
            <v>131288.21666666665</v>
          </cell>
          <cell r="AQ639" t="str">
            <v>62</v>
          </cell>
        </row>
        <row r="640">
          <cell r="AN640">
            <v>0</v>
          </cell>
          <cell r="AQ640" t="str">
            <v>62</v>
          </cell>
        </row>
        <row r="641">
          <cell r="AN641">
            <v>4.75666666666667</v>
          </cell>
          <cell r="AQ641" t="str">
            <v>62</v>
          </cell>
        </row>
        <row r="642">
          <cell r="AN642">
            <v>740.1220833333333</v>
          </cell>
          <cell r="AQ642" t="str">
            <v>42b/62</v>
          </cell>
        </row>
        <row r="643">
          <cell r="AN643">
            <v>845397.6529166667</v>
          </cell>
          <cell r="AQ643" t="str">
            <v>62</v>
          </cell>
        </row>
        <row r="644">
          <cell r="AN644">
            <v>395421.61000000004</v>
          </cell>
          <cell r="AQ644" t="str">
            <v>62</v>
          </cell>
        </row>
        <row r="645">
          <cell r="AN645">
            <v>169.79166666666666</v>
          </cell>
          <cell r="AQ645" t="str">
            <v>2</v>
          </cell>
        </row>
        <row r="646">
          <cell r="AN646">
            <v>632940.8333333334</v>
          </cell>
          <cell r="AQ646" t="str">
            <v>62</v>
          </cell>
        </row>
        <row r="647">
          <cell r="AN647">
            <v>26536.914999999997</v>
          </cell>
          <cell r="AQ647" t="str">
            <v>62</v>
          </cell>
        </row>
        <row r="648">
          <cell r="AN648">
            <v>404.625</v>
          </cell>
          <cell r="AQ648" t="str">
            <v>62</v>
          </cell>
        </row>
        <row r="649">
          <cell r="AN649">
            <v>0</v>
          </cell>
          <cell r="AQ649" t="str">
            <v>62</v>
          </cell>
        </row>
        <row r="650">
          <cell r="AN650">
            <v>0</v>
          </cell>
          <cell r="AQ650" t="str">
            <v>62</v>
          </cell>
        </row>
        <row r="651">
          <cell r="AN651">
            <v>0</v>
          </cell>
          <cell r="AQ651" t="str">
            <v>62</v>
          </cell>
        </row>
        <row r="652">
          <cell r="AN652">
            <v>3429.4166666666665</v>
          </cell>
          <cell r="AQ652" t="str">
            <v>2</v>
          </cell>
        </row>
        <row r="653">
          <cell r="AN653">
            <v>6513.354166666667</v>
          </cell>
          <cell r="AQ653" t="str">
            <v>2</v>
          </cell>
        </row>
        <row r="654">
          <cell r="AN654">
            <v>17.708333333333332</v>
          </cell>
          <cell r="AQ654" t="str">
            <v>2</v>
          </cell>
        </row>
        <row r="655">
          <cell r="AN655">
            <v>0</v>
          </cell>
          <cell r="AQ655" t="str">
            <v>62</v>
          </cell>
        </row>
        <row r="656">
          <cell r="AN656">
            <v>172.70749999999998</v>
          </cell>
          <cell r="AQ656" t="str">
            <v>2</v>
          </cell>
        </row>
        <row r="657">
          <cell r="AN657">
            <v>43.414583333333326</v>
          </cell>
          <cell r="AQ657" t="str">
            <v>62</v>
          </cell>
        </row>
        <row r="658">
          <cell r="AN658">
            <v>157730.30333333334</v>
          </cell>
          <cell r="AQ658" t="str">
            <v>2</v>
          </cell>
        </row>
        <row r="659">
          <cell r="AN659">
            <v>10339.358333333334</v>
          </cell>
          <cell r="AQ659" t="str">
            <v>2</v>
          </cell>
        </row>
        <row r="660">
          <cell r="AN660">
            <v>0</v>
          </cell>
          <cell r="AQ660" t="str">
            <v>62</v>
          </cell>
        </row>
        <row r="661">
          <cell r="AN661">
            <v>4723.004583333333</v>
          </cell>
          <cell r="AQ661" t="str">
            <v>62</v>
          </cell>
        </row>
        <row r="662">
          <cell r="AN662">
            <v>0</v>
          </cell>
          <cell r="AQ662" t="str">
            <v>62</v>
          </cell>
        </row>
        <row r="663">
          <cell r="AN663">
            <v>0</v>
          </cell>
          <cell r="AQ663" t="str">
            <v>62</v>
          </cell>
        </row>
        <row r="664">
          <cell r="AN664">
            <v>0</v>
          </cell>
          <cell r="AQ664" t="str">
            <v>2</v>
          </cell>
        </row>
        <row r="665">
          <cell r="AN665">
            <v>0</v>
          </cell>
          <cell r="AQ665" t="str">
            <v>62</v>
          </cell>
        </row>
        <row r="666">
          <cell r="AN666">
            <v>2514014.7916666665</v>
          </cell>
          <cell r="AQ666" t="str">
            <v>62</v>
          </cell>
        </row>
        <row r="667">
          <cell r="AN667">
            <v>-879905.2083333334</v>
          </cell>
          <cell r="AQ667" t="str">
            <v>62</v>
          </cell>
        </row>
        <row r="668">
          <cell r="AN668">
            <v>0</v>
          </cell>
          <cell r="AQ668" t="str">
            <v>62</v>
          </cell>
        </row>
        <row r="669">
          <cell r="AN669">
            <v>0</v>
          </cell>
          <cell r="AQ669" t="str">
            <v>62</v>
          </cell>
        </row>
        <row r="670">
          <cell r="AN670">
            <v>-2834736.8333333335</v>
          </cell>
          <cell r="AQ670" t="str">
            <v>62</v>
          </cell>
        </row>
        <row r="671">
          <cell r="AN671">
            <v>0</v>
          </cell>
          <cell r="AQ671" t="str">
            <v>2</v>
          </cell>
        </row>
        <row r="672">
          <cell r="AN672">
            <v>7580.035833333329</v>
          </cell>
          <cell r="AQ672" t="str">
            <v>62</v>
          </cell>
        </row>
        <row r="673">
          <cell r="AN673">
            <v>257985.48</v>
          </cell>
          <cell r="AQ673" t="str">
            <v>2</v>
          </cell>
        </row>
        <row r="674">
          <cell r="AN674">
            <v>16279.333333333334</v>
          </cell>
          <cell r="AQ674" t="str">
            <v>2</v>
          </cell>
        </row>
        <row r="675">
          <cell r="AN675">
            <v>396079.33416666667</v>
          </cell>
          <cell r="AQ675" t="str">
            <v>2</v>
          </cell>
        </row>
        <row r="676">
          <cell r="AN676">
            <v>60431.48500000001</v>
          </cell>
          <cell r="AQ676" t="str">
            <v>2</v>
          </cell>
        </row>
        <row r="677">
          <cell r="AN677">
            <v>0</v>
          </cell>
          <cell r="AQ677" t="str">
            <v>2</v>
          </cell>
        </row>
        <row r="678">
          <cell r="AN678">
            <v>0</v>
          </cell>
          <cell r="AQ678" t="str">
            <v>62</v>
          </cell>
        </row>
        <row r="679">
          <cell r="AN679">
            <v>34386858.559999995</v>
          </cell>
          <cell r="AQ679" t="str">
            <v>42b</v>
          </cell>
        </row>
        <row r="680">
          <cell r="AN680">
            <v>-58328050.00666667</v>
          </cell>
          <cell r="AQ680" t="str">
            <v>44b</v>
          </cell>
        </row>
        <row r="681">
          <cell r="AN681">
            <v>36348109.22291667</v>
          </cell>
          <cell r="AQ681" t="str">
            <v>42b</v>
          </cell>
        </row>
        <row r="682">
          <cell r="AN682">
            <v>9349896.459999999</v>
          </cell>
          <cell r="AQ682" t="str">
            <v>42b</v>
          </cell>
        </row>
        <row r="683">
          <cell r="AN683">
            <v>209796.52</v>
          </cell>
          <cell r="AQ683" t="str">
            <v>42b</v>
          </cell>
        </row>
        <row r="684">
          <cell r="AN684">
            <v>1239088.45</v>
          </cell>
          <cell r="AQ684" t="str">
            <v>42b</v>
          </cell>
        </row>
        <row r="685">
          <cell r="AN685">
            <v>7601.050000000002</v>
          </cell>
          <cell r="AQ685" t="str">
            <v>42b</v>
          </cell>
        </row>
        <row r="686">
          <cell r="AN686">
            <v>1843181.1450000003</v>
          </cell>
          <cell r="AQ686" t="str">
            <v>42b</v>
          </cell>
        </row>
        <row r="687">
          <cell r="AN687">
            <v>2577977.959999999</v>
          </cell>
          <cell r="AQ687" t="str">
            <v>42b</v>
          </cell>
        </row>
        <row r="688">
          <cell r="AN688">
            <v>535505.8666666666</v>
          </cell>
          <cell r="AQ688" t="str">
            <v>42b</v>
          </cell>
        </row>
        <row r="689">
          <cell r="AN689">
            <v>366.9499999999999</v>
          </cell>
          <cell r="AQ689" t="str">
            <v>42b</v>
          </cell>
        </row>
        <row r="690">
          <cell r="AN690">
            <v>-25835.27</v>
          </cell>
          <cell r="AQ690" t="str">
            <v>42b</v>
          </cell>
        </row>
        <row r="691">
          <cell r="AN691">
            <v>405426.67</v>
          </cell>
          <cell r="AQ691" t="str">
            <v>42b</v>
          </cell>
        </row>
        <row r="692">
          <cell r="AN692">
            <v>673468.3537499999</v>
          </cell>
          <cell r="AQ692" t="str">
            <v>42b</v>
          </cell>
        </row>
        <row r="693">
          <cell r="AN693">
            <v>9152.75</v>
          </cell>
          <cell r="AQ693" t="str">
            <v>42b</v>
          </cell>
        </row>
        <row r="694">
          <cell r="AN694">
            <v>1292181.8895833334</v>
          </cell>
          <cell r="AQ694" t="str">
            <v>42b</v>
          </cell>
        </row>
        <row r="695">
          <cell r="AN695">
            <v>2097071.9595833335</v>
          </cell>
          <cell r="AQ695" t="str">
            <v>42b</v>
          </cell>
        </row>
        <row r="696">
          <cell r="AN696">
            <v>995</v>
          </cell>
          <cell r="AQ696" t="str">
            <v>42b</v>
          </cell>
        </row>
        <row r="697">
          <cell r="AN697">
            <v>1519</v>
          </cell>
          <cell r="AQ697" t="str">
            <v>42b</v>
          </cell>
        </row>
        <row r="698">
          <cell r="AN698">
            <v>25795.20708333333</v>
          </cell>
          <cell r="AQ698" t="str">
            <v>42b</v>
          </cell>
        </row>
        <row r="699">
          <cell r="AN699">
            <v>1669958.1545833333</v>
          </cell>
          <cell r="AQ699" t="str">
            <v>42b</v>
          </cell>
        </row>
        <row r="700">
          <cell r="AN700">
            <v>3043446.16</v>
          </cell>
          <cell r="AQ700" t="str">
            <v>42b</v>
          </cell>
        </row>
        <row r="701">
          <cell r="AN701">
            <v>-598835.775</v>
          </cell>
          <cell r="AQ701" t="str">
            <v>42b</v>
          </cell>
        </row>
        <row r="702">
          <cell r="AN702">
            <v>66942.15000000001</v>
          </cell>
          <cell r="AQ702" t="str">
            <v>42b</v>
          </cell>
        </row>
        <row r="703">
          <cell r="AN703">
            <v>1256455.0979166667</v>
          </cell>
          <cell r="AQ703" t="str">
            <v>42b</v>
          </cell>
        </row>
        <row r="704">
          <cell r="AN704">
            <v>3247252.6575</v>
          </cell>
          <cell r="AQ704" t="str">
            <v>62</v>
          </cell>
        </row>
        <row r="705">
          <cell r="AN705">
            <v>0</v>
          </cell>
          <cell r="AQ705" t="str">
            <v>57</v>
          </cell>
        </row>
        <row r="706">
          <cell r="AN706">
            <v>249854</v>
          </cell>
          <cell r="AQ706" t="str">
            <v>2</v>
          </cell>
        </row>
        <row r="707">
          <cell r="AN707">
            <v>0</v>
          </cell>
          <cell r="AQ707" t="str">
            <v>2</v>
          </cell>
        </row>
        <row r="708">
          <cell r="AN708">
            <v>0</v>
          </cell>
          <cell r="AQ708" t="str">
            <v>2</v>
          </cell>
        </row>
        <row r="709">
          <cell r="AN709">
            <v>0</v>
          </cell>
          <cell r="AQ709" t="str">
            <v>2</v>
          </cell>
        </row>
        <row r="710">
          <cell r="AN710">
            <v>855.8425000000001</v>
          </cell>
          <cell r="AQ710" t="str">
            <v>2</v>
          </cell>
        </row>
        <row r="711">
          <cell r="AN711">
            <v>0</v>
          </cell>
          <cell r="AQ711" t="str">
            <v>2</v>
          </cell>
        </row>
        <row r="712">
          <cell r="AN712">
            <v>96295.335</v>
          </cell>
          <cell r="AQ712" t="str">
            <v>2</v>
          </cell>
        </row>
        <row r="713">
          <cell r="AN713">
            <v>0</v>
          </cell>
          <cell r="AQ713" t="str">
            <v>2</v>
          </cell>
        </row>
        <row r="714">
          <cell r="AN714">
            <v>0</v>
          </cell>
          <cell r="AQ714" t="str">
            <v>2</v>
          </cell>
        </row>
        <row r="715">
          <cell r="AN715">
            <v>418517.8787500001</v>
          </cell>
          <cell r="AQ715" t="str">
            <v>2</v>
          </cell>
        </row>
        <row r="716">
          <cell r="AN716">
            <v>-0.0008333333333333334</v>
          </cell>
          <cell r="AQ716" t="str">
            <v>2</v>
          </cell>
        </row>
        <row r="717">
          <cell r="AN717">
            <v>3518336.3049999997</v>
          </cell>
          <cell r="AQ717" t="str">
            <v>2</v>
          </cell>
        </row>
        <row r="718">
          <cell r="AN718">
            <v>38990.29875000001</v>
          </cell>
          <cell r="AQ718" t="str">
            <v>2</v>
          </cell>
        </row>
        <row r="719">
          <cell r="AN719">
            <v>375013.89625</v>
          </cell>
          <cell r="AQ719" t="str">
            <v>2</v>
          </cell>
        </row>
        <row r="720">
          <cell r="AN720">
            <v>252932.77000000002</v>
          </cell>
          <cell r="AQ720" t="str">
            <v>2</v>
          </cell>
        </row>
        <row r="721">
          <cell r="AN721">
            <v>160976.35416666666</v>
          </cell>
          <cell r="AQ721" t="str">
            <v>2</v>
          </cell>
        </row>
        <row r="722">
          <cell r="AN722">
            <v>451013.74500000005</v>
          </cell>
          <cell r="AQ722" t="str">
            <v>2</v>
          </cell>
        </row>
        <row r="723">
          <cell r="AN723">
            <v>53357.49</v>
          </cell>
          <cell r="AQ723" t="str">
            <v>2</v>
          </cell>
        </row>
        <row r="724">
          <cell r="AN724">
            <v>682048.9675</v>
          </cell>
          <cell r="AQ724" t="str">
            <v>2</v>
          </cell>
        </row>
        <row r="725">
          <cell r="AN725">
            <v>518301.1020833333</v>
          </cell>
          <cell r="AQ725" t="str">
            <v>2</v>
          </cell>
        </row>
        <row r="726">
          <cell r="AN726">
            <v>1587014.1762499998</v>
          </cell>
          <cell r="AQ726" t="str">
            <v>2</v>
          </cell>
        </row>
        <row r="727">
          <cell r="AN727">
            <v>445254.9320833333</v>
          </cell>
          <cell r="AQ727" t="str">
            <v>2</v>
          </cell>
        </row>
        <row r="728">
          <cell r="AN728">
            <v>11446.592083333331</v>
          </cell>
          <cell r="AQ728" t="str">
            <v>2</v>
          </cell>
        </row>
        <row r="729">
          <cell r="AN729">
            <v>26708.416249999995</v>
          </cell>
          <cell r="AQ729" t="str">
            <v>2</v>
          </cell>
        </row>
        <row r="730">
          <cell r="AN730">
            <v>12627.51625</v>
          </cell>
          <cell r="AQ730" t="str">
            <v>2</v>
          </cell>
        </row>
        <row r="731">
          <cell r="AN731">
            <v>447597.2108333334</v>
          </cell>
          <cell r="AQ731" t="str">
            <v>2</v>
          </cell>
        </row>
        <row r="732">
          <cell r="AN732">
            <v>349365.44125</v>
          </cell>
          <cell r="AQ732" t="str">
            <v>2</v>
          </cell>
        </row>
        <row r="733">
          <cell r="AN733">
            <v>50144.346249999995</v>
          </cell>
          <cell r="AQ733" t="str">
            <v>2</v>
          </cell>
        </row>
        <row r="734">
          <cell r="AN734">
            <v>26491.957916666666</v>
          </cell>
          <cell r="AQ734" t="str">
            <v>2</v>
          </cell>
        </row>
        <row r="735">
          <cell r="AN735">
            <v>2423547.345</v>
          </cell>
          <cell r="AQ735" t="str">
            <v>44</v>
          </cell>
        </row>
        <row r="736">
          <cell r="AN736">
            <v>-24274078.70541667</v>
          </cell>
          <cell r="AQ736" t="str">
            <v>44</v>
          </cell>
        </row>
        <row r="737">
          <cell r="AN737">
            <v>0</v>
          </cell>
          <cell r="AQ737" t="str">
            <v>44</v>
          </cell>
        </row>
        <row r="738">
          <cell r="AN738">
            <v>-25984664.073333338</v>
          </cell>
          <cell r="AQ738" t="str">
            <v>44</v>
          </cell>
        </row>
        <row r="739">
          <cell r="AN739">
            <v>-949375.49625</v>
          </cell>
          <cell r="AQ739" t="str">
            <v>44</v>
          </cell>
        </row>
        <row r="740">
          <cell r="AN740">
            <v>-29784.801250000008</v>
          </cell>
          <cell r="AQ740" t="str">
            <v>44</v>
          </cell>
        </row>
        <row r="741">
          <cell r="AN741">
            <v>0</v>
          </cell>
        </row>
        <row r="742">
          <cell r="AN742">
            <v>5231517078.7645855</v>
          </cell>
        </row>
        <row r="744">
          <cell r="AN744">
            <v>-63598251.92291667</v>
          </cell>
          <cell r="AQ744" t="str">
            <v>8b</v>
          </cell>
        </row>
        <row r="745">
          <cell r="AN745">
            <v>46778090</v>
          </cell>
          <cell r="AQ745" t="str">
            <v>42b</v>
          </cell>
        </row>
        <row r="746">
          <cell r="AN746">
            <v>-1024751.4499999998</v>
          </cell>
          <cell r="AQ746" t="str">
            <v>17/21</v>
          </cell>
        </row>
        <row r="747">
          <cell r="AN747">
            <v>-159375</v>
          </cell>
          <cell r="AQ747" t="str">
            <v>62</v>
          </cell>
        </row>
        <row r="748">
          <cell r="AN748">
            <v>40584.24666666668</v>
          </cell>
          <cell r="AQ748" t="str">
            <v>56</v>
          </cell>
        </row>
        <row r="749">
          <cell r="AN749">
            <v>109010.33333333333</v>
          </cell>
          <cell r="AQ749" t="str">
            <v>56</v>
          </cell>
        </row>
        <row r="750">
          <cell r="AN750">
            <v>38608265.333333336</v>
          </cell>
          <cell r="AQ750" t="str">
            <v>56</v>
          </cell>
        </row>
        <row r="751">
          <cell r="AN751">
            <v>0</v>
          </cell>
          <cell r="AQ751" t="str">
            <v>8b</v>
          </cell>
        </row>
        <row r="752">
          <cell r="AN752">
            <v>-23140166.666666668</v>
          </cell>
          <cell r="AQ752" t="str">
            <v>62</v>
          </cell>
        </row>
        <row r="753">
          <cell r="AN753">
            <v>2464458.3333333335</v>
          </cell>
          <cell r="AQ753" t="str">
            <v>56</v>
          </cell>
        </row>
        <row r="754">
          <cell r="AN754">
            <v>2778226.3333333335</v>
          </cell>
          <cell r="AQ754" t="str">
            <v>56</v>
          </cell>
        </row>
        <row r="755">
          <cell r="AN755">
            <v>2151750</v>
          </cell>
          <cell r="AQ755" t="str">
            <v>62</v>
          </cell>
        </row>
        <row r="756">
          <cell r="AN756">
            <v>712499.4166666666</v>
          </cell>
          <cell r="AQ756" t="str">
            <v>62</v>
          </cell>
        </row>
        <row r="757">
          <cell r="AN757">
            <v>3574838.4166666665</v>
          </cell>
          <cell r="AQ757" t="str">
            <v>62</v>
          </cell>
        </row>
        <row r="758">
          <cell r="AN758">
            <v>84153.75</v>
          </cell>
          <cell r="AQ758" t="str">
            <v>62</v>
          </cell>
        </row>
        <row r="759">
          <cell r="AN759">
            <v>49000</v>
          </cell>
          <cell r="AQ759" t="str">
            <v>62</v>
          </cell>
        </row>
        <row r="760">
          <cell r="AN760">
            <v>-220833.33333333334</v>
          </cell>
          <cell r="AQ760" t="str">
            <v>62</v>
          </cell>
        </row>
        <row r="761">
          <cell r="AN761">
            <v>0</v>
          </cell>
          <cell r="AQ761" t="str">
            <v>56</v>
          </cell>
        </row>
        <row r="762">
          <cell r="AN762">
            <v>2116416.6666666665</v>
          </cell>
          <cell r="AQ762" t="str">
            <v>62</v>
          </cell>
        </row>
        <row r="763">
          <cell r="AN763">
            <v>340907.2916666667</v>
          </cell>
          <cell r="AQ763" t="str">
            <v>62</v>
          </cell>
        </row>
        <row r="764">
          <cell r="AN764">
            <v>455000</v>
          </cell>
          <cell r="AQ764" t="str">
            <v>62</v>
          </cell>
        </row>
        <row r="765">
          <cell r="AN765">
            <v>1027500</v>
          </cell>
          <cell r="AQ765" t="str">
            <v>62</v>
          </cell>
        </row>
        <row r="766">
          <cell r="AN766">
            <v>1259000</v>
          </cell>
          <cell r="AQ766" t="str">
            <v>62</v>
          </cell>
        </row>
        <row r="767">
          <cell r="AN767">
            <v>0</v>
          </cell>
          <cell r="AQ767" t="str">
            <v>62</v>
          </cell>
        </row>
        <row r="768">
          <cell r="AN768">
            <v>5937363.916666667</v>
          </cell>
          <cell r="AQ768" t="str">
            <v>62</v>
          </cell>
        </row>
        <row r="769">
          <cell r="AN769">
            <v>0</v>
          </cell>
          <cell r="AQ769" t="str">
            <v>62</v>
          </cell>
        </row>
        <row r="770">
          <cell r="AN770">
            <v>2331884.375</v>
          </cell>
          <cell r="AQ770" t="str">
            <v>62</v>
          </cell>
        </row>
        <row r="771">
          <cell r="AN771">
            <v>2458000</v>
          </cell>
          <cell r="AQ771" t="str">
            <v>50a</v>
          </cell>
        </row>
        <row r="772">
          <cell r="AN772">
            <v>1362685.3333333333</v>
          </cell>
          <cell r="AQ772" t="str">
            <v>62</v>
          </cell>
        </row>
        <row r="773">
          <cell r="AN773">
            <v>1768056.625</v>
          </cell>
          <cell r="AQ773" t="str">
            <v>62</v>
          </cell>
        </row>
        <row r="774">
          <cell r="AN774">
            <v>0</v>
          </cell>
          <cell r="AQ774" t="str">
            <v>62</v>
          </cell>
        </row>
        <row r="775">
          <cell r="AN775">
            <v>19583.333333333332</v>
          </cell>
        </row>
        <row r="776">
          <cell r="AN776">
            <v>0</v>
          </cell>
          <cell r="AQ776" t="str">
            <v>62</v>
          </cell>
        </row>
        <row r="777">
          <cell r="AN777">
            <v>159437</v>
          </cell>
          <cell r="AQ777" t="str">
            <v>56</v>
          </cell>
        </row>
        <row r="778">
          <cell r="AN778">
            <v>854750</v>
          </cell>
          <cell r="AQ778" t="str">
            <v>62</v>
          </cell>
        </row>
        <row r="779">
          <cell r="AN779">
            <v>-7000</v>
          </cell>
          <cell r="AQ779" t="str">
            <v>62</v>
          </cell>
        </row>
        <row r="780">
          <cell r="AN780">
            <v>0</v>
          </cell>
          <cell r="AQ780" t="str">
            <v>62</v>
          </cell>
        </row>
        <row r="781">
          <cell r="AN781">
            <v>12777000</v>
          </cell>
          <cell r="AQ781" t="str">
            <v>62</v>
          </cell>
        </row>
        <row r="782">
          <cell r="AN782">
            <v>1044000</v>
          </cell>
          <cell r="AQ782" t="str">
            <v>62</v>
          </cell>
        </row>
        <row r="783">
          <cell r="AN783">
            <v>5298375</v>
          </cell>
          <cell r="AQ783" t="str">
            <v>62</v>
          </cell>
        </row>
        <row r="784">
          <cell r="AN784">
            <v>3404125.4583333335</v>
          </cell>
          <cell r="AQ784" t="str">
            <v>62</v>
          </cell>
        </row>
        <row r="785">
          <cell r="AN785">
            <v>59302.541666666664</v>
          </cell>
          <cell r="AQ785" t="str">
            <v>62</v>
          </cell>
        </row>
        <row r="786">
          <cell r="AN786">
            <v>726875</v>
          </cell>
          <cell r="AQ786" t="str">
            <v>62</v>
          </cell>
        </row>
        <row r="787">
          <cell r="AN787">
            <v>22916.666666666668</v>
          </cell>
          <cell r="AQ787" t="str">
            <v>62</v>
          </cell>
        </row>
        <row r="788">
          <cell r="AN788">
            <v>29166.666666666668</v>
          </cell>
          <cell r="AQ788" t="str">
            <v>62</v>
          </cell>
        </row>
        <row r="789">
          <cell r="AN789">
            <v>-859037900</v>
          </cell>
          <cell r="AQ789" t="str">
            <v>6b</v>
          </cell>
        </row>
        <row r="790">
          <cell r="AN790">
            <v>-60000000</v>
          </cell>
          <cell r="AQ790" t="str">
            <v>5</v>
          </cell>
        </row>
        <row r="791">
          <cell r="AN791">
            <v>0</v>
          </cell>
          <cell r="AQ791" t="str">
            <v>5</v>
          </cell>
        </row>
        <row r="792">
          <cell r="AN792">
            <v>-431100</v>
          </cell>
          <cell r="AQ792" t="str">
            <v>5</v>
          </cell>
        </row>
        <row r="793">
          <cell r="AN793">
            <v>-1470487.5</v>
          </cell>
          <cell r="AQ793" t="str">
            <v>5</v>
          </cell>
        </row>
        <row r="794">
          <cell r="AN794">
            <v>-32343750</v>
          </cell>
          <cell r="AQ794" t="str">
            <v>5</v>
          </cell>
        </row>
        <row r="795">
          <cell r="AN795">
            <v>-87656250</v>
          </cell>
          <cell r="AQ795" t="str">
            <v>5</v>
          </cell>
        </row>
        <row r="796">
          <cell r="AN796">
            <v>-200000000</v>
          </cell>
          <cell r="AQ796" t="str">
            <v>5</v>
          </cell>
        </row>
        <row r="797">
          <cell r="AN797">
            <v>-122847945.22000001</v>
          </cell>
          <cell r="AQ797" t="str">
            <v>7b</v>
          </cell>
        </row>
        <row r="798">
          <cell r="AN798">
            <v>-338395484.31</v>
          </cell>
          <cell r="AQ798" t="str">
            <v>7b</v>
          </cell>
        </row>
        <row r="799">
          <cell r="AN799">
            <v>-16901820.34</v>
          </cell>
          <cell r="AQ799" t="str">
            <v>7b</v>
          </cell>
        </row>
        <row r="800">
          <cell r="AN800">
            <v>-154.6875</v>
          </cell>
          <cell r="AQ800" t="str">
            <v>7b</v>
          </cell>
        </row>
        <row r="801">
          <cell r="AN801">
            <v>-16050268.320000002</v>
          </cell>
          <cell r="AQ801" t="str">
            <v>7b</v>
          </cell>
        </row>
        <row r="802">
          <cell r="AN802">
            <v>-256594.16666666666</v>
          </cell>
          <cell r="AQ802" t="str">
            <v>62</v>
          </cell>
        </row>
        <row r="803">
          <cell r="AN803">
            <v>-4329698.958333333</v>
          </cell>
          <cell r="AQ803" t="str">
            <v>62</v>
          </cell>
        </row>
        <row r="804">
          <cell r="AN804">
            <v>5697865.416666667</v>
          </cell>
          <cell r="AQ804" t="str">
            <v>62</v>
          </cell>
        </row>
        <row r="805">
          <cell r="AN805">
            <v>10479064.791666666</v>
          </cell>
          <cell r="AQ805" t="str">
            <v>62</v>
          </cell>
        </row>
        <row r="806">
          <cell r="AN806">
            <v>1072536.875</v>
          </cell>
          <cell r="AQ806" t="str">
            <v>62</v>
          </cell>
        </row>
        <row r="807">
          <cell r="AN807">
            <v>-13481340.833333334</v>
          </cell>
          <cell r="AQ807" t="str">
            <v>62</v>
          </cell>
        </row>
        <row r="808">
          <cell r="AN808">
            <v>2148854.7199999997</v>
          </cell>
          <cell r="AQ808" t="str">
            <v>7b</v>
          </cell>
        </row>
        <row r="809">
          <cell r="AN809">
            <v>1650848.74</v>
          </cell>
          <cell r="AQ809" t="str">
            <v>7b</v>
          </cell>
        </row>
        <row r="810">
          <cell r="AN810">
            <v>4985024.68</v>
          </cell>
          <cell r="AQ810" t="str">
            <v>7b</v>
          </cell>
        </row>
        <row r="811">
          <cell r="AN811">
            <v>786587.5600000002</v>
          </cell>
          <cell r="AQ811" t="str">
            <v>7b</v>
          </cell>
        </row>
        <row r="812">
          <cell r="AN812">
            <v>-5312805.458333333</v>
          </cell>
          <cell r="AQ812" t="str">
            <v>8b</v>
          </cell>
        </row>
        <row r="813">
          <cell r="AN813">
            <v>-780108.8333333334</v>
          </cell>
          <cell r="AQ813" t="str">
            <v>8b</v>
          </cell>
        </row>
        <row r="814">
          <cell r="AN814">
            <v>0</v>
          </cell>
          <cell r="AQ814" t="str">
            <v>8b</v>
          </cell>
        </row>
        <row r="815">
          <cell r="AN815">
            <v>0</v>
          </cell>
          <cell r="AQ815" t="str">
            <v>62</v>
          </cell>
        </row>
        <row r="816">
          <cell r="AN816">
            <v>-108063850.17208336</v>
          </cell>
          <cell r="AQ816" t="str">
            <v>8b</v>
          </cell>
        </row>
        <row r="817">
          <cell r="AN817">
            <v>77562549.52</v>
          </cell>
          <cell r="AQ817" t="str">
            <v>8b</v>
          </cell>
        </row>
        <row r="818">
          <cell r="AN818">
            <v>1755001.25</v>
          </cell>
          <cell r="AQ818" t="str">
            <v>8b</v>
          </cell>
        </row>
        <row r="819">
          <cell r="AN819">
            <v>1471103.6200000003</v>
          </cell>
          <cell r="AQ819" t="str">
            <v>8b</v>
          </cell>
        </row>
        <row r="820">
          <cell r="AN820">
            <v>16359946.110000005</v>
          </cell>
          <cell r="AQ820" t="str">
            <v>8b</v>
          </cell>
        </row>
        <row r="821">
          <cell r="AN821">
            <v>-1676293.5999999999</v>
          </cell>
          <cell r="AQ821" t="str">
            <v>8b</v>
          </cell>
        </row>
        <row r="822">
          <cell r="AN822">
            <v>-75442765.76833332</v>
          </cell>
          <cell r="AQ822" t="str">
            <v>8b</v>
          </cell>
        </row>
        <row r="823">
          <cell r="AN823">
            <v>26661328.41208334</v>
          </cell>
          <cell r="AQ823" t="str">
            <v>8b</v>
          </cell>
        </row>
        <row r="824">
          <cell r="AN824">
            <v>0</v>
          </cell>
          <cell r="AQ824" t="str">
            <v>8b</v>
          </cell>
        </row>
        <row r="825">
          <cell r="AN825">
            <v>0</v>
          </cell>
          <cell r="AQ825" t="str">
            <v>8b</v>
          </cell>
        </row>
        <row r="826">
          <cell r="AN826">
            <v>1229050.6666666667</v>
          </cell>
          <cell r="AQ826" t="str">
            <v>8b</v>
          </cell>
        </row>
        <row r="827">
          <cell r="AN827">
            <v>352289.2083333333</v>
          </cell>
          <cell r="AQ827" t="str">
            <v>8b</v>
          </cell>
        </row>
        <row r="828">
          <cell r="AN828">
            <v>2304566.4775</v>
          </cell>
          <cell r="AQ828" t="str">
            <v>8b</v>
          </cell>
        </row>
        <row r="829">
          <cell r="AN829">
            <v>-16452856.041666666</v>
          </cell>
          <cell r="AQ829" t="str">
            <v>62</v>
          </cell>
        </row>
        <row r="830">
          <cell r="AN830">
            <v>18855320.916666668</v>
          </cell>
          <cell r="AQ830" t="str">
            <v>62</v>
          </cell>
        </row>
        <row r="831">
          <cell r="AN831">
            <v>38816175.083333336</v>
          </cell>
          <cell r="AQ831" t="str">
            <v>62</v>
          </cell>
        </row>
        <row r="832">
          <cell r="AN832">
            <v>-50294894.083333336</v>
          </cell>
          <cell r="AQ832" t="str">
            <v>62</v>
          </cell>
        </row>
        <row r="833">
          <cell r="AN833">
            <v>-770363.5</v>
          </cell>
          <cell r="AQ833" t="str">
            <v>62</v>
          </cell>
        </row>
        <row r="834">
          <cell r="AN834">
            <v>5736416.666666667</v>
          </cell>
          <cell r="AQ834" t="str">
            <v>62</v>
          </cell>
        </row>
        <row r="835">
          <cell r="AN835">
            <v>0</v>
          </cell>
          <cell r="AQ835" t="str">
            <v>1b</v>
          </cell>
        </row>
        <row r="836">
          <cell r="AN836">
            <v>-25000000</v>
          </cell>
          <cell r="AQ836" t="str">
            <v>1b</v>
          </cell>
        </row>
        <row r="837">
          <cell r="AN837">
            <v>0</v>
          </cell>
          <cell r="AQ837" t="str">
            <v>1b</v>
          </cell>
        </row>
        <row r="838">
          <cell r="AN838">
            <v>0</v>
          </cell>
          <cell r="AQ838" t="str">
            <v>1b</v>
          </cell>
        </row>
        <row r="839">
          <cell r="AN839">
            <v>-12604166.666666666</v>
          </cell>
          <cell r="AQ839" t="str">
            <v>1b</v>
          </cell>
        </row>
        <row r="840">
          <cell r="AN840">
            <v>0</v>
          </cell>
          <cell r="AQ840" t="str">
            <v>1b</v>
          </cell>
        </row>
        <row r="841">
          <cell r="AN841">
            <v>-10725000</v>
          </cell>
          <cell r="AQ841" t="str">
            <v>1b</v>
          </cell>
        </row>
        <row r="842">
          <cell r="AN842">
            <v>0</v>
          </cell>
          <cell r="AQ842" t="str">
            <v>1b</v>
          </cell>
        </row>
        <row r="843">
          <cell r="AN843">
            <v>-40104166.666666664</v>
          </cell>
          <cell r="AQ843" t="str">
            <v>1b</v>
          </cell>
        </row>
        <row r="844">
          <cell r="AN844">
            <v>0</v>
          </cell>
          <cell r="AQ844" t="str">
            <v>1b</v>
          </cell>
        </row>
        <row r="845">
          <cell r="AN845">
            <v>-12707500</v>
          </cell>
          <cell r="AQ845" t="str">
            <v>1b</v>
          </cell>
        </row>
        <row r="846">
          <cell r="AN846">
            <v>-1375000</v>
          </cell>
          <cell r="AQ846" t="str">
            <v>1b</v>
          </cell>
        </row>
        <row r="847">
          <cell r="AN847">
            <v>-3208333.3333333335</v>
          </cell>
          <cell r="AQ847" t="str">
            <v>1b</v>
          </cell>
        </row>
        <row r="848">
          <cell r="AN848">
            <v>0</v>
          </cell>
          <cell r="AQ848" t="str">
            <v>1b</v>
          </cell>
        </row>
        <row r="849">
          <cell r="AN849">
            <v>-15625000</v>
          </cell>
          <cell r="AQ849" t="str">
            <v>1b</v>
          </cell>
        </row>
        <row r="850">
          <cell r="AN850">
            <v>-1312500</v>
          </cell>
          <cell r="AQ850" t="str">
            <v>1b</v>
          </cell>
        </row>
        <row r="851">
          <cell r="AN851">
            <v>-3500000</v>
          </cell>
          <cell r="AQ851" t="str">
            <v>1b</v>
          </cell>
        </row>
        <row r="852">
          <cell r="AN852">
            <v>-4375000</v>
          </cell>
          <cell r="AQ852" t="str">
            <v>1b</v>
          </cell>
        </row>
        <row r="853">
          <cell r="AN853">
            <v>-1312500</v>
          </cell>
          <cell r="AQ853" t="str">
            <v>1b</v>
          </cell>
        </row>
        <row r="854">
          <cell r="AN854">
            <v>-3000000</v>
          </cell>
          <cell r="AQ854" t="str">
            <v>1b</v>
          </cell>
        </row>
        <row r="855">
          <cell r="AN855">
            <v>-17500000</v>
          </cell>
          <cell r="AQ855" t="str">
            <v>1b</v>
          </cell>
        </row>
        <row r="856">
          <cell r="AN856">
            <v>-1000000</v>
          </cell>
          <cell r="AQ856" t="str">
            <v>1b</v>
          </cell>
        </row>
        <row r="857">
          <cell r="AN857">
            <v>-2625000</v>
          </cell>
          <cell r="AQ857" t="str">
            <v>1b</v>
          </cell>
        </row>
        <row r="858">
          <cell r="AN858">
            <v>-8500000</v>
          </cell>
          <cell r="AQ858" t="str">
            <v>1b</v>
          </cell>
        </row>
        <row r="859">
          <cell r="AN859">
            <v>-10000000</v>
          </cell>
          <cell r="AQ859" t="str">
            <v>1b</v>
          </cell>
        </row>
        <row r="860">
          <cell r="AN860">
            <v>-10000000</v>
          </cell>
          <cell r="AQ860" t="str">
            <v>1b</v>
          </cell>
        </row>
        <row r="861">
          <cell r="AN861">
            <v>-8000000</v>
          </cell>
          <cell r="AQ861" t="str">
            <v>1b</v>
          </cell>
        </row>
        <row r="862">
          <cell r="AN862">
            <v>-3000000</v>
          </cell>
          <cell r="AQ862" t="str">
            <v>1b</v>
          </cell>
        </row>
        <row r="863">
          <cell r="AN863">
            <v>-20000000</v>
          </cell>
          <cell r="AQ863" t="str">
            <v>1b</v>
          </cell>
        </row>
        <row r="864">
          <cell r="AN864">
            <v>-20000000</v>
          </cell>
          <cell r="AQ864" t="str">
            <v>1b</v>
          </cell>
        </row>
        <row r="865">
          <cell r="AN865">
            <v>-5000000</v>
          </cell>
          <cell r="AQ865" t="str">
            <v>1b</v>
          </cell>
        </row>
        <row r="866">
          <cell r="AN866">
            <v>-7000000</v>
          </cell>
          <cell r="AQ866" t="str">
            <v>1b</v>
          </cell>
        </row>
        <row r="867">
          <cell r="AN867">
            <v>-10000000</v>
          </cell>
          <cell r="AQ867" t="str">
            <v>1b</v>
          </cell>
        </row>
        <row r="868">
          <cell r="AN868">
            <v>-2000000</v>
          </cell>
          <cell r="AQ868" t="str">
            <v>1b</v>
          </cell>
        </row>
        <row r="869">
          <cell r="AN869">
            <v>-3000000</v>
          </cell>
          <cell r="AQ869" t="str">
            <v>1b</v>
          </cell>
        </row>
        <row r="870">
          <cell r="AN870">
            <v>-5000000</v>
          </cell>
          <cell r="AQ870" t="str">
            <v>1b</v>
          </cell>
        </row>
        <row r="871">
          <cell r="AN871">
            <v>-15000000</v>
          </cell>
          <cell r="AQ871" t="str">
            <v>1b</v>
          </cell>
        </row>
        <row r="872">
          <cell r="AN872">
            <v>-10000000</v>
          </cell>
          <cell r="AQ872" t="str">
            <v>1b</v>
          </cell>
        </row>
        <row r="873">
          <cell r="AN873">
            <v>-2000000</v>
          </cell>
          <cell r="AQ873" t="str">
            <v>1b</v>
          </cell>
        </row>
        <row r="874">
          <cell r="AN874">
            <v>-25000000</v>
          </cell>
          <cell r="AQ874" t="str">
            <v>1b</v>
          </cell>
        </row>
        <row r="875">
          <cell r="AN875">
            <v>-100000000</v>
          </cell>
          <cell r="AQ875" t="str">
            <v>1b</v>
          </cell>
        </row>
        <row r="876">
          <cell r="AN876">
            <v>-3125000</v>
          </cell>
          <cell r="AQ876" t="str">
            <v>1b</v>
          </cell>
        </row>
        <row r="877">
          <cell r="AN877">
            <v>-4583333.333333333</v>
          </cell>
          <cell r="AQ877" t="str">
            <v>1b</v>
          </cell>
        </row>
        <row r="878">
          <cell r="AN878">
            <v>0</v>
          </cell>
          <cell r="AQ878" t="str">
            <v>1b</v>
          </cell>
        </row>
        <row r="879">
          <cell r="AN879">
            <v>-46000000</v>
          </cell>
          <cell r="AQ879" t="str">
            <v>1b</v>
          </cell>
        </row>
        <row r="880">
          <cell r="AN880">
            <v>0</v>
          </cell>
          <cell r="AQ880" t="str">
            <v>1b</v>
          </cell>
        </row>
        <row r="881">
          <cell r="AN881">
            <v>0</v>
          </cell>
          <cell r="AQ881" t="str">
            <v>1b</v>
          </cell>
        </row>
        <row r="882">
          <cell r="AN882">
            <v>0</v>
          </cell>
          <cell r="AQ882" t="str">
            <v>1b</v>
          </cell>
        </row>
        <row r="883">
          <cell r="AN883">
            <v>0</v>
          </cell>
          <cell r="AQ883" t="str">
            <v>1b</v>
          </cell>
        </row>
        <row r="884">
          <cell r="AN884">
            <v>0</v>
          </cell>
          <cell r="AQ884" t="str">
            <v>1b</v>
          </cell>
        </row>
        <row r="885">
          <cell r="AN885">
            <v>0</v>
          </cell>
          <cell r="AQ885" t="str">
            <v>1b</v>
          </cell>
        </row>
        <row r="886">
          <cell r="AN886">
            <v>-5208333.333333333</v>
          </cell>
          <cell r="AQ886" t="str">
            <v>1b</v>
          </cell>
        </row>
        <row r="887">
          <cell r="AN887">
            <v>-50000000</v>
          </cell>
          <cell r="AQ887" t="str">
            <v>1b</v>
          </cell>
        </row>
        <row r="888">
          <cell r="AN888">
            <v>-18750000</v>
          </cell>
          <cell r="AQ888" t="str">
            <v>1b</v>
          </cell>
        </row>
        <row r="889">
          <cell r="AN889">
            <v>0</v>
          </cell>
          <cell r="AQ889" t="str">
            <v>1b</v>
          </cell>
        </row>
        <row r="890">
          <cell r="AN890">
            <v>-11250000</v>
          </cell>
          <cell r="AQ890" t="str">
            <v>1b</v>
          </cell>
        </row>
        <row r="891">
          <cell r="AN891">
            <v>-3000000</v>
          </cell>
          <cell r="AQ891" t="str">
            <v>1b</v>
          </cell>
        </row>
        <row r="892">
          <cell r="AN892">
            <v>-11000000</v>
          </cell>
          <cell r="AQ892" t="str">
            <v>1b</v>
          </cell>
        </row>
        <row r="893">
          <cell r="AN893">
            <v>-1659956.7791666668</v>
          </cell>
        </row>
        <row r="894">
          <cell r="AN894">
            <v>-55000000</v>
          </cell>
          <cell r="AQ894" t="str">
            <v>1b</v>
          </cell>
        </row>
        <row r="895">
          <cell r="AN895">
            <v>-30000000</v>
          </cell>
          <cell r="AQ895" t="str">
            <v>1b</v>
          </cell>
        </row>
        <row r="896">
          <cell r="AN896">
            <v>-300000000</v>
          </cell>
          <cell r="AQ896" t="str">
            <v>1b</v>
          </cell>
        </row>
        <row r="897">
          <cell r="AN897">
            <v>-200000000</v>
          </cell>
          <cell r="AQ897" t="str">
            <v>1b</v>
          </cell>
        </row>
        <row r="898">
          <cell r="AN898">
            <v>-150000000</v>
          </cell>
          <cell r="AQ898" t="str">
            <v>1b</v>
          </cell>
        </row>
        <row r="899">
          <cell r="AN899">
            <v>-100000000</v>
          </cell>
          <cell r="AQ899" t="str">
            <v>1b</v>
          </cell>
        </row>
        <row r="900">
          <cell r="AN900">
            <v>-225000000</v>
          </cell>
          <cell r="AQ900" t="str">
            <v>1b</v>
          </cell>
        </row>
        <row r="901">
          <cell r="AN901">
            <v>-25000000</v>
          </cell>
          <cell r="AQ901" t="str">
            <v>1b</v>
          </cell>
        </row>
        <row r="902">
          <cell r="AN902">
            <v>-260000000</v>
          </cell>
          <cell r="AQ902" t="str">
            <v>1b</v>
          </cell>
        </row>
        <row r="903">
          <cell r="AN903">
            <v>-40000000</v>
          </cell>
          <cell r="AQ903" t="str">
            <v>1b</v>
          </cell>
        </row>
        <row r="904">
          <cell r="AN904">
            <v>-74999166.66666667</v>
          </cell>
          <cell r="AQ904" t="str">
            <v>1b</v>
          </cell>
        </row>
        <row r="905">
          <cell r="AN905">
            <v>-12675000</v>
          </cell>
          <cell r="AQ905" t="str">
            <v>1b</v>
          </cell>
        </row>
        <row r="906">
          <cell r="AN906">
            <v>-43750000</v>
          </cell>
          <cell r="AQ906" t="str">
            <v>1b</v>
          </cell>
        </row>
        <row r="907">
          <cell r="AN907">
            <v>0</v>
          </cell>
          <cell r="AQ907" t="str">
            <v>3b</v>
          </cell>
        </row>
        <row r="908">
          <cell r="AN908">
            <v>0</v>
          </cell>
          <cell r="AQ908" t="str">
            <v>1b</v>
          </cell>
        </row>
        <row r="909">
          <cell r="AN909">
            <v>0</v>
          </cell>
          <cell r="AQ909" t="str">
            <v>1b</v>
          </cell>
        </row>
        <row r="910">
          <cell r="AN910">
            <v>0</v>
          </cell>
          <cell r="AQ910" t="str">
            <v>1b</v>
          </cell>
        </row>
        <row r="911">
          <cell r="AN911">
            <v>0</v>
          </cell>
          <cell r="AQ911" t="str">
            <v>1b</v>
          </cell>
        </row>
        <row r="912">
          <cell r="AN912">
            <v>0</v>
          </cell>
          <cell r="AQ912" t="str">
            <v>1b</v>
          </cell>
        </row>
        <row r="913">
          <cell r="AN913">
            <v>47.02333333333333</v>
          </cell>
          <cell r="AQ913" t="str">
            <v>1b</v>
          </cell>
        </row>
        <row r="914">
          <cell r="AN914">
            <v>24153.349999999995</v>
          </cell>
          <cell r="AQ914" t="str">
            <v>1b</v>
          </cell>
        </row>
        <row r="915">
          <cell r="AN915">
            <v>-784375</v>
          </cell>
          <cell r="AQ915" t="str">
            <v>50b</v>
          </cell>
        </row>
        <row r="916">
          <cell r="AN916">
            <v>0</v>
          </cell>
          <cell r="AQ916" t="str">
            <v>50b</v>
          </cell>
        </row>
        <row r="917">
          <cell r="AN917">
            <v>-34746823.587916665</v>
          </cell>
          <cell r="AQ917" t="str">
            <v>42b</v>
          </cell>
        </row>
        <row r="918">
          <cell r="AN918">
            <v>-81662.2</v>
          </cell>
          <cell r="AQ918" t="str">
            <v>62</v>
          </cell>
        </row>
        <row r="919">
          <cell r="AN919">
            <v>-1538686.2429166667</v>
          </cell>
          <cell r="AQ919" t="str">
            <v>62</v>
          </cell>
        </row>
        <row r="920">
          <cell r="AN920">
            <v>-135001.89583333334</v>
          </cell>
          <cell r="AQ920" t="str">
            <v>62</v>
          </cell>
        </row>
        <row r="921">
          <cell r="AN921">
            <v>-10447.554166666667</v>
          </cell>
          <cell r="AQ921" t="str">
            <v>62</v>
          </cell>
        </row>
        <row r="922">
          <cell r="AN922">
            <v>-15000</v>
          </cell>
          <cell r="AQ922" t="str">
            <v>62</v>
          </cell>
        </row>
        <row r="923">
          <cell r="AN923">
            <v>-61499.56416666668</v>
          </cell>
          <cell r="AQ923" t="str">
            <v>62</v>
          </cell>
        </row>
        <row r="924">
          <cell r="AN924">
            <v>-4166.666666666667</v>
          </cell>
          <cell r="AQ924" t="str">
            <v>62</v>
          </cell>
        </row>
        <row r="925">
          <cell r="AN925">
            <v>-341250.23000000004</v>
          </cell>
          <cell r="AQ925" t="str">
            <v>62</v>
          </cell>
        </row>
        <row r="926">
          <cell r="AN926">
            <v>-141752.26291666663</v>
          </cell>
          <cell r="AQ926" t="str">
            <v>62</v>
          </cell>
        </row>
        <row r="927">
          <cell r="AN927">
            <v>-140000</v>
          </cell>
          <cell r="AQ927" t="str">
            <v>62</v>
          </cell>
        </row>
        <row r="928">
          <cell r="AN928">
            <v>-17916.666666666668</v>
          </cell>
          <cell r="AQ928" t="str">
            <v>62</v>
          </cell>
        </row>
        <row r="929">
          <cell r="AN929">
            <v>-1428731.1533333336</v>
          </cell>
          <cell r="AQ929" t="str">
            <v>62</v>
          </cell>
        </row>
        <row r="930">
          <cell r="AN930">
            <v>-287110.4166666667</v>
          </cell>
          <cell r="AQ930" t="str">
            <v>62</v>
          </cell>
        </row>
        <row r="931">
          <cell r="AN931">
            <v>-163549.40625</v>
          </cell>
          <cell r="AQ931" t="str">
            <v>62</v>
          </cell>
        </row>
        <row r="932">
          <cell r="AN932">
            <v>-547763.9583333334</v>
          </cell>
          <cell r="AQ932" t="str">
            <v>62</v>
          </cell>
        </row>
        <row r="933">
          <cell r="AN933">
            <v>-338718.9791666667</v>
          </cell>
          <cell r="AQ933" t="str">
            <v>62</v>
          </cell>
        </row>
        <row r="934">
          <cell r="AN934">
            <v>-617650.35125</v>
          </cell>
        </row>
        <row r="935">
          <cell r="AN935">
            <v>0</v>
          </cell>
          <cell r="AQ935" t="str">
            <v>2b</v>
          </cell>
        </row>
        <row r="936">
          <cell r="AN936">
            <v>0</v>
          </cell>
          <cell r="AQ936" t="str">
            <v>2b</v>
          </cell>
        </row>
        <row r="937">
          <cell r="AN937">
            <v>0</v>
          </cell>
          <cell r="AQ937" t="str">
            <v>2b</v>
          </cell>
        </row>
        <row r="938">
          <cell r="AN938">
            <v>0</v>
          </cell>
          <cell r="AQ938" t="str">
            <v>2b</v>
          </cell>
        </row>
        <row r="939">
          <cell r="AN939">
            <v>0</v>
          </cell>
          <cell r="AQ939" t="str">
            <v>2b</v>
          </cell>
        </row>
        <row r="940">
          <cell r="AN940">
            <v>-18730416.666666668</v>
          </cell>
          <cell r="AQ940" t="str">
            <v>2b</v>
          </cell>
        </row>
        <row r="941">
          <cell r="AN941">
            <v>-26614083.333333332</v>
          </cell>
          <cell r="AQ941" t="str">
            <v>2b</v>
          </cell>
        </row>
        <row r="942">
          <cell r="AN942">
            <v>0</v>
          </cell>
          <cell r="AQ942" t="str">
            <v>2b</v>
          </cell>
        </row>
        <row r="943">
          <cell r="AN943">
            <v>0</v>
          </cell>
          <cell r="AQ943" t="str">
            <v>2b</v>
          </cell>
        </row>
        <row r="944">
          <cell r="AN944">
            <v>0</v>
          </cell>
          <cell r="AQ944" t="str">
            <v>2b</v>
          </cell>
        </row>
        <row r="945">
          <cell r="AN945">
            <v>0</v>
          </cell>
          <cell r="AQ945" t="str">
            <v>2b</v>
          </cell>
        </row>
        <row r="946">
          <cell r="AN946">
            <v>0</v>
          </cell>
          <cell r="AQ946" t="str">
            <v>2b</v>
          </cell>
        </row>
        <row r="947">
          <cell r="AN947">
            <v>-208333.33333333334</v>
          </cell>
          <cell r="AQ947" t="str">
            <v>2b</v>
          </cell>
        </row>
        <row r="948">
          <cell r="AN948">
            <v>0</v>
          </cell>
          <cell r="AQ948" t="str">
            <v>2b</v>
          </cell>
        </row>
        <row r="949">
          <cell r="AN949">
            <v>0</v>
          </cell>
          <cell r="AQ949" t="str">
            <v>2b</v>
          </cell>
        </row>
        <row r="950">
          <cell r="AN950">
            <v>0</v>
          </cell>
          <cell r="AQ950" t="str">
            <v>2b</v>
          </cell>
        </row>
        <row r="951">
          <cell r="AN951">
            <v>0</v>
          </cell>
          <cell r="AQ951" t="str">
            <v>2b</v>
          </cell>
        </row>
        <row r="952">
          <cell r="AN952">
            <v>0</v>
          </cell>
          <cell r="AQ952" t="str">
            <v>2b</v>
          </cell>
        </row>
        <row r="953">
          <cell r="AN953">
            <v>-2742186.0275000003</v>
          </cell>
          <cell r="AQ953" t="str">
            <v>50b</v>
          </cell>
        </row>
        <row r="954">
          <cell r="AN954">
            <v>-6722402.009999999</v>
          </cell>
          <cell r="AQ954" t="str">
            <v>50b</v>
          </cell>
        </row>
        <row r="955">
          <cell r="AN955">
            <v>-849982.9520833334</v>
          </cell>
          <cell r="AQ955" t="str">
            <v>50a</v>
          </cell>
        </row>
        <row r="956">
          <cell r="AN956">
            <v>-3301887.7483333335</v>
          </cell>
          <cell r="AQ956" t="str">
            <v>50b</v>
          </cell>
        </row>
        <row r="957">
          <cell r="AN957">
            <v>-10800915.8925</v>
          </cell>
          <cell r="AQ957" t="str">
            <v>50b</v>
          </cell>
        </row>
        <row r="958">
          <cell r="AN958">
            <v>-13330707.375833334</v>
          </cell>
          <cell r="AQ958" t="str">
            <v>50b</v>
          </cell>
        </row>
        <row r="959">
          <cell r="AN959">
            <v>-619853.8633333333</v>
          </cell>
          <cell r="AQ959" t="str">
            <v>50a</v>
          </cell>
        </row>
        <row r="960">
          <cell r="AN960">
            <v>-22270748.072083335</v>
          </cell>
          <cell r="AQ960" t="str">
            <v>50b</v>
          </cell>
        </row>
        <row r="961">
          <cell r="AN961">
            <v>-148039.7725</v>
          </cell>
          <cell r="AQ961" t="str">
            <v>50b</v>
          </cell>
        </row>
        <row r="962">
          <cell r="AN962">
            <v>-222674.46083333335</v>
          </cell>
          <cell r="AQ962" t="str">
            <v>50b</v>
          </cell>
        </row>
        <row r="963">
          <cell r="AN963">
            <v>-64505.576249999984</v>
          </cell>
          <cell r="AQ963" t="str">
            <v>50a</v>
          </cell>
        </row>
        <row r="964">
          <cell r="AN964">
            <v>-48264.88749999999</v>
          </cell>
          <cell r="AQ964" t="str">
            <v>50b</v>
          </cell>
        </row>
        <row r="965">
          <cell r="AN965">
            <v>-84.15</v>
          </cell>
          <cell r="AQ965" t="str">
            <v>50a</v>
          </cell>
        </row>
        <row r="966">
          <cell r="AN966">
            <v>-53136.810416666674</v>
          </cell>
          <cell r="AQ966" t="str">
            <v>50a</v>
          </cell>
        </row>
        <row r="967">
          <cell r="AN967">
            <v>897184.6225</v>
          </cell>
          <cell r="AQ967" t="str">
            <v>50a</v>
          </cell>
        </row>
        <row r="968">
          <cell r="AN968">
            <v>0</v>
          </cell>
          <cell r="AQ968" t="str">
            <v>50a</v>
          </cell>
        </row>
        <row r="969">
          <cell r="AN969">
            <v>-802081.3908333335</v>
          </cell>
        </row>
        <row r="970">
          <cell r="AN970">
            <v>-2497899.0050000004</v>
          </cell>
        </row>
        <row r="971">
          <cell r="AN971">
            <v>-43869424.62083334</v>
          </cell>
        </row>
        <row r="972">
          <cell r="AN972">
            <v>-1587.7745833333336</v>
          </cell>
          <cell r="AQ972" t="str">
            <v>50b</v>
          </cell>
        </row>
        <row r="973">
          <cell r="AN973">
            <v>-1197.98375</v>
          </cell>
        </row>
        <row r="974">
          <cell r="AN974">
            <v>0</v>
          </cell>
          <cell r="AQ974" t="str">
            <v>50a</v>
          </cell>
        </row>
        <row r="975">
          <cell r="AN975">
            <v>-193754.79166666666</v>
          </cell>
          <cell r="AQ975" t="str">
            <v>50a</v>
          </cell>
        </row>
        <row r="976">
          <cell r="AN976">
            <v>0</v>
          </cell>
          <cell r="AQ976" t="str">
            <v>50a</v>
          </cell>
        </row>
        <row r="977">
          <cell r="AN977">
            <v>2.0833333333333335</v>
          </cell>
          <cell r="AQ977" t="str">
            <v>50a</v>
          </cell>
        </row>
        <row r="978">
          <cell r="AN978">
            <v>-2139.122083333333</v>
          </cell>
          <cell r="AQ978" t="str">
            <v>50a</v>
          </cell>
        </row>
        <row r="979">
          <cell r="AN979">
            <v>0</v>
          </cell>
          <cell r="AQ979" t="str">
            <v>50b</v>
          </cell>
        </row>
        <row r="980">
          <cell r="AN980">
            <v>0</v>
          </cell>
          <cell r="AQ980" t="str">
            <v>50b</v>
          </cell>
        </row>
        <row r="981">
          <cell r="AN981">
            <v>-7782708.514166665</v>
          </cell>
          <cell r="AQ981" t="str">
            <v>50a</v>
          </cell>
        </row>
        <row r="982">
          <cell r="AN982">
            <v>0</v>
          </cell>
          <cell r="AQ982" t="str">
            <v>50b</v>
          </cell>
        </row>
        <row r="983">
          <cell r="AN983">
            <v>0</v>
          </cell>
          <cell r="AQ983" t="str">
            <v>50a</v>
          </cell>
        </row>
        <row r="984">
          <cell r="AN984">
            <v>0</v>
          </cell>
          <cell r="AQ984" t="str">
            <v>50a</v>
          </cell>
        </row>
        <row r="985">
          <cell r="AN985">
            <v>0</v>
          </cell>
          <cell r="AQ985" t="str">
            <v>50b</v>
          </cell>
        </row>
        <row r="986">
          <cell r="AN986">
            <v>0</v>
          </cell>
          <cell r="AQ986" t="str">
            <v>50b</v>
          </cell>
        </row>
        <row r="987">
          <cell r="AN987">
            <v>0</v>
          </cell>
          <cell r="AQ987" t="str">
            <v>50b</v>
          </cell>
        </row>
        <row r="988">
          <cell r="AN988">
            <v>0</v>
          </cell>
          <cell r="AQ988" t="str">
            <v>50b</v>
          </cell>
        </row>
        <row r="989">
          <cell r="AN989">
            <v>0</v>
          </cell>
          <cell r="AQ989" t="str">
            <v>50a</v>
          </cell>
        </row>
        <row r="990">
          <cell r="AN990">
            <v>-4620184.644583334</v>
          </cell>
          <cell r="AQ990" t="str">
            <v>50a</v>
          </cell>
        </row>
        <row r="991">
          <cell r="AN991">
            <v>0</v>
          </cell>
          <cell r="AQ991" t="str">
            <v>50a</v>
          </cell>
        </row>
        <row r="992">
          <cell r="AN992">
            <v>-21845882.999166664</v>
          </cell>
          <cell r="AQ992" t="str">
            <v>50a</v>
          </cell>
        </row>
        <row r="993">
          <cell r="AN993">
            <v>0</v>
          </cell>
          <cell r="AQ993" t="str">
            <v>50a</v>
          </cell>
        </row>
        <row r="994">
          <cell r="AN994">
            <v>-2854653.2475</v>
          </cell>
          <cell r="AQ994" t="str">
            <v>50a</v>
          </cell>
        </row>
        <row r="995">
          <cell r="AN995">
            <v>-720680.9833333334</v>
          </cell>
          <cell r="AQ995" t="str">
            <v>50a</v>
          </cell>
        </row>
        <row r="996">
          <cell r="AN996">
            <v>544.1858333333333</v>
          </cell>
          <cell r="AQ996" t="str">
            <v>50a</v>
          </cell>
        </row>
        <row r="997">
          <cell r="AN997">
            <v>-473355.6770833333</v>
          </cell>
          <cell r="AQ997" t="str">
            <v>50a</v>
          </cell>
        </row>
        <row r="998">
          <cell r="AN998">
            <v>-280735.6666666667</v>
          </cell>
          <cell r="AQ998" t="str">
            <v>50b</v>
          </cell>
        </row>
        <row r="999">
          <cell r="AN999">
            <v>-11851169.941250002</v>
          </cell>
          <cell r="AQ999" t="str">
            <v>50a</v>
          </cell>
        </row>
        <row r="1000">
          <cell r="AN1000">
            <v>-1676738.9658333336</v>
          </cell>
          <cell r="AQ1000" t="str">
            <v>50b</v>
          </cell>
        </row>
        <row r="1001">
          <cell r="AN1001">
            <v>-2421240.6150000007</v>
          </cell>
          <cell r="AQ1001" t="str">
            <v>50a</v>
          </cell>
        </row>
        <row r="1002">
          <cell r="AN1002">
            <v>-12046.397916666667</v>
          </cell>
          <cell r="AQ1002" t="str">
            <v>50a</v>
          </cell>
        </row>
        <row r="1003">
          <cell r="AN1003">
            <v>-28887.732083333336</v>
          </cell>
          <cell r="AQ1003" t="str">
            <v>50a</v>
          </cell>
        </row>
        <row r="1004">
          <cell r="AN1004">
            <v>-22968.820000000003</v>
          </cell>
          <cell r="AQ1004" t="str">
            <v>50a</v>
          </cell>
        </row>
        <row r="1005">
          <cell r="AN1005">
            <v>-2926.56625</v>
          </cell>
          <cell r="AQ1005" t="str">
            <v>50a</v>
          </cell>
        </row>
        <row r="1006">
          <cell r="AN1006">
            <v>-42174.052916666675</v>
          </cell>
          <cell r="AQ1006" t="str">
            <v>50a</v>
          </cell>
        </row>
        <row r="1007">
          <cell r="AN1007">
            <v>-7948.102500000001</v>
          </cell>
          <cell r="AQ1007" t="str">
            <v>50a</v>
          </cell>
        </row>
        <row r="1008">
          <cell r="AN1008">
            <v>2535.8329166666663</v>
          </cell>
          <cell r="AQ1008" t="str">
            <v>50a</v>
          </cell>
        </row>
        <row r="1009">
          <cell r="AN1009">
            <v>0</v>
          </cell>
          <cell r="AQ1009" t="str">
            <v>50a</v>
          </cell>
        </row>
        <row r="1010">
          <cell r="AN1010">
            <v>-30525.31791666667</v>
          </cell>
          <cell r="AQ1010" t="str">
            <v>50a</v>
          </cell>
        </row>
        <row r="1011">
          <cell r="AN1011">
            <v>0</v>
          </cell>
          <cell r="AQ1011" t="str">
            <v>50b</v>
          </cell>
        </row>
        <row r="1012">
          <cell r="AN1012">
            <v>-2102.875833333333</v>
          </cell>
          <cell r="AQ1012" t="str">
            <v>50a</v>
          </cell>
        </row>
        <row r="1013">
          <cell r="AN1013">
            <v>-5425314.349583333</v>
          </cell>
          <cell r="AQ1013" t="str">
            <v>50b</v>
          </cell>
        </row>
        <row r="1014">
          <cell r="AN1014">
            <v>-218223.7033333334</v>
          </cell>
        </row>
        <row r="1015">
          <cell r="AN1015">
            <v>-136661.92083333334</v>
          </cell>
          <cell r="AQ1015" t="str">
            <v>50a</v>
          </cell>
        </row>
        <row r="1016">
          <cell r="AN1016">
            <v>164475.7995833333</v>
          </cell>
          <cell r="AQ1016" t="str">
            <v>50a</v>
          </cell>
        </row>
        <row r="1017">
          <cell r="AN1017">
            <v>-16979.72375</v>
          </cell>
          <cell r="AQ1017" t="str">
            <v>50a</v>
          </cell>
        </row>
        <row r="1018">
          <cell r="AN1018">
            <v>-660.4216666666666</v>
          </cell>
          <cell r="AQ1018" t="str">
            <v>50a</v>
          </cell>
        </row>
        <row r="1019">
          <cell r="AN1019">
            <v>-1767.86</v>
          </cell>
          <cell r="AQ1019" t="str">
            <v>50a</v>
          </cell>
        </row>
        <row r="1020">
          <cell r="AN1020">
            <v>-2000</v>
          </cell>
          <cell r="AQ1020" t="str">
            <v>62</v>
          </cell>
        </row>
        <row r="1021">
          <cell r="AN1021">
            <v>-989921.9695833335</v>
          </cell>
          <cell r="AQ1021" t="str">
            <v>62</v>
          </cell>
        </row>
        <row r="1022">
          <cell r="AN1022">
            <v>0</v>
          </cell>
          <cell r="AQ1022" t="str">
            <v>55</v>
          </cell>
        </row>
        <row r="1023">
          <cell r="AN1023">
            <v>0</v>
          </cell>
        </row>
        <row r="1024">
          <cell r="AN1024">
            <v>-826615.1141666666</v>
          </cell>
          <cell r="AQ1024" t="str">
            <v>55</v>
          </cell>
        </row>
        <row r="1025">
          <cell r="AN1025">
            <v>-2682029.115833334</v>
          </cell>
        </row>
        <row r="1026">
          <cell r="AN1026">
            <v>-7704791.23875</v>
          </cell>
          <cell r="AQ1026" t="str">
            <v>55</v>
          </cell>
        </row>
        <row r="1027">
          <cell r="AN1027">
            <v>-80000</v>
          </cell>
        </row>
        <row r="1028">
          <cell r="AN1028">
            <v>-48823.52375</v>
          </cell>
        </row>
        <row r="1029">
          <cell r="AN1029">
            <v>-221378.1445833333</v>
          </cell>
          <cell r="AQ1029" t="str">
            <v>55</v>
          </cell>
        </row>
        <row r="1030">
          <cell r="AN1030">
            <v>0</v>
          </cell>
          <cell r="AQ1030" t="str">
            <v>50a</v>
          </cell>
        </row>
        <row r="1031">
          <cell r="AN1031">
            <v>0</v>
          </cell>
          <cell r="AQ1031" t="str">
            <v>50a1</v>
          </cell>
        </row>
        <row r="1032">
          <cell r="AN1032">
            <v>-14349177.764583336</v>
          </cell>
          <cell r="AQ1032" t="str">
            <v>50a1</v>
          </cell>
        </row>
        <row r="1033">
          <cell r="AN1033">
            <v>-142.28458333333333</v>
          </cell>
          <cell r="AQ1033" t="str">
            <v>50a</v>
          </cell>
        </row>
        <row r="1034">
          <cell r="AN1034">
            <v>-103810.32541666667</v>
          </cell>
          <cell r="AQ1034" t="str">
            <v>50a</v>
          </cell>
        </row>
        <row r="1035">
          <cell r="AN1035">
            <v>-343.67</v>
          </cell>
          <cell r="AQ1035" t="str">
            <v>50a</v>
          </cell>
        </row>
        <row r="1036">
          <cell r="AN1036">
            <v>-270434.1575</v>
          </cell>
          <cell r="AQ1036" t="str">
            <v>50a</v>
          </cell>
        </row>
        <row r="1037">
          <cell r="AN1037">
            <v>-8678.459999999997</v>
          </cell>
          <cell r="AQ1037" t="str">
            <v>50a</v>
          </cell>
        </row>
        <row r="1038">
          <cell r="AN1038">
            <v>0</v>
          </cell>
          <cell r="AQ1038" t="str">
            <v>50a</v>
          </cell>
        </row>
        <row r="1039">
          <cell r="AN1039">
            <v>-23057113.2075</v>
          </cell>
          <cell r="AQ1039" t="str">
            <v>50b</v>
          </cell>
        </row>
        <row r="1040">
          <cell r="AN1040">
            <v>-6001985.072916667</v>
          </cell>
          <cell r="AQ1040" t="str">
            <v>50b</v>
          </cell>
        </row>
        <row r="1041">
          <cell r="AN1041">
            <v>-3011983.6079166667</v>
          </cell>
          <cell r="AQ1041" t="str">
            <v>50b</v>
          </cell>
        </row>
        <row r="1042">
          <cell r="AN1042">
            <v>-12111448.281666666</v>
          </cell>
        </row>
        <row r="1043">
          <cell r="AN1043">
            <v>-94.93</v>
          </cell>
          <cell r="AQ1043" t="str">
            <v>50b</v>
          </cell>
        </row>
        <row r="1044">
          <cell r="AN1044">
            <v>-3647885.939583333</v>
          </cell>
          <cell r="AQ1044" t="str">
            <v>50b</v>
          </cell>
        </row>
        <row r="1045">
          <cell r="AN1045">
            <v>-476089</v>
          </cell>
          <cell r="AQ1045" t="str">
            <v>50b</v>
          </cell>
        </row>
        <row r="1046">
          <cell r="AN1046">
            <v>0</v>
          </cell>
          <cell r="AQ1046" t="str">
            <v>50a</v>
          </cell>
        </row>
        <row r="1047">
          <cell r="AN1047">
            <v>-262812.07749999996</v>
          </cell>
          <cell r="AQ1047" t="str">
            <v>50b</v>
          </cell>
        </row>
        <row r="1048">
          <cell r="AN1048">
            <v>-843774.8208333333</v>
          </cell>
          <cell r="AQ1048" t="str">
            <v>50b</v>
          </cell>
        </row>
        <row r="1049">
          <cell r="AN1049">
            <v>-4129198.8716666666</v>
          </cell>
          <cell r="AQ1049" t="str">
            <v>50b</v>
          </cell>
        </row>
        <row r="1050">
          <cell r="AN1050">
            <v>-1786205.6516666666</v>
          </cell>
        </row>
        <row r="1051">
          <cell r="AN1051">
            <v>0</v>
          </cell>
          <cell r="AQ1051" t="str">
            <v>50b</v>
          </cell>
        </row>
        <row r="1052">
          <cell r="AN1052">
            <v>-1979290.6291666667</v>
          </cell>
        </row>
        <row r="1053">
          <cell r="AN1053">
            <v>0</v>
          </cell>
        </row>
        <row r="1054">
          <cell r="AN1054">
            <v>-793528.4133333332</v>
          </cell>
        </row>
        <row r="1055">
          <cell r="AN1055">
            <v>-1944.3308333333334</v>
          </cell>
          <cell r="AQ1055" t="str">
            <v>50b</v>
          </cell>
        </row>
        <row r="1056">
          <cell r="AN1056">
            <v>-127720.06958333334</v>
          </cell>
          <cell r="AQ1056" t="str">
            <v>50a</v>
          </cell>
        </row>
        <row r="1057">
          <cell r="AN1057">
            <v>-238205.67124999998</v>
          </cell>
          <cell r="AQ1057" t="str">
            <v>50b</v>
          </cell>
        </row>
        <row r="1058">
          <cell r="AN1058">
            <v>-56158.25125</v>
          </cell>
          <cell r="AQ1058" t="str">
            <v>50a</v>
          </cell>
        </row>
        <row r="1059">
          <cell r="AN1059">
            <v>-1895411.7083333333</v>
          </cell>
          <cell r="AQ1059" t="str">
            <v>50b</v>
          </cell>
        </row>
        <row r="1060">
          <cell r="AN1060">
            <v>-3361.652083333333</v>
          </cell>
          <cell r="AQ1060" t="str">
            <v>50a</v>
          </cell>
        </row>
        <row r="1061">
          <cell r="AN1061">
            <v>-570.3370833333332</v>
          </cell>
          <cell r="AQ1061" t="str">
            <v>50b</v>
          </cell>
        </row>
        <row r="1062">
          <cell r="AN1062">
            <v>0</v>
          </cell>
          <cell r="AQ1062" t="str">
            <v>50b</v>
          </cell>
        </row>
        <row r="1063">
          <cell r="AN1063">
            <v>0</v>
          </cell>
          <cell r="AQ1063" t="str">
            <v>50b</v>
          </cell>
        </row>
        <row r="1064">
          <cell r="AN1064">
            <v>0</v>
          </cell>
          <cell r="AQ1064" t="str">
            <v>50b</v>
          </cell>
        </row>
        <row r="1065">
          <cell r="AN1065">
            <v>0</v>
          </cell>
          <cell r="AQ1065" t="str">
            <v>50a</v>
          </cell>
        </row>
        <row r="1066">
          <cell r="AN1066">
            <v>-697812.5</v>
          </cell>
          <cell r="AQ1066" t="str">
            <v>50a</v>
          </cell>
        </row>
        <row r="1067">
          <cell r="AN1067">
            <v>0</v>
          </cell>
          <cell r="AQ1067" t="str">
            <v>50a</v>
          </cell>
        </row>
        <row r="1068">
          <cell r="AN1068">
            <v>0</v>
          </cell>
          <cell r="AQ1068" t="str">
            <v>50a</v>
          </cell>
        </row>
        <row r="1069">
          <cell r="AN1069">
            <v>0</v>
          </cell>
          <cell r="AQ1069" t="str">
            <v>50a</v>
          </cell>
        </row>
        <row r="1070">
          <cell r="AN1070">
            <v>0</v>
          </cell>
          <cell r="AQ1070" t="str">
            <v>50a</v>
          </cell>
        </row>
        <row r="1071">
          <cell r="AN1071">
            <v>0</v>
          </cell>
          <cell r="AQ1071" t="str">
            <v>50b</v>
          </cell>
        </row>
        <row r="1072">
          <cell r="AN1072">
            <v>-269270.8333333333</v>
          </cell>
          <cell r="AQ1072" t="str">
            <v>50b</v>
          </cell>
        </row>
        <row r="1073">
          <cell r="AN1073">
            <v>0</v>
          </cell>
          <cell r="AQ1073" t="str">
            <v>50a</v>
          </cell>
        </row>
        <row r="1074">
          <cell r="AN1074">
            <v>-235625</v>
          </cell>
          <cell r="AQ1074" t="str">
            <v>50b</v>
          </cell>
        </row>
        <row r="1075">
          <cell r="AN1075">
            <v>-30187.5</v>
          </cell>
          <cell r="AQ1075" t="str">
            <v>50a</v>
          </cell>
        </row>
        <row r="1076">
          <cell r="AN1076">
            <v>-847048.86875</v>
          </cell>
          <cell r="AQ1076" t="str">
            <v>50b</v>
          </cell>
        </row>
        <row r="1077">
          <cell r="AN1077">
            <v>-70353.73708333333</v>
          </cell>
          <cell r="AQ1077" t="str">
            <v>50a</v>
          </cell>
        </row>
        <row r="1078">
          <cell r="AN1078">
            <v>-229712.54166666666</v>
          </cell>
          <cell r="AQ1078" t="str">
            <v>50b</v>
          </cell>
        </row>
        <row r="1079">
          <cell r="AN1079">
            <v>0</v>
          </cell>
          <cell r="AQ1079" t="str">
            <v>50a</v>
          </cell>
        </row>
        <row r="1080">
          <cell r="AN1080">
            <v>-304361.9791666667</v>
          </cell>
          <cell r="AQ1080" t="str">
            <v>50a</v>
          </cell>
        </row>
        <row r="1081">
          <cell r="AN1081">
            <v>-20637.5</v>
          </cell>
          <cell r="AQ1081" t="str">
            <v>50a</v>
          </cell>
        </row>
        <row r="1082">
          <cell r="AN1082">
            <v>-57137.30333333334</v>
          </cell>
          <cell r="AQ1082" t="str">
            <v>50a</v>
          </cell>
        </row>
        <row r="1083">
          <cell r="AN1083">
            <v>-69563.53791666667</v>
          </cell>
          <cell r="AQ1083" t="str">
            <v>50a</v>
          </cell>
        </row>
        <row r="1084">
          <cell r="AN1084">
            <v>-20604.427083333332</v>
          </cell>
          <cell r="AQ1084" t="str">
            <v>50a</v>
          </cell>
        </row>
        <row r="1085">
          <cell r="AN1085">
            <v>-51225</v>
          </cell>
          <cell r="AQ1085" t="str">
            <v>50a</v>
          </cell>
        </row>
        <row r="1086">
          <cell r="AN1086">
            <v>-277812.5</v>
          </cell>
          <cell r="AQ1086" t="str">
            <v>50a</v>
          </cell>
        </row>
        <row r="1087">
          <cell r="AN1087">
            <v>-16275</v>
          </cell>
          <cell r="AQ1087" t="str">
            <v>50a</v>
          </cell>
        </row>
        <row r="1088">
          <cell r="AN1088">
            <v>-45811.37416666667</v>
          </cell>
          <cell r="AQ1088" t="str">
            <v>50a</v>
          </cell>
        </row>
        <row r="1089">
          <cell r="AN1089">
            <v>-129624.80333333333</v>
          </cell>
          <cell r="AQ1089" t="str">
            <v>50a</v>
          </cell>
        </row>
        <row r="1090">
          <cell r="AN1090">
            <v>-151749.80333333332</v>
          </cell>
          <cell r="AQ1090" t="str">
            <v>50a</v>
          </cell>
        </row>
        <row r="1091">
          <cell r="AN1091">
            <v>-172500</v>
          </cell>
          <cell r="AQ1091" t="str">
            <v>50a</v>
          </cell>
        </row>
        <row r="1092">
          <cell r="AN1092">
            <v>-138399.80333333332</v>
          </cell>
          <cell r="AQ1092" t="str">
            <v>50a</v>
          </cell>
        </row>
        <row r="1093">
          <cell r="AN1093">
            <v>-51900</v>
          </cell>
          <cell r="AQ1093" t="str">
            <v>50a</v>
          </cell>
        </row>
        <row r="1094">
          <cell r="AN1094">
            <v>-346500</v>
          </cell>
          <cell r="AQ1094" t="str">
            <v>50a</v>
          </cell>
        </row>
        <row r="1095">
          <cell r="AN1095">
            <v>-351000</v>
          </cell>
          <cell r="AQ1095" t="str">
            <v>50a</v>
          </cell>
        </row>
        <row r="1096">
          <cell r="AN1096">
            <v>-87999.80333333333</v>
          </cell>
          <cell r="AQ1096" t="str">
            <v>50a</v>
          </cell>
        </row>
        <row r="1097">
          <cell r="AN1097">
            <v>-124599.80333333333</v>
          </cell>
          <cell r="AQ1097" t="str">
            <v>50a</v>
          </cell>
        </row>
        <row r="1098">
          <cell r="AN1098">
            <v>-183750</v>
          </cell>
          <cell r="AQ1098" t="str">
            <v>50a</v>
          </cell>
        </row>
        <row r="1099">
          <cell r="AN1099">
            <v>-36800.19666666666</v>
          </cell>
          <cell r="AQ1099" t="str">
            <v>50a</v>
          </cell>
        </row>
        <row r="1100">
          <cell r="AN1100">
            <v>-49575</v>
          </cell>
          <cell r="AQ1100" t="str">
            <v>50a</v>
          </cell>
        </row>
        <row r="1101">
          <cell r="AN1101">
            <v>-82749.80333333333</v>
          </cell>
          <cell r="AQ1101" t="str">
            <v>50a</v>
          </cell>
        </row>
        <row r="1102">
          <cell r="AN1102">
            <v>-268125</v>
          </cell>
          <cell r="AQ1102" t="str">
            <v>50a</v>
          </cell>
        </row>
        <row r="1103">
          <cell r="AN1103">
            <v>-164499.80333333332</v>
          </cell>
          <cell r="AQ1103" t="str">
            <v>50a</v>
          </cell>
        </row>
        <row r="1104">
          <cell r="AN1104">
            <v>-36000</v>
          </cell>
          <cell r="AQ1104" t="str">
            <v>50a</v>
          </cell>
        </row>
        <row r="1105">
          <cell r="AN1105">
            <v>-508749.1766666667</v>
          </cell>
          <cell r="AQ1105" t="str">
            <v>50a</v>
          </cell>
        </row>
        <row r="1106">
          <cell r="AN1106">
            <v>-1937499.2166666668</v>
          </cell>
          <cell r="AQ1106" t="str">
            <v>50a</v>
          </cell>
        </row>
        <row r="1107">
          <cell r="AN1107">
            <v>-63380.13791666667</v>
          </cell>
          <cell r="AQ1107" t="str">
            <v>50a</v>
          </cell>
        </row>
        <row r="1108">
          <cell r="AN1108">
            <v>-88958.33333333333</v>
          </cell>
          <cell r="AQ1108" t="str">
            <v>50a</v>
          </cell>
        </row>
        <row r="1109">
          <cell r="AN1109">
            <v>0</v>
          </cell>
          <cell r="AQ1109" t="str">
            <v>50a</v>
          </cell>
        </row>
        <row r="1110">
          <cell r="AN1110">
            <v>-926900.09</v>
          </cell>
          <cell r="AQ1110" t="str">
            <v>50a</v>
          </cell>
        </row>
        <row r="1111">
          <cell r="AN1111">
            <v>0</v>
          </cell>
          <cell r="AQ1111" t="str">
            <v>50a</v>
          </cell>
        </row>
        <row r="1112">
          <cell r="AN1112">
            <v>0</v>
          </cell>
          <cell r="AQ1112" t="str">
            <v>50a</v>
          </cell>
        </row>
        <row r="1113">
          <cell r="AN1113">
            <v>0</v>
          </cell>
          <cell r="AQ1113" t="str">
            <v>50a</v>
          </cell>
        </row>
        <row r="1114">
          <cell r="AN1114">
            <v>0</v>
          </cell>
          <cell r="AQ1114" t="str">
            <v>50a</v>
          </cell>
        </row>
        <row r="1115">
          <cell r="AN1115">
            <v>0</v>
          </cell>
          <cell r="AQ1115" t="str">
            <v>50a</v>
          </cell>
        </row>
        <row r="1116">
          <cell r="AN1116">
            <v>0</v>
          </cell>
          <cell r="AQ1116" t="str">
            <v>50a</v>
          </cell>
        </row>
        <row r="1117">
          <cell r="AN1117">
            <v>-122438.86291666667</v>
          </cell>
          <cell r="AQ1117" t="str">
            <v>50a</v>
          </cell>
        </row>
        <row r="1118">
          <cell r="AN1118">
            <v>-962548.6966666667</v>
          </cell>
          <cell r="AQ1118" t="str">
            <v>50a</v>
          </cell>
        </row>
        <row r="1119">
          <cell r="AN1119">
            <v>-388645.8333333333</v>
          </cell>
          <cell r="AQ1119" t="str">
            <v>50a</v>
          </cell>
        </row>
        <row r="1120">
          <cell r="AN1120">
            <v>0</v>
          </cell>
          <cell r="AQ1120" t="str">
            <v>50a</v>
          </cell>
        </row>
        <row r="1121">
          <cell r="AN1121">
            <v>-223031.25</v>
          </cell>
          <cell r="AQ1121" t="str">
            <v>50a</v>
          </cell>
        </row>
        <row r="1122">
          <cell r="AN1122">
            <v>-46500</v>
          </cell>
          <cell r="AQ1122" t="str">
            <v>50a</v>
          </cell>
        </row>
        <row r="1123">
          <cell r="AN1123">
            <v>-175960.03333333335</v>
          </cell>
          <cell r="AQ1123" t="str">
            <v>50a</v>
          </cell>
        </row>
        <row r="1124">
          <cell r="AN1124">
            <v>-1010625</v>
          </cell>
          <cell r="AQ1124" t="str">
            <v>50a</v>
          </cell>
        </row>
        <row r="1125">
          <cell r="AN1125">
            <v>-585000</v>
          </cell>
          <cell r="AQ1125" t="str">
            <v>50a</v>
          </cell>
        </row>
        <row r="1126">
          <cell r="AN1126">
            <v>-2110956.0016666665</v>
          </cell>
          <cell r="AQ1126" t="str">
            <v>50a</v>
          </cell>
        </row>
        <row r="1127">
          <cell r="AN1127">
            <v>-63117.79750000001</v>
          </cell>
          <cell r="AQ1127" t="str">
            <v>50a</v>
          </cell>
        </row>
        <row r="1128">
          <cell r="AN1128">
            <v>-16060.08</v>
          </cell>
          <cell r="AQ1128" t="str">
            <v>50b</v>
          </cell>
        </row>
        <row r="1129">
          <cell r="AN1129">
            <v>-19583.491250000003</v>
          </cell>
          <cell r="AQ1129" t="str">
            <v>50a</v>
          </cell>
        </row>
        <row r="1130">
          <cell r="AN1130">
            <v>-16332.4675</v>
          </cell>
          <cell r="AQ1130" t="str">
            <v>50b</v>
          </cell>
        </row>
        <row r="1131">
          <cell r="AN1131">
            <v>-40036.24999999999</v>
          </cell>
        </row>
        <row r="1132">
          <cell r="AN1132">
            <v>-2422500</v>
          </cell>
          <cell r="AQ1132" t="str">
            <v>50a</v>
          </cell>
        </row>
        <row r="1133">
          <cell r="AN1133">
            <v>-1749999.8366666667</v>
          </cell>
          <cell r="AQ1133" t="str">
            <v>50a</v>
          </cell>
        </row>
        <row r="1134">
          <cell r="AN1134">
            <v>-2034.8454166666668</v>
          </cell>
          <cell r="AQ1134" t="str">
            <v>50b</v>
          </cell>
        </row>
        <row r="1135">
          <cell r="AN1135">
            <v>-13952.984999999999</v>
          </cell>
        </row>
        <row r="1136">
          <cell r="AN1136">
            <v>-3369999.8533333335</v>
          </cell>
          <cell r="AQ1136" t="str">
            <v>50a</v>
          </cell>
        </row>
        <row r="1137">
          <cell r="AN1137">
            <v>-15611.052916666667</v>
          </cell>
          <cell r="AQ1137" t="str">
            <v>50a</v>
          </cell>
        </row>
        <row r="1138">
          <cell r="AN1138">
            <v>-69210.07874999999</v>
          </cell>
          <cell r="AQ1138" t="str">
            <v>50b</v>
          </cell>
        </row>
        <row r="1139">
          <cell r="AN1139">
            <v>-4477500</v>
          </cell>
          <cell r="AQ1139" t="str">
            <v>50a</v>
          </cell>
        </row>
        <row r="1140">
          <cell r="AN1140">
            <v>-481350.1716666667</v>
          </cell>
          <cell r="AQ1140" t="str">
            <v>50a</v>
          </cell>
        </row>
        <row r="1141">
          <cell r="AN1141">
            <v>-3600.414583333333</v>
          </cell>
          <cell r="AQ1141" t="str">
            <v>50a</v>
          </cell>
        </row>
        <row r="1142">
          <cell r="AN1142">
            <v>-5265000</v>
          </cell>
          <cell r="AQ1142" t="str">
            <v>50a</v>
          </cell>
        </row>
        <row r="1143">
          <cell r="AN1143">
            <v>0</v>
          </cell>
          <cell r="AQ1143" t="str">
            <v>50a</v>
          </cell>
        </row>
        <row r="1144">
          <cell r="AN1144">
            <v>-5028282.783333333</v>
          </cell>
          <cell r="AQ1144" t="str">
            <v>50a</v>
          </cell>
        </row>
        <row r="1145">
          <cell r="AN1145">
            <v>0</v>
          </cell>
          <cell r="AQ1145" t="str">
            <v>50a</v>
          </cell>
        </row>
        <row r="1146">
          <cell r="AN1146">
            <v>-1444059.1666666667</v>
          </cell>
          <cell r="AQ1146" t="str">
            <v>50a</v>
          </cell>
        </row>
        <row r="1147">
          <cell r="AN1147">
            <v>-632523.1216666667</v>
          </cell>
          <cell r="AQ1147" t="str">
            <v>50a</v>
          </cell>
        </row>
        <row r="1148">
          <cell r="AN1148">
            <v>-937489.5879166668</v>
          </cell>
          <cell r="AQ1148" t="str">
            <v>50a</v>
          </cell>
        </row>
        <row r="1149">
          <cell r="AN1149">
            <v>-161606.25</v>
          </cell>
          <cell r="AQ1149" t="str">
            <v>50a</v>
          </cell>
        </row>
        <row r="1150">
          <cell r="AN1150">
            <v>-3529.935833333333</v>
          </cell>
          <cell r="AQ1150" t="str">
            <v>50b</v>
          </cell>
        </row>
        <row r="1151">
          <cell r="AN1151">
            <v>-14838.407500000001</v>
          </cell>
        </row>
        <row r="1152">
          <cell r="AN1152">
            <v>-267989.0625</v>
          </cell>
          <cell r="AQ1152" t="str">
            <v>50a</v>
          </cell>
        </row>
        <row r="1153">
          <cell r="AN1153">
            <v>0</v>
          </cell>
          <cell r="AQ1153" t="str">
            <v>50a</v>
          </cell>
        </row>
        <row r="1154">
          <cell r="AN1154">
            <v>-1349490.7437500001</v>
          </cell>
          <cell r="AQ1154" t="str">
            <v>50a</v>
          </cell>
        </row>
        <row r="1155">
          <cell r="AN1155">
            <v>-153496.40833333333</v>
          </cell>
          <cell r="AQ1155" t="str">
            <v>50a</v>
          </cell>
        </row>
        <row r="1156">
          <cell r="AN1156">
            <v>-102337.96166666667</v>
          </cell>
          <cell r="AQ1156" t="str">
            <v>50a</v>
          </cell>
        </row>
        <row r="1157">
          <cell r="AN1157">
            <v>-5100.744166666667</v>
          </cell>
          <cell r="AQ1157" t="str">
            <v>50a</v>
          </cell>
        </row>
        <row r="1158">
          <cell r="AN1158">
            <v>0</v>
          </cell>
          <cell r="AQ1158" t="str">
            <v>50a</v>
          </cell>
        </row>
        <row r="1159">
          <cell r="AN1159">
            <v>902.2591666666667</v>
          </cell>
          <cell r="AQ1159" t="str">
            <v>50b</v>
          </cell>
        </row>
        <row r="1160">
          <cell r="AN1160">
            <v>0</v>
          </cell>
          <cell r="AQ1160" t="str">
            <v>50a</v>
          </cell>
        </row>
        <row r="1161">
          <cell r="AN1161">
            <v>0</v>
          </cell>
          <cell r="AQ1161" t="str">
            <v>50a</v>
          </cell>
        </row>
        <row r="1162">
          <cell r="AN1162">
            <v>0</v>
          </cell>
          <cell r="AQ1162" t="str">
            <v>50a</v>
          </cell>
        </row>
        <row r="1163">
          <cell r="AN1163">
            <v>0</v>
          </cell>
          <cell r="AQ1163" t="str">
            <v>50b</v>
          </cell>
        </row>
        <row r="1164">
          <cell r="AN1164">
            <v>0</v>
          </cell>
          <cell r="AQ1164" t="str">
            <v>50a</v>
          </cell>
        </row>
        <row r="1165">
          <cell r="AN1165">
            <v>0</v>
          </cell>
          <cell r="AQ1165" t="str">
            <v>50a</v>
          </cell>
        </row>
        <row r="1166">
          <cell r="AN1166">
            <v>0</v>
          </cell>
          <cell r="AQ1166" t="str">
            <v>50b</v>
          </cell>
        </row>
        <row r="1167">
          <cell r="AN1167">
            <v>-1280568.8983333332</v>
          </cell>
          <cell r="AQ1167" t="str">
            <v>50b</v>
          </cell>
        </row>
        <row r="1168">
          <cell r="AN1168">
            <v>-2013055.826666667</v>
          </cell>
          <cell r="AQ1168" t="str">
            <v>50b</v>
          </cell>
        </row>
        <row r="1169">
          <cell r="AN1169">
            <v>-82731.85333333333</v>
          </cell>
          <cell r="AQ1169" t="str">
            <v>50b</v>
          </cell>
        </row>
        <row r="1170">
          <cell r="AN1170">
            <v>-82731.85333333333</v>
          </cell>
          <cell r="AQ1170" t="str">
            <v>50b</v>
          </cell>
        </row>
        <row r="1171">
          <cell r="AN1171">
            <v>-56341.23333333334</v>
          </cell>
          <cell r="AQ1171" t="str">
            <v>50b</v>
          </cell>
        </row>
        <row r="1172">
          <cell r="AN1172">
            <v>-56341.23333333334</v>
          </cell>
          <cell r="AQ1172" t="str">
            <v>50b</v>
          </cell>
        </row>
        <row r="1173">
          <cell r="AN1173">
            <v>-69596.51333333332</v>
          </cell>
          <cell r="AQ1173" t="str">
            <v>50b</v>
          </cell>
        </row>
        <row r="1174">
          <cell r="AN1174">
            <v>-1016033.86375</v>
          </cell>
          <cell r="AQ1174" t="str">
            <v>50b</v>
          </cell>
        </row>
        <row r="1175">
          <cell r="AN1175">
            <v>-813731.9708333332</v>
          </cell>
          <cell r="AQ1175" t="str">
            <v>50a</v>
          </cell>
        </row>
        <row r="1176">
          <cell r="AN1176">
            <v>0</v>
          </cell>
          <cell r="AQ1176" t="str">
            <v>50b</v>
          </cell>
        </row>
        <row r="1177">
          <cell r="AN1177">
            <v>-4422.11</v>
          </cell>
          <cell r="AQ1177" t="str">
            <v>48</v>
          </cell>
        </row>
        <row r="1178">
          <cell r="AN1178">
            <v>-224579.63916666666</v>
          </cell>
          <cell r="AQ1178" t="str">
            <v>50b</v>
          </cell>
        </row>
        <row r="1179">
          <cell r="AN1179">
            <v>-1077924.435</v>
          </cell>
        </row>
        <row r="1180">
          <cell r="AN1180">
            <v>-906743.1004166667</v>
          </cell>
          <cell r="AQ1180" t="str">
            <v>50a</v>
          </cell>
        </row>
        <row r="1181">
          <cell r="AN1181">
            <v>-774838.2337500001</v>
          </cell>
          <cell r="AQ1181" t="str">
            <v>50a</v>
          </cell>
        </row>
        <row r="1182">
          <cell r="AN1182">
            <v>-303729.65208333347</v>
          </cell>
          <cell r="AQ1182" t="str">
            <v>50a</v>
          </cell>
        </row>
        <row r="1183">
          <cell r="AN1183">
            <v>0</v>
          </cell>
          <cell r="AQ1183" t="str">
            <v>50a</v>
          </cell>
        </row>
        <row r="1184">
          <cell r="AN1184">
            <v>-20833.333333333332</v>
          </cell>
          <cell r="AQ1184" t="str">
            <v>50a</v>
          </cell>
        </row>
        <row r="1185">
          <cell r="AN1185">
            <v>0</v>
          </cell>
          <cell r="AQ1185" t="str">
            <v>50a</v>
          </cell>
        </row>
        <row r="1186">
          <cell r="AN1186">
            <v>161.22333333333333</v>
          </cell>
          <cell r="AQ1186" t="str">
            <v>50a</v>
          </cell>
        </row>
        <row r="1187">
          <cell r="AN1187">
            <v>-1533333.3333333333</v>
          </cell>
          <cell r="AQ1187" t="str">
            <v>50b</v>
          </cell>
        </row>
        <row r="1188">
          <cell r="AN1188">
            <v>0</v>
          </cell>
          <cell r="AQ1188" t="str">
            <v>50b</v>
          </cell>
        </row>
        <row r="1189">
          <cell r="AN1189">
            <v>-1122855</v>
          </cell>
          <cell r="AQ1189" t="str">
            <v>62</v>
          </cell>
        </row>
        <row r="1190">
          <cell r="AN1190">
            <v>-695651.3070833335</v>
          </cell>
          <cell r="AQ1190" t="str">
            <v>15</v>
          </cell>
        </row>
        <row r="1191">
          <cell r="AN1191">
            <v>-4731023.960416667</v>
          </cell>
          <cell r="AQ1191" t="str">
            <v>15</v>
          </cell>
        </row>
        <row r="1192">
          <cell r="AN1192">
            <v>-344081.605</v>
          </cell>
          <cell r="AQ1192" t="str">
            <v>15</v>
          </cell>
        </row>
        <row r="1193">
          <cell r="AN1193">
            <v>0</v>
          </cell>
          <cell r="AQ1193" t="str">
            <v>54</v>
          </cell>
        </row>
        <row r="1194">
          <cell r="AN1194">
            <v>0</v>
          </cell>
          <cell r="AQ1194" t="str">
            <v>54</v>
          </cell>
        </row>
        <row r="1195">
          <cell r="AN1195">
            <v>0</v>
          </cell>
          <cell r="AQ1195" t="str">
            <v>54</v>
          </cell>
        </row>
        <row r="1196">
          <cell r="AN1196">
            <v>0</v>
          </cell>
          <cell r="AQ1196" t="str">
            <v>54</v>
          </cell>
        </row>
        <row r="1197">
          <cell r="AN1197">
            <v>0</v>
          </cell>
          <cell r="AQ1197" t="str">
            <v>54</v>
          </cell>
        </row>
        <row r="1198">
          <cell r="AN1198">
            <v>0</v>
          </cell>
          <cell r="AQ1198" t="str">
            <v>54</v>
          </cell>
        </row>
        <row r="1199">
          <cell r="AN1199">
            <v>-432482.3704166667</v>
          </cell>
          <cell r="AQ1199" t="str">
            <v>54</v>
          </cell>
        </row>
        <row r="1200">
          <cell r="AN1200">
            <v>-2635200.0229166667</v>
          </cell>
          <cell r="AQ1200" t="str">
            <v>54</v>
          </cell>
        </row>
        <row r="1201">
          <cell r="AN1201">
            <v>-18517789.530000005</v>
          </cell>
          <cell r="AQ1201" t="str">
            <v>54</v>
          </cell>
        </row>
        <row r="1202">
          <cell r="AN1202">
            <v>-10878068.713750001</v>
          </cell>
          <cell r="AQ1202" t="str">
            <v>15</v>
          </cell>
        </row>
        <row r="1203">
          <cell r="AN1203">
            <v>-446087.5929166666</v>
          </cell>
          <cell r="AQ1203" t="str">
            <v>15</v>
          </cell>
        </row>
        <row r="1204">
          <cell r="AN1204">
            <v>-10000</v>
          </cell>
          <cell r="AQ1204" t="str">
            <v>54</v>
          </cell>
        </row>
        <row r="1205">
          <cell r="AN1205">
            <v>-21496.120416666665</v>
          </cell>
          <cell r="AQ1205" t="str">
            <v>15</v>
          </cell>
        </row>
        <row r="1206">
          <cell r="AN1206">
            <v>-58110.34625</v>
          </cell>
          <cell r="AQ1206" t="str">
            <v>15</v>
          </cell>
        </row>
        <row r="1207">
          <cell r="AN1207">
            <v>-279358.7291666666</v>
          </cell>
          <cell r="AQ1207" t="str">
            <v>54</v>
          </cell>
        </row>
        <row r="1208">
          <cell r="AN1208">
            <v>-742245.7620833333</v>
          </cell>
          <cell r="AQ1208" t="str">
            <v>54</v>
          </cell>
        </row>
        <row r="1209">
          <cell r="AN1209">
            <v>-678524.1345833334</v>
          </cell>
          <cell r="AQ1209" t="str">
            <v>54</v>
          </cell>
        </row>
        <row r="1210">
          <cell r="AN1210">
            <v>-369260.24958333327</v>
          </cell>
          <cell r="AQ1210" t="str">
            <v>54</v>
          </cell>
        </row>
        <row r="1211">
          <cell r="AN1211">
            <v>-2470607.5100000002</v>
          </cell>
          <cell r="AQ1211" t="str">
            <v>50b</v>
          </cell>
        </row>
        <row r="1212">
          <cell r="AN1212">
            <v>-5000</v>
          </cell>
          <cell r="AQ1212" t="str">
            <v>50b</v>
          </cell>
        </row>
        <row r="1213">
          <cell r="AN1213">
            <v>-24835876.16625</v>
          </cell>
          <cell r="AQ1213" t="str">
            <v>50a</v>
          </cell>
        </row>
        <row r="1214">
          <cell r="AN1214">
            <v>0</v>
          </cell>
          <cell r="AQ1214" t="str">
            <v>50a</v>
          </cell>
        </row>
        <row r="1215">
          <cell r="AN1215">
            <v>-808150</v>
          </cell>
          <cell r="AQ1215" t="str">
            <v>50b</v>
          </cell>
        </row>
        <row r="1216">
          <cell r="AN1216">
            <v>-1377995.5216666667</v>
          </cell>
          <cell r="AQ1216" t="str">
            <v>50b</v>
          </cell>
        </row>
        <row r="1217">
          <cell r="AN1217">
            <v>-10149244.116249999</v>
          </cell>
          <cell r="AQ1217" t="str">
            <v>62</v>
          </cell>
        </row>
        <row r="1218">
          <cell r="AN1218">
            <v>-186.04916666666668</v>
          </cell>
          <cell r="AQ1218" t="str">
            <v>50b</v>
          </cell>
        </row>
        <row r="1219">
          <cell r="AN1219">
            <v>0</v>
          </cell>
          <cell r="AQ1219" t="str">
            <v>50a</v>
          </cell>
        </row>
        <row r="1220">
          <cell r="AN1220">
            <v>-13128</v>
          </cell>
          <cell r="AQ1220" t="str">
            <v>62</v>
          </cell>
        </row>
        <row r="1221">
          <cell r="AN1221">
            <v>0</v>
          </cell>
          <cell r="AQ1221" t="str">
            <v>5</v>
          </cell>
        </row>
        <row r="1222">
          <cell r="AN1222">
            <v>0</v>
          </cell>
          <cell r="AQ1222" t="str">
            <v>8b</v>
          </cell>
        </row>
        <row r="1223">
          <cell r="AN1223">
            <v>-1795089.3741666665</v>
          </cell>
          <cell r="AQ1223" t="str">
            <v>62</v>
          </cell>
        </row>
        <row r="1224">
          <cell r="AN1224">
            <v>-17229846.041666668</v>
          </cell>
          <cell r="AQ1224" t="str">
            <v>62</v>
          </cell>
        </row>
        <row r="1225">
          <cell r="AN1225">
            <v>-55135.61208333333</v>
          </cell>
          <cell r="AQ1225" t="str">
            <v>62</v>
          </cell>
        </row>
        <row r="1226">
          <cell r="AN1226">
            <v>-6191500.315416667</v>
          </cell>
          <cell r="AQ1226" t="str">
            <v>62</v>
          </cell>
        </row>
        <row r="1227">
          <cell r="AN1227">
            <v>-18947.524999999998</v>
          </cell>
          <cell r="AQ1227" t="str">
            <v>50a</v>
          </cell>
        </row>
        <row r="1228">
          <cell r="AN1228">
            <v>0</v>
          </cell>
          <cell r="AQ1228" t="str">
            <v>50a</v>
          </cell>
        </row>
        <row r="1229">
          <cell r="AN1229">
            <v>0</v>
          </cell>
        </row>
        <row r="1230">
          <cell r="AN1230">
            <v>-229684.31000000003</v>
          </cell>
          <cell r="AQ1230" t="str">
            <v>50a</v>
          </cell>
        </row>
        <row r="1231">
          <cell r="AN1231">
            <v>-2127799.8633333333</v>
          </cell>
          <cell r="AQ1231" t="str">
            <v>50b</v>
          </cell>
        </row>
        <row r="1232">
          <cell r="AN1232">
            <v>-75158.125</v>
          </cell>
          <cell r="AQ1232" t="str">
            <v>50a</v>
          </cell>
        </row>
        <row r="1233">
          <cell r="AN1233">
            <v>-102091.45833333333</v>
          </cell>
          <cell r="AQ1233" t="str">
            <v>50a</v>
          </cell>
        </row>
        <row r="1234">
          <cell r="AN1234">
            <v>0</v>
          </cell>
          <cell r="AQ1234" t="str">
            <v>50b</v>
          </cell>
        </row>
        <row r="1235">
          <cell r="AN1235">
            <v>-14682130</v>
          </cell>
          <cell r="AQ1235" t="str">
            <v>50a</v>
          </cell>
        </row>
        <row r="1236">
          <cell r="AN1236">
            <v>-662.66375</v>
          </cell>
          <cell r="AQ1236" t="str">
            <v>50a</v>
          </cell>
        </row>
        <row r="1237">
          <cell r="AN1237">
            <v>0</v>
          </cell>
          <cell r="AQ1237" t="str">
            <v>50a</v>
          </cell>
        </row>
        <row r="1238">
          <cell r="AN1238">
            <v>0</v>
          </cell>
          <cell r="AQ1238" t="str">
            <v>50a</v>
          </cell>
        </row>
        <row r="1239">
          <cell r="AN1239">
            <v>0</v>
          </cell>
          <cell r="AQ1239" t="str">
            <v>50b</v>
          </cell>
        </row>
        <row r="1240">
          <cell r="AN1240">
            <v>12539.42208333333</v>
          </cell>
          <cell r="AQ1240" t="str">
            <v>50a</v>
          </cell>
        </row>
        <row r="1241">
          <cell r="AN1241">
            <v>32.22833333333333</v>
          </cell>
          <cell r="AQ1241" t="str">
            <v>50a</v>
          </cell>
        </row>
        <row r="1242">
          <cell r="AN1242">
            <v>-26056250</v>
          </cell>
          <cell r="AQ1242" t="str">
            <v>50b</v>
          </cell>
        </row>
        <row r="1243">
          <cell r="AN1243">
            <v>-17205758.13</v>
          </cell>
          <cell r="AQ1243" t="str">
            <v>62</v>
          </cell>
        </row>
        <row r="1244">
          <cell r="AN1244">
            <v>-17458741.54916667</v>
          </cell>
          <cell r="AQ1244" t="str">
            <v>47</v>
          </cell>
        </row>
        <row r="1245">
          <cell r="AN1245">
            <v>0</v>
          </cell>
          <cell r="AQ1245" t="str">
            <v>62</v>
          </cell>
        </row>
        <row r="1246">
          <cell r="AN1246">
            <v>0</v>
          </cell>
          <cell r="AQ1246" t="str">
            <v>62</v>
          </cell>
        </row>
        <row r="1247">
          <cell r="AN1247">
            <v>0</v>
          </cell>
          <cell r="AQ1247" t="str">
            <v>62</v>
          </cell>
        </row>
        <row r="1248">
          <cell r="AN1248">
            <v>0</v>
          </cell>
          <cell r="AQ1248" t="str">
            <v>62</v>
          </cell>
        </row>
        <row r="1249">
          <cell r="AN1249">
            <v>-64610.625</v>
          </cell>
          <cell r="AQ1249" t="str">
            <v>62</v>
          </cell>
        </row>
        <row r="1250">
          <cell r="AN1250">
            <v>0</v>
          </cell>
          <cell r="AQ1250" t="str">
            <v>62</v>
          </cell>
        </row>
        <row r="1251">
          <cell r="AN1251">
            <v>0</v>
          </cell>
          <cell r="AQ1251" t="str">
            <v>62</v>
          </cell>
        </row>
        <row r="1252">
          <cell r="AN1252">
            <v>-291666.6666666667</v>
          </cell>
          <cell r="AQ1252" t="str">
            <v>62</v>
          </cell>
        </row>
        <row r="1253">
          <cell r="AN1253">
            <v>-337500</v>
          </cell>
          <cell r="AQ1253" t="str">
            <v>62</v>
          </cell>
        </row>
        <row r="1254">
          <cell r="AN1254">
            <v>-414767.9745833333</v>
          </cell>
          <cell r="AQ1254" t="str">
            <v>62</v>
          </cell>
        </row>
        <row r="1255">
          <cell r="AN1255">
            <v>-187500</v>
          </cell>
          <cell r="AQ1255" t="str">
            <v>62</v>
          </cell>
        </row>
        <row r="1256">
          <cell r="AN1256">
            <v>-851180.21</v>
          </cell>
          <cell r="AQ1256" t="str">
            <v>62</v>
          </cell>
        </row>
        <row r="1257">
          <cell r="AN1257">
            <v>-35003.527916666666</v>
          </cell>
          <cell r="AQ1257" t="str">
            <v>62</v>
          </cell>
        </row>
        <row r="1258">
          <cell r="AN1258">
            <v>0</v>
          </cell>
          <cell r="AQ1258" t="str">
            <v>50a</v>
          </cell>
        </row>
        <row r="1259">
          <cell r="AN1259">
            <v>0</v>
          </cell>
          <cell r="AQ1259" t="str">
            <v>50a</v>
          </cell>
        </row>
        <row r="1260">
          <cell r="AN1260">
            <v>0</v>
          </cell>
          <cell r="AQ1260" t="str">
            <v>50a</v>
          </cell>
        </row>
        <row r="1261">
          <cell r="AN1261">
            <v>0</v>
          </cell>
          <cell r="AQ1261" t="str">
            <v>50a</v>
          </cell>
        </row>
        <row r="1262">
          <cell r="AN1262">
            <v>-95.73416666666667</v>
          </cell>
          <cell r="AQ1262" t="str">
            <v>50a</v>
          </cell>
        </row>
        <row r="1263">
          <cell r="AN1263">
            <v>-7416.289999999998</v>
          </cell>
          <cell r="AQ1263" t="str">
            <v>50a</v>
          </cell>
        </row>
        <row r="1264">
          <cell r="AN1264">
            <v>-5140.36</v>
          </cell>
          <cell r="AQ1264" t="str">
            <v>50a</v>
          </cell>
        </row>
        <row r="1265">
          <cell r="AN1265">
            <v>-11459.630000000003</v>
          </cell>
          <cell r="AQ1265" t="str">
            <v>50a</v>
          </cell>
        </row>
        <row r="1266">
          <cell r="AN1266">
            <v>-1479.6000000000001</v>
          </cell>
          <cell r="AQ1266" t="str">
            <v>50a</v>
          </cell>
        </row>
        <row r="1267">
          <cell r="AN1267">
            <v>-959.9799999999997</v>
          </cell>
          <cell r="AQ1267" t="str">
            <v>50a</v>
          </cell>
        </row>
        <row r="1268">
          <cell r="AN1268">
            <v>-865.1658333333335</v>
          </cell>
          <cell r="AQ1268" t="str">
            <v>50a</v>
          </cell>
        </row>
        <row r="1269">
          <cell r="AN1269">
            <v>-359.47541666666666</v>
          </cell>
          <cell r="AQ1269" t="str">
            <v>50a</v>
          </cell>
        </row>
        <row r="1270">
          <cell r="AN1270">
            <v>-12.549999999999999</v>
          </cell>
          <cell r="AQ1270" t="str">
            <v>50a</v>
          </cell>
        </row>
        <row r="1271">
          <cell r="AN1271">
            <v>-598.9899999999999</v>
          </cell>
          <cell r="AQ1271" t="str">
            <v>50a</v>
          </cell>
        </row>
        <row r="1272">
          <cell r="AN1272">
            <v>-168.86000000000004</v>
          </cell>
          <cell r="AQ1272" t="str">
            <v>50a</v>
          </cell>
        </row>
        <row r="1273">
          <cell r="AN1273">
            <v>14.956250000000002</v>
          </cell>
          <cell r="AQ1273" t="str">
            <v>50a</v>
          </cell>
        </row>
        <row r="1274">
          <cell r="AN1274">
            <v>-198.50750000000002</v>
          </cell>
          <cell r="AQ1274" t="str">
            <v>50a</v>
          </cell>
        </row>
        <row r="1275">
          <cell r="AN1275">
            <v>-23.935833333333335</v>
          </cell>
          <cell r="AQ1275" t="str">
            <v>50a</v>
          </cell>
        </row>
        <row r="1276">
          <cell r="AN1276">
            <v>-4486820.625</v>
          </cell>
          <cell r="AQ1276" t="str">
            <v>62</v>
          </cell>
        </row>
        <row r="1277">
          <cell r="AN1277">
            <v>-294955.2375</v>
          </cell>
          <cell r="AQ1277" t="str">
            <v>62</v>
          </cell>
        </row>
        <row r="1278">
          <cell r="AN1278">
            <v>-4269235.635416667</v>
          </cell>
          <cell r="AQ1278" t="str">
            <v>62</v>
          </cell>
        </row>
        <row r="1279">
          <cell r="AN1279">
            <v>-1787976.96125</v>
          </cell>
          <cell r="AQ1279" t="str">
            <v> </v>
          </cell>
        </row>
        <row r="1280">
          <cell r="AN1280">
            <v>1790443.5249999997</v>
          </cell>
          <cell r="AQ1280" t="str">
            <v>62</v>
          </cell>
        </row>
        <row r="1281">
          <cell r="AN1281">
            <v>387028.1745833333</v>
          </cell>
          <cell r="AQ1281" t="str">
            <v>  </v>
          </cell>
        </row>
        <row r="1282">
          <cell r="AN1282">
            <v>-6514.111249999999</v>
          </cell>
          <cell r="AQ1282" t="str">
            <v>62</v>
          </cell>
        </row>
        <row r="1283">
          <cell r="AN1283">
            <v>-1667975.9050000003</v>
          </cell>
          <cell r="AQ1283" t="str">
            <v>62</v>
          </cell>
        </row>
        <row r="1284">
          <cell r="AN1284">
            <v>-72656</v>
          </cell>
          <cell r="AQ1284" t="str">
            <v>62</v>
          </cell>
        </row>
        <row r="1285">
          <cell r="AN1285">
            <v>-32179.628750000003</v>
          </cell>
          <cell r="AQ1285" t="str">
            <v>62</v>
          </cell>
        </row>
        <row r="1286">
          <cell r="AN1286">
            <v>0</v>
          </cell>
          <cell r="AQ1286" t="str">
            <v>57</v>
          </cell>
        </row>
        <row r="1287">
          <cell r="AN1287">
            <v>0</v>
          </cell>
          <cell r="AQ1287" t="str">
            <v>62</v>
          </cell>
        </row>
        <row r="1288">
          <cell r="AN1288">
            <v>-2850418.2045833333</v>
          </cell>
          <cell r="AQ1288" t="str">
            <v>62</v>
          </cell>
        </row>
        <row r="1289">
          <cell r="AN1289">
            <v>-30999.49916666666</v>
          </cell>
          <cell r="AQ1289" t="str">
            <v>62</v>
          </cell>
        </row>
        <row r="1290">
          <cell r="AN1290">
            <v>0</v>
          </cell>
          <cell r="AQ1290" t="str">
            <v>62</v>
          </cell>
        </row>
        <row r="1291">
          <cell r="AN1291">
            <v>-98497.85583333333</v>
          </cell>
          <cell r="AQ1291" t="str">
            <v>62</v>
          </cell>
        </row>
        <row r="1292">
          <cell r="AN1292">
            <v>-8165809</v>
          </cell>
          <cell r="AQ1292" t="str">
            <v>6</v>
          </cell>
        </row>
        <row r="1293">
          <cell r="AN1293">
            <v>4300195.875</v>
          </cell>
          <cell r="AQ1293" t="str">
            <v>6</v>
          </cell>
        </row>
        <row r="1294">
          <cell r="AN1294">
            <v>-12923100.119583333</v>
          </cell>
          <cell r="AQ1294" t="str">
            <v>62</v>
          </cell>
        </row>
        <row r="1295">
          <cell r="AN1295">
            <v>-947812.25</v>
          </cell>
          <cell r="AQ1295" t="str">
            <v>2</v>
          </cell>
        </row>
        <row r="1296">
          <cell r="AN1296">
            <v>-19380.39875</v>
          </cell>
          <cell r="AQ1296" t="str">
            <v>2</v>
          </cell>
        </row>
        <row r="1297">
          <cell r="AN1297">
            <v>-122056.57791666668</v>
          </cell>
          <cell r="AQ1297" t="str">
            <v>2</v>
          </cell>
        </row>
        <row r="1298">
          <cell r="AN1298">
            <v>-71851894.79999998</v>
          </cell>
          <cell r="AQ1298" t="str">
            <v>17</v>
          </cell>
        </row>
        <row r="1299">
          <cell r="AN1299">
            <v>-3623291.6666666665</v>
          </cell>
          <cell r="AQ1299" t="str">
            <v>56</v>
          </cell>
        </row>
        <row r="1300">
          <cell r="AN1300">
            <v>-1288879.25</v>
          </cell>
          <cell r="AQ1300" t="str">
            <v>56</v>
          </cell>
        </row>
        <row r="1301">
          <cell r="AN1301">
            <v>-328736616.9583333</v>
          </cell>
          <cell r="AQ1301" t="str">
            <v>56</v>
          </cell>
        </row>
        <row r="1302">
          <cell r="AN1302">
            <v>-942583.3333333334</v>
          </cell>
          <cell r="AQ1302" t="str">
            <v>56</v>
          </cell>
        </row>
        <row r="1303">
          <cell r="AN1303">
            <v>-32874</v>
          </cell>
          <cell r="AQ1303" t="str">
            <v>56</v>
          </cell>
        </row>
        <row r="1304">
          <cell r="AN1304">
            <v>-45478416.666666664</v>
          </cell>
          <cell r="AQ1304" t="str">
            <v>17</v>
          </cell>
        </row>
        <row r="1305">
          <cell r="AN1305">
            <v>-6125</v>
          </cell>
          <cell r="AQ1305" t="str">
            <v>62</v>
          </cell>
        </row>
        <row r="1306">
          <cell r="AN1306">
            <v>904152.9700000001</v>
          </cell>
          <cell r="AQ1306" t="str">
            <v>17/20</v>
          </cell>
        </row>
        <row r="1307">
          <cell r="AN1307">
            <v>-266416.6666666667</v>
          </cell>
          <cell r="AQ1307" t="str">
            <v>56</v>
          </cell>
        </row>
        <row r="1308">
          <cell r="AN1308">
            <v>-27673328.77</v>
          </cell>
          <cell r="AQ1308" t="str">
            <v>17/21</v>
          </cell>
        </row>
        <row r="1309">
          <cell r="AN1309">
            <v>-4489581</v>
          </cell>
          <cell r="AQ1309" t="str">
            <v>17/20</v>
          </cell>
        </row>
        <row r="1310">
          <cell r="AN1310">
            <v>-269554.91000000003</v>
          </cell>
          <cell r="AQ1310" t="str">
            <v>17/20</v>
          </cell>
        </row>
        <row r="1311">
          <cell r="AN1311">
            <v>-443787.0599999999</v>
          </cell>
          <cell r="AQ1311" t="str">
            <v>17/20</v>
          </cell>
        </row>
        <row r="1312">
          <cell r="AN1312">
            <v>-1614.97</v>
          </cell>
          <cell r="AQ1312" t="str">
            <v>17/20</v>
          </cell>
        </row>
        <row r="1313">
          <cell r="AN1313">
            <v>-48687.62</v>
          </cell>
          <cell r="AQ1313" t="str">
            <v>17/20</v>
          </cell>
        </row>
        <row r="1314">
          <cell r="AN1314">
            <v>-76732.02</v>
          </cell>
          <cell r="AQ1314" t="str">
            <v>17/20</v>
          </cell>
        </row>
        <row r="1315">
          <cell r="AN1315">
            <v>-2475</v>
          </cell>
          <cell r="AQ1315" t="str">
            <v>17/20</v>
          </cell>
        </row>
        <row r="1316">
          <cell r="AN1316">
            <v>97405</v>
          </cell>
          <cell r="AQ1316" t="str">
            <v>17/20</v>
          </cell>
        </row>
        <row r="1317">
          <cell r="AN1317">
            <v>-4106</v>
          </cell>
          <cell r="AQ1317" t="str">
            <v>17/20</v>
          </cell>
        </row>
        <row r="1318">
          <cell r="AN1318">
            <v>-171529</v>
          </cell>
          <cell r="AQ1318" t="str">
            <v>17/20</v>
          </cell>
        </row>
        <row r="1319">
          <cell r="AN1319">
            <v>-152467</v>
          </cell>
          <cell r="AQ1319" t="str">
            <v>17/20</v>
          </cell>
        </row>
        <row r="1320">
          <cell r="AN1320">
            <v>1365117.7899999998</v>
          </cell>
          <cell r="AQ1320" t="str">
            <v>56</v>
          </cell>
        </row>
        <row r="1321">
          <cell r="AN1321">
            <v>0</v>
          </cell>
          <cell r="AQ1321" t="str">
            <v>56</v>
          </cell>
        </row>
        <row r="1322">
          <cell r="AN1322">
            <v>0</v>
          </cell>
          <cell r="AQ1322" t="str">
            <v>62</v>
          </cell>
        </row>
        <row r="1323">
          <cell r="AN1323">
            <v>-477999.57000000007</v>
          </cell>
          <cell r="AQ1323" t="str">
            <v>56</v>
          </cell>
        </row>
        <row r="1324">
          <cell r="AN1324">
            <v>-3665</v>
          </cell>
          <cell r="AQ1324" t="str">
            <v>62</v>
          </cell>
        </row>
        <row r="1325">
          <cell r="AN1325">
            <v>-6017416.666666667</v>
          </cell>
          <cell r="AQ1325" t="str">
            <v>56</v>
          </cell>
        </row>
        <row r="1326">
          <cell r="AN1326">
            <v>-947000</v>
          </cell>
          <cell r="AQ1326" t="str">
            <v>62</v>
          </cell>
        </row>
        <row r="1327">
          <cell r="AN1327">
            <v>-3336176.0833333335</v>
          </cell>
          <cell r="AQ1327" t="str">
            <v>56</v>
          </cell>
        </row>
        <row r="1328">
          <cell r="AN1328">
            <v>0</v>
          </cell>
          <cell r="AQ1328" t="str">
            <v>62</v>
          </cell>
        </row>
        <row r="1329">
          <cell r="AN1329">
            <v>-137833.11666666667</v>
          </cell>
          <cell r="AQ1329" t="str">
            <v>62</v>
          </cell>
        </row>
        <row r="1330">
          <cell r="AN1330">
            <v>15991.625</v>
          </cell>
          <cell r="AQ1330" t="str">
            <v>62</v>
          </cell>
        </row>
        <row r="1331">
          <cell r="AN1331">
            <v>-160943064</v>
          </cell>
          <cell r="AQ1331" t="str">
            <v>62</v>
          </cell>
        </row>
        <row r="1332">
          <cell r="AN1332">
            <v>23833.333333333332</v>
          </cell>
          <cell r="AQ1332" t="str">
            <v>62</v>
          </cell>
        </row>
        <row r="1333">
          <cell r="AN1333">
            <v>0</v>
          </cell>
          <cell r="AQ1333" t="str">
            <v>62</v>
          </cell>
        </row>
        <row r="1334">
          <cell r="AN1334">
            <v>-4504000</v>
          </cell>
          <cell r="AQ1334" t="str">
            <v>62</v>
          </cell>
        </row>
        <row r="1335">
          <cell r="AN1335">
            <v>-1673000</v>
          </cell>
          <cell r="AQ1335" t="str">
            <v>62</v>
          </cell>
        </row>
        <row r="1336">
          <cell r="AN1336">
            <v>0</v>
          </cell>
          <cell r="AQ1336" t="str">
            <v>62</v>
          </cell>
        </row>
        <row r="1337">
          <cell r="AN1337">
            <v>-16048552.75</v>
          </cell>
          <cell r="AQ1337" t="str">
            <v>62</v>
          </cell>
        </row>
        <row r="1338">
          <cell r="AN1338">
            <v>-36741625</v>
          </cell>
          <cell r="AQ1338" t="str">
            <v>17</v>
          </cell>
        </row>
        <row r="1339">
          <cell r="AN1339">
            <v>-13451541.666666666</v>
          </cell>
          <cell r="AQ1339" t="str">
            <v>62</v>
          </cell>
        </row>
        <row r="1340">
          <cell r="AN1340">
            <v>1332692</v>
          </cell>
        </row>
        <row r="1341">
          <cell r="AN1341">
            <v>-4005291.6666666665</v>
          </cell>
          <cell r="AQ1341" t="str">
            <v>62</v>
          </cell>
        </row>
        <row r="1342">
          <cell r="AN1342">
            <v>5635154.54</v>
          </cell>
        </row>
        <row r="1343">
          <cell r="AN1343">
            <v>-10297666.666666666</v>
          </cell>
          <cell r="AQ1343" t="str">
            <v>56</v>
          </cell>
        </row>
        <row r="1344">
          <cell r="AN1344">
            <v>-117826.75</v>
          </cell>
          <cell r="AQ1344" t="str">
            <v>62</v>
          </cell>
        </row>
        <row r="1345">
          <cell r="AN1345">
            <v>-364583.3333333333</v>
          </cell>
          <cell r="AQ1345" t="str">
            <v>62</v>
          </cell>
        </row>
        <row r="1346">
          <cell r="AN1346">
            <v>-28985750</v>
          </cell>
          <cell r="AQ1346" t="str">
            <v>56</v>
          </cell>
        </row>
        <row r="1347">
          <cell r="AN1347">
            <v>-59583.333333333336</v>
          </cell>
          <cell r="AQ1347" t="str">
            <v>57</v>
          </cell>
        </row>
        <row r="1348">
          <cell r="AN1348">
            <v>-72387225.29166667</v>
          </cell>
          <cell r="AQ1348" t="str">
            <v>56</v>
          </cell>
        </row>
        <row r="1349">
          <cell r="AN1349">
            <v>12135.92708333333</v>
          </cell>
          <cell r="AQ1349" t="str">
            <v>8b</v>
          </cell>
        </row>
        <row r="1350">
          <cell r="AN1350">
            <v>42899.41458333333</v>
          </cell>
          <cell r="AQ1350" t="str">
            <v>8b</v>
          </cell>
        </row>
        <row r="1351">
          <cell r="AN1351">
            <v>1875439.4541666666</v>
          </cell>
          <cell r="AQ1351" t="str">
            <v>8b</v>
          </cell>
        </row>
        <row r="1352">
          <cell r="AN1352">
            <v>0</v>
          </cell>
          <cell r="AQ1352" t="str">
            <v>8b</v>
          </cell>
        </row>
        <row r="1353">
          <cell r="AN1353">
            <v>2809270.254999999</v>
          </cell>
          <cell r="AQ1353" t="str">
            <v>8b</v>
          </cell>
        </row>
        <row r="1354">
          <cell r="AN1354">
            <v>0</v>
          </cell>
          <cell r="AQ1354" t="str">
            <v>8b</v>
          </cell>
        </row>
        <row r="1355">
          <cell r="AN1355">
            <v>0</v>
          </cell>
          <cell r="AQ1355" t="str">
            <v>8b</v>
          </cell>
        </row>
        <row r="1356">
          <cell r="AN1356">
            <v>46484716.79833334</v>
          </cell>
          <cell r="AQ1356" t="str">
            <v>8b</v>
          </cell>
        </row>
        <row r="1357">
          <cell r="AN1357">
            <v>0</v>
          </cell>
          <cell r="AQ1357" t="str">
            <v>8b</v>
          </cell>
        </row>
        <row r="1358">
          <cell r="AN1358">
            <v>-5231517078.764584</v>
          </cell>
        </row>
        <row r="1359">
          <cell r="AN1359">
            <v>-7.62939453125E-06</v>
          </cell>
        </row>
        <row r="1360">
          <cell r="AN1360">
            <v>0</v>
          </cell>
        </row>
        <row r="1362">
          <cell r="AN1362" t="str">
            <v> </v>
          </cell>
        </row>
        <row r="1363">
          <cell r="AN1363" t="str">
            <v> </v>
          </cell>
        </row>
        <row r="1365">
          <cell r="AN136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113"/>
  <sheetViews>
    <sheetView workbookViewId="0" topLeftCell="A1">
      <pane ySplit="1" topLeftCell="BM2" activePane="bottomLeft" state="frozen"/>
      <selection pane="topLeft" activeCell="A1" sqref="A1"/>
      <selection pane="bottomLeft" activeCell="B11" sqref="B11"/>
    </sheetView>
  </sheetViews>
  <sheetFormatPr defaultColWidth="9.33203125" defaultRowHeight="10.5"/>
  <cols>
    <col min="1" max="1" width="6.83203125" style="0" customWidth="1"/>
    <col min="2" max="2" width="59.33203125" style="0" customWidth="1"/>
    <col min="3" max="3" width="34.83203125" style="0" bestFit="1" customWidth="1"/>
    <col min="4" max="4" width="2.83203125" style="0" customWidth="1"/>
    <col min="5" max="5" width="21.5" style="0" customWidth="1"/>
    <col min="6" max="6" width="23.33203125" style="0" customWidth="1"/>
    <col min="256" max="16384" width="10.66015625" style="0" customWidth="1"/>
  </cols>
  <sheetData>
    <row r="1" s="455" customFormat="1" ht="22.5" customHeight="1">
      <c r="F1" s="459" t="s">
        <v>414</v>
      </c>
    </row>
    <row r="2" spans="1:6" ht="15.75">
      <c r="A2" s="457" t="s">
        <v>0</v>
      </c>
      <c r="B2" s="457"/>
      <c r="C2" s="457"/>
      <c r="D2" s="457"/>
      <c r="E2" s="457"/>
      <c r="F2" s="459" t="s">
        <v>415</v>
      </c>
    </row>
    <row r="3" spans="1:6" ht="15" thickBot="1">
      <c r="A3" s="319"/>
      <c r="B3" s="323"/>
      <c r="C3" s="323"/>
      <c r="D3" s="323"/>
      <c r="E3" s="323"/>
      <c r="F3" s="459" t="s">
        <v>432</v>
      </c>
    </row>
    <row r="4" spans="1:6" ht="13.5" thickBot="1">
      <c r="A4" s="324"/>
      <c r="B4" s="324"/>
      <c r="C4" s="324"/>
      <c r="D4" s="324"/>
      <c r="E4" s="324"/>
      <c r="F4" s="453" t="s">
        <v>392</v>
      </c>
    </row>
    <row r="5" spans="1:6" ht="12.75">
      <c r="A5" s="326" t="s">
        <v>301</v>
      </c>
      <c r="B5" s="327"/>
      <c r="C5" s="328"/>
      <c r="D5" s="327"/>
      <c r="E5" s="328"/>
      <c r="F5" s="333"/>
    </row>
    <row r="6" spans="1:6" ht="12.75">
      <c r="A6" s="330" t="s">
        <v>305</v>
      </c>
      <c r="B6" s="331"/>
      <c r="C6" s="332"/>
      <c r="D6" s="331"/>
      <c r="E6" s="331"/>
      <c r="F6" s="333"/>
    </row>
    <row r="7" spans="1:6" ht="12.75">
      <c r="A7" s="334" t="s">
        <v>306</v>
      </c>
      <c r="B7" s="335"/>
      <c r="C7" s="336"/>
      <c r="D7" s="335"/>
      <c r="E7" s="335"/>
      <c r="F7" s="337"/>
    </row>
    <row r="8" spans="1:6" ht="12.75">
      <c r="A8" s="338"/>
      <c r="B8" s="321"/>
      <c r="C8" s="332"/>
      <c r="D8" s="339"/>
      <c r="E8" s="339"/>
      <c r="F8" s="333"/>
    </row>
    <row r="9" spans="1:6" ht="12.75">
      <c r="A9" s="340"/>
      <c r="B9" s="321"/>
      <c r="C9" s="329"/>
      <c r="D9" s="339"/>
      <c r="E9" s="341" t="s">
        <v>307</v>
      </c>
      <c r="F9" s="342" t="s">
        <v>308</v>
      </c>
    </row>
    <row r="10" spans="1:6" ht="12.75">
      <c r="A10" s="346" t="s">
        <v>309</v>
      </c>
      <c r="B10" s="321"/>
      <c r="C10" s="343" t="s">
        <v>302</v>
      </c>
      <c r="D10" s="329"/>
      <c r="E10" s="419">
        <v>0.6824</v>
      </c>
      <c r="F10" s="420">
        <v>0.8551</v>
      </c>
    </row>
    <row r="11" spans="1:6" ht="12.75">
      <c r="A11" s="347" t="s">
        <v>310</v>
      </c>
      <c r="B11" s="344"/>
      <c r="C11" s="345" t="s">
        <v>303</v>
      </c>
      <c r="D11" s="344"/>
      <c r="E11" s="421">
        <v>0.3176</v>
      </c>
      <c r="F11" s="422">
        <v>0.1449</v>
      </c>
    </row>
    <row r="12" spans="1:6" ht="12.75">
      <c r="A12" s="349"/>
      <c r="B12" s="348"/>
      <c r="C12" s="341"/>
      <c r="D12" s="349"/>
      <c r="E12" s="341"/>
      <c r="F12" s="348"/>
    </row>
    <row r="13" spans="1:6" ht="15" customHeight="1">
      <c r="A13" s="349" t="s">
        <v>26</v>
      </c>
      <c r="B13" s="350" t="s">
        <v>311</v>
      </c>
      <c r="C13" s="351"/>
      <c r="D13" s="351"/>
      <c r="E13" s="325"/>
      <c r="F13" s="320"/>
    </row>
    <row r="14" spans="1:6" ht="15" customHeight="1">
      <c r="A14" s="341">
        <v>1</v>
      </c>
      <c r="B14" s="348" t="s">
        <v>312</v>
      </c>
      <c r="C14" s="460">
        <v>2139218633</v>
      </c>
      <c r="D14" s="353"/>
      <c r="E14" s="352"/>
      <c r="F14" s="348"/>
    </row>
    <row r="15" spans="1:6" ht="15" customHeight="1">
      <c r="A15" s="341">
        <v>2</v>
      </c>
      <c r="B15" s="354" t="s">
        <v>313</v>
      </c>
      <c r="C15" s="352">
        <v>-33432334</v>
      </c>
      <c r="D15" s="355"/>
      <c r="E15" s="352"/>
      <c r="F15" s="348"/>
    </row>
    <row r="16" spans="1:6" ht="15" customHeight="1">
      <c r="A16" s="341">
        <v>3</v>
      </c>
      <c r="B16" s="354" t="s">
        <v>314</v>
      </c>
      <c r="C16" s="356">
        <v>0</v>
      </c>
      <c r="D16" s="353"/>
      <c r="E16" s="352"/>
      <c r="F16" s="348"/>
    </row>
    <row r="17" spans="1:6" ht="15" customHeight="1">
      <c r="A17" s="341">
        <v>4</v>
      </c>
      <c r="B17" s="354" t="s">
        <v>315</v>
      </c>
      <c r="C17" s="355">
        <f>SUM(C14:C16)</f>
        <v>2105786299</v>
      </c>
      <c r="D17" s="357"/>
      <c r="F17" s="348"/>
    </row>
    <row r="18" spans="1:6" ht="15" customHeight="1">
      <c r="A18" s="341">
        <v>5</v>
      </c>
      <c r="B18" s="354" t="s">
        <v>316</v>
      </c>
      <c r="C18" s="352">
        <v>381901588</v>
      </c>
      <c r="D18" s="357"/>
      <c r="F18" s="348"/>
    </row>
    <row r="19" spans="1:6" ht="15" customHeight="1">
      <c r="A19" s="341">
        <v>6</v>
      </c>
      <c r="B19" s="354" t="s">
        <v>317</v>
      </c>
      <c r="C19" s="352">
        <v>3865613</v>
      </c>
      <c r="D19" s="357"/>
      <c r="F19" s="348"/>
    </row>
    <row r="20" spans="1:6" ht="15" customHeight="1">
      <c r="A20" s="341">
        <v>7</v>
      </c>
      <c r="B20" s="354" t="s">
        <v>318</v>
      </c>
      <c r="C20" s="356">
        <v>1419616036</v>
      </c>
      <c r="D20" s="357"/>
      <c r="F20" s="348"/>
    </row>
    <row r="21" spans="1:6" ht="15" customHeight="1" thickBot="1">
      <c r="A21" s="341">
        <v>8</v>
      </c>
      <c r="B21" s="354" t="s">
        <v>319</v>
      </c>
      <c r="C21" s="452">
        <f>SUM(C17:C20)</f>
        <v>3911169536</v>
      </c>
      <c r="D21" s="355"/>
      <c r="F21" s="348"/>
    </row>
    <row r="22" spans="1:6" ht="15" customHeight="1" thickTop="1">
      <c r="A22" s="341"/>
      <c r="B22" s="350" t="s">
        <v>320</v>
      </c>
      <c r="C22" s="351"/>
      <c r="D22" s="351"/>
      <c r="F22" s="348"/>
    </row>
    <row r="23" spans="1:6" ht="12.75">
      <c r="A23" s="341"/>
      <c r="B23" s="350"/>
      <c r="C23" s="351"/>
      <c r="D23" s="351"/>
      <c r="F23" s="348"/>
    </row>
    <row r="24" spans="1:6" ht="15" customHeight="1">
      <c r="A24" s="341"/>
      <c r="B24" s="359" t="s">
        <v>321</v>
      </c>
      <c r="C24" s="351"/>
      <c r="D24" s="351"/>
      <c r="F24" s="320"/>
    </row>
    <row r="25" spans="1:6" ht="15" customHeight="1">
      <c r="A25" s="341">
        <v>9</v>
      </c>
      <c r="B25" s="360" t="s">
        <v>322</v>
      </c>
      <c r="C25" s="460">
        <v>1634697162</v>
      </c>
      <c r="D25" s="352"/>
      <c r="F25" s="348"/>
    </row>
    <row r="26" spans="1:6" ht="15" customHeight="1">
      <c r="A26" s="341">
        <v>10</v>
      </c>
      <c r="B26" s="354" t="s">
        <v>323</v>
      </c>
      <c r="C26" s="352">
        <v>0</v>
      </c>
      <c r="D26" s="352"/>
      <c r="F26" s="348"/>
    </row>
    <row r="27" spans="1:6" ht="15" customHeight="1">
      <c r="A27" s="341">
        <v>11</v>
      </c>
      <c r="B27" s="354" t="s">
        <v>324</v>
      </c>
      <c r="C27" s="352">
        <v>0</v>
      </c>
      <c r="D27" s="352"/>
      <c r="F27" s="348"/>
    </row>
    <row r="28" spans="1:6" ht="15" customHeight="1">
      <c r="A28" s="341">
        <v>12</v>
      </c>
      <c r="B28" s="354" t="s">
        <v>325</v>
      </c>
      <c r="C28" s="352">
        <v>0</v>
      </c>
      <c r="D28" s="352"/>
      <c r="F28" s="348"/>
    </row>
    <row r="29" spans="1:6" ht="15" customHeight="1">
      <c r="A29" s="341">
        <v>13</v>
      </c>
      <c r="B29" s="354" t="s">
        <v>326</v>
      </c>
      <c r="C29" s="352">
        <v>3246534</v>
      </c>
      <c r="D29" s="352"/>
      <c r="F29" s="348"/>
    </row>
    <row r="30" spans="1:6" ht="15" customHeight="1">
      <c r="A30" s="341">
        <v>14</v>
      </c>
      <c r="B30" s="354" t="s">
        <v>327</v>
      </c>
      <c r="C30" s="352">
        <v>-504330522</v>
      </c>
      <c r="D30" s="352"/>
      <c r="F30" s="348"/>
    </row>
    <row r="31" spans="1:6" ht="15" customHeight="1">
      <c r="A31" s="341">
        <v>15</v>
      </c>
      <c r="B31" s="354" t="s">
        <v>328</v>
      </c>
      <c r="C31" s="352">
        <v>-17174520</v>
      </c>
      <c r="D31" s="352"/>
      <c r="F31" s="348"/>
    </row>
    <row r="32" spans="1:6" ht="15" customHeight="1">
      <c r="A32" s="341">
        <v>16</v>
      </c>
      <c r="B32" s="354" t="s">
        <v>329</v>
      </c>
      <c r="C32" s="352">
        <v>0</v>
      </c>
      <c r="D32" s="352"/>
      <c r="F32" s="348"/>
    </row>
    <row r="33" spans="1:6" ht="15" customHeight="1">
      <c r="A33" s="341">
        <v>17</v>
      </c>
      <c r="B33" s="354" t="s">
        <v>330</v>
      </c>
      <c r="C33" s="352">
        <v>-187428993</v>
      </c>
      <c r="D33" s="352"/>
      <c r="F33" s="348"/>
    </row>
    <row r="34" spans="1:6" ht="15" customHeight="1">
      <c r="A34" s="341">
        <v>18</v>
      </c>
      <c r="B34" s="354" t="s">
        <v>331</v>
      </c>
      <c r="C34" s="352">
        <v>0</v>
      </c>
      <c r="D34" s="352"/>
      <c r="F34" s="348"/>
    </row>
    <row r="35" spans="1:6" ht="15" customHeight="1">
      <c r="A35" s="341">
        <v>19</v>
      </c>
      <c r="B35" s="361" t="s">
        <v>332</v>
      </c>
      <c r="C35" s="352">
        <v>-18410391.831666663</v>
      </c>
      <c r="D35" s="352"/>
      <c r="F35" s="348"/>
    </row>
    <row r="36" spans="1:6" ht="15" customHeight="1">
      <c r="A36" s="446">
        <v>20</v>
      </c>
      <c r="B36" s="361" t="s">
        <v>333</v>
      </c>
      <c r="C36" s="352">
        <v>4658977</v>
      </c>
      <c r="D36" s="352"/>
      <c r="F36" s="348"/>
    </row>
    <row r="37" spans="1:6" ht="15" customHeight="1">
      <c r="A37" s="446">
        <v>21</v>
      </c>
      <c r="B37" s="361" t="s">
        <v>334</v>
      </c>
      <c r="C37" s="352">
        <v>28698080</v>
      </c>
      <c r="D37" s="352"/>
      <c r="F37" s="348"/>
    </row>
    <row r="38" spans="1:6" ht="15" customHeight="1">
      <c r="A38" s="446">
        <v>22</v>
      </c>
      <c r="B38" s="361" t="s">
        <v>335</v>
      </c>
      <c r="C38" s="355">
        <v>0</v>
      </c>
      <c r="D38" s="352"/>
      <c r="F38" s="348"/>
    </row>
    <row r="39" spans="1:6" ht="15" customHeight="1">
      <c r="A39" s="341">
        <v>22</v>
      </c>
      <c r="B39" s="362" t="s">
        <v>336</v>
      </c>
      <c r="C39" s="363">
        <f>SUM(C25:C37)</f>
        <v>943956326.1683333</v>
      </c>
      <c r="D39" s="352"/>
      <c r="F39" s="348"/>
    </row>
    <row r="40" spans="1:6" ht="15" customHeight="1">
      <c r="A40" s="341">
        <v>23</v>
      </c>
      <c r="B40" s="360" t="s">
        <v>337</v>
      </c>
      <c r="C40" s="352">
        <v>117570891</v>
      </c>
      <c r="D40" s="352"/>
      <c r="F40" s="348"/>
    </row>
    <row r="41" spans="1:6" ht="15" customHeight="1">
      <c r="A41" s="341" t="s">
        <v>338</v>
      </c>
      <c r="B41" s="360" t="s">
        <v>339</v>
      </c>
      <c r="C41" s="352">
        <v>4167952.7752</v>
      </c>
      <c r="D41" s="352"/>
      <c r="F41" s="348"/>
    </row>
    <row r="42" spans="1:6" ht="15" customHeight="1">
      <c r="A42" s="341">
        <v>24</v>
      </c>
      <c r="B42" s="354" t="s">
        <v>340</v>
      </c>
      <c r="C42" s="356">
        <v>-36476714</v>
      </c>
      <c r="D42" s="352"/>
      <c r="F42" s="348"/>
    </row>
    <row r="43" spans="1:6" ht="15" customHeight="1">
      <c r="A43" s="341">
        <v>25</v>
      </c>
      <c r="B43" s="362" t="s">
        <v>341</v>
      </c>
      <c r="C43" s="352">
        <f>SUM(C40:C42)</f>
        <v>85262129.7752</v>
      </c>
      <c r="D43" s="352"/>
      <c r="F43" s="348"/>
    </row>
    <row r="44" spans="1:6" ht="15" customHeight="1">
      <c r="A44" s="341">
        <v>26</v>
      </c>
      <c r="B44" s="354" t="s">
        <v>342</v>
      </c>
      <c r="C44" s="462">
        <f>+C39+C43</f>
        <v>1029218455.9435333</v>
      </c>
      <c r="D44" s="355"/>
      <c r="F44" s="448"/>
    </row>
    <row r="45" spans="1:6" ht="12.75">
      <c r="A45" s="341"/>
      <c r="B45" s="348"/>
      <c r="C45" s="352"/>
      <c r="D45" s="355"/>
      <c r="F45" s="348"/>
    </row>
    <row r="46" spans="1:6" ht="12.75">
      <c r="A46" s="341"/>
      <c r="B46" s="359" t="s">
        <v>343</v>
      </c>
      <c r="C46" s="352"/>
      <c r="D46" s="355"/>
      <c r="F46" s="320"/>
    </row>
    <row r="47" spans="1:6" ht="15" customHeight="1">
      <c r="A47" s="341">
        <v>28</v>
      </c>
      <c r="B47" s="354" t="s">
        <v>344</v>
      </c>
      <c r="C47" s="451">
        <v>28009840</v>
      </c>
      <c r="D47" s="352"/>
      <c r="F47" s="348"/>
    </row>
    <row r="48" spans="1:6" ht="15" customHeight="1">
      <c r="A48" s="341">
        <v>29</v>
      </c>
      <c r="B48" s="348" t="s">
        <v>345</v>
      </c>
      <c r="C48" s="352">
        <v>3949221</v>
      </c>
      <c r="D48" s="352"/>
      <c r="F48" s="348"/>
    </row>
    <row r="49" spans="1:6" ht="15" customHeight="1">
      <c r="A49" s="341">
        <v>30</v>
      </c>
      <c r="B49" s="365" t="s">
        <v>346</v>
      </c>
      <c r="C49" s="352">
        <v>0</v>
      </c>
      <c r="D49" s="352"/>
      <c r="F49" s="348"/>
    </row>
    <row r="50" spans="1:6" ht="15" customHeight="1">
      <c r="A50" s="341">
        <v>31</v>
      </c>
      <c r="B50" s="354" t="s">
        <v>347</v>
      </c>
      <c r="C50" s="352">
        <v>3600500</v>
      </c>
      <c r="D50" s="352"/>
      <c r="F50" s="348"/>
    </row>
    <row r="51" spans="1:6" ht="15" customHeight="1">
      <c r="A51" s="341">
        <v>32</v>
      </c>
      <c r="B51" s="348" t="s">
        <v>348</v>
      </c>
      <c r="C51" s="352">
        <v>-7129436</v>
      </c>
      <c r="D51" s="352"/>
      <c r="F51" s="348"/>
    </row>
    <row r="52" spans="1:6" ht="15" customHeight="1">
      <c r="A52" s="341">
        <v>33</v>
      </c>
      <c r="B52" s="354" t="s">
        <v>349</v>
      </c>
      <c r="C52" s="352">
        <v>113182867</v>
      </c>
      <c r="D52" s="352"/>
      <c r="F52" s="348"/>
    </row>
    <row r="53" spans="1:6" ht="15" customHeight="1">
      <c r="A53" s="341">
        <v>34</v>
      </c>
      <c r="B53" s="354" t="s">
        <v>350</v>
      </c>
      <c r="C53" s="352">
        <v>0</v>
      </c>
      <c r="D53" s="352"/>
      <c r="F53" s="354"/>
    </row>
    <row r="54" spans="1:6" ht="15" customHeight="1">
      <c r="A54" s="341">
        <v>35</v>
      </c>
      <c r="B54" s="354" t="s">
        <v>333</v>
      </c>
      <c r="C54" s="352">
        <v>-4658977</v>
      </c>
      <c r="D54" s="352"/>
      <c r="F54" s="348"/>
    </row>
    <row r="55" spans="1:6" ht="15" customHeight="1">
      <c r="A55" s="341">
        <v>36</v>
      </c>
      <c r="B55" s="354" t="s">
        <v>351</v>
      </c>
      <c r="C55" s="352">
        <v>0</v>
      </c>
      <c r="D55" s="352"/>
      <c r="F55" s="348"/>
    </row>
    <row r="56" spans="1:6" ht="15" customHeight="1">
      <c r="A56" s="341">
        <v>37</v>
      </c>
      <c r="B56" s="354" t="s">
        <v>352</v>
      </c>
      <c r="C56" s="352">
        <v>0</v>
      </c>
      <c r="D56" s="357"/>
      <c r="F56" s="348"/>
    </row>
    <row r="57" spans="1:6" ht="15" customHeight="1">
      <c r="A57" s="341">
        <v>38</v>
      </c>
      <c r="B57" s="354" t="s">
        <v>353</v>
      </c>
      <c r="C57" s="352">
        <v>0</v>
      </c>
      <c r="D57" s="357"/>
      <c r="F57" s="348"/>
    </row>
    <row r="58" spans="1:6" ht="15" customHeight="1">
      <c r="A58" s="341">
        <v>39</v>
      </c>
      <c r="B58" s="361" t="s">
        <v>354</v>
      </c>
      <c r="C58" s="352">
        <v>10287688</v>
      </c>
      <c r="D58" s="355"/>
      <c r="F58" s="348"/>
    </row>
    <row r="59" spans="1:6" ht="15" customHeight="1">
      <c r="A59" s="341">
        <v>40</v>
      </c>
      <c r="B59" s="354" t="s">
        <v>355</v>
      </c>
      <c r="C59" s="352">
        <v>0</v>
      </c>
      <c r="D59" s="352"/>
      <c r="F59" s="320"/>
    </row>
    <row r="60" spans="1:6" ht="15" customHeight="1">
      <c r="A60" s="341">
        <v>41</v>
      </c>
      <c r="B60" s="354" t="s">
        <v>356</v>
      </c>
      <c r="C60" s="352">
        <v>18410391.831666663</v>
      </c>
      <c r="D60" s="352"/>
      <c r="F60" s="348"/>
    </row>
    <row r="61" spans="1:6" ht="15" customHeight="1">
      <c r="A61" s="341">
        <v>42</v>
      </c>
      <c r="B61" s="354" t="s">
        <v>357</v>
      </c>
      <c r="C61" s="352">
        <v>-28698080</v>
      </c>
      <c r="D61" s="352"/>
      <c r="F61" s="348"/>
    </row>
    <row r="62" spans="1:6" ht="15" customHeight="1">
      <c r="A62" s="341"/>
      <c r="B62" s="354"/>
      <c r="C62" s="352"/>
      <c r="D62" s="352"/>
      <c r="F62" s="348"/>
    </row>
    <row r="63" s="455" customFormat="1" ht="22.5" customHeight="1">
      <c r="F63" s="459" t="s">
        <v>414</v>
      </c>
    </row>
    <row r="64" spans="1:6" s="455" customFormat="1" ht="15.75">
      <c r="A64" s="457" t="s">
        <v>0</v>
      </c>
      <c r="B64" s="457"/>
      <c r="C64" s="457"/>
      <c r="D64" s="457"/>
      <c r="E64" s="457"/>
      <c r="F64" s="459" t="s">
        <v>415</v>
      </c>
    </row>
    <row r="65" spans="1:6" ht="13.5" thickBot="1">
      <c r="A65" s="319"/>
      <c r="B65" s="323"/>
      <c r="C65" s="323"/>
      <c r="D65" s="323"/>
      <c r="E65" s="323"/>
      <c r="F65" s="458" t="s">
        <v>436</v>
      </c>
    </row>
    <row r="66" spans="1:6" ht="18.75" customHeight="1" thickBot="1">
      <c r="A66" s="324"/>
      <c r="B66" s="324"/>
      <c r="C66" s="324"/>
      <c r="D66" s="324"/>
      <c r="E66" s="324"/>
      <c r="F66" s="453" t="s">
        <v>392</v>
      </c>
    </row>
    <row r="67" spans="1:6" ht="12.75">
      <c r="A67" s="326" t="s">
        <v>301</v>
      </c>
      <c r="B67" s="327"/>
      <c r="C67" s="328"/>
      <c r="D67" s="327"/>
      <c r="E67" s="328"/>
      <c r="F67" s="333"/>
    </row>
    <row r="68" spans="1:6" ht="12.75">
      <c r="A68" s="330" t="s">
        <v>305</v>
      </c>
      <c r="B68" s="331"/>
      <c r="C68" s="332"/>
      <c r="D68" s="331"/>
      <c r="E68" s="331"/>
      <c r="F68" s="333"/>
    </row>
    <row r="69" spans="1:6" ht="12.75">
      <c r="A69" s="334" t="s">
        <v>306</v>
      </c>
      <c r="B69" s="335"/>
      <c r="C69" s="336"/>
      <c r="D69" s="335"/>
      <c r="E69" s="335"/>
      <c r="F69" s="337"/>
    </row>
    <row r="70" spans="1:6" ht="15" customHeight="1">
      <c r="A70" s="341"/>
      <c r="B70" s="354"/>
      <c r="C70" s="352"/>
      <c r="D70" s="352"/>
      <c r="F70" s="348"/>
    </row>
    <row r="71" spans="1:6" ht="15" customHeight="1">
      <c r="A71" s="341"/>
      <c r="B71" s="359" t="s">
        <v>437</v>
      </c>
      <c r="C71" s="352"/>
      <c r="D71" s="352"/>
      <c r="F71" s="348"/>
    </row>
    <row r="72" spans="1:6" ht="15" customHeight="1">
      <c r="A72" s="341">
        <v>43</v>
      </c>
      <c r="B72" s="354" t="s">
        <v>358</v>
      </c>
      <c r="C72" s="460">
        <v>79012.12</v>
      </c>
      <c r="D72" s="366"/>
      <c r="F72" s="348"/>
    </row>
    <row r="73" spans="1:6" ht="15" customHeight="1">
      <c r="A73" s="341">
        <v>44</v>
      </c>
      <c r="B73" s="354" t="s">
        <v>359</v>
      </c>
      <c r="C73" s="352">
        <v>-48814356</v>
      </c>
      <c r="D73" s="352"/>
      <c r="F73" s="348"/>
    </row>
    <row r="74" spans="1:6" ht="15" customHeight="1">
      <c r="A74" s="341">
        <v>45</v>
      </c>
      <c r="B74" s="354" t="s">
        <v>360</v>
      </c>
      <c r="C74" s="355">
        <v>0</v>
      </c>
      <c r="D74" s="357"/>
      <c r="F74" s="449"/>
    </row>
    <row r="75" spans="1:6" ht="15" customHeight="1">
      <c r="A75" s="341">
        <v>46</v>
      </c>
      <c r="B75" s="354" t="s">
        <v>361</v>
      </c>
      <c r="C75" s="352">
        <v>0</v>
      </c>
      <c r="D75" s="352"/>
      <c r="F75" s="354"/>
    </row>
    <row r="76" spans="1:6" ht="15" customHeight="1">
      <c r="A76" s="341">
        <v>47</v>
      </c>
      <c r="B76" s="354" t="s">
        <v>362</v>
      </c>
      <c r="C76" s="352">
        <v>-17458742</v>
      </c>
      <c r="D76" s="352"/>
      <c r="F76" s="320"/>
    </row>
    <row r="77" spans="1:6" ht="15" customHeight="1">
      <c r="A77" s="341">
        <v>48</v>
      </c>
      <c r="B77" s="354" t="s">
        <v>363</v>
      </c>
      <c r="C77" s="352">
        <v>-4422</v>
      </c>
      <c r="D77" s="352"/>
      <c r="F77" s="348"/>
    </row>
    <row r="78" spans="1:6" ht="15" customHeight="1">
      <c r="A78" s="341">
        <v>49</v>
      </c>
      <c r="B78" s="354" t="s">
        <v>364</v>
      </c>
      <c r="C78" s="352">
        <v>0</v>
      </c>
      <c r="D78" s="352"/>
      <c r="F78" s="348"/>
    </row>
    <row r="79" spans="1:6" ht="15" customHeight="1">
      <c r="A79" s="341">
        <v>50</v>
      </c>
      <c r="B79" s="362" t="s">
        <v>365</v>
      </c>
      <c r="C79" s="352">
        <v>4136698847</v>
      </c>
      <c r="D79" s="352"/>
      <c r="F79" s="348"/>
    </row>
    <row r="80" spans="1:6" ht="15" customHeight="1">
      <c r="A80" s="341" t="s">
        <v>366</v>
      </c>
      <c r="B80" s="362" t="s">
        <v>367</v>
      </c>
      <c r="C80" s="352">
        <v>-71499794</v>
      </c>
      <c r="D80" s="352"/>
      <c r="F80" s="348"/>
    </row>
    <row r="81" spans="1:6" ht="15" customHeight="1">
      <c r="A81" s="341" t="s">
        <v>368</v>
      </c>
      <c r="B81" s="362" t="s">
        <v>369</v>
      </c>
      <c r="C81" s="352">
        <v>-15064008</v>
      </c>
      <c r="D81" s="352"/>
      <c r="F81" s="348"/>
    </row>
    <row r="82" spans="1:6" ht="15" customHeight="1">
      <c r="A82" s="341">
        <v>51</v>
      </c>
      <c r="B82" s="362" t="s">
        <v>370</v>
      </c>
      <c r="C82" s="352">
        <v>252614535</v>
      </c>
      <c r="D82" s="352"/>
      <c r="F82" s="320"/>
    </row>
    <row r="83" spans="1:6" ht="15" customHeight="1">
      <c r="A83" s="341">
        <v>52</v>
      </c>
      <c r="B83" s="362" t="s">
        <v>371</v>
      </c>
      <c r="C83" s="352">
        <v>6772284</v>
      </c>
      <c r="D83" s="352"/>
      <c r="F83" s="348" t="s">
        <v>26</v>
      </c>
    </row>
    <row r="84" spans="1:6" ht="15" customHeight="1">
      <c r="A84" s="341">
        <v>53</v>
      </c>
      <c r="B84" s="362" t="s">
        <v>372</v>
      </c>
      <c r="C84" s="352">
        <v>0</v>
      </c>
      <c r="D84" s="352"/>
      <c r="F84" s="348"/>
    </row>
    <row r="85" spans="1:6" ht="15" customHeight="1">
      <c r="A85" s="341">
        <v>54</v>
      </c>
      <c r="B85" s="320" t="s">
        <v>373</v>
      </c>
      <c r="C85" s="352">
        <v>-23664861</v>
      </c>
      <c r="D85" s="352"/>
      <c r="F85" s="320"/>
    </row>
    <row r="86" spans="1:6" ht="15" customHeight="1">
      <c r="A86" s="341">
        <v>55</v>
      </c>
      <c r="B86" s="320" t="s">
        <v>374</v>
      </c>
      <c r="C86" s="352">
        <v>-8752784</v>
      </c>
      <c r="D86" s="352"/>
      <c r="F86" s="320"/>
    </row>
    <row r="87" spans="1:6" ht="15" customHeight="1">
      <c r="A87" s="341">
        <v>56</v>
      </c>
      <c r="B87" s="320" t="s">
        <v>375</v>
      </c>
      <c r="C87" s="352">
        <v>-410867797</v>
      </c>
      <c r="D87" s="352"/>
      <c r="F87" s="320"/>
    </row>
    <row r="88" spans="1:6" ht="15" customHeight="1">
      <c r="A88" s="341">
        <v>57</v>
      </c>
      <c r="B88" s="320" t="s">
        <v>376</v>
      </c>
      <c r="C88" s="352">
        <v>95909633</v>
      </c>
      <c r="D88" s="352"/>
      <c r="F88" s="320"/>
    </row>
    <row r="89" spans="1:6" ht="15" customHeight="1">
      <c r="A89" s="341">
        <v>58</v>
      </c>
      <c r="B89" s="320" t="s">
        <v>377</v>
      </c>
      <c r="C89" s="352">
        <v>-1736314290</v>
      </c>
      <c r="D89" s="352"/>
      <c r="F89" s="322"/>
    </row>
    <row r="90" spans="1:6" ht="15" customHeight="1">
      <c r="A90" s="341">
        <v>59</v>
      </c>
      <c r="B90" s="320" t="s">
        <v>378</v>
      </c>
      <c r="C90" s="352">
        <v>-78374401</v>
      </c>
      <c r="D90" s="352"/>
      <c r="F90" s="322"/>
    </row>
    <row r="91" spans="1:6" ht="15" customHeight="1">
      <c r="A91" s="341">
        <v>60</v>
      </c>
      <c r="B91" s="320" t="s">
        <v>379</v>
      </c>
      <c r="C91" s="352">
        <v>0</v>
      </c>
      <c r="D91" s="352"/>
      <c r="E91" s="358"/>
      <c r="F91" s="450"/>
    </row>
    <row r="92" spans="1:6" ht="15" customHeight="1">
      <c r="A92" s="341">
        <v>61</v>
      </c>
      <c r="B92" s="320" t="s">
        <v>380</v>
      </c>
      <c r="C92" s="352">
        <v>154506</v>
      </c>
      <c r="D92" s="352"/>
      <c r="E92" s="357"/>
      <c r="F92" s="450"/>
    </row>
    <row r="93" spans="1:6" ht="15" customHeight="1">
      <c r="A93" s="341">
        <v>62</v>
      </c>
      <c r="B93" s="362" t="s">
        <v>381</v>
      </c>
      <c r="C93" s="352">
        <v>649197861</v>
      </c>
      <c r="D93" s="352"/>
      <c r="E93" s="358"/>
      <c r="F93" s="322"/>
    </row>
    <row r="94" spans="1:6" ht="15" customHeight="1">
      <c r="A94" s="341">
        <v>63</v>
      </c>
      <c r="B94" s="354" t="s">
        <v>382</v>
      </c>
      <c r="C94" s="367">
        <f>SUM(C47:C93)</f>
        <v>2867565237.951667</v>
      </c>
      <c r="D94" s="355"/>
      <c r="E94" s="368"/>
      <c r="F94" s="322"/>
    </row>
    <row r="95" spans="1:6" ht="12.75">
      <c r="A95" s="341"/>
      <c r="B95" s="320"/>
      <c r="C95" s="325"/>
      <c r="D95" s="325"/>
      <c r="E95" s="368"/>
      <c r="F95" s="322"/>
    </row>
    <row r="96" spans="1:6" ht="15" customHeight="1">
      <c r="A96" s="341"/>
      <c r="B96" s="350" t="s">
        <v>383</v>
      </c>
      <c r="C96" s="364">
        <f>(C44+C94)</f>
        <v>3896783693.8952003</v>
      </c>
      <c r="D96" s="329"/>
      <c r="E96" s="369"/>
      <c r="F96" s="322"/>
    </row>
    <row r="97" spans="1:6" ht="15" customHeight="1">
      <c r="A97" s="341">
        <v>64</v>
      </c>
      <c r="B97" s="348" t="s">
        <v>384</v>
      </c>
      <c r="C97" s="355">
        <f>(C21-C96)</f>
        <v>14385842.104799747</v>
      </c>
      <c r="D97" s="329"/>
      <c r="E97" s="369"/>
      <c r="F97" s="322"/>
    </row>
    <row r="98" spans="1:6" ht="15" customHeight="1">
      <c r="A98" s="341"/>
      <c r="B98" s="348"/>
      <c r="C98" s="355"/>
      <c r="D98" s="329"/>
      <c r="E98" s="369"/>
      <c r="F98" s="322"/>
    </row>
    <row r="99" spans="1:6" ht="15" customHeight="1">
      <c r="A99" s="341"/>
      <c r="B99" s="348" t="s">
        <v>385</v>
      </c>
      <c r="C99" s="355">
        <f>C96</f>
        <v>3896783693.8952003</v>
      </c>
      <c r="D99" s="329"/>
      <c r="E99" s="369"/>
      <c r="F99" s="322"/>
    </row>
    <row r="100" spans="1:6" ht="12.75">
      <c r="A100" s="341"/>
      <c r="B100" s="348" t="s">
        <v>386</v>
      </c>
      <c r="C100" s="355">
        <f>-(C47+C48)</f>
        <v>-31959061</v>
      </c>
      <c r="D100" s="370"/>
      <c r="E100" s="370"/>
      <c r="F100" s="322"/>
    </row>
    <row r="101" spans="1:6" ht="12.75">
      <c r="A101" s="341"/>
      <c r="B101" s="348" t="s">
        <v>387</v>
      </c>
      <c r="C101" s="355" t="s">
        <v>0</v>
      </c>
      <c r="D101" s="329"/>
      <c r="E101" s="329"/>
      <c r="F101" s="329"/>
    </row>
    <row r="102" spans="1:6" ht="12.75">
      <c r="A102" s="341"/>
      <c r="B102" s="348" t="s">
        <v>388</v>
      </c>
      <c r="C102" s="355">
        <f>-C78</f>
        <v>0</v>
      </c>
      <c r="D102" s="329"/>
      <c r="E102" s="329"/>
      <c r="F102" s="329"/>
    </row>
    <row r="103" spans="1:6" ht="12.75">
      <c r="A103" s="341"/>
      <c r="B103" s="348" t="s">
        <v>389</v>
      </c>
      <c r="C103" s="463">
        <f>SUM(C99:C102)</f>
        <v>3864824632.8952003</v>
      </c>
      <c r="D103" s="323"/>
      <c r="E103" s="323"/>
      <c r="F103" s="329"/>
    </row>
    <row r="104" spans="1:6" ht="12.75">
      <c r="A104" s="341"/>
      <c r="B104" s="348"/>
      <c r="C104" s="355"/>
      <c r="D104" s="323"/>
      <c r="E104" s="323"/>
      <c r="F104" s="329"/>
    </row>
    <row r="105" spans="1:6" ht="12.75">
      <c r="A105" s="341">
        <v>65</v>
      </c>
      <c r="B105" s="348" t="s">
        <v>390</v>
      </c>
      <c r="C105" s="371">
        <f>ROUND(C97/(C103),4)</f>
        <v>0.0037</v>
      </c>
      <c r="D105" s="323"/>
      <c r="E105" s="323"/>
      <c r="F105" s="329"/>
    </row>
    <row r="106" spans="1:6" ht="12.75">
      <c r="A106" s="341"/>
      <c r="B106" s="348"/>
      <c r="C106" s="372"/>
      <c r="D106" s="323"/>
      <c r="E106" s="323"/>
      <c r="F106" s="329"/>
    </row>
    <row r="107" spans="1:6" ht="13.5" thickBot="1">
      <c r="A107" s="341">
        <v>66</v>
      </c>
      <c r="B107" s="373" t="s">
        <v>391</v>
      </c>
      <c r="C107" s="465">
        <f>IF(C44*C105&gt;0,ROUND(C44*C105,0),0)</f>
        <v>3808108</v>
      </c>
      <c r="D107" s="323"/>
      <c r="E107" s="323"/>
      <c r="F107" s="329"/>
    </row>
    <row r="108" spans="1:6" ht="13.5" thickTop="1">
      <c r="A108" s="341"/>
      <c r="B108" s="374"/>
      <c r="C108" s="375"/>
      <c r="D108" s="344"/>
      <c r="E108" s="344"/>
      <c r="F108" s="329"/>
    </row>
    <row r="109" ht="10.5">
      <c r="A109" s="447"/>
    </row>
    <row r="110" ht="10.5">
      <c r="A110" s="447"/>
    </row>
    <row r="111" ht="10.5">
      <c r="A111" s="447"/>
    </row>
    <row r="112" ht="10.5">
      <c r="A112" s="447"/>
    </row>
    <row r="113" ht="10.5">
      <c r="A113" s="447"/>
    </row>
  </sheetData>
  <printOptions horizontalCentered="1"/>
  <pageMargins left="0.5" right="0.5" top="0.35" bottom="0.76" header="0.5" footer="0.21"/>
  <pageSetup fitToHeight="2" horizontalDpi="600" verticalDpi="600" orientation="portrait" scale="80" r:id="rId1"/>
  <headerFooter alignWithMargins="0">
    <oddFooter>&amp;L&amp;8&amp;D&amp;CPage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109"/>
  <sheetViews>
    <sheetView workbookViewId="0" topLeftCell="A40">
      <selection activeCell="E39" sqref="E39"/>
    </sheetView>
  </sheetViews>
  <sheetFormatPr defaultColWidth="9.33203125" defaultRowHeight="15" customHeight="1"/>
  <cols>
    <col min="1" max="1" width="10" style="376" bestFit="1" customWidth="1"/>
    <col min="2" max="2" width="2" style="376" customWidth="1"/>
    <col min="3" max="3" width="52.5" style="376" bestFit="1" customWidth="1"/>
    <col min="4" max="4" width="15.83203125" style="377" customWidth="1"/>
    <col min="5" max="7" width="20.83203125" style="376" customWidth="1"/>
    <col min="8" max="8" width="9.33203125" style="376" customWidth="1"/>
    <col min="9" max="9" width="10.5" style="376" bestFit="1" customWidth="1"/>
    <col min="10" max="11" width="9.33203125" style="376" customWidth="1"/>
    <col min="12" max="12" width="14.33203125" style="376" bestFit="1" customWidth="1"/>
    <col min="13" max="13" width="14.83203125" style="376" customWidth="1"/>
    <col min="14" max="16384" width="9.33203125" style="376" customWidth="1"/>
  </cols>
  <sheetData>
    <row r="1" spans="4:7" s="455" customFormat="1" ht="15.75">
      <c r="D1" s="456"/>
      <c r="G1" s="459" t="s">
        <v>414</v>
      </c>
    </row>
    <row r="2" spans="4:7" s="455" customFormat="1" ht="15.75">
      <c r="D2" s="456"/>
      <c r="G2" s="459" t="s">
        <v>415</v>
      </c>
    </row>
    <row r="3" ht="22.5" customHeight="1" thickBot="1">
      <c r="G3" s="459" t="s">
        <v>433</v>
      </c>
    </row>
    <row r="4" ht="15" customHeight="1" thickBot="1">
      <c r="G4" s="453" t="s">
        <v>444</v>
      </c>
    </row>
    <row r="5" spans="1:7" ht="15" customHeight="1">
      <c r="A5" s="467" t="s">
        <v>22</v>
      </c>
      <c r="B5" s="467"/>
      <c r="C5" s="467"/>
      <c r="D5" s="467"/>
      <c r="E5" s="467"/>
      <c r="F5" s="467"/>
      <c r="G5" s="467"/>
    </row>
    <row r="6" spans="1:7" ht="15" customHeight="1">
      <c r="A6" s="467" t="s">
        <v>46</v>
      </c>
      <c r="B6" s="467"/>
      <c r="C6" s="467"/>
      <c r="D6" s="467"/>
      <c r="E6" s="467"/>
      <c r="F6" s="467"/>
      <c r="G6" s="467"/>
    </row>
    <row r="7" spans="1:7" ht="15" customHeight="1">
      <c r="A7" s="378" t="s">
        <v>44</v>
      </c>
      <c r="B7" s="379"/>
      <c r="C7" s="379"/>
      <c r="D7" s="379"/>
      <c r="E7" s="379"/>
      <c r="F7" s="379"/>
      <c r="G7" s="379"/>
    </row>
    <row r="8" spans="1:7" ht="15" customHeight="1">
      <c r="A8" s="378" t="s">
        <v>393</v>
      </c>
      <c r="B8" s="379"/>
      <c r="C8" s="379"/>
      <c r="D8" s="379"/>
      <c r="E8" s="379"/>
      <c r="F8" s="379"/>
      <c r="G8" s="379"/>
    </row>
    <row r="9" spans="1:7" ht="15" customHeight="1">
      <c r="A9" s="380"/>
      <c r="B9" s="380"/>
      <c r="C9" s="381"/>
      <c r="D9" s="381"/>
      <c r="E9" s="380"/>
      <c r="F9" s="380"/>
      <c r="G9" s="380"/>
    </row>
    <row r="10" spans="1:7" ht="15" customHeight="1">
      <c r="A10" s="382" t="s">
        <v>394</v>
      </c>
      <c r="B10" s="382"/>
      <c r="C10" s="382" t="s">
        <v>304</v>
      </c>
      <c r="D10" s="382"/>
      <c r="E10" s="382" t="s">
        <v>302</v>
      </c>
      <c r="F10" s="382" t="s">
        <v>303</v>
      </c>
      <c r="G10" s="382" t="s">
        <v>395</v>
      </c>
    </row>
    <row r="11" spans="1:7" ht="29.25" customHeight="1">
      <c r="A11" s="380"/>
      <c r="B11" s="380"/>
      <c r="C11" s="380"/>
      <c r="D11" s="381"/>
      <c r="E11" s="380"/>
      <c r="F11" s="380"/>
      <c r="G11" s="380"/>
    </row>
    <row r="12" spans="1:7" ht="15" customHeight="1">
      <c r="A12" s="383">
        <v>1</v>
      </c>
      <c r="B12" s="383" t="s">
        <v>396</v>
      </c>
      <c r="C12" s="384" t="s">
        <v>397</v>
      </c>
      <c r="D12" s="385"/>
      <c r="E12" s="386">
        <v>963664</v>
      </c>
      <c r="F12" s="386">
        <v>628082</v>
      </c>
      <c r="G12" s="386">
        <f>SUM(E12:F12)</f>
        <v>1591746</v>
      </c>
    </row>
    <row r="13" spans="2:7" ht="18.75" customHeight="1" thickBot="1">
      <c r="B13" s="381"/>
      <c r="C13" s="387" t="s">
        <v>398</v>
      </c>
      <c r="D13" s="381"/>
      <c r="E13" s="388">
        <f>ROUND(+E12/G12,4)</f>
        <v>0.6054</v>
      </c>
      <c r="F13" s="388">
        <f>ROUND(+F12/G12,4)</f>
        <v>0.3946</v>
      </c>
      <c r="G13" s="389">
        <f>SUM(E13:F13)</f>
        <v>1</v>
      </c>
    </row>
    <row r="14" spans="1:7" ht="15" customHeight="1" thickTop="1">
      <c r="A14" s="381"/>
      <c r="B14" s="381"/>
      <c r="C14" s="461"/>
      <c r="D14" s="385"/>
      <c r="E14" s="380"/>
      <c r="F14" s="380"/>
      <c r="G14" s="380"/>
    </row>
    <row r="15" spans="1:7" ht="15" customHeight="1">
      <c r="A15" s="381"/>
      <c r="B15" s="381"/>
      <c r="C15" s="380"/>
      <c r="D15" s="385"/>
      <c r="E15" s="380"/>
      <c r="F15" s="380"/>
      <c r="G15" s="380"/>
    </row>
    <row r="16" spans="1:7" ht="15" customHeight="1">
      <c r="A16" s="383">
        <v>2</v>
      </c>
      <c r="B16" s="383" t="s">
        <v>396</v>
      </c>
      <c r="C16" s="384" t="s">
        <v>399</v>
      </c>
      <c r="D16" s="385"/>
      <c r="E16" s="390">
        <v>619724</v>
      </c>
      <c r="F16" s="390">
        <v>332671</v>
      </c>
      <c r="G16" s="390">
        <f>SUM(E16:F16)</f>
        <v>952395</v>
      </c>
    </row>
    <row r="17" spans="2:7" ht="18.75" customHeight="1" thickBot="1">
      <c r="B17" s="381"/>
      <c r="C17" s="387" t="s">
        <v>398</v>
      </c>
      <c r="D17" s="381"/>
      <c r="E17" s="388">
        <f>ROUND(+E16/G16,4)</f>
        <v>0.6507</v>
      </c>
      <c r="F17" s="388">
        <f>ROUND(+F16/G16,4)</f>
        <v>0.3493</v>
      </c>
      <c r="G17" s="389">
        <f>SUM(E17:F17)</f>
        <v>1</v>
      </c>
    </row>
    <row r="18" spans="1:7" ht="15" customHeight="1" thickTop="1">
      <c r="A18" s="381"/>
      <c r="B18" s="381"/>
      <c r="C18" s="380"/>
      <c r="D18" s="381"/>
      <c r="E18" s="380"/>
      <c r="F18" s="380"/>
      <c r="G18" s="380"/>
    </row>
    <row r="19" spans="1:7" ht="15" customHeight="1">
      <c r="A19" s="381"/>
      <c r="B19" s="381"/>
      <c r="C19" s="380"/>
      <c r="D19" s="385"/>
      <c r="E19" s="380"/>
      <c r="F19" s="380"/>
      <c r="G19" s="380"/>
    </row>
    <row r="20" spans="1:7" ht="15" customHeight="1">
      <c r="A20" s="383">
        <v>3</v>
      </c>
      <c r="B20" s="383" t="s">
        <v>396</v>
      </c>
      <c r="C20" s="384" t="s">
        <v>400</v>
      </c>
      <c r="D20" s="381"/>
      <c r="E20" s="380"/>
      <c r="F20" s="380"/>
      <c r="G20" s="380"/>
    </row>
    <row r="21" spans="1:7" ht="15" customHeight="1">
      <c r="A21" s="381"/>
      <c r="B21" s="381"/>
      <c r="C21" s="391" t="s">
        <v>401</v>
      </c>
      <c r="D21" s="385"/>
      <c r="E21" s="392">
        <v>2504397382.4</v>
      </c>
      <c r="F21" s="392">
        <v>1475499325.2799997</v>
      </c>
      <c r="G21" s="392">
        <f>SUM(E21:F21)</f>
        <v>3979896707.68</v>
      </c>
    </row>
    <row r="22" spans="1:7" ht="15" customHeight="1">
      <c r="A22" s="381"/>
      <c r="B22" s="381"/>
      <c r="C22" s="391" t="s">
        <v>402</v>
      </c>
      <c r="D22" s="385"/>
      <c r="E22" s="393">
        <v>274609259.27</v>
      </c>
      <c r="F22" s="393">
        <v>98770380.22999999</v>
      </c>
      <c r="G22" s="393">
        <f>SUM(E22:F22)</f>
        <v>373379639.5</v>
      </c>
    </row>
    <row r="23" spans="1:7" ht="15" customHeight="1">
      <c r="A23" s="381"/>
      <c r="B23" s="381"/>
      <c r="C23" s="391" t="s">
        <v>403</v>
      </c>
      <c r="D23" s="385"/>
      <c r="E23" s="393">
        <v>136210907.43000004</v>
      </c>
      <c r="F23" s="393">
        <v>50818387.6</v>
      </c>
      <c r="G23" s="393">
        <f>SUM(E23:F23)</f>
        <v>187029295.03000003</v>
      </c>
    </row>
    <row r="24" spans="1:7" ht="15" customHeight="1">
      <c r="A24" s="381"/>
      <c r="B24" s="381"/>
      <c r="C24" s="391" t="s">
        <v>395</v>
      </c>
      <c r="D24" s="394"/>
      <c r="E24" s="395">
        <f>SUM(E21:E23)</f>
        <v>2915217549.1</v>
      </c>
      <c r="F24" s="395">
        <f>SUM(F21:F23)</f>
        <v>1625088093.1099997</v>
      </c>
      <c r="G24" s="395">
        <f>SUM(E24:F24)</f>
        <v>4540305642.209999</v>
      </c>
    </row>
    <row r="25" spans="2:7" ht="18.75" customHeight="1" thickBot="1">
      <c r="B25" s="381"/>
      <c r="C25" s="461" t="s">
        <v>398</v>
      </c>
      <c r="D25" s="381"/>
      <c r="E25" s="388">
        <f>ROUND(+E24/G24,4)</f>
        <v>0.6421</v>
      </c>
      <c r="F25" s="388">
        <f>ROUND(+F24/G24,4)</f>
        <v>0.3579</v>
      </c>
      <c r="G25" s="389">
        <f>SUM(E25:F25)</f>
        <v>1</v>
      </c>
    </row>
    <row r="26" spans="1:7" ht="15" customHeight="1" thickTop="1">
      <c r="A26" s="381"/>
      <c r="B26" s="381"/>
      <c r="C26" s="380"/>
      <c r="D26" s="381"/>
      <c r="E26" s="380"/>
      <c r="F26" s="380"/>
      <c r="G26" s="380"/>
    </row>
    <row r="27" spans="1:2" ht="15" customHeight="1">
      <c r="A27" s="377"/>
      <c r="B27" s="377"/>
    </row>
    <row r="28" spans="1:3" ht="15" customHeight="1">
      <c r="A28" s="396">
        <v>4</v>
      </c>
      <c r="B28" s="396" t="s">
        <v>396</v>
      </c>
      <c r="C28" s="397" t="s">
        <v>404</v>
      </c>
    </row>
    <row r="29" spans="1:7" ht="15" customHeight="1">
      <c r="A29" s="377"/>
      <c r="B29" s="377"/>
      <c r="C29" s="376" t="s">
        <v>405</v>
      </c>
      <c r="D29" s="398"/>
      <c r="E29" s="399">
        <f>+E12</f>
        <v>963664</v>
      </c>
      <c r="F29" s="399">
        <f>+F12</f>
        <v>628082</v>
      </c>
      <c r="G29" s="399">
        <f>SUM(E29:F29)</f>
        <v>1591746</v>
      </c>
    </row>
    <row r="30" spans="1:7" ht="15" customHeight="1">
      <c r="A30" s="377"/>
      <c r="B30" s="377"/>
      <c r="C30" s="400" t="s">
        <v>406</v>
      </c>
      <c r="E30" s="401">
        <f>+E29/G29</f>
        <v>0.605413175217654</v>
      </c>
      <c r="F30" s="401">
        <f>+F29/G29</f>
        <v>0.3945868247823459</v>
      </c>
      <c r="G30" s="402">
        <f>SUM(E30:F30)</f>
        <v>1</v>
      </c>
    </row>
    <row r="31" spans="1:2" ht="15" customHeight="1">
      <c r="A31" s="377"/>
      <c r="B31" s="377"/>
    </row>
    <row r="32" spans="1:7" ht="15" customHeight="1">
      <c r="A32" s="377"/>
      <c r="B32" s="377"/>
      <c r="C32" s="376" t="s">
        <v>407</v>
      </c>
      <c r="D32" s="398"/>
      <c r="E32" s="403">
        <v>28154989.773087792</v>
      </c>
      <c r="F32" s="403">
        <v>14311924.386447618</v>
      </c>
      <c r="G32" s="404">
        <f>SUM(E32:F32)</f>
        <v>42466914.15953541</v>
      </c>
    </row>
    <row r="33" spans="1:7" ht="15" customHeight="1">
      <c r="A33" s="377"/>
      <c r="B33" s="377"/>
      <c r="C33" s="400" t="s">
        <v>406</v>
      </c>
      <c r="E33" s="401">
        <f>+E32/G32</f>
        <v>0.6629864761851538</v>
      </c>
      <c r="F33" s="401">
        <f>+F32/G32</f>
        <v>0.3370135238148462</v>
      </c>
      <c r="G33" s="402">
        <f>SUM(E33:F33)</f>
        <v>1</v>
      </c>
    </row>
    <row r="34" spans="1:2" ht="15" customHeight="1">
      <c r="A34" s="377"/>
      <c r="B34" s="377"/>
    </row>
    <row r="35" spans="1:7" ht="15" customHeight="1">
      <c r="A35" s="377"/>
      <c r="B35" s="377"/>
      <c r="C35" s="376" t="s">
        <v>408</v>
      </c>
      <c r="D35" s="398"/>
      <c r="E35" s="403">
        <v>41897721</v>
      </c>
      <c r="F35" s="403">
        <v>11543859</v>
      </c>
      <c r="G35" s="405">
        <f>SUM(E35:F35)</f>
        <v>53441580</v>
      </c>
    </row>
    <row r="36" spans="1:7" ht="15" customHeight="1">
      <c r="A36" s="377"/>
      <c r="B36" s="377"/>
      <c r="C36" s="400" t="s">
        <v>406</v>
      </c>
      <c r="E36" s="401">
        <f>+E35/G35</f>
        <v>0.7839910608930349</v>
      </c>
      <c r="F36" s="401">
        <f>+F35/G35</f>
        <v>0.21600893910696503</v>
      </c>
      <c r="G36" s="402">
        <f>SUM(E36:F36)</f>
        <v>1</v>
      </c>
    </row>
    <row r="37" spans="1:2" ht="15" customHeight="1">
      <c r="A37" s="377"/>
      <c r="B37" s="377"/>
    </row>
    <row r="38" spans="1:7" ht="15" customHeight="1">
      <c r="A38" s="377"/>
      <c r="B38" s="377"/>
      <c r="C38" s="376" t="s">
        <v>409</v>
      </c>
      <c r="D38" s="398"/>
      <c r="E38" s="405">
        <v>2321603081.9999995</v>
      </c>
      <c r="F38" s="405">
        <v>1105973344.44</v>
      </c>
      <c r="G38" s="405">
        <f>SUM(E38:F38)</f>
        <v>3427576426.4399996</v>
      </c>
    </row>
    <row r="39" spans="1:7" ht="15" customHeight="1">
      <c r="A39" s="377"/>
      <c r="B39" s="377"/>
      <c r="C39" s="400" t="s">
        <v>406</v>
      </c>
      <c r="E39" s="401">
        <f>+E38/G38</f>
        <v>0.6773307997135741</v>
      </c>
      <c r="F39" s="401">
        <f>+F38/G38</f>
        <v>0.3226692002864259</v>
      </c>
      <c r="G39" s="402">
        <f>SUM(E39:F39)</f>
        <v>1</v>
      </c>
    </row>
    <row r="40" spans="1:7" ht="15" customHeight="1">
      <c r="A40" s="377"/>
      <c r="E40" s="406"/>
      <c r="F40" s="406"/>
      <c r="G40" s="406"/>
    </row>
    <row r="41" spans="1:12" ht="15" customHeight="1">
      <c r="A41" s="377"/>
      <c r="C41" s="376" t="s">
        <v>410</v>
      </c>
      <c r="E41" s="407">
        <f>+E39+E36+E33+E30</f>
        <v>2.7297215120094167</v>
      </c>
      <c r="F41" s="407">
        <f>+F39+F36+F33+F30</f>
        <v>1.270278487990583</v>
      </c>
      <c r="G41" s="407">
        <f>+G39+G36+G33+G30</f>
        <v>4</v>
      </c>
      <c r="L41" s="408"/>
    </row>
    <row r="42" spans="3:12" ht="18.75" customHeight="1" thickBot="1">
      <c r="C42" s="376" t="s">
        <v>398</v>
      </c>
      <c r="E42" s="388">
        <f>ROUND(+E41/4,4)</f>
        <v>0.6824</v>
      </c>
      <c r="F42" s="388">
        <f>ROUND(+F41/4,4)</f>
        <v>0.3176</v>
      </c>
      <c r="G42" s="409">
        <f>+G41/4</f>
        <v>1</v>
      </c>
      <c r="L42" s="408"/>
    </row>
    <row r="43" ht="15" customHeight="1" thickTop="1">
      <c r="L43" s="408"/>
    </row>
    <row r="44" spans="3:13" ht="15" customHeight="1">
      <c r="C44" s="466"/>
      <c r="L44" s="408"/>
      <c r="M44" s="408"/>
    </row>
    <row r="45" spans="1:13" ht="15" customHeight="1">
      <c r="A45" s="383">
        <v>5</v>
      </c>
      <c r="B45" s="383" t="s">
        <v>396</v>
      </c>
      <c r="C45" s="384" t="s">
        <v>411</v>
      </c>
      <c r="D45" s="381"/>
      <c r="E45" s="410"/>
      <c r="F45" s="410"/>
      <c r="G45" s="380"/>
      <c r="L45" s="408"/>
      <c r="M45" s="408"/>
    </row>
    <row r="46" spans="1:12" ht="15" customHeight="1">
      <c r="A46" s="380"/>
      <c r="B46" s="380"/>
      <c r="C46" s="387" t="s">
        <v>412</v>
      </c>
      <c r="D46" s="385"/>
      <c r="E46" s="403">
        <v>5944648.34</v>
      </c>
      <c r="F46" s="403">
        <v>3322936.59</v>
      </c>
      <c r="G46" s="403">
        <f>SUM(E46:F46)</f>
        <v>9267584.93</v>
      </c>
      <c r="L46" s="408"/>
    </row>
    <row r="47" spans="1:13" ht="15" customHeight="1">
      <c r="A47" s="380"/>
      <c r="B47" s="380"/>
      <c r="C47" s="380" t="s">
        <v>395</v>
      </c>
      <c r="D47" s="381"/>
      <c r="E47" s="411">
        <f>SUM(E46:E46)</f>
        <v>5944648.34</v>
      </c>
      <c r="F47" s="411">
        <f>SUM(F46:F46)</f>
        <v>3322936.59</v>
      </c>
      <c r="G47" s="411">
        <f>SUM(G46:G46)</f>
        <v>9267584.93</v>
      </c>
      <c r="L47" s="408"/>
      <c r="M47" s="408"/>
    </row>
    <row r="48" spans="2:13" ht="18.75" customHeight="1" thickBot="1">
      <c r="B48" s="380"/>
      <c r="C48" s="380" t="s">
        <v>398</v>
      </c>
      <c r="D48" s="381"/>
      <c r="E48" s="388">
        <f>ROUND(+E47/G47,4)</f>
        <v>0.6414</v>
      </c>
      <c r="F48" s="388">
        <f>ROUND(+F47/G47,4)</f>
        <v>0.3586</v>
      </c>
      <c r="G48" s="412">
        <f>SUM(E48:F48)</f>
        <v>1</v>
      </c>
      <c r="L48" s="408"/>
      <c r="M48" s="413"/>
    </row>
    <row r="49" spans="1:7" ht="15" customHeight="1" thickTop="1">
      <c r="A49" s="380"/>
      <c r="B49" s="380"/>
      <c r="C49" s="380"/>
      <c r="D49" s="381"/>
      <c r="E49" s="380"/>
      <c r="F49" s="380"/>
      <c r="G49" s="380"/>
    </row>
    <row r="50" spans="1:7" ht="15" customHeight="1">
      <c r="A50" s="380"/>
      <c r="B50" s="380"/>
      <c r="C50" s="380"/>
      <c r="D50" s="381"/>
      <c r="E50" s="380"/>
      <c r="F50" s="380"/>
      <c r="G50" s="380"/>
    </row>
    <row r="51" spans="1:7" s="380" customFormat="1" ht="15" customHeight="1">
      <c r="A51" s="383">
        <v>6</v>
      </c>
      <c r="B51" s="414" t="s">
        <v>396</v>
      </c>
      <c r="C51" s="415" t="s">
        <v>413</v>
      </c>
      <c r="D51" s="385"/>
      <c r="E51" s="416">
        <v>52079273</v>
      </c>
      <c r="F51" s="416">
        <v>8822100</v>
      </c>
      <c r="G51" s="416">
        <f>SUM(E51:F51)</f>
        <v>60901373</v>
      </c>
    </row>
    <row r="52" spans="3:7" s="380" customFormat="1" ht="18.75" customHeight="1" thickBot="1">
      <c r="C52" s="380" t="s">
        <v>398</v>
      </c>
      <c r="D52" s="381"/>
      <c r="E52" s="417">
        <f>ROUND(E51/$G$51,4)</f>
        <v>0.8551</v>
      </c>
      <c r="F52" s="417">
        <f>ROUND(F51/$G$51,4)</f>
        <v>0.1449</v>
      </c>
      <c r="G52" s="412">
        <f>G51/$G$51</f>
        <v>1</v>
      </c>
    </row>
    <row r="53" s="380" customFormat="1" ht="15" customHeight="1" thickTop="1">
      <c r="D53" s="381"/>
    </row>
    <row r="54" spans="1:7" ht="15" customHeight="1">
      <c r="A54" s="380"/>
      <c r="B54" s="380"/>
      <c r="C54" s="380"/>
      <c r="D54" s="381"/>
      <c r="E54" s="380"/>
      <c r="F54" s="380"/>
      <c r="G54" s="380"/>
    </row>
    <row r="56" ht="15" customHeight="1">
      <c r="C56" s="408"/>
    </row>
    <row r="57" spans="1:3" ht="15" customHeight="1">
      <c r="A57" s="418" t="s">
        <v>0</v>
      </c>
      <c r="C57" s="408"/>
    </row>
    <row r="58" ht="15" customHeight="1">
      <c r="C58" s="413"/>
    </row>
    <row r="72" ht="15" customHeight="1">
      <c r="C72" s="461"/>
    </row>
    <row r="103" ht="15" customHeight="1">
      <c r="C103" s="464"/>
    </row>
    <row r="107" ht="15" customHeight="1">
      <c r="C107"/>
    </row>
    <row r="108" ht="15" customHeight="1">
      <c r="C108"/>
    </row>
    <row r="109" ht="15" customHeight="1">
      <c r="C109"/>
    </row>
  </sheetData>
  <mergeCells count="2">
    <mergeCell ref="A5:G5"/>
    <mergeCell ref="A6:G6"/>
  </mergeCells>
  <printOptions horizontalCentered="1"/>
  <pageMargins left="0.25" right="0.25" top="0.75" bottom="0.75" header="0.5" footer="0.5"/>
  <pageSetup fitToHeight="1" fitToWidth="1" horizontalDpi="300" verticalDpi="3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I112"/>
  <sheetViews>
    <sheetView tabSelected="1" zoomScale="75" zoomScaleNormal="75" workbookViewId="0" topLeftCell="A1">
      <selection activeCell="A17" sqref="A17"/>
    </sheetView>
  </sheetViews>
  <sheetFormatPr defaultColWidth="9.33203125" defaultRowHeight="12.75" customHeight="1"/>
  <cols>
    <col min="1" max="1" width="6.83203125" style="0" customWidth="1"/>
    <col min="2" max="2" width="45.16015625" style="0" customWidth="1"/>
    <col min="3" max="3" width="16" style="0" customWidth="1"/>
    <col min="4" max="5" width="18.66015625" style="0" bestFit="1" customWidth="1"/>
    <col min="6" max="6" width="19.83203125" style="0" customWidth="1"/>
    <col min="7" max="7" width="6.83203125" style="0" customWidth="1"/>
    <col min="8" max="10" width="23" style="0" customWidth="1"/>
    <col min="11" max="11" width="20" style="0" customWidth="1"/>
    <col min="12" max="12" width="6.83203125" style="0" customWidth="1"/>
    <col min="13" max="13" width="46.16015625" style="0" customWidth="1"/>
    <col min="14" max="14" width="21.5" style="0" customWidth="1"/>
    <col min="15" max="15" width="22.16015625" style="0" customWidth="1"/>
    <col min="16" max="16" width="6.83203125" style="0" customWidth="1"/>
    <col min="17" max="17" width="48.83203125" style="0" bestFit="1" customWidth="1"/>
    <col min="18" max="18" width="14.5" style="0" customWidth="1"/>
    <col min="19" max="19" width="18.33203125" style="0" customWidth="1"/>
    <col min="20" max="20" width="5.83203125" style="0" bestFit="1" customWidth="1"/>
    <col min="21" max="21" width="87.5" style="0" bestFit="1" customWidth="1"/>
    <col min="22" max="22" width="16.16015625" style="0" customWidth="1"/>
    <col min="23" max="23" width="18.16015625" style="0" customWidth="1"/>
    <col min="24" max="24" width="6.83203125" style="0" customWidth="1"/>
    <col min="25" max="25" width="51.16015625" style="0" customWidth="1"/>
    <col min="26" max="26" width="17" style="0" customWidth="1"/>
    <col min="27" max="27" width="15.33203125" style="0" customWidth="1"/>
    <col min="28" max="28" width="6.83203125" style="0" customWidth="1"/>
    <col min="29" max="29" width="52" style="0" customWidth="1"/>
    <col min="30" max="30" width="18.16015625" style="0" customWidth="1"/>
    <col min="31" max="31" width="17.16015625" style="0" customWidth="1"/>
    <col min="32" max="32" width="18.5" style="0" customWidth="1"/>
    <col min="33" max="33" width="6.83203125" style="0" customWidth="1"/>
    <col min="34" max="34" width="45.5" style="0" bestFit="1" customWidth="1"/>
    <col min="35" max="35" width="19.66015625" style="0" customWidth="1"/>
    <col min="36" max="36" width="7.33203125" style="0" customWidth="1"/>
    <col min="37" max="37" width="15.66015625" style="0" bestFit="1" customWidth="1"/>
    <col min="38" max="38" width="5.83203125" style="0" bestFit="1" customWidth="1"/>
    <col min="39" max="39" width="40.83203125" style="0" bestFit="1" customWidth="1"/>
    <col min="40" max="40" width="14" style="0" customWidth="1"/>
    <col min="41" max="41" width="17.83203125" style="0" customWidth="1"/>
    <col min="42" max="42" width="5.83203125" style="0" bestFit="1" customWidth="1"/>
    <col min="43" max="43" width="58.16015625" style="0" bestFit="1" customWidth="1"/>
    <col min="44" max="44" width="10.16015625" style="0" customWidth="1"/>
    <col min="45" max="45" width="20.16015625" style="0" customWidth="1"/>
    <col min="46" max="46" width="5.83203125" style="0" bestFit="1" customWidth="1"/>
    <col min="47" max="47" width="43.83203125" style="0" bestFit="1" customWidth="1"/>
    <col min="48" max="49" width="17.33203125" style="0" customWidth="1"/>
    <col min="50" max="50" width="17.33203125" style="0" bestFit="1" customWidth="1"/>
    <col min="51" max="51" width="5.83203125" style="0" bestFit="1" customWidth="1"/>
    <col min="52" max="52" width="43.83203125" style="0" bestFit="1" customWidth="1"/>
    <col min="53" max="55" width="17.33203125" style="0" customWidth="1"/>
    <col min="56" max="56" width="6.83203125" style="0" customWidth="1"/>
    <col min="57" max="57" width="42.83203125" style="0" customWidth="1"/>
    <col min="58" max="58" width="4.83203125" style="0" customWidth="1"/>
    <col min="59" max="59" width="15.66015625" style="0" bestFit="1" customWidth="1"/>
    <col min="60" max="62" width="18" style="0" customWidth="1"/>
    <col min="63" max="63" width="5.83203125" style="0" bestFit="1" customWidth="1"/>
    <col min="64" max="64" width="55.5" style="0" bestFit="1" customWidth="1"/>
    <col min="65" max="66" width="18" style="0" customWidth="1"/>
    <col min="67" max="67" width="6.83203125" style="0" customWidth="1"/>
    <col min="68" max="68" width="45.5" style="0" customWidth="1"/>
    <col min="69" max="69" width="13.66015625" style="0" customWidth="1"/>
    <col min="70" max="70" width="18.33203125" style="0" customWidth="1"/>
    <col min="71" max="71" width="7.33203125" style="0" bestFit="1" customWidth="1"/>
    <col min="72" max="72" width="36" style="0" bestFit="1" customWidth="1"/>
    <col min="73" max="74" width="18.33203125" style="0" customWidth="1"/>
    <col min="75" max="75" width="6.83203125" style="0" customWidth="1"/>
    <col min="76" max="76" width="42.66015625" style="0" customWidth="1"/>
    <col min="77" max="77" width="17.66015625" style="0" customWidth="1"/>
    <col min="78" max="78" width="16.83203125" style="0" customWidth="1"/>
    <col min="79" max="79" width="19.16015625" style="0" bestFit="1" customWidth="1"/>
    <col min="80" max="80" width="15.16015625" style="0" customWidth="1"/>
    <col min="81" max="81" width="6.83203125" style="0" customWidth="1"/>
    <col min="82" max="82" width="56.5" style="0" bestFit="1" customWidth="1"/>
    <col min="83" max="83" width="30.83203125" style="0" bestFit="1" customWidth="1"/>
    <col min="84" max="84" width="26.33203125" style="0" bestFit="1" customWidth="1"/>
    <col min="85" max="85" width="18.66015625" style="0" bestFit="1" customWidth="1"/>
    <col min="86" max="86" width="32.33203125" style="0" bestFit="1" customWidth="1"/>
    <col min="87" max="87" width="23" style="0" bestFit="1" customWidth="1"/>
    <col min="88" max="88" width="23.66015625" style="0" bestFit="1" customWidth="1"/>
    <col min="89" max="89" width="16.83203125" style="0" bestFit="1" customWidth="1"/>
    <col min="90" max="90" width="5.83203125" style="0" bestFit="1" customWidth="1"/>
    <col min="91" max="91" width="56.5" style="0" bestFit="1" customWidth="1"/>
    <col min="92" max="92" width="29.66015625" style="0" customWidth="1"/>
    <col min="93" max="97" width="22.33203125" style="0" customWidth="1"/>
    <col min="98" max="98" width="5.83203125" style="0" bestFit="1" customWidth="1"/>
    <col min="99" max="99" width="56.5" style="0" bestFit="1" customWidth="1"/>
    <col min="100" max="103" width="23.66015625" style="0" customWidth="1"/>
    <col min="104" max="104" width="22" style="0" bestFit="1" customWidth="1"/>
    <col min="105" max="105" width="20.5" style="0" bestFit="1" customWidth="1"/>
    <col min="106" max="106" width="6.83203125" style="0" customWidth="1"/>
    <col min="107" max="107" width="56.5" style="0" bestFit="1" customWidth="1"/>
    <col min="108" max="108" width="19.83203125" style="0" bestFit="1" customWidth="1"/>
    <col min="109" max="109" width="22" style="0" bestFit="1" customWidth="1"/>
    <col min="110" max="110" width="20.5" style="0" bestFit="1" customWidth="1"/>
    <col min="111" max="111" width="21.33203125" style="0" bestFit="1" customWidth="1"/>
    <col min="112" max="112" width="20.5" style="0" bestFit="1" customWidth="1"/>
    <col min="113" max="113" width="2.83203125" style="0" customWidth="1"/>
    <col min="114" max="114" width="15.5" style="0" customWidth="1"/>
    <col min="115" max="115" width="36.66015625" style="0" bestFit="1" customWidth="1"/>
    <col min="116" max="116" width="18" style="0" customWidth="1"/>
    <col min="117" max="117" width="16.83203125" style="0" bestFit="1" customWidth="1"/>
    <col min="118" max="119" width="15.33203125" style="0" customWidth="1"/>
    <col min="120" max="121" width="14.16015625" style="0" customWidth="1"/>
    <col min="122" max="122" width="17.16015625" style="0" bestFit="1" customWidth="1"/>
    <col min="123" max="123" width="14.66015625" style="0" customWidth="1"/>
    <col min="124" max="124" width="14.16015625" style="0" customWidth="1"/>
    <col min="125" max="125" width="21" style="0" customWidth="1"/>
    <col min="126" max="182" width="10.83203125" style="0" customWidth="1"/>
    <col min="183" max="184" width="21.16015625" style="0" customWidth="1"/>
    <col min="185" max="185" width="20" style="0" customWidth="1"/>
    <col min="187" max="189" width="21.16015625" style="0" customWidth="1"/>
    <col min="190" max="190" width="20" style="0" customWidth="1"/>
    <col min="192" max="194" width="21.16015625" style="0" customWidth="1"/>
    <col min="195" max="195" width="20" style="0" customWidth="1"/>
    <col min="197" max="200" width="21.16015625" style="0" customWidth="1"/>
    <col min="201" max="201" width="20" style="0" customWidth="1"/>
    <col min="203" max="205" width="21.16015625" style="0" customWidth="1"/>
    <col min="206" max="206" width="20" style="0" customWidth="1"/>
    <col min="208" max="211" width="21.16015625" style="0" customWidth="1"/>
    <col min="212" max="212" width="20" style="0" customWidth="1"/>
    <col min="214" max="216" width="21.16015625" style="0" customWidth="1"/>
    <col min="217" max="217" width="20" style="0" customWidth="1"/>
    <col min="219" max="16384" width="21.16015625" style="0" customWidth="1"/>
  </cols>
  <sheetData>
    <row r="1" spans="1:113" s="438" customFormat="1" ht="15.75">
      <c r="A1" s="2" t="s">
        <v>0</v>
      </c>
      <c r="B1" s="2"/>
      <c r="C1" s="2"/>
      <c r="D1" s="2"/>
      <c r="E1" s="2"/>
      <c r="F1" s="458" t="s">
        <v>414</v>
      </c>
      <c r="G1" s="2" t="s">
        <v>0</v>
      </c>
      <c r="H1" s="2"/>
      <c r="I1" s="2"/>
      <c r="J1" s="2"/>
      <c r="K1" s="458" t="s">
        <v>414</v>
      </c>
      <c r="L1" s="2"/>
      <c r="M1" s="2"/>
      <c r="N1" s="2"/>
      <c r="O1" s="458" t="s">
        <v>414</v>
      </c>
      <c r="P1" s="2"/>
      <c r="Q1" s="2"/>
      <c r="R1" s="2"/>
      <c r="S1" s="458" t="s">
        <v>414</v>
      </c>
      <c r="T1" s="2"/>
      <c r="U1" s="2"/>
      <c r="V1" s="2"/>
      <c r="W1" s="458" t="s">
        <v>414</v>
      </c>
      <c r="X1" s="2"/>
      <c r="Y1" s="3"/>
      <c r="Z1" s="3"/>
      <c r="AA1" s="458" t="s">
        <v>414</v>
      </c>
      <c r="AB1" s="2"/>
      <c r="AC1" s="2"/>
      <c r="AD1" s="4"/>
      <c r="AE1" s="2"/>
      <c r="AF1" s="458" t="s">
        <v>414</v>
      </c>
      <c r="AG1" s="2"/>
      <c r="AH1" s="2"/>
      <c r="AI1" s="2"/>
      <c r="AJ1" s="2"/>
      <c r="AK1" s="458" t="s">
        <v>414</v>
      </c>
      <c r="AL1" s="2"/>
      <c r="AM1" s="2"/>
      <c r="AN1" s="2"/>
      <c r="AO1" s="458" t="s">
        <v>414</v>
      </c>
      <c r="AP1" s="2"/>
      <c r="AQ1" s="5"/>
      <c r="AR1" s="5"/>
      <c r="AS1" s="458" t="s">
        <v>414</v>
      </c>
      <c r="AT1" s="2"/>
      <c r="AU1" s="2"/>
      <c r="AV1" s="2"/>
      <c r="AW1" s="2"/>
      <c r="AX1" s="458" t="s">
        <v>414</v>
      </c>
      <c r="AY1" s="2"/>
      <c r="AZ1" s="2"/>
      <c r="BA1" s="2"/>
      <c r="BB1" s="2"/>
      <c r="BC1" s="458" t="s">
        <v>414</v>
      </c>
      <c r="BD1" s="2"/>
      <c r="BE1" s="2"/>
      <c r="BF1" s="2"/>
      <c r="BG1" s="2"/>
      <c r="BH1" s="2"/>
      <c r="BI1" s="2"/>
      <c r="BJ1" s="458" t="s">
        <v>414</v>
      </c>
      <c r="BK1" s="2"/>
      <c r="BL1" s="2"/>
      <c r="BM1" s="2"/>
      <c r="BN1" s="458" t="s">
        <v>414</v>
      </c>
      <c r="BO1" s="2"/>
      <c r="BP1" s="2"/>
      <c r="BQ1" s="2"/>
      <c r="BR1" s="458" t="s">
        <v>414</v>
      </c>
      <c r="BS1" s="2"/>
      <c r="BT1" s="2"/>
      <c r="BU1" s="2"/>
      <c r="BV1" s="458" t="s">
        <v>414</v>
      </c>
      <c r="BW1" s="2"/>
      <c r="BX1" s="2"/>
      <c r="BY1" s="2"/>
      <c r="BZ1" s="2"/>
      <c r="CA1" s="458" t="s">
        <v>414</v>
      </c>
      <c r="CB1" s="432"/>
      <c r="CC1" s="432"/>
      <c r="CD1" s="432"/>
      <c r="CE1" s="432"/>
      <c r="CF1" s="432"/>
      <c r="CG1" s="432"/>
      <c r="CH1" s="432"/>
      <c r="CI1" s="432"/>
      <c r="CJ1" s="432"/>
      <c r="CK1" s="433" t="s">
        <v>414</v>
      </c>
      <c r="CL1" s="432"/>
      <c r="CM1" s="432"/>
      <c r="CN1" s="432"/>
      <c r="CO1" s="432"/>
      <c r="CP1" s="432"/>
      <c r="CQ1" s="432"/>
      <c r="CR1" s="432"/>
      <c r="CS1" s="433" t="s">
        <v>414</v>
      </c>
      <c r="CT1" s="432"/>
      <c r="CU1" s="432"/>
      <c r="CV1" s="434"/>
      <c r="CW1" s="434"/>
      <c r="CX1" s="434"/>
      <c r="CY1" s="434"/>
      <c r="CZ1" s="434"/>
      <c r="DA1" s="433" t="s">
        <v>414</v>
      </c>
      <c r="DB1" s="432"/>
      <c r="DC1" s="432"/>
      <c r="DD1" s="432"/>
      <c r="DE1" s="432"/>
      <c r="DF1" s="435"/>
      <c r="DG1" s="436"/>
      <c r="DH1" s="433" t="s">
        <v>414</v>
      </c>
      <c r="DI1" s="437"/>
    </row>
    <row r="2" spans="1:113" s="438" customFormat="1" ht="15.75">
      <c r="A2" s="2" t="s">
        <v>0</v>
      </c>
      <c r="B2" s="2"/>
      <c r="C2" s="2"/>
      <c r="D2" s="2"/>
      <c r="E2" s="2"/>
      <c r="F2" s="458" t="s">
        <v>415</v>
      </c>
      <c r="G2" s="2" t="s">
        <v>0</v>
      </c>
      <c r="H2" s="2"/>
      <c r="I2" s="2"/>
      <c r="J2" s="2"/>
      <c r="K2" s="458" t="s">
        <v>415</v>
      </c>
      <c r="L2" s="2"/>
      <c r="M2" s="2"/>
      <c r="N2" s="2"/>
      <c r="O2" s="458" t="s">
        <v>415</v>
      </c>
      <c r="P2" s="2"/>
      <c r="Q2" s="2"/>
      <c r="R2" s="2"/>
      <c r="S2" s="458" t="s">
        <v>415</v>
      </c>
      <c r="T2" s="2"/>
      <c r="U2" s="2"/>
      <c r="V2" s="2"/>
      <c r="W2" s="458" t="s">
        <v>415</v>
      </c>
      <c r="X2" s="2"/>
      <c r="Y2" s="3"/>
      <c r="Z2" s="3"/>
      <c r="AA2" s="458" t="s">
        <v>415</v>
      </c>
      <c r="AB2" s="2"/>
      <c r="AC2" s="2"/>
      <c r="AD2" s="4"/>
      <c r="AE2" s="2"/>
      <c r="AF2" s="458" t="s">
        <v>415</v>
      </c>
      <c r="AG2" s="2"/>
      <c r="AH2" s="2"/>
      <c r="AI2" s="2"/>
      <c r="AJ2" s="2"/>
      <c r="AK2" s="458" t="s">
        <v>415</v>
      </c>
      <c r="AL2" s="2"/>
      <c r="AM2" s="2"/>
      <c r="AN2" s="2"/>
      <c r="AO2" s="458" t="s">
        <v>415</v>
      </c>
      <c r="AP2" s="2"/>
      <c r="AQ2" s="5"/>
      <c r="AR2" s="5"/>
      <c r="AS2" s="458" t="s">
        <v>415</v>
      </c>
      <c r="AT2" s="2"/>
      <c r="AU2" s="2"/>
      <c r="AV2" s="2"/>
      <c r="AW2" s="2"/>
      <c r="AX2" s="458" t="s">
        <v>415</v>
      </c>
      <c r="AY2" s="2"/>
      <c r="AZ2" s="2"/>
      <c r="BA2" s="2"/>
      <c r="BB2" s="2"/>
      <c r="BC2" s="458" t="s">
        <v>415</v>
      </c>
      <c r="BD2" s="2"/>
      <c r="BE2" s="2"/>
      <c r="BF2" s="2"/>
      <c r="BG2" s="2"/>
      <c r="BH2" s="2"/>
      <c r="BI2" s="2"/>
      <c r="BJ2" s="458" t="s">
        <v>415</v>
      </c>
      <c r="BK2" s="2"/>
      <c r="BL2" s="2"/>
      <c r="BM2" s="2"/>
      <c r="BN2" s="458" t="s">
        <v>415</v>
      </c>
      <c r="BO2" s="2"/>
      <c r="BP2" s="2"/>
      <c r="BQ2" s="2"/>
      <c r="BR2" s="458" t="s">
        <v>415</v>
      </c>
      <c r="BS2" s="2"/>
      <c r="BT2" s="2"/>
      <c r="BU2" s="2"/>
      <c r="BV2" s="458" t="s">
        <v>415</v>
      </c>
      <c r="BW2" s="2"/>
      <c r="BX2" s="2"/>
      <c r="BY2" s="2"/>
      <c r="BZ2" s="2"/>
      <c r="CA2" s="458" t="s">
        <v>415</v>
      </c>
      <c r="CB2" s="432"/>
      <c r="CC2" s="432"/>
      <c r="CD2" s="432"/>
      <c r="CE2" s="432"/>
      <c r="CF2" s="432"/>
      <c r="CG2" s="432"/>
      <c r="CH2" s="432"/>
      <c r="CI2" s="432"/>
      <c r="CJ2" s="432"/>
      <c r="CK2" s="433" t="s">
        <v>415</v>
      </c>
      <c r="CL2" s="432"/>
      <c r="CM2" s="432"/>
      <c r="CN2" s="432"/>
      <c r="CO2" s="432"/>
      <c r="CP2" s="432"/>
      <c r="CQ2" s="432"/>
      <c r="CR2" s="432"/>
      <c r="CS2" s="433" t="s">
        <v>415</v>
      </c>
      <c r="CT2" s="432"/>
      <c r="CU2" s="432"/>
      <c r="CV2" s="434"/>
      <c r="CW2" s="434"/>
      <c r="CX2" s="434"/>
      <c r="CY2" s="434"/>
      <c r="CZ2" s="434"/>
      <c r="DA2" s="433" t="s">
        <v>415</v>
      </c>
      <c r="DB2" s="432"/>
      <c r="DC2" s="432"/>
      <c r="DD2" s="432"/>
      <c r="DE2" s="432"/>
      <c r="DF2" s="435"/>
      <c r="DG2" s="436"/>
      <c r="DH2" s="433" t="s">
        <v>415</v>
      </c>
      <c r="DI2" s="437"/>
    </row>
    <row r="3" spans="1:113" s="445" customFormat="1" ht="22.5" customHeight="1" thickBot="1">
      <c r="A3" s="131"/>
      <c r="B3" s="131"/>
      <c r="C3" s="131"/>
      <c r="D3" s="131"/>
      <c r="E3" s="131"/>
      <c r="F3" s="458" t="s">
        <v>418</v>
      </c>
      <c r="G3" s="131"/>
      <c r="H3" s="131"/>
      <c r="I3" s="131"/>
      <c r="J3" s="131"/>
      <c r="K3" s="458" t="s">
        <v>417</v>
      </c>
      <c r="L3" s="131"/>
      <c r="M3" s="131"/>
      <c r="N3" s="131"/>
      <c r="O3" s="458" t="s">
        <v>416</v>
      </c>
      <c r="P3" s="131"/>
      <c r="Q3" s="131"/>
      <c r="R3" s="131"/>
      <c r="S3" s="458" t="s">
        <v>419</v>
      </c>
      <c r="T3" s="131"/>
      <c r="U3" s="131"/>
      <c r="V3" s="131"/>
      <c r="W3" s="458" t="s">
        <v>420</v>
      </c>
      <c r="X3" s="131"/>
      <c r="Y3" s="424"/>
      <c r="Z3" s="424"/>
      <c r="AA3" s="458" t="s">
        <v>421</v>
      </c>
      <c r="AB3" s="131"/>
      <c r="AC3" s="131"/>
      <c r="AD3" s="425"/>
      <c r="AE3" s="131"/>
      <c r="AF3" s="458" t="s">
        <v>422</v>
      </c>
      <c r="AG3" s="131"/>
      <c r="AH3" s="131"/>
      <c r="AI3" s="131"/>
      <c r="AJ3" s="131"/>
      <c r="AK3" s="458" t="s">
        <v>423</v>
      </c>
      <c r="AL3" s="131"/>
      <c r="AM3" s="131"/>
      <c r="AN3" s="131"/>
      <c r="AO3" s="458" t="s">
        <v>424</v>
      </c>
      <c r="AP3" s="131"/>
      <c r="AQ3" s="221"/>
      <c r="AR3" s="221"/>
      <c r="AS3" s="458" t="s">
        <v>425</v>
      </c>
      <c r="AT3" s="131"/>
      <c r="AU3" s="131"/>
      <c r="AV3" s="131"/>
      <c r="AW3" s="131"/>
      <c r="AX3" s="458" t="s">
        <v>426</v>
      </c>
      <c r="AY3" s="131"/>
      <c r="AZ3" s="131"/>
      <c r="BA3" s="131"/>
      <c r="BB3" s="131"/>
      <c r="BC3" s="458" t="s">
        <v>427</v>
      </c>
      <c r="BD3" s="131"/>
      <c r="BE3" s="131"/>
      <c r="BF3" s="131"/>
      <c r="BG3" s="131"/>
      <c r="BH3" s="131"/>
      <c r="BI3" s="131"/>
      <c r="BJ3" s="458" t="s">
        <v>428</v>
      </c>
      <c r="BK3" s="131"/>
      <c r="BL3" s="131"/>
      <c r="BM3" s="131"/>
      <c r="BN3" s="458" t="s">
        <v>429</v>
      </c>
      <c r="BO3" s="131"/>
      <c r="BP3" s="131"/>
      <c r="BQ3" s="131"/>
      <c r="BR3" s="458" t="s">
        <v>430</v>
      </c>
      <c r="BS3" s="131"/>
      <c r="BT3" s="131"/>
      <c r="BU3" s="131"/>
      <c r="BV3" s="458" t="s">
        <v>431</v>
      </c>
      <c r="BW3" s="131"/>
      <c r="BX3" s="131"/>
      <c r="BY3" s="131"/>
      <c r="BZ3" s="131"/>
      <c r="CA3" s="458" t="s">
        <v>434</v>
      </c>
      <c r="CB3" s="439"/>
      <c r="CC3" s="439"/>
      <c r="CD3" s="439"/>
      <c r="CE3" s="439"/>
      <c r="CF3" s="439"/>
      <c r="CG3" s="439"/>
      <c r="CH3" s="439"/>
      <c r="CI3" s="439"/>
      <c r="CJ3" s="439"/>
      <c r="CK3" s="440" t="s">
        <v>440</v>
      </c>
      <c r="CL3" s="439"/>
      <c r="CM3" s="439"/>
      <c r="CN3" s="439"/>
      <c r="CO3" s="439"/>
      <c r="CP3" s="439"/>
      <c r="CQ3" s="439"/>
      <c r="CR3" s="439"/>
      <c r="CS3" s="440" t="s">
        <v>441</v>
      </c>
      <c r="CT3" s="439"/>
      <c r="CU3" s="439"/>
      <c r="CV3" s="441"/>
      <c r="CW3" s="441"/>
      <c r="CX3" s="441"/>
      <c r="CY3" s="441"/>
      <c r="CZ3" s="441"/>
      <c r="DA3" s="440" t="s">
        <v>442</v>
      </c>
      <c r="DB3" s="439"/>
      <c r="DC3" s="439"/>
      <c r="DD3" s="439"/>
      <c r="DE3" s="439"/>
      <c r="DF3" s="442"/>
      <c r="DG3" s="443"/>
      <c r="DH3" s="440" t="s">
        <v>443</v>
      </c>
      <c r="DI3" s="444"/>
    </row>
    <row r="4" spans="1:113" s="431" customFormat="1" ht="21" customHeight="1" thickBot="1" thickTop="1">
      <c r="A4" s="131"/>
      <c r="B4" s="131"/>
      <c r="C4" s="131"/>
      <c r="D4" s="131"/>
      <c r="E4" s="131"/>
      <c r="F4" s="430" t="s">
        <v>1</v>
      </c>
      <c r="G4" s="131"/>
      <c r="H4" s="131"/>
      <c r="I4" s="131"/>
      <c r="J4" s="131"/>
      <c r="K4" s="454" t="s">
        <v>2</v>
      </c>
      <c r="L4" s="131"/>
      <c r="M4" s="423" t="s">
        <v>0</v>
      </c>
      <c r="N4" s="131"/>
      <c r="O4" s="454" t="s">
        <v>3</v>
      </c>
      <c r="P4" s="131"/>
      <c r="Q4" s="131"/>
      <c r="R4" s="131"/>
      <c r="S4" s="454" t="s">
        <v>4</v>
      </c>
      <c r="T4" s="131"/>
      <c r="U4" s="131"/>
      <c r="V4" s="131"/>
      <c r="W4" s="454" t="s">
        <v>5</v>
      </c>
      <c r="X4" s="131"/>
      <c r="Y4" s="424"/>
      <c r="Z4" s="424"/>
      <c r="AA4" s="454" t="s">
        <v>6</v>
      </c>
      <c r="AB4" s="131"/>
      <c r="AC4" s="131"/>
      <c r="AD4" s="425"/>
      <c r="AE4" s="131"/>
      <c r="AF4" s="454" t="s">
        <v>7</v>
      </c>
      <c r="AG4" s="131"/>
      <c r="AH4" s="131"/>
      <c r="AI4" s="131"/>
      <c r="AJ4" s="131"/>
      <c r="AK4" s="454" t="s">
        <v>8</v>
      </c>
      <c r="AL4" s="131"/>
      <c r="AM4" s="131"/>
      <c r="AN4" s="131"/>
      <c r="AO4" s="454" t="s">
        <v>9</v>
      </c>
      <c r="AP4" s="221"/>
      <c r="AQ4" s="221"/>
      <c r="AR4" s="221"/>
      <c r="AS4" s="454" t="s">
        <v>10</v>
      </c>
      <c r="AT4" s="131"/>
      <c r="AU4" s="131"/>
      <c r="AV4" s="131"/>
      <c r="AW4" s="131"/>
      <c r="AX4" s="454" t="s">
        <v>11</v>
      </c>
      <c r="AY4" s="131"/>
      <c r="AZ4" s="131"/>
      <c r="BA4" s="131"/>
      <c r="BB4" s="131"/>
      <c r="BC4" s="454" t="s">
        <v>12</v>
      </c>
      <c r="BD4" s="131"/>
      <c r="BE4" s="131"/>
      <c r="BF4" s="131"/>
      <c r="BG4" s="131"/>
      <c r="BH4" s="131"/>
      <c r="BI4" s="131"/>
      <c r="BJ4" s="454" t="s">
        <v>13</v>
      </c>
      <c r="BK4" s="131"/>
      <c r="BL4" s="131"/>
      <c r="BM4" s="131"/>
      <c r="BN4" s="454" t="s">
        <v>14</v>
      </c>
      <c r="BO4" s="131"/>
      <c r="BP4" s="131"/>
      <c r="BQ4" s="131"/>
      <c r="BR4" s="454" t="s">
        <v>15</v>
      </c>
      <c r="BS4" s="426"/>
      <c r="BT4" s="426"/>
      <c r="BU4" s="426"/>
      <c r="BV4" s="430" t="s">
        <v>16</v>
      </c>
      <c r="BW4" s="131"/>
      <c r="BX4" s="131"/>
      <c r="BY4" s="131"/>
      <c r="BZ4" s="131"/>
      <c r="CA4" s="454" t="s">
        <v>17</v>
      </c>
      <c r="CB4" s="131"/>
      <c r="CC4" s="131"/>
      <c r="CD4" s="131"/>
      <c r="CE4" s="131"/>
      <c r="CF4" s="131"/>
      <c r="CG4" s="131"/>
      <c r="CH4" s="131"/>
      <c r="CI4" s="131"/>
      <c r="CJ4" s="131"/>
      <c r="CK4" s="427" t="s">
        <v>18</v>
      </c>
      <c r="CL4" s="131"/>
      <c r="CM4" s="131"/>
      <c r="CN4" s="131"/>
      <c r="CO4" s="131"/>
      <c r="CP4" s="131"/>
      <c r="CQ4" s="131"/>
      <c r="CR4" s="131"/>
      <c r="CS4" s="427" t="s">
        <v>19</v>
      </c>
      <c r="CT4" s="131"/>
      <c r="CU4" s="131"/>
      <c r="CV4" s="428"/>
      <c r="CW4" s="428"/>
      <c r="CX4" s="428"/>
      <c r="CY4" s="428"/>
      <c r="CZ4" s="428"/>
      <c r="DA4" s="427" t="s">
        <v>20</v>
      </c>
      <c r="DB4" s="428"/>
      <c r="DC4" s="428"/>
      <c r="DD4" s="428"/>
      <c r="DE4" s="428"/>
      <c r="DF4" s="429"/>
      <c r="DG4" s="429"/>
      <c r="DH4" s="430" t="s">
        <v>21</v>
      </c>
      <c r="DI4" s="245"/>
    </row>
    <row r="5" spans="1:113" ht="12.75" customHeight="1" thickTop="1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"/>
      <c r="R5" s="14"/>
      <c r="S5" s="12"/>
      <c r="T5" s="12"/>
      <c r="U5" s="12"/>
      <c r="V5" s="12"/>
      <c r="W5" s="12"/>
      <c r="X5" s="15"/>
      <c r="Y5" s="12"/>
      <c r="Z5" s="12"/>
      <c r="AA5" s="12"/>
      <c r="AB5" s="12"/>
      <c r="AC5" s="12"/>
      <c r="AD5" s="16"/>
      <c r="AE5" s="12"/>
      <c r="AF5" s="12"/>
      <c r="AG5" s="12"/>
      <c r="AH5" s="12"/>
      <c r="AI5" s="12"/>
      <c r="AJ5" s="12"/>
      <c r="AK5" s="12"/>
      <c r="AL5" s="287"/>
      <c r="AM5" s="9"/>
      <c r="AN5" s="9"/>
      <c r="AO5" s="12"/>
      <c r="AP5" s="12"/>
      <c r="AQ5" s="12"/>
      <c r="AR5" s="12"/>
      <c r="AS5" s="12"/>
      <c r="AT5" s="9"/>
      <c r="AU5" s="9"/>
      <c r="AV5" s="9"/>
      <c r="AW5" s="9"/>
      <c r="AX5" s="12"/>
      <c r="AY5" s="9"/>
      <c r="AZ5" s="9"/>
      <c r="BA5" s="9"/>
      <c r="BB5" s="9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7"/>
      <c r="BT5" s="17"/>
      <c r="BU5" s="17"/>
      <c r="BV5" s="17"/>
      <c r="BW5" s="12"/>
      <c r="BX5" s="10"/>
      <c r="BY5" s="10"/>
      <c r="BZ5" s="10"/>
      <c r="CA5" s="12"/>
      <c r="CB5" s="9"/>
      <c r="CC5" s="18" t="s">
        <v>22</v>
      </c>
      <c r="CD5" s="10"/>
      <c r="CE5" s="10"/>
      <c r="CF5" s="10"/>
      <c r="CG5" s="10"/>
      <c r="CH5" s="10"/>
      <c r="CI5" s="10"/>
      <c r="CJ5" s="10"/>
      <c r="CK5" s="10"/>
      <c r="CL5" s="18" t="s">
        <v>22</v>
      </c>
      <c r="CM5" s="10"/>
      <c r="CN5" s="10"/>
      <c r="CO5" s="10"/>
      <c r="CP5" s="10"/>
      <c r="CQ5" s="10"/>
      <c r="CR5" s="10"/>
      <c r="CS5" s="10"/>
      <c r="CT5" s="18" t="s">
        <v>22</v>
      </c>
      <c r="CU5" s="10"/>
      <c r="CV5" s="10"/>
      <c r="CW5" s="10"/>
      <c r="CX5" s="10"/>
      <c r="CY5" s="10"/>
      <c r="CZ5" s="10"/>
      <c r="DA5" s="10"/>
      <c r="DB5" s="18" t="str">
        <f>PSPL</f>
        <v>PUGET SOUND ENERGY-GAS </v>
      </c>
      <c r="DC5" s="10"/>
      <c r="DD5" s="10"/>
      <c r="DE5" s="10"/>
      <c r="DF5" s="19"/>
      <c r="DG5" s="10"/>
      <c r="DH5" s="10"/>
      <c r="DI5" s="10"/>
    </row>
    <row r="6" spans="1:113" ht="12.75" customHeight="1">
      <c r="A6" s="18" t="s">
        <v>23</v>
      </c>
      <c r="B6" s="10"/>
      <c r="C6" s="10"/>
      <c r="D6" s="10"/>
      <c r="E6" s="10"/>
      <c r="F6" s="10"/>
      <c r="G6" s="18" t="str">
        <f>PSPL</f>
        <v>PUGET SOUND ENERGY-GAS </v>
      </c>
      <c r="H6" s="10"/>
      <c r="I6" s="10"/>
      <c r="J6" s="10"/>
      <c r="K6" s="20"/>
      <c r="L6" s="18" t="str">
        <f>PSPL</f>
        <v>PUGET SOUND ENERGY-GAS </v>
      </c>
      <c r="M6" s="10"/>
      <c r="N6" s="10"/>
      <c r="O6" s="10"/>
      <c r="P6" s="18" t="str">
        <f>PSPL</f>
        <v>PUGET SOUND ENERGY-GAS </v>
      </c>
      <c r="Q6" s="10"/>
      <c r="R6" s="10"/>
      <c r="S6" s="10"/>
      <c r="T6" s="18" t="str">
        <f>PSPL</f>
        <v>PUGET SOUND ENERGY-GAS </v>
      </c>
      <c r="U6" s="10"/>
      <c r="V6" s="10"/>
      <c r="W6" s="21"/>
      <c r="X6" s="10" t="str">
        <f>PSPL</f>
        <v>PUGET SOUND ENERGY-GAS </v>
      </c>
      <c r="Y6" s="10"/>
      <c r="Z6" s="10"/>
      <c r="AA6" s="10"/>
      <c r="AB6" s="18" t="str">
        <f>PSPL</f>
        <v>PUGET SOUND ENERGY-GAS </v>
      </c>
      <c r="AC6" s="10"/>
      <c r="AD6" s="22"/>
      <c r="AE6" s="10"/>
      <c r="AF6" s="10"/>
      <c r="AG6" s="18" t="str">
        <f>PSPL</f>
        <v>PUGET SOUND ENERGY-GAS </v>
      </c>
      <c r="AH6" s="10"/>
      <c r="AI6" s="10"/>
      <c r="AJ6" s="10"/>
      <c r="AK6" s="10"/>
      <c r="AL6" s="18" t="str">
        <f>PSPL</f>
        <v>PUGET SOUND ENERGY-GAS </v>
      </c>
      <c r="AM6" s="10"/>
      <c r="AN6" s="10"/>
      <c r="AO6" s="10"/>
      <c r="AP6" s="18" t="str">
        <f>PSPL</f>
        <v>PUGET SOUND ENERGY-GAS </v>
      </c>
      <c r="AQ6" s="10"/>
      <c r="AR6" s="10"/>
      <c r="AS6" s="10"/>
      <c r="AT6" s="18" t="str">
        <f>PSPL</f>
        <v>PUGET SOUND ENERGY-GAS </v>
      </c>
      <c r="AU6" s="10"/>
      <c r="AV6" s="10"/>
      <c r="AW6" s="10"/>
      <c r="AX6" s="10"/>
      <c r="AY6" s="18" t="str">
        <f>PSPL</f>
        <v>PUGET SOUND ENERGY-GAS </v>
      </c>
      <c r="AZ6" s="10"/>
      <c r="BA6" s="10"/>
      <c r="BB6" s="10"/>
      <c r="BC6" s="10"/>
      <c r="BD6" s="18" t="str">
        <f>PSPL</f>
        <v>PUGET SOUND ENERGY-GAS </v>
      </c>
      <c r="BE6" s="10"/>
      <c r="BF6" s="10"/>
      <c r="BG6" s="10"/>
      <c r="BH6" s="10"/>
      <c r="BI6" s="10"/>
      <c r="BJ6" s="10"/>
      <c r="BK6" s="18" t="str">
        <f>PSPL</f>
        <v>PUGET SOUND ENERGY-GAS </v>
      </c>
      <c r="BL6" s="18"/>
      <c r="BM6" s="18"/>
      <c r="BN6" s="10"/>
      <c r="BO6" s="18" t="str">
        <f>PSPL</f>
        <v>PUGET SOUND ENERGY-GAS </v>
      </c>
      <c r="BP6" s="18"/>
      <c r="BQ6" s="18"/>
      <c r="BR6" s="18"/>
      <c r="BS6" s="18" t="str">
        <f>PSPL</f>
        <v>PUGET SOUND ENERGY-GAS </v>
      </c>
      <c r="BT6" s="23"/>
      <c r="BU6" s="23"/>
      <c r="BV6" s="23"/>
      <c r="BW6" s="18" t="str">
        <f>PSPL</f>
        <v>PUGET SOUND ENERGY-GAS </v>
      </c>
      <c r="BX6" s="10"/>
      <c r="BY6" s="10"/>
      <c r="BZ6" s="10"/>
      <c r="CA6" s="10"/>
      <c r="CB6" s="17"/>
      <c r="CC6" s="18" t="s">
        <v>24</v>
      </c>
      <c r="CD6" s="10"/>
      <c r="CE6" s="10"/>
      <c r="CF6" s="24"/>
      <c r="CG6" s="10"/>
      <c r="CH6" s="18"/>
      <c r="CI6" s="18"/>
      <c r="CJ6" s="18"/>
      <c r="CK6" s="18"/>
      <c r="CL6" s="18" t="s">
        <v>24</v>
      </c>
      <c r="CM6" s="18"/>
      <c r="CN6" s="24"/>
      <c r="CO6" s="18"/>
      <c r="CP6" s="10"/>
      <c r="CQ6" s="10"/>
      <c r="CR6" s="10"/>
      <c r="CS6" s="10"/>
      <c r="CT6" s="18" t="s">
        <v>24</v>
      </c>
      <c r="CU6" s="10"/>
      <c r="CV6" s="10"/>
      <c r="CW6" s="10"/>
      <c r="CX6" s="10"/>
      <c r="CY6" s="10"/>
      <c r="CZ6" s="18"/>
      <c r="DA6" s="10"/>
      <c r="DB6" s="18" t="s">
        <v>25</v>
      </c>
      <c r="DC6" s="18"/>
      <c r="DD6" s="18"/>
      <c r="DE6" s="18"/>
      <c r="DF6" s="18"/>
      <c r="DG6" s="10"/>
      <c r="DH6" s="10"/>
      <c r="DI6" s="10"/>
    </row>
    <row r="7" spans="1:113" ht="12.75" customHeight="1">
      <c r="A7" s="18" t="s">
        <v>27</v>
      </c>
      <c r="B7" s="18"/>
      <c r="C7" s="18"/>
      <c r="D7" s="18"/>
      <c r="E7" s="10"/>
      <c r="F7" s="26"/>
      <c r="G7" s="10" t="s">
        <v>28</v>
      </c>
      <c r="H7" s="10"/>
      <c r="I7" s="10"/>
      <c r="J7" s="10"/>
      <c r="K7" s="20"/>
      <c r="L7" s="10" t="s">
        <v>29</v>
      </c>
      <c r="M7" s="10"/>
      <c r="N7" s="10"/>
      <c r="O7" s="27"/>
      <c r="P7" s="18" t="s">
        <v>30</v>
      </c>
      <c r="Q7" s="10"/>
      <c r="R7" s="18"/>
      <c r="S7" s="10"/>
      <c r="T7" s="10" t="s">
        <v>31</v>
      </c>
      <c r="U7" s="10"/>
      <c r="V7" s="27"/>
      <c r="W7" s="21"/>
      <c r="X7" s="18" t="s">
        <v>32</v>
      </c>
      <c r="Y7" s="10"/>
      <c r="Z7" s="10"/>
      <c r="AA7" s="10"/>
      <c r="AB7" s="10" t="s">
        <v>33</v>
      </c>
      <c r="AC7" s="10"/>
      <c r="AD7" s="22"/>
      <c r="AE7" s="10"/>
      <c r="AF7" s="27"/>
      <c r="AG7" s="10" t="s">
        <v>34</v>
      </c>
      <c r="AH7" s="10"/>
      <c r="AI7" s="10"/>
      <c r="AJ7" s="10"/>
      <c r="AK7" s="27"/>
      <c r="AL7" s="18" t="s">
        <v>35</v>
      </c>
      <c r="AM7" s="27"/>
      <c r="AN7" s="27"/>
      <c r="AO7" s="27"/>
      <c r="AP7" s="10" t="s">
        <v>36</v>
      </c>
      <c r="AQ7" s="10"/>
      <c r="AR7" s="10"/>
      <c r="AS7" s="27"/>
      <c r="AT7" s="18" t="s">
        <v>37</v>
      </c>
      <c r="AU7" s="27"/>
      <c r="AV7" s="27"/>
      <c r="AW7" s="27"/>
      <c r="AX7" s="27"/>
      <c r="AY7" s="18" t="s">
        <v>38</v>
      </c>
      <c r="AZ7" s="27"/>
      <c r="BA7" s="27"/>
      <c r="BB7" s="27"/>
      <c r="BC7" s="27"/>
      <c r="BD7" s="10" t="s">
        <v>39</v>
      </c>
      <c r="BE7" s="10"/>
      <c r="BF7" s="10"/>
      <c r="BG7" s="10"/>
      <c r="BH7" s="10"/>
      <c r="BI7" s="10"/>
      <c r="BJ7" s="27"/>
      <c r="BK7" s="10" t="s">
        <v>40</v>
      </c>
      <c r="BL7" s="10"/>
      <c r="BM7" s="10"/>
      <c r="BN7" s="10"/>
      <c r="BO7" s="10" t="s">
        <v>41</v>
      </c>
      <c r="BP7" s="10"/>
      <c r="BQ7" s="10"/>
      <c r="BR7" s="10"/>
      <c r="BS7" s="10" t="s">
        <v>42</v>
      </c>
      <c r="BT7" s="23"/>
      <c r="BU7" s="23"/>
      <c r="BV7" s="23"/>
      <c r="BW7" s="10" t="s">
        <v>43</v>
      </c>
      <c r="BX7" s="10"/>
      <c r="BY7" s="10"/>
      <c r="BZ7" s="10"/>
      <c r="CA7" s="10"/>
      <c r="CB7" s="17"/>
      <c r="CC7" s="10" t="str">
        <f>TESTYEAR</f>
        <v>FOR THE TWELVE MONTHS ENDED SEPTEMBER 30, 2003</v>
      </c>
      <c r="CD7" s="10"/>
      <c r="CE7" s="10"/>
      <c r="CF7" s="10"/>
      <c r="CG7" s="10"/>
      <c r="CH7" s="18"/>
      <c r="CI7" s="18"/>
      <c r="CJ7" s="18"/>
      <c r="CK7" s="18"/>
      <c r="CL7" s="10" t="str">
        <f>TESTYEAR</f>
        <v>FOR THE TWELVE MONTHS ENDED SEPTEMBER 30, 2003</v>
      </c>
      <c r="CM7" s="18"/>
      <c r="CN7" s="10"/>
      <c r="CO7" s="10"/>
      <c r="CP7" s="10"/>
      <c r="CQ7" s="10"/>
      <c r="CR7" s="10"/>
      <c r="CS7" s="28"/>
      <c r="CT7" s="10" t="str">
        <f>TESTYEAR</f>
        <v>FOR THE TWELVE MONTHS ENDED SEPTEMBER 30, 2003</v>
      </c>
      <c r="CU7" s="10"/>
      <c r="CV7" s="10"/>
      <c r="CW7" s="10"/>
      <c r="CX7" s="10"/>
      <c r="CY7" s="10"/>
      <c r="CZ7" s="18"/>
      <c r="DA7" s="10"/>
      <c r="DB7" s="10" t="str">
        <f>TESTYEAR</f>
        <v>FOR THE TWELVE MONTHS ENDED SEPTEMBER 30, 2003</v>
      </c>
      <c r="DC7" s="18"/>
      <c r="DD7" s="18"/>
      <c r="DE7" s="18"/>
      <c r="DF7" s="18"/>
      <c r="DG7" s="10"/>
      <c r="DH7" s="10"/>
      <c r="DI7" s="10"/>
    </row>
    <row r="8" spans="1:113" ht="12.75" customHeight="1">
      <c r="A8" s="10" t="s">
        <v>44</v>
      </c>
      <c r="B8" s="18"/>
      <c r="C8" s="18"/>
      <c r="D8" s="18"/>
      <c r="E8" s="10"/>
      <c r="F8" s="28"/>
      <c r="G8" s="10" t="str">
        <f>TESTYEAR</f>
        <v>FOR THE TWELVE MONTHS ENDED SEPTEMBER 30, 2003</v>
      </c>
      <c r="H8" s="10"/>
      <c r="I8" s="10"/>
      <c r="J8" s="10"/>
      <c r="K8" s="20"/>
      <c r="L8" s="10" t="str">
        <f>TESTYEAR</f>
        <v>FOR THE TWELVE MONTHS ENDED SEPTEMBER 30, 2003</v>
      </c>
      <c r="M8" s="10"/>
      <c r="N8" s="10"/>
      <c r="O8" s="28"/>
      <c r="P8" s="10" t="str">
        <f>TESTYEAR</f>
        <v>FOR THE TWELVE MONTHS ENDED SEPTEMBER 30, 2003</v>
      </c>
      <c r="Q8" s="10"/>
      <c r="R8" s="18"/>
      <c r="S8" s="10"/>
      <c r="T8" s="10" t="str">
        <f>TESTYEAR</f>
        <v>FOR THE TWELVE MONTHS ENDED SEPTEMBER 30, 2003</v>
      </c>
      <c r="U8" s="10"/>
      <c r="V8" s="28"/>
      <c r="W8" s="21"/>
      <c r="X8" s="18" t="str">
        <f>TESTYEAR</f>
        <v>FOR THE TWELVE MONTHS ENDED SEPTEMBER 30, 2003</v>
      </c>
      <c r="Y8" s="10"/>
      <c r="Z8" s="10"/>
      <c r="AA8" s="10"/>
      <c r="AB8" s="10" t="str">
        <f>TESTYEAR</f>
        <v>FOR THE TWELVE MONTHS ENDED SEPTEMBER 30, 2003</v>
      </c>
      <c r="AC8" s="10"/>
      <c r="AD8" s="22"/>
      <c r="AE8" s="10"/>
      <c r="AF8" s="28"/>
      <c r="AG8" s="10" t="str">
        <f>TESTYEAR</f>
        <v>FOR THE TWELVE MONTHS ENDED SEPTEMBER 30, 2003</v>
      </c>
      <c r="AH8" s="18"/>
      <c r="AI8" s="10"/>
      <c r="AJ8" s="10"/>
      <c r="AK8" s="29"/>
      <c r="AL8" s="10" t="str">
        <f>TESTYEAR</f>
        <v>FOR THE TWELVE MONTHS ENDED SEPTEMBER 30, 2003</v>
      </c>
      <c r="AM8" s="28"/>
      <c r="AN8" s="28"/>
      <c r="AO8" s="28"/>
      <c r="AP8" s="10" t="str">
        <f>TESTYEAR</f>
        <v>FOR THE TWELVE MONTHS ENDED SEPTEMBER 30, 2003</v>
      </c>
      <c r="AQ8" s="18"/>
      <c r="AR8" s="10"/>
      <c r="AS8" s="28"/>
      <c r="AT8" s="10" t="str">
        <f>TESTYEAR</f>
        <v>FOR THE TWELVE MONTHS ENDED SEPTEMBER 30, 2003</v>
      </c>
      <c r="AU8" s="28"/>
      <c r="AV8" s="28"/>
      <c r="AW8" s="28"/>
      <c r="AX8" s="28"/>
      <c r="AY8" s="10" t="str">
        <f>TESTYEAR</f>
        <v>FOR THE TWELVE MONTHS ENDED SEPTEMBER 30, 2003</v>
      </c>
      <c r="AZ8" s="28"/>
      <c r="BA8" s="28"/>
      <c r="BB8" s="28"/>
      <c r="BC8" s="28"/>
      <c r="BD8" s="10" t="str">
        <f>TESTYEAR</f>
        <v>FOR THE TWELVE MONTHS ENDED SEPTEMBER 30, 2003</v>
      </c>
      <c r="BE8" s="10"/>
      <c r="BF8" s="10"/>
      <c r="BG8" s="10"/>
      <c r="BH8" s="10"/>
      <c r="BI8" s="10"/>
      <c r="BJ8" s="28"/>
      <c r="BK8" s="10" t="str">
        <f>TESTYEAR</f>
        <v>FOR THE TWELVE MONTHS ENDED SEPTEMBER 30, 2003</v>
      </c>
      <c r="BL8" s="10"/>
      <c r="BM8" s="10"/>
      <c r="BN8" s="10"/>
      <c r="BO8" s="10" t="str">
        <f>TESTYEAR</f>
        <v>FOR THE TWELVE MONTHS ENDED SEPTEMBER 30, 2003</v>
      </c>
      <c r="BP8" s="10"/>
      <c r="BQ8" s="10"/>
      <c r="BR8" s="10"/>
      <c r="BS8" s="10" t="str">
        <f>TESTYEAR</f>
        <v>FOR THE TWELVE MONTHS ENDED SEPTEMBER 30, 2003</v>
      </c>
      <c r="BT8" s="23"/>
      <c r="BU8" s="23"/>
      <c r="BV8" s="23"/>
      <c r="BW8" s="10" t="str">
        <f>TESTYEAR</f>
        <v>FOR THE TWELVE MONTHS ENDED SEPTEMBER 30, 2003</v>
      </c>
      <c r="BX8" s="10"/>
      <c r="BY8" s="10"/>
      <c r="BZ8" s="10"/>
      <c r="CA8" s="10"/>
      <c r="CB8" s="17"/>
      <c r="CC8" s="18" t="s">
        <v>45</v>
      </c>
      <c r="CD8" s="10"/>
      <c r="CE8" s="10"/>
      <c r="CF8" s="10"/>
      <c r="CG8" s="10"/>
      <c r="CH8" s="10"/>
      <c r="CI8" s="10"/>
      <c r="CJ8" s="10"/>
      <c r="CK8" s="10"/>
      <c r="CL8" s="18" t="s">
        <v>45</v>
      </c>
      <c r="CM8" s="10"/>
      <c r="CN8" s="10"/>
      <c r="CO8" s="18"/>
      <c r="CP8" s="10"/>
      <c r="CQ8" s="10"/>
      <c r="CR8" s="10"/>
      <c r="CS8" s="10"/>
      <c r="CT8" s="18" t="s">
        <v>45</v>
      </c>
      <c r="CU8" s="10"/>
      <c r="CV8" s="10"/>
      <c r="CW8" s="10"/>
      <c r="CX8" s="10"/>
      <c r="CY8" s="10"/>
      <c r="CZ8" s="10"/>
      <c r="DA8" s="10"/>
      <c r="DB8" s="10" t="str">
        <f>DOCKET</f>
        <v>GENERAL RATE INCREASE</v>
      </c>
      <c r="DC8" s="10"/>
      <c r="DD8" s="10"/>
      <c r="DE8" s="10"/>
      <c r="DF8" s="10"/>
      <c r="DG8" s="10"/>
      <c r="DH8" s="10"/>
      <c r="DI8" s="10"/>
    </row>
    <row r="9" spans="1:113" ht="12.75" customHeight="1">
      <c r="A9" s="18" t="s">
        <v>46</v>
      </c>
      <c r="B9" s="18"/>
      <c r="C9" s="18"/>
      <c r="D9" s="18"/>
      <c r="E9" s="10"/>
      <c r="F9" s="10"/>
      <c r="G9" s="10" t="str">
        <f>DOCKET</f>
        <v>GENERAL RATE INCREASE</v>
      </c>
      <c r="H9" s="18"/>
      <c r="I9" s="10"/>
      <c r="J9" s="18"/>
      <c r="K9" s="20"/>
      <c r="L9" s="18" t="str">
        <f>DOCKET</f>
        <v>GENERAL RATE INCREASE</v>
      </c>
      <c r="M9" s="10"/>
      <c r="N9" s="10"/>
      <c r="O9" s="28"/>
      <c r="P9" s="18" t="str">
        <f>DOCKET</f>
        <v>GENERAL RATE INCREASE</v>
      </c>
      <c r="Q9" s="10"/>
      <c r="R9" s="18"/>
      <c r="S9" s="18"/>
      <c r="T9" s="18" t="str">
        <f>DOCKET</f>
        <v>GENERAL RATE INCREASE</v>
      </c>
      <c r="U9" s="18"/>
      <c r="V9" s="10"/>
      <c r="W9" s="21"/>
      <c r="X9" s="18" t="str">
        <f>DOCKET</f>
        <v>GENERAL RATE INCREASE</v>
      </c>
      <c r="Y9" s="10"/>
      <c r="Z9" s="10"/>
      <c r="AA9" s="10"/>
      <c r="AB9" s="10" t="str">
        <f>DOCKET</f>
        <v>GENERAL RATE INCREASE</v>
      </c>
      <c r="AC9" s="10"/>
      <c r="AD9" s="22"/>
      <c r="AE9" s="10"/>
      <c r="AF9" s="10"/>
      <c r="AG9" s="10" t="str">
        <f>DOCKET</f>
        <v>GENERAL RATE INCREASE</v>
      </c>
      <c r="AH9" s="18"/>
      <c r="AI9" s="18"/>
      <c r="AJ9" s="10"/>
      <c r="AK9" s="29"/>
      <c r="AL9" s="18" t="str">
        <f>DOCKET</f>
        <v>GENERAL RATE INCREASE</v>
      </c>
      <c r="AM9" s="10"/>
      <c r="AN9" s="10"/>
      <c r="AO9" s="10"/>
      <c r="AP9" s="18" t="str">
        <f>DOCKET</f>
        <v>GENERAL RATE INCREASE</v>
      </c>
      <c r="AQ9" s="18"/>
      <c r="AR9" s="10"/>
      <c r="AS9" s="10"/>
      <c r="AT9" s="18" t="str">
        <f>DOCKET</f>
        <v>GENERAL RATE INCREASE</v>
      </c>
      <c r="AU9" s="10"/>
      <c r="AV9" s="10"/>
      <c r="AW9" s="10"/>
      <c r="AX9" s="10"/>
      <c r="AY9" s="18" t="str">
        <f>DOCKET</f>
        <v>GENERAL RATE INCREASE</v>
      </c>
      <c r="AZ9" s="10"/>
      <c r="BA9" s="10"/>
      <c r="BB9" s="10"/>
      <c r="BC9" s="10"/>
      <c r="BD9" s="18" t="str">
        <f>DOCKET</f>
        <v>GENERAL RATE INCREASE</v>
      </c>
      <c r="BE9" s="10"/>
      <c r="BF9" s="10"/>
      <c r="BG9" s="10"/>
      <c r="BH9" s="10"/>
      <c r="BI9" s="10"/>
      <c r="BJ9" s="28"/>
      <c r="BK9" s="10" t="str">
        <f>DOCKET</f>
        <v>GENERAL RATE INCREASE</v>
      </c>
      <c r="BL9" s="10"/>
      <c r="BM9" s="10"/>
      <c r="BN9" s="10"/>
      <c r="BO9" s="18" t="str">
        <f>DOCKET</f>
        <v>GENERAL RATE INCREASE</v>
      </c>
      <c r="BP9" s="18"/>
      <c r="BQ9" s="18"/>
      <c r="BR9" s="18"/>
      <c r="BS9" s="18" t="str">
        <f>DOCKET</f>
        <v>GENERAL RATE INCREASE</v>
      </c>
      <c r="BT9" s="23"/>
      <c r="BU9" s="23"/>
      <c r="BV9" s="23"/>
      <c r="BW9" s="18" t="str">
        <f>DOCKET</f>
        <v>GENERAL RATE INCREASE</v>
      </c>
      <c r="BX9" s="10"/>
      <c r="BY9" s="10"/>
      <c r="BZ9" s="10"/>
      <c r="CA9" s="10"/>
      <c r="CB9" s="17"/>
      <c r="CC9" s="30"/>
      <c r="CD9" s="10"/>
      <c r="CE9" s="10"/>
      <c r="CF9" s="10"/>
      <c r="CG9" s="10"/>
      <c r="CH9" s="18"/>
      <c r="CI9" s="18"/>
      <c r="CJ9" s="18"/>
      <c r="CK9" s="18"/>
      <c r="CL9" s="18"/>
      <c r="CM9" s="18"/>
      <c r="CN9" s="10"/>
      <c r="CO9" s="10"/>
      <c r="CP9" s="10"/>
      <c r="CQ9" s="10"/>
      <c r="CR9" s="10"/>
      <c r="CS9" s="12"/>
      <c r="CT9" s="12"/>
      <c r="CU9" s="12"/>
      <c r="CV9" s="10"/>
      <c r="CW9" s="10"/>
      <c r="CX9" s="10"/>
      <c r="CY9" s="10"/>
      <c r="CZ9" s="18"/>
      <c r="DA9" s="10"/>
      <c r="DB9" s="12"/>
      <c r="DC9" s="10"/>
      <c r="DD9" s="10"/>
      <c r="DE9" s="10"/>
      <c r="DF9" s="10"/>
      <c r="DG9" s="10"/>
      <c r="DH9" s="10"/>
      <c r="DI9" s="10"/>
    </row>
    <row r="10" spans="1:113" ht="12.75" customHeight="1">
      <c r="A10" s="12"/>
      <c r="B10" s="12"/>
      <c r="C10" s="12"/>
      <c r="D10" s="12"/>
      <c r="E10" s="12"/>
      <c r="F10" s="12"/>
      <c r="G10" s="12"/>
      <c r="H10" s="31"/>
      <c r="I10" s="31"/>
      <c r="J10" s="31"/>
      <c r="K10" s="32"/>
      <c r="L10" s="12"/>
      <c r="M10" s="31"/>
      <c r="N10" s="11"/>
      <c r="O10" s="11"/>
      <c r="P10" s="12"/>
      <c r="Q10" s="12"/>
      <c r="R10" s="12"/>
      <c r="S10" s="12"/>
      <c r="T10" s="33"/>
      <c r="U10" s="31"/>
      <c r="V10" s="12"/>
      <c r="W10" s="34"/>
      <c r="X10" s="12"/>
      <c r="Y10" s="12"/>
      <c r="Z10" s="12"/>
      <c r="AA10" s="12"/>
      <c r="AB10" s="35"/>
      <c r="AC10" s="12"/>
      <c r="AD10" s="16"/>
      <c r="AE10" s="12"/>
      <c r="AF10" s="12"/>
      <c r="AG10" s="12"/>
      <c r="AH10" s="31"/>
      <c r="AI10" s="31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31"/>
      <c r="BF10" s="31"/>
      <c r="BG10" s="31"/>
      <c r="BH10" s="31"/>
      <c r="BI10" s="12"/>
      <c r="BJ10" s="12"/>
      <c r="BK10" s="12"/>
      <c r="BL10" s="12"/>
      <c r="BM10" s="12"/>
      <c r="BN10" s="12"/>
      <c r="BO10" s="36"/>
      <c r="BP10" s="31"/>
      <c r="BQ10" s="12"/>
      <c r="BR10" s="12"/>
      <c r="BS10" s="17"/>
      <c r="BT10" s="17"/>
      <c r="BU10" s="17"/>
      <c r="BV10" s="17"/>
      <c r="BW10" s="12"/>
      <c r="BX10" s="12"/>
      <c r="BY10" s="12"/>
      <c r="BZ10" s="12"/>
      <c r="CA10" s="12"/>
      <c r="CB10" s="12"/>
      <c r="CC10" s="12"/>
      <c r="CD10" s="12"/>
      <c r="CE10" s="37"/>
      <c r="CF10" s="38" t="s">
        <v>47</v>
      </c>
      <c r="CG10" s="38" t="s">
        <v>47</v>
      </c>
      <c r="CH10" s="38" t="s">
        <v>47</v>
      </c>
      <c r="CI10" s="38" t="s">
        <v>47</v>
      </c>
      <c r="CJ10" s="38" t="s">
        <v>47</v>
      </c>
      <c r="CK10" s="38" t="s">
        <v>47</v>
      </c>
      <c r="CL10" s="25" t="s">
        <v>26</v>
      </c>
      <c r="CM10" s="39"/>
      <c r="CN10" s="38" t="s">
        <v>47</v>
      </c>
      <c r="CO10" s="38" t="s">
        <v>47</v>
      </c>
      <c r="CP10" s="38" t="s">
        <v>47</v>
      </c>
      <c r="CQ10" s="38" t="s">
        <v>47</v>
      </c>
      <c r="CR10" s="38" t="s">
        <v>47</v>
      </c>
      <c r="CS10" s="38"/>
      <c r="CT10" s="25" t="s">
        <v>26</v>
      </c>
      <c r="CU10" s="39"/>
      <c r="CV10" s="38" t="s">
        <v>47</v>
      </c>
      <c r="CW10" s="38" t="s">
        <v>47</v>
      </c>
      <c r="CX10" s="38" t="s">
        <v>47</v>
      </c>
      <c r="CY10" s="38"/>
      <c r="CZ10" s="38" t="s">
        <v>47</v>
      </c>
      <c r="DA10" s="38" t="s">
        <v>47</v>
      </c>
      <c r="DB10" s="12"/>
      <c r="DC10" s="12"/>
      <c r="DD10" s="12"/>
      <c r="DE10" s="12"/>
      <c r="DF10" s="12"/>
      <c r="DG10" s="12"/>
      <c r="DH10" s="12"/>
      <c r="DI10" s="12"/>
    </row>
    <row r="11" spans="1:113" ht="12.75" customHeight="1">
      <c r="A11" s="40" t="s">
        <v>48</v>
      </c>
      <c r="B11" s="31"/>
      <c r="C11" s="31"/>
      <c r="D11" s="31"/>
      <c r="E11" s="12"/>
      <c r="F11" s="40"/>
      <c r="G11" s="40" t="s">
        <v>48</v>
      </c>
      <c r="H11" s="12"/>
      <c r="I11" s="12"/>
      <c r="J11" s="12"/>
      <c r="K11" s="32"/>
      <c r="L11" s="40" t="s">
        <v>48</v>
      </c>
      <c r="M11" s="12"/>
      <c r="N11" s="12"/>
      <c r="O11" s="37" t="s">
        <v>0</v>
      </c>
      <c r="P11" s="37" t="s">
        <v>48</v>
      </c>
      <c r="Q11" s="31"/>
      <c r="R11" s="36"/>
      <c r="S11" s="40"/>
      <c r="T11" s="37" t="s">
        <v>48</v>
      </c>
      <c r="U11" s="12"/>
      <c r="V11" s="33"/>
      <c r="W11" s="34"/>
      <c r="X11" s="40" t="s">
        <v>48</v>
      </c>
      <c r="Y11" s="31"/>
      <c r="Z11" s="31"/>
      <c r="AA11" s="12"/>
      <c r="AB11" s="35" t="s">
        <v>49</v>
      </c>
      <c r="AC11" s="12"/>
      <c r="AD11" s="16"/>
      <c r="AE11" s="40" t="s">
        <v>50</v>
      </c>
      <c r="AF11" s="40"/>
      <c r="AG11" s="37" t="s">
        <v>48</v>
      </c>
      <c r="AH11" s="12"/>
      <c r="AI11" s="12"/>
      <c r="AJ11" s="12"/>
      <c r="AK11" s="12"/>
      <c r="AL11" s="40" t="s">
        <v>48</v>
      </c>
      <c r="AM11" s="12"/>
      <c r="AN11" s="12"/>
      <c r="AO11" s="12"/>
      <c r="AP11" s="37" t="s">
        <v>48</v>
      </c>
      <c r="AQ11" s="12"/>
      <c r="AR11" s="12"/>
      <c r="AS11" s="12"/>
      <c r="AT11" s="40" t="s">
        <v>48</v>
      </c>
      <c r="AU11" s="12"/>
      <c r="AV11" s="12"/>
      <c r="AW11" s="12"/>
      <c r="AX11" s="12"/>
      <c r="AY11" s="40" t="s">
        <v>48</v>
      </c>
      <c r="AZ11" s="12"/>
      <c r="BA11" s="12"/>
      <c r="BB11" s="12"/>
      <c r="BC11" s="12"/>
      <c r="BD11" s="37" t="s">
        <v>48</v>
      </c>
      <c r="BE11" s="12"/>
      <c r="BF11" s="12"/>
      <c r="BG11" s="12"/>
      <c r="BH11" s="37"/>
      <c r="BI11" s="12"/>
      <c r="BJ11" s="37"/>
      <c r="BK11" s="37" t="s">
        <v>48</v>
      </c>
      <c r="BL11" s="12"/>
      <c r="BM11" s="12"/>
      <c r="BN11" s="37"/>
      <c r="BO11" s="37" t="s">
        <v>48</v>
      </c>
      <c r="BP11" s="12"/>
      <c r="BQ11" s="12"/>
      <c r="BR11" s="12"/>
      <c r="BS11" s="40" t="s">
        <v>48</v>
      </c>
      <c r="BT11" s="17"/>
      <c r="BU11" s="37"/>
      <c r="BV11" s="37"/>
      <c r="BW11" s="37" t="s">
        <v>48</v>
      </c>
      <c r="BX11" s="12"/>
      <c r="BY11" s="12"/>
      <c r="BZ11" s="12"/>
      <c r="CA11" s="12"/>
      <c r="CB11" s="12"/>
      <c r="CC11" s="12"/>
      <c r="CD11" s="12"/>
      <c r="CE11" s="37" t="s">
        <v>51</v>
      </c>
      <c r="CF11" s="11" t="s">
        <v>52</v>
      </c>
      <c r="CG11" s="11" t="s">
        <v>53</v>
      </c>
      <c r="CH11" s="11" t="s">
        <v>54</v>
      </c>
      <c r="CI11" s="11" t="s">
        <v>55</v>
      </c>
      <c r="CJ11" s="37" t="s">
        <v>31</v>
      </c>
      <c r="CK11" s="11" t="s">
        <v>56</v>
      </c>
      <c r="CL11" s="11"/>
      <c r="CM11" s="11"/>
      <c r="CN11" s="41" t="s">
        <v>57</v>
      </c>
      <c r="CO11" s="11" t="s">
        <v>58</v>
      </c>
      <c r="CP11" s="37" t="s">
        <v>59</v>
      </c>
      <c r="CQ11" s="37" t="s">
        <v>60</v>
      </c>
      <c r="CR11" s="37" t="s">
        <v>61</v>
      </c>
      <c r="CS11" s="37" t="s">
        <v>62</v>
      </c>
      <c r="CT11" s="37"/>
      <c r="CU11" s="37"/>
      <c r="CV11" s="37" t="s">
        <v>63</v>
      </c>
      <c r="CW11" s="37" t="s">
        <v>64</v>
      </c>
      <c r="CX11" s="37" t="s">
        <v>65</v>
      </c>
      <c r="CY11" s="37" t="s">
        <v>66</v>
      </c>
      <c r="CZ11" s="37" t="s">
        <v>67</v>
      </c>
      <c r="DA11" s="37" t="s">
        <v>68</v>
      </c>
      <c r="DB11" s="12"/>
      <c r="DC11" s="12"/>
      <c r="DD11" s="37" t="s">
        <v>69</v>
      </c>
      <c r="DE11" s="37"/>
      <c r="DF11" s="37" t="s">
        <v>68</v>
      </c>
      <c r="DG11" s="37" t="s">
        <v>70</v>
      </c>
      <c r="DH11" s="37" t="s">
        <v>71</v>
      </c>
      <c r="DI11" s="37"/>
    </row>
    <row r="12" spans="1:113" ht="12.75" customHeight="1">
      <c r="A12" s="42" t="s">
        <v>72</v>
      </c>
      <c r="B12" s="43" t="s">
        <v>73</v>
      </c>
      <c r="C12" s="43"/>
      <c r="D12" s="44" t="s">
        <v>69</v>
      </c>
      <c r="E12" s="44" t="s">
        <v>74</v>
      </c>
      <c r="F12" s="44" t="s">
        <v>75</v>
      </c>
      <c r="G12" s="42" t="s">
        <v>72</v>
      </c>
      <c r="H12" s="45" t="s">
        <v>73</v>
      </c>
      <c r="I12" s="43"/>
      <c r="J12" s="43"/>
      <c r="K12" s="46" t="s">
        <v>76</v>
      </c>
      <c r="L12" s="42" t="s">
        <v>72</v>
      </c>
      <c r="M12" s="45" t="s">
        <v>73</v>
      </c>
      <c r="N12" s="47"/>
      <c r="O12" s="47" t="s">
        <v>76</v>
      </c>
      <c r="P12" s="47" t="s">
        <v>72</v>
      </c>
      <c r="Q12" s="43" t="s">
        <v>73</v>
      </c>
      <c r="R12" s="48"/>
      <c r="S12" s="42" t="s">
        <v>75</v>
      </c>
      <c r="T12" s="47" t="s">
        <v>72</v>
      </c>
      <c r="U12" s="49" t="s">
        <v>73</v>
      </c>
      <c r="V12" s="47"/>
      <c r="W12" s="50" t="s">
        <v>75</v>
      </c>
      <c r="X12" s="42" t="s">
        <v>72</v>
      </c>
      <c r="Y12" s="49" t="s">
        <v>73</v>
      </c>
      <c r="Z12" s="47"/>
      <c r="AA12" s="51" t="s">
        <v>76</v>
      </c>
      <c r="AB12" s="52" t="s">
        <v>72</v>
      </c>
      <c r="AC12" s="45" t="s">
        <v>73</v>
      </c>
      <c r="AD12" s="53" t="s">
        <v>69</v>
      </c>
      <c r="AE12" s="42" t="s">
        <v>77</v>
      </c>
      <c r="AF12" s="42" t="s">
        <v>75</v>
      </c>
      <c r="AG12" s="47" t="s">
        <v>72</v>
      </c>
      <c r="AH12" s="45" t="s">
        <v>73</v>
      </c>
      <c r="AI12" s="51" t="s">
        <v>0</v>
      </c>
      <c r="AJ12" s="51"/>
      <c r="AK12" s="51" t="s">
        <v>76</v>
      </c>
      <c r="AL12" s="47" t="s">
        <v>72</v>
      </c>
      <c r="AM12" s="49" t="s">
        <v>73</v>
      </c>
      <c r="AN12" s="49"/>
      <c r="AO12" s="42" t="s">
        <v>76</v>
      </c>
      <c r="AP12" s="47" t="s">
        <v>72</v>
      </c>
      <c r="AQ12" s="49" t="s">
        <v>73</v>
      </c>
      <c r="AR12" s="45"/>
      <c r="AS12" s="51" t="s">
        <v>76</v>
      </c>
      <c r="AT12" s="47" t="s">
        <v>72</v>
      </c>
      <c r="AU12" s="49" t="s">
        <v>73</v>
      </c>
      <c r="AV12" s="48" t="s">
        <v>69</v>
      </c>
      <c r="AW12" s="48" t="s">
        <v>77</v>
      </c>
      <c r="AX12" s="48" t="s">
        <v>75</v>
      </c>
      <c r="AY12" s="47" t="s">
        <v>72</v>
      </c>
      <c r="AZ12" s="49" t="s">
        <v>73</v>
      </c>
      <c r="BA12" s="48" t="s">
        <v>69</v>
      </c>
      <c r="BB12" s="48" t="s">
        <v>74</v>
      </c>
      <c r="BC12" s="48" t="s">
        <v>75</v>
      </c>
      <c r="BD12" s="42" t="s">
        <v>72</v>
      </c>
      <c r="BE12" s="43" t="s">
        <v>73</v>
      </c>
      <c r="BF12" s="43"/>
      <c r="BG12" s="43"/>
      <c r="BH12" s="47" t="s">
        <v>78</v>
      </c>
      <c r="BI12" s="47" t="s">
        <v>79</v>
      </c>
      <c r="BJ12" s="47" t="s">
        <v>75</v>
      </c>
      <c r="BK12" s="47" t="s">
        <v>72</v>
      </c>
      <c r="BL12" s="43" t="s">
        <v>73</v>
      </c>
      <c r="BM12" s="47"/>
      <c r="BN12" s="48" t="s">
        <v>76</v>
      </c>
      <c r="BO12" s="47" t="s">
        <v>72</v>
      </c>
      <c r="BP12" s="43" t="s">
        <v>73</v>
      </c>
      <c r="BQ12" s="47"/>
      <c r="BR12" s="48" t="s">
        <v>76</v>
      </c>
      <c r="BS12" s="47" t="s">
        <v>72</v>
      </c>
      <c r="BT12" s="54" t="s">
        <v>73</v>
      </c>
      <c r="BU12" s="47"/>
      <c r="BV12" s="47" t="s">
        <v>76</v>
      </c>
      <c r="BW12" s="47" t="s">
        <v>72</v>
      </c>
      <c r="BX12" s="45" t="s">
        <v>73</v>
      </c>
      <c r="BY12" s="47" t="s">
        <v>80</v>
      </c>
      <c r="BZ12" s="47" t="s">
        <v>81</v>
      </c>
      <c r="CA12" s="47" t="s">
        <v>76</v>
      </c>
      <c r="CB12" s="11"/>
      <c r="CC12" s="37" t="s">
        <v>48</v>
      </c>
      <c r="CD12" s="12"/>
      <c r="CE12" s="37" t="s">
        <v>82</v>
      </c>
      <c r="CF12" s="11" t="s">
        <v>83</v>
      </c>
      <c r="CG12" s="11" t="s">
        <v>84</v>
      </c>
      <c r="CH12" s="11" t="s">
        <v>85</v>
      </c>
      <c r="CI12" s="11" t="s">
        <v>86</v>
      </c>
      <c r="CJ12" s="37"/>
      <c r="CK12" s="11" t="s">
        <v>87</v>
      </c>
      <c r="CL12" s="37" t="s">
        <v>48</v>
      </c>
      <c r="CM12" s="12"/>
      <c r="CN12" s="41" t="s">
        <v>88</v>
      </c>
      <c r="CO12" s="11" t="s">
        <v>89</v>
      </c>
      <c r="CP12" s="37" t="s">
        <v>90</v>
      </c>
      <c r="CQ12" s="37" t="s">
        <v>91</v>
      </c>
      <c r="CR12" s="37" t="s">
        <v>92</v>
      </c>
      <c r="CS12" s="37" t="s">
        <v>93</v>
      </c>
      <c r="CT12" s="37" t="s">
        <v>48</v>
      </c>
      <c r="CU12" s="12"/>
      <c r="CV12" s="37" t="s">
        <v>94</v>
      </c>
      <c r="CW12" s="37" t="s">
        <v>93</v>
      </c>
      <c r="CX12" s="37" t="s">
        <v>95</v>
      </c>
      <c r="CY12" s="37" t="s">
        <v>86</v>
      </c>
      <c r="CZ12" s="11" t="s">
        <v>96</v>
      </c>
      <c r="DA12" s="37" t="s">
        <v>97</v>
      </c>
      <c r="DB12" s="37" t="s">
        <v>48</v>
      </c>
      <c r="DC12" s="12"/>
      <c r="DD12" s="37" t="s">
        <v>97</v>
      </c>
      <c r="DE12" s="37" t="s">
        <v>67</v>
      </c>
      <c r="DF12" s="37" t="s">
        <v>97</v>
      </c>
      <c r="DG12" s="37" t="s">
        <v>98</v>
      </c>
      <c r="DH12" s="37" t="s">
        <v>81</v>
      </c>
      <c r="DI12" s="37"/>
    </row>
    <row r="13" spans="1:113" ht="12.75" customHeight="1">
      <c r="A13" s="55"/>
      <c r="B13" s="56"/>
      <c r="C13" s="56"/>
      <c r="D13" s="57"/>
      <c r="E13" s="2"/>
      <c r="F13" s="2"/>
      <c r="G13" s="2"/>
      <c r="H13" s="2"/>
      <c r="I13" s="2"/>
      <c r="J13" s="2"/>
      <c r="K13" s="7"/>
      <c r="L13" s="55"/>
      <c r="M13" s="58"/>
      <c r="N13" s="59"/>
      <c r="O13" s="60"/>
      <c r="P13" s="61"/>
      <c r="Q13" s="62"/>
      <c r="R13" s="62"/>
      <c r="S13" s="62"/>
      <c r="T13" s="55"/>
      <c r="U13" s="63"/>
      <c r="V13" s="64"/>
      <c r="W13" s="65"/>
      <c r="X13" s="2"/>
      <c r="Y13" s="2"/>
      <c r="Z13" s="2"/>
      <c r="AA13" s="2"/>
      <c r="AB13" s="66">
        <v>1</v>
      </c>
      <c r="AC13" s="67" t="s">
        <v>99</v>
      </c>
      <c r="AD13" s="4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55"/>
      <c r="BE13" s="68"/>
      <c r="BF13" s="68"/>
      <c r="BG13" s="68"/>
      <c r="BH13" s="2"/>
      <c r="BI13" s="2"/>
      <c r="BJ13" s="2"/>
      <c r="BK13" s="61"/>
      <c r="BL13" s="61"/>
      <c r="BM13" s="61"/>
      <c r="BN13" s="61"/>
      <c r="BO13" s="2"/>
      <c r="BP13" s="2"/>
      <c r="BQ13" s="2"/>
      <c r="BR13" s="2"/>
      <c r="BS13" s="69"/>
      <c r="BT13" s="69"/>
      <c r="BU13" s="69"/>
      <c r="BV13" s="69"/>
      <c r="BW13" s="2"/>
      <c r="BX13" s="2"/>
      <c r="BY13" s="2"/>
      <c r="BZ13" s="2"/>
      <c r="CA13" s="2"/>
      <c r="CB13" s="2"/>
      <c r="CC13" s="37" t="s">
        <v>72</v>
      </c>
      <c r="CD13" s="12"/>
      <c r="CE13" s="37" t="s">
        <v>439</v>
      </c>
      <c r="CF13" s="70">
        <v>2.01</v>
      </c>
      <c r="CG13" s="70">
        <v>2.02</v>
      </c>
      <c r="CH13" s="70">
        <v>2.03</v>
      </c>
      <c r="CI13" s="70">
        <v>2.04</v>
      </c>
      <c r="CJ13" s="71">
        <v>2.05</v>
      </c>
      <c r="CK13" s="70">
        <v>2.06</v>
      </c>
      <c r="CL13" s="37" t="s">
        <v>72</v>
      </c>
      <c r="CM13" s="12"/>
      <c r="CN13" s="70">
        <v>2.07</v>
      </c>
      <c r="CO13" s="70">
        <v>2.08</v>
      </c>
      <c r="CP13" s="71">
        <v>2.09</v>
      </c>
      <c r="CQ13" s="71">
        <v>2.1</v>
      </c>
      <c r="CR13" s="71">
        <v>2.11</v>
      </c>
      <c r="CS13" s="71">
        <v>2.12</v>
      </c>
      <c r="CT13" s="37" t="s">
        <v>72</v>
      </c>
      <c r="CU13" s="12"/>
      <c r="CV13" s="71">
        <v>2.13</v>
      </c>
      <c r="CW13" s="71">
        <v>2.14</v>
      </c>
      <c r="CX13" s="71">
        <v>2.15</v>
      </c>
      <c r="CY13" s="71">
        <v>2.16</v>
      </c>
      <c r="CZ13" s="11"/>
      <c r="DA13" s="11" t="s">
        <v>82</v>
      </c>
      <c r="DB13" s="47" t="s">
        <v>72</v>
      </c>
      <c r="DC13" s="72"/>
      <c r="DD13" s="47" t="s">
        <v>82</v>
      </c>
      <c r="DE13" s="47" t="s">
        <v>96</v>
      </c>
      <c r="DF13" s="47" t="s">
        <v>82</v>
      </c>
      <c r="DG13" s="47" t="s">
        <v>100</v>
      </c>
      <c r="DH13" s="47" t="s">
        <v>94</v>
      </c>
      <c r="DI13" s="11"/>
    </row>
    <row r="14" spans="1:113" ht="12.75" customHeight="1">
      <c r="A14" s="2"/>
      <c r="B14" s="73"/>
      <c r="C14" s="2"/>
      <c r="D14" s="2"/>
      <c r="E14" s="2"/>
      <c r="F14" s="2"/>
      <c r="G14" s="55">
        <v>1</v>
      </c>
      <c r="H14" s="74" t="s">
        <v>101</v>
      </c>
      <c r="I14" s="74"/>
      <c r="J14" s="74"/>
      <c r="K14" s="80">
        <v>-33054000</v>
      </c>
      <c r="L14" s="55">
        <v>1</v>
      </c>
      <c r="M14" s="58" t="s">
        <v>102</v>
      </c>
      <c r="N14" s="75">
        <f>DH48</f>
        <v>1064289530.4258906</v>
      </c>
      <c r="O14" s="60">
        <f>IF(N14=DA48,"","NEEDS UPDATING")</f>
      </c>
      <c r="P14" s="55">
        <v>1</v>
      </c>
      <c r="Q14" s="76" t="s">
        <v>74</v>
      </c>
      <c r="R14" s="2"/>
      <c r="S14" s="2"/>
      <c r="T14" s="55">
        <v>1</v>
      </c>
      <c r="U14" s="77" t="s">
        <v>103</v>
      </c>
      <c r="V14" s="2"/>
      <c r="W14" s="5"/>
      <c r="X14" s="78" t="s">
        <v>104</v>
      </c>
      <c r="Y14" s="57" t="s">
        <v>105</v>
      </c>
      <c r="Z14" s="57"/>
      <c r="AA14" s="160">
        <v>2915209.48</v>
      </c>
      <c r="AB14" s="66">
        <f aca="true" t="shared" si="0" ref="AB14:AB33">AB13+1</f>
        <v>2</v>
      </c>
      <c r="AC14" s="2"/>
      <c r="AD14" s="4"/>
      <c r="AE14" s="79"/>
      <c r="AF14" s="4"/>
      <c r="AG14" s="55">
        <v>1</v>
      </c>
      <c r="AH14" s="74" t="s">
        <v>106</v>
      </c>
      <c r="AK14" s="80">
        <v>12436647</v>
      </c>
      <c r="AL14" s="55">
        <v>1</v>
      </c>
      <c r="AM14" s="81" t="s">
        <v>107</v>
      </c>
      <c r="AN14" s="82"/>
      <c r="AO14" s="80">
        <v>21586382.45</v>
      </c>
      <c r="AP14" s="55">
        <v>1</v>
      </c>
      <c r="AQ14" s="12" t="s">
        <v>108</v>
      </c>
      <c r="AR14" s="57"/>
      <c r="AS14" s="158">
        <v>1886481.24</v>
      </c>
      <c r="AT14" s="55">
        <v>1</v>
      </c>
      <c r="AU14" s="12" t="s">
        <v>109</v>
      </c>
      <c r="AV14" s="80">
        <v>545743</v>
      </c>
      <c r="AW14" s="80">
        <v>482589</v>
      </c>
      <c r="AX14" s="80">
        <f>+AW14-AV14</f>
        <v>-63154</v>
      </c>
      <c r="AY14" s="55">
        <v>1</v>
      </c>
      <c r="AZ14" s="83" t="s">
        <v>110</v>
      </c>
      <c r="BA14" s="80">
        <v>-3427963</v>
      </c>
      <c r="BB14" s="80">
        <v>1616611</v>
      </c>
      <c r="BC14" s="80">
        <f>+BB14-BA14</f>
        <v>5044574</v>
      </c>
      <c r="BD14" s="55">
        <v>1</v>
      </c>
      <c r="BE14" s="2" t="s">
        <v>111</v>
      </c>
      <c r="BF14" s="2"/>
      <c r="BG14" s="2"/>
      <c r="BH14" s="84"/>
      <c r="BI14" s="85"/>
      <c r="BJ14" s="84"/>
      <c r="BK14" s="55">
        <v>1</v>
      </c>
      <c r="BL14" s="86" t="s">
        <v>112</v>
      </c>
      <c r="BM14" s="2"/>
      <c r="BN14" s="79"/>
      <c r="BO14" s="55">
        <v>1</v>
      </c>
      <c r="BP14" s="73" t="s">
        <v>113</v>
      </c>
      <c r="BQ14" s="87"/>
      <c r="BR14" s="87"/>
      <c r="BS14" s="55">
        <v>1</v>
      </c>
      <c r="BT14" s="88" t="s">
        <v>114</v>
      </c>
      <c r="BU14" s="88"/>
      <c r="BV14" s="88">
        <v>2757235</v>
      </c>
      <c r="BW14" s="55">
        <v>1</v>
      </c>
      <c r="BX14" s="68" t="s">
        <v>115</v>
      </c>
      <c r="BY14" s="2"/>
      <c r="BZ14" s="2"/>
      <c r="CA14" s="89">
        <v>1</v>
      </c>
      <c r="CB14" s="90"/>
      <c r="CC14" s="61" t="s">
        <v>116</v>
      </c>
      <c r="CD14" s="61" t="s">
        <v>116</v>
      </c>
      <c r="CE14" s="62" t="s">
        <v>116</v>
      </c>
      <c r="CF14" s="61" t="s">
        <v>116</v>
      </c>
      <c r="CG14" s="61" t="s">
        <v>116</v>
      </c>
      <c r="CH14" s="61" t="s">
        <v>116</v>
      </c>
      <c r="CI14" s="61" t="s">
        <v>116</v>
      </c>
      <c r="CJ14" s="61" t="s">
        <v>116</v>
      </c>
      <c r="CK14" s="91" t="s">
        <v>116</v>
      </c>
      <c r="CL14" s="61" t="s">
        <v>116</v>
      </c>
      <c r="CM14" s="61" t="s">
        <v>116</v>
      </c>
      <c r="CN14" s="61" t="s">
        <v>116</v>
      </c>
      <c r="CO14" s="61" t="s">
        <v>116</v>
      </c>
      <c r="CP14" s="61"/>
      <c r="CQ14" s="61" t="s">
        <v>116</v>
      </c>
      <c r="CR14" s="61"/>
      <c r="CS14" s="61"/>
      <c r="CT14" s="61" t="s">
        <v>116</v>
      </c>
      <c r="CU14" s="61" t="s">
        <v>116</v>
      </c>
      <c r="CV14" s="61" t="s">
        <v>116</v>
      </c>
      <c r="CW14" s="61" t="s">
        <v>116</v>
      </c>
      <c r="CX14" s="61" t="s">
        <v>116</v>
      </c>
      <c r="CY14" s="61"/>
      <c r="CZ14" s="61" t="s">
        <v>116</v>
      </c>
      <c r="DA14" s="61" t="s">
        <v>116</v>
      </c>
      <c r="DB14" s="2"/>
      <c r="DC14" s="2"/>
      <c r="DD14" s="2"/>
      <c r="DE14" s="2"/>
      <c r="DF14" s="2"/>
      <c r="DG14" s="2"/>
      <c r="DH14" s="2"/>
      <c r="DI14" s="2"/>
    </row>
    <row r="15" spans="1:113" ht="12.75" customHeight="1">
      <c r="A15" s="78">
        <v>1</v>
      </c>
      <c r="B15" s="92" t="s">
        <v>117</v>
      </c>
      <c r="C15" s="93"/>
      <c r="D15" s="94">
        <f>CE16</f>
        <v>522553138.75</v>
      </c>
      <c r="E15" s="95">
        <v>593754354</v>
      </c>
      <c r="F15" s="94">
        <f>E15-D15</f>
        <v>71201215.25</v>
      </c>
      <c r="G15" s="55">
        <f aca="true" t="shared" si="1" ref="G15:G34">G14+1</f>
        <v>2</v>
      </c>
      <c r="H15" s="68"/>
      <c r="I15" s="68"/>
      <c r="J15" s="68"/>
      <c r="K15" s="96"/>
      <c r="L15" s="55">
        <v>2</v>
      </c>
      <c r="M15" s="58" t="s">
        <v>118</v>
      </c>
      <c r="N15" s="128">
        <v>14897280</v>
      </c>
      <c r="O15" s="97" t="s">
        <v>0</v>
      </c>
      <c r="P15" s="55">
        <v>2</v>
      </c>
      <c r="Q15" s="98" t="s">
        <v>119</v>
      </c>
      <c r="R15" s="2"/>
      <c r="S15" s="94">
        <v>57593285.88</v>
      </c>
      <c r="T15" s="55">
        <v>2</v>
      </c>
      <c r="U15" s="83" t="s">
        <v>120</v>
      </c>
      <c r="V15" s="102">
        <v>1366028</v>
      </c>
      <c r="W15" s="5"/>
      <c r="X15" s="78">
        <f aca="true" t="shared" si="2" ref="X15:X22">1+X14</f>
        <v>2</v>
      </c>
      <c r="Y15" s="99"/>
      <c r="Z15" s="99"/>
      <c r="AA15" s="5"/>
      <c r="AB15" s="66">
        <f t="shared" si="0"/>
        <v>3</v>
      </c>
      <c r="AC15" s="100" t="s">
        <v>121</v>
      </c>
      <c r="AD15" s="101">
        <v>1386483.2740726946</v>
      </c>
      <c r="AE15" s="102">
        <v>1233646</v>
      </c>
      <c r="AF15" s="288">
        <f>AE15-AD15</f>
        <v>-152837.2740726946</v>
      </c>
      <c r="AG15" s="55">
        <f>AG14+1</f>
        <v>2</v>
      </c>
      <c r="AH15" s="68" t="s">
        <v>122</v>
      </c>
      <c r="AK15" s="103">
        <v>10403001.64</v>
      </c>
      <c r="AL15" s="55">
        <v>2</v>
      </c>
      <c r="AM15" s="104" t="s">
        <v>123</v>
      </c>
      <c r="AN15" s="104"/>
      <c r="AO15" s="103">
        <v>21514015.54</v>
      </c>
      <c r="AP15" s="55">
        <v>2</v>
      </c>
      <c r="AQ15" s="68" t="s">
        <v>124</v>
      </c>
      <c r="AR15" s="57"/>
      <c r="AS15" s="195">
        <v>-851326</v>
      </c>
      <c r="AT15" s="55">
        <f aca="true" t="shared" si="3" ref="AT15:AT20">AT14+1</f>
        <v>2</v>
      </c>
      <c r="AU15" s="12" t="s">
        <v>125</v>
      </c>
      <c r="AV15" s="121">
        <v>588824</v>
      </c>
      <c r="AW15" s="121">
        <v>1304391</v>
      </c>
      <c r="AX15" s="105">
        <f>+AW15-AV15</f>
        <v>715567</v>
      </c>
      <c r="AY15" s="55">
        <v>2</v>
      </c>
      <c r="AZ15" s="68" t="s">
        <v>126</v>
      </c>
      <c r="BA15" s="80">
        <v>1461964</v>
      </c>
      <c r="BB15" s="80">
        <v>1197027</v>
      </c>
      <c r="BC15" s="80">
        <f>+BB15-BA15</f>
        <v>-264937</v>
      </c>
      <c r="BD15" s="55">
        <f aca="true" t="shared" si="4" ref="BD15:BD31">BD14+1</f>
        <v>2</v>
      </c>
      <c r="BE15" s="68" t="s">
        <v>127</v>
      </c>
      <c r="BF15" s="68"/>
      <c r="BG15" s="68"/>
      <c r="BH15" s="106">
        <v>111843.48026750462</v>
      </c>
      <c r="BI15" s="106">
        <v>119896</v>
      </c>
      <c r="BJ15" s="106">
        <f aca="true" t="shared" si="5" ref="BJ15:BJ23">BI15-BH15</f>
        <v>8052.519732495377</v>
      </c>
      <c r="BK15" s="55">
        <f aca="true" t="shared" si="6" ref="BK15:BK31">BK14+1</f>
        <v>2</v>
      </c>
      <c r="BL15" s="68" t="s">
        <v>128</v>
      </c>
      <c r="BM15" s="2"/>
      <c r="BN15" s="214">
        <f>1389649+60629</f>
        <v>1450278</v>
      </c>
      <c r="BO15" s="55">
        <v>2</v>
      </c>
      <c r="BP15" s="68" t="s">
        <v>129</v>
      </c>
      <c r="BQ15" s="107"/>
      <c r="BR15" s="102">
        <v>2982450.3808</v>
      </c>
      <c r="BS15" s="55">
        <f aca="true" t="shared" si="7" ref="BS15:BS21">BS14+1</f>
        <v>2</v>
      </c>
      <c r="BT15" s="108"/>
      <c r="BU15" s="108"/>
      <c r="BV15" s="108"/>
      <c r="BW15" s="55">
        <f aca="true" t="shared" si="8" ref="BW15:BW31">+BW14+1</f>
        <v>2</v>
      </c>
      <c r="BX15" s="68"/>
      <c r="BY15" s="2"/>
      <c r="BZ15" s="2"/>
      <c r="CA15" s="109"/>
      <c r="CB15" s="109"/>
      <c r="CC15" s="55">
        <v>1</v>
      </c>
      <c r="CD15" s="68" t="s">
        <v>130</v>
      </c>
      <c r="CE15" s="84"/>
      <c r="CF15" s="79"/>
      <c r="CG15" s="79"/>
      <c r="CH15" s="79"/>
      <c r="CI15" s="79"/>
      <c r="CJ15" s="2"/>
      <c r="CK15" s="79"/>
      <c r="CL15" s="55">
        <v>1</v>
      </c>
      <c r="CM15" s="68" t="s">
        <v>130</v>
      </c>
      <c r="CN15" s="2"/>
      <c r="CO15" s="79"/>
      <c r="CP15" s="2"/>
      <c r="CQ15" s="2"/>
      <c r="CR15" s="2"/>
      <c r="CS15" s="2"/>
      <c r="CT15" s="55">
        <v>1</v>
      </c>
      <c r="CU15" s="68" t="s">
        <v>130</v>
      </c>
      <c r="CV15" s="79"/>
      <c r="CW15" s="2"/>
      <c r="CX15" s="2"/>
      <c r="CY15" s="2"/>
      <c r="CZ15" s="102"/>
      <c r="DA15" s="79"/>
      <c r="DB15" s="55">
        <v>1</v>
      </c>
      <c r="DC15" s="67" t="s">
        <v>131</v>
      </c>
      <c r="DD15" s="79"/>
      <c r="DE15" s="2"/>
      <c r="DF15" s="2"/>
      <c r="DG15" s="2"/>
      <c r="DH15" s="2"/>
      <c r="DI15" s="2"/>
    </row>
    <row r="16" spans="1:113" ht="12.75" customHeight="1">
      <c r="A16" s="78">
        <v>2</v>
      </c>
      <c r="B16" s="2" t="s">
        <v>0</v>
      </c>
      <c r="C16" s="110" t="s">
        <v>0</v>
      </c>
      <c r="D16" s="5"/>
      <c r="E16" s="5" t="s">
        <v>0</v>
      </c>
      <c r="F16" s="111" t="s">
        <v>0</v>
      </c>
      <c r="G16" s="55">
        <f t="shared" si="1"/>
        <v>3</v>
      </c>
      <c r="H16" s="68" t="s">
        <v>132</v>
      </c>
      <c r="I16" s="112"/>
      <c r="J16" s="112"/>
      <c r="K16" s="113"/>
      <c r="L16" s="55">
        <v>3</v>
      </c>
      <c r="M16" s="2"/>
      <c r="N16" s="114">
        <f>SUM(N14:N15)</f>
        <v>1079186810.4258904</v>
      </c>
      <c r="O16" s="2"/>
      <c r="P16" s="55">
        <v>3</v>
      </c>
      <c r="Q16" s="98" t="s">
        <v>133</v>
      </c>
      <c r="R16" s="80"/>
      <c r="S16" s="289">
        <v>57834598</v>
      </c>
      <c r="T16" s="55">
        <v>3</v>
      </c>
      <c r="U16" s="2" t="s">
        <v>134</v>
      </c>
      <c r="V16" s="144">
        <v>0</v>
      </c>
      <c r="W16" s="5"/>
      <c r="X16" s="78">
        <f t="shared" si="2"/>
        <v>3</v>
      </c>
      <c r="Y16" s="2" t="s">
        <v>135</v>
      </c>
      <c r="Z16" s="2"/>
      <c r="AA16" s="115">
        <v>-2980447.07</v>
      </c>
      <c r="AB16" s="66">
        <f t="shared" si="0"/>
        <v>4</v>
      </c>
      <c r="AC16" s="100" t="s">
        <v>136</v>
      </c>
      <c r="AD16" s="115">
        <v>97053.82918508863</v>
      </c>
      <c r="AE16" s="5">
        <v>86355</v>
      </c>
      <c r="AF16" s="134">
        <f>AE16-AD16</f>
        <v>-10698.82918508863</v>
      </c>
      <c r="AG16" s="55">
        <f>AG15+1</f>
        <v>3</v>
      </c>
      <c r="AH16" s="68" t="s">
        <v>137</v>
      </c>
      <c r="AK16" s="80">
        <f>-(AK15-AK14)</f>
        <v>2033645.3599999994</v>
      </c>
      <c r="AL16" s="55">
        <v>3</v>
      </c>
      <c r="AM16" s="116" t="s">
        <v>138</v>
      </c>
      <c r="AN16" s="116"/>
      <c r="AO16" s="117">
        <f>AO14-AO15</f>
        <v>72366.91000000015</v>
      </c>
      <c r="AP16" s="55">
        <v>3</v>
      </c>
      <c r="AQ16" s="68" t="s">
        <v>139</v>
      </c>
      <c r="AR16" s="118"/>
      <c r="AS16" s="119">
        <f>AS14+AS15</f>
        <v>1035155.24</v>
      </c>
      <c r="AT16" s="55">
        <f t="shared" si="3"/>
        <v>3</v>
      </c>
      <c r="AU16" s="68" t="s">
        <v>137</v>
      </c>
      <c r="AV16" s="120">
        <f>SUM(AV14:AV15)</f>
        <v>1134567</v>
      </c>
      <c r="AW16" s="120">
        <f>SUM(AW14:AW15)</f>
        <v>1786980</v>
      </c>
      <c r="AX16" s="120">
        <f>SUM(AX14:AX15)</f>
        <v>652413</v>
      </c>
      <c r="AY16" s="55">
        <v>3</v>
      </c>
      <c r="AZ16" s="2"/>
      <c r="BA16" s="121"/>
      <c r="BB16" s="121"/>
      <c r="BC16" s="105"/>
      <c r="BD16" s="55">
        <f t="shared" si="4"/>
        <v>3</v>
      </c>
      <c r="BE16" s="68" t="s">
        <v>140</v>
      </c>
      <c r="BF16" s="68"/>
      <c r="BG16" s="68"/>
      <c r="BH16" s="105">
        <v>325935.8622886729</v>
      </c>
      <c r="BI16" s="105">
        <v>349403</v>
      </c>
      <c r="BJ16" s="105">
        <f t="shared" si="5"/>
        <v>23467.137711327116</v>
      </c>
      <c r="BK16" s="55">
        <f t="shared" si="6"/>
        <v>3</v>
      </c>
      <c r="BL16" s="2" t="s">
        <v>141</v>
      </c>
      <c r="BM16" s="290">
        <v>0.0671</v>
      </c>
      <c r="BN16" s="146">
        <f>+BN15*BM16</f>
        <v>97313.65380000001</v>
      </c>
      <c r="BO16" s="55">
        <v>3</v>
      </c>
      <c r="BP16" s="68" t="s">
        <v>142</v>
      </c>
      <c r="BQ16" s="107"/>
      <c r="BR16" s="144">
        <v>3050750.7712</v>
      </c>
      <c r="BS16" s="55">
        <f t="shared" si="7"/>
        <v>3</v>
      </c>
      <c r="BT16" s="123"/>
      <c r="BU16" s="123"/>
      <c r="BV16" s="123"/>
      <c r="BW16" s="55">
        <f t="shared" si="8"/>
        <v>3</v>
      </c>
      <c r="BX16" s="68" t="s">
        <v>143</v>
      </c>
      <c r="BY16" s="2"/>
      <c r="BZ16" s="124"/>
      <c r="CA16" s="109"/>
      <c r="CB16" s="109"/>
      <c r="CC16" s="55">
        <f aca="true" t="shared" si="9" ref="CC16:CC59">+CC15+1</f>
        <v>2</v>
      </c>
      <c r="CD16" s="68" t="s">
        <v>144</v>
      </c>
      <c r="CE16" s="80">
        <f>CE19-CE18-CE17</f>
        <v>522553138.75</v>
      </c>
      <c r="CF16" s="94">
        <f>+F19</f>
        <v>169574795.25</v>
      </c>
      <c r="CG16" s="94">
        <v>0</v>
      </c>
      <c r="CH16" s="94">
        <v>0</v>
      </c>
      <c r="CI16" s="94">
        <v>0</v>
      </c>
      <c r="CJ16" s="94">
        <v>0</v>
      </c>
      <c r="CK16" s="94">
        <v>0</v>
      </c>
      <c r="CL16" s="55">
        <f aca="true" t="shared" si="10" ref="CL16:CL59">+CL15+1</f>
        <v>2</v>
      </c>
      <c r="CM16" s="68" t="s">
        <v>144</v>
      </c>
      <c r="CN16" s="94">
        <v>0</v>
      </c>
      <c r="CO16" s="94">
        <v>0</v>
      </c>
      <c r="CP16" s="102">
        <v>0</v>
      </c>
      <c r="CQ16" s="102">
        <v>0</v>
      </c>
      <c r="CR16" s="102">
        <v>0</v>
      </c>
      <c r="CS16" s="102">
        <v>0</v>
      </c>
      <c r="CT16" s="55">
        <f aca="true" t="shared" si="11" ref="CT16:CT59">+CT15+1</f>
        <v>2</v>
      </c>
      <c r="CU16" s="68" t="s">
        <v>144</v>
      </c>
      <c r="CV16" s="94">
        <v>0</v>
      </c>
      <c r="CW16" s="102">
        <v>0</v>
      </c>
      <c r="CX16" s="94">
        <v>0</v>
      </c>
      <c r="CY16" s="94">
        <v>0</v>
      </c>
      <c r="CZ16" s="102">
        <f>SUM(CF16:CY16)-CT16-CL16</f>
        <v>169574795.25</v>
      </c>
      <c r="DA16" s="102">
        <f>CE16+CZ16</f>
        <v>692127934</v>
      </c>
      <c r="DB16" s="55">
        <f aca="true" t="shared" si="12" ref="DB16:DB59">+DB15+1</f>
        <v>2</v>
      </c>
      <c r="DC16" s="68" t="s">
        <v>144</v>
      </c>
      <c r="DD16" s="94">
        <f>CE16</f>
        <v>522553138.75</v>
      </c>
      <c r="DE16" s="94">
        <f>CZ16</f>
        <v>169574795.25</v>
      </c>
      <c r="DF16" s="125">
        <f>DD16+DE16</f>
        <v>692127934</v>
      </c>
      <c r="DG16" s="125">
        <f>+DG19-DG18-DG17</f>
        <v>47242426.04281144</v>
      </c>
      <c r="DH16" s="125">
        <f>DF16+DG16</f>
        <v>739370360.0428114</v>
      </c>
      <c r="DI16" s="125"/>
    </row>
    <row r="17" spans="1:113" ht="12.75" customHeight="1">
      <c r="A17" s="78">
        <v>3</v>
      </c>
      <c r="B17" s="2" t="s">
        <v>145</v>
      </c>
      <c r="C17" s="2"/>
      <c r="D17" s="126"/>
      <c r="E17" s="95">
        <v>692127934</v>
      </c>
      <c r="F17" s="102">
        <f>E17-E15</f>
        <v>98373580</v>
      </c>
      <c r="G17" s="55">
        <f t="shared" si="1"/>
        <v>4</v>
      </c>
      <c r="H17" s="68" t="s">
        <v>146</v>
      </c>
      <c r="I17" s="127">
        <f>FEDERAL_INCOME_TAX</f>
        <v>0.35</v>
      </c>
      <c r="J17" s="68"/>
      <c r="K17" s="128">
        <f>+K14*I17</f>
        <v>-11568900</v>
      </c>
      <c r="L17" s="55">
        <v>4</v>
      </c>
      <c r="M17" s="2"/>
      <c r="N17" s="2"/>
      <c r="O17" s="2"/>
      <c r="P17" s="55">
        <v>4</v>
      </c>
      <c r="Q17" s="98" t="s">
        <v>147</v>
      </c>
      <c r="R17" s="2"/>
      <c r="S17" s="5">
        <f>S16-S15</f>
        <v>241312.11999999732</v>
      </c>
      <c r="T17" s="55">
        <v>4</v>
      </c>
      <c r="U17" s="2" t="s">
        <v>148</v>
      </c>
      <c r="V17" s="5">
        <f>V16-V15</f>
        <v>-1366028</v>
      </c>
      <c r="W17" s="5"/>
      <c r="X17" s="78">
        <f t="shared" si="2"/>
        <v>4</v>
      </c>
      <c r="Y17" s="2"/>
      <c r="Z17" s="2"/>
      <c r="AA17" s="115"/>
      <c r="AB17" s="66">
        <f t="shared" si="0"/>
        <v>5</v>
      </c>
      <c r="AC17" s="2"/>
      <c r="AD17" s="2"/>
      <c r="AE17" s="2"/>
      <c r="AF17" s="2"/>
      <c r="AG17" s="55">
        <f>AG16+1</f>
        <v>4</v>
      </c>
      <c r="AH17" s="2"/>
      <c r="AI17" s="79"/>
      <c r="AJ17" s="79"/>
      <c r="AK17" s="79"/>
      <c r="AL17" s="55">
        <v>4</v>
      </c>
      <c r="AM17" s="129"/>
      <c r="AN17" s="129"/>
      <c r="AO17" s="5"/>
      <c r="AP17" s="55">
        <v>4</v>
      </c>
      <c r="AQ17" s="2"/>
      <c r="AR17" s="130"/>
      <c r="AS17" s="119"/>
      <c r="AT17" s="55">
        <f t="shared" si="3"/>
        <v>4</v>
      </c>
      <c r="AU17" s="68"/>
      <c r="AV17" s="2"/>
      <c r="AW17" s="2"/>
      <c r="AX17" s="5"/>
      <c r="AY17" s="55">
        <v>4</v>
      </c>
      <c r="AZ17" s="68" t="s">
        <v>137</v>
      </c>
      <c r="BA17" s="120">
        <f>SUM(BA14:BA16)</f>
        <v>-1965999</v>
      </c>
      <c r="BB17" s="120">
        <f>SUM(BB14:BB16)</f>
        <v>2813638</v>
      </c>
      <c r="BC17" s="120">
        <f>SUM(BC14:BC16)</f>
        <v>4779637</v>
      </c>
      <c r="BD17" s="55">
        <f t="shared" si="4"/>
        <v>4</v>
      </c>
      <c r="BE17" s="68" t="s">
        <v>149</v>
      </c>
      <c r="BF17" s="68"/>
      <c r="BG17" s="68"/>
      <c r="BH17" s="105">
        <v>14423.78385805857</v>
      </c>
      <c r="BI17" s="105">
        <v>15462</v>
      </c>
      <c r="BJ17" s="105">
        <f t="shared" si="5"/>
        <v>1038.2161419414297</v>
      </c>
      <c r="BK17" s="55">
        <f t="shared" si="6"/>
        <v>4</v>
      </c>
      <c r="BL17" s="131" t="s">
        <v>150</v>
      </c>
      <c r="BM17" s="55"/>
      <c r="BN17" s="315">
        <f>SUM(BN15:BN16)</f>
        <v>1547591.6538</v>
      </c>
      <c r="BO17" s="55">
        <v>4</v>
      </c>
      <c r="BP17" s="2" t="s">
        <v>151</v>
      </c>
      <c r="BQ17" s="107"/>
      <c r="BR17" s="115">
        <f>SUM(BR15:BR16)</f>
        <v>6033201.152</v>
      </c>
      <c r="BS17" s="55">
        <f t="shared" si="7"/>
        <v>4</v>
      </c>
      <c r="BT17" s="123" t="s">
        <v>152</v>
      </c>
      <c r="BU17" s="123"/>
      <c r="BV17" s="132">
        <f>BV14</f>
        <v>2757235</v>
      </c>
      <c r="BW17" s="55">
        <f t="shared" si="8"/>
        <v>4</v>
      </c>
      <c r="BX17" s="68" t="s">
        <v>153</v>
      </c>
      <c r="BY17" s="2"/>
      <c r="BZ17" s="2"/>
      <c r="CA17" s="133">
        <v>0.0054</v>
      </c>
      <c r="CB17" s="133"/>
      <c r="CC17" s="55">
        <f t="shared" si="9"/>
        <v>3</v>
      </c>
      <c r="CD17" s="68" t="s">
        <v>154</v>
      </c>
      <c r="CE17" s="65">
        <v>21624997</v>
      </c>
      <c r="CF17" s="5">
        <f>F21</f>
        <v>4802002</v>
      </c>
      <c r="CG17" s="5"/>
      <c r="CH17" s="5"/>
      <c r="CI17" s="5"/>
      <c r="CJ17" s="5"/>
      <c r="CK17" s="5"/>
      <c r="CL17" s="55">
        <f t="shared" si="10"/>
        <v>3</v>
      </c>
      <c r="CM17" s="68" t="s">
        <v>154</v>
      </c>
      <c r="CN17" s="105"/>
      <c r="CO17" s="5"/>
      <c r="CP17" s="5"/>
      <c r="CQ17" s="5"/>
      <c r="CR17" s="5"/>
      <c r="CS17" s="5"/>
      <c r="CT17" s="55">
        <f t="shared" si="11"/>
        <v>3</v>
      </c>
      <c r="CU17" s="68" t="s">
        <v>154</v>
      </c>
      <c r="CV17" s="5"/>
      <c r="CW17" s="5"/>
      <c r="CX17" s="5"/>
      <c r="CY17" s="5"/>
      <c r="CZ17" s="5">
        <f>SUM(CF17:CY17)-CT17-CL17</f>
        <v>4802002</v>
      </c>
      <c r="DA17" s="5">
        <f>CE17+CZ17</f>
        <v>26426999</v>
      </c>
      <c r="DB17" s="55">
        <f t="shared" si="12"/>
        <v>3</v>
      </c>
      <c r="DC17" s="68" t="str">
        <f>CD17</f>
        <v>MUNICIPAL ADDITIONS</v>
      </c>
      <c r="DD17" s="134">
        <f>CE17</f>
        <v>21624997</v>
      </c>
      <c r="DE17" s="96">
        <f>CZ17</f>
        <v>4802002</v>
      </c>
      <c r="DF17" s="135">
        <f>+DD17+DE17</f>
        <v>26426999</v>
      </c>
      <c r="DG17" s="135">
        <f>+DG$19*(DF17/DF$19)</f>
        <v>1773049.957188564</v>
      </c>
      <c r="DH17" s="135">
        <f>+DF17+DG17</f>
        <v>28200048.957188565</v>
      </c>
      <c r="DI17" s="135"/>
    </row>
    <row r="18" spans="1:113" ht="12.75" customHeight="1">
      <c r="A18" s="78">
        <v>4</v>
      </c>
      <c r="B18" s="136" t="s">
        <v>0</v>
      </c>
      <c r="C18" s="2"/>
      <c r="D18" s="2" t="s">
        <v>0</v>
      </c>
      <c r="E18" s="2"/>
      <c r="F18" s="111" t="s">
        <v>0</v>
      </c>
      <c r="G18" s="55">
        <f t="shared" si="1"/>
        <v>5</v>
      </c>
      <c r="H18" s="68" t="s">
        <v>155</v>
      </c>
      <c r="I18" s="68"/>
      <c r="J18" s="68"/>
      <c r="K18" s="134">
        <v>46238850</v>
      </c>
      <c r="L18" s="55">
        <v>5</v>
      </c>
      <c r="M18" s="58" t="s">
        <v>156</v>
      </c>
      <c r="N18" s="137">
        <f>CA76</f>
        <v>0.0383</v>
      </c>
      <c r="O18" s="97" t="s">
        <v>0</v>
      </c>
      <c r="P18" s="55">
        <v>5</v>
      </c>
      <c r="Q18" s="2"/>
      <c r="R18" s="2"/>
      <c r="S18" s="2"/>
      <c r="T18" s="55">
        <v>5</v>
      </c>
      <c r="U18" s="98" t="s">
        <v>157</v>
      </c>
      <c r="V18" s="5"/>
      <c r="W18" s="102">
        <f>-V17</f>
        <v>1366028</v>
      </c>
      <c r="X18" s="78">
        <f t="shared" si="2"/>
        <v>5</v>
      </c>
      <c r="Y18" s="2" t="s">
        <v>158</v>
      </c>
      <c r="Z18" s="2"/>
      <c r="AA18" s="138">
        <f>AA14+AA16</f>
        <v>-65237.58999999985</v>
      </c>
      <c r="AB18" s="66">
        <f t="shared" si="0"/>
        <v>6</v>
      </c>
      <c r="AC18" s="67"/>
      <c r="AD18" s="139"/>
      <c r="AE18" s="140"/>
      <c r="AF18" s="2"/>
      <c r="AG18" s="55">
        <f>AG17+1</f>
        <v>5</v>
      </c>
      <c r="AH18" s="68" t="s">
        <v>159</v>
      </c>
      <c r="AI18" s="112">
        <f>FEDERAL_INCOME_TAX</f>
        <v>0.35</v>
      </c>
      <c r="AJ18" s="2"/>
      <c r="AK18" s="103">
        <f>-AK16*AI18</f>
        <v>-711775.8759999997</v>
      </c>
      <c r="AL18" s="55">
        <v>5</v>
      </c>
      <c r="AM18" s="141" t="s">
        <v>160</v>
      </c>
      <c r="AN18" s="142"/>
      <c r="AO18" s="102">
        <v>1052559</v>
      </c>
      <c r="AP18" s="55">
        <v>5</v>
      </c>
      <c r="AQ18" s="8" t="s">
        <v>161</v>
      </c>
      <c r="AR18" s="130"/>
      <c r="AS18" s="65"/>
      <c r="AT18" s="55">
        <f t="shared" si="3"/>
        <v>5</v>
      </c>
      <c r="AU18" s="2"/>
      <c r="AV18" s="2"/>
      <c r="AW18" s="2"/>
      <c r="AX18" s="107"/>
      <c r="AY18" s="55">
        <v>5</v>
      </c>
      <c r="AZ18" s="68"/>
      <c r="BA18" s="2"/>
      <c r="BB18" s="2"/>
      <c r="BC18" s="5"/>
      <c r="BD18" s="55">
        <f t="shared" si="4"/>
        <v>5</v>
      </c>
      <c r="BE18" s="68" t="s">
        <v>162</v>
      </c>
      <c r="BF18" s="68"/>
      <c r="BG18" s="68"/>
      <c r="BH18" s="105">
        <v>227477.32830029895</v>
      </c>
      <c r="BI18" s="105">
        <v>243856</v>
      </c>
      <c r="BJ18" s="105">
        <f t="shared" si="5"/>
        <v>16378.671699701052</v>
      </c>
      <c r="BK18" s="55">
        <f t="shared" si="6"/>
        <v>5</v>
      </c>
      <c r="BL18" s="2"/>
      <c r="BM18" s="2"/>
      <c r="BN18" s="96"/>
      <c r="BO18" s="55">
        <v>5</v>
      </c>
      <c r="BP18" s="2"/>
      <c r="BQ18" s="107"/>
      <c r="BR18" s="5"/>
      <c r="BS18" s="55">
        <f t="shared" si="7"/>
        <v>5</v>
      </c>
      <c r="BT18" s="143"/>
      <c r="BU18" s="143"/>
      <c r="BV18" s="69"/>
      <c r="BW18" s="55">
        <f t="shared" si="8"/>
        <v>5</v>
      </c>
      <c r="BX18" s="2" t="s">
        <v>163</v>
      </c>
      <c r="BY18" s="2"/>
      <c r="BZ18" s="2"/>
      <c r="CA18" s="109"/>
      <c r="CB18" s="109"/>
      <c r="CC18" s="55">
        <f t="shared" si="9"/>
        <v>4</v>
      </c>
      <c r="CD18" s="68" t="s">
        <v>164</v>
      </c>
      <c r="CE18" s="105">
        <v>11020477</v>
      </c>
      <c r="CF18" s="5">
        <f>F23+F27</f>
        <v>991673</v>
      </c>
      <c r="CG18" s="5"/>
      <c r="CH18" s="286"/>
      <c r="CI18" s="5"/>
      <c r="CJ18" s="144"/>
      <c r="CK18" s="5"/>
      <c r="CL18" s="55">
        <f t="shared" si="10"/>
        <v>4</v>
      </c>
      <c r="CM18" s="68" t="s">
        <v>164</v>
      </c>
      <c r="CN18" s="103"/>
      <c r="CO18" s="144"/>
      <c r="CP18" s="144"/>
      <c r="CQ18" s="144"/>
      <c r="CR18" s="144"/>
      <c r="CS18" s="144"/>
      <c r="CT18" s="55">
        <f t="shared" si="11"/>
        <v>4</v>
      </c>
      <c r="CU18" s="68" t="s">
        <v>164</v>
      </c>
      <c r="CV18" s="144"/>
      <c r="CW18" s="144"/>
      <c r="CX18" s="144"/>
      <c r="CY18" s="144"/>
      <c r="CZ18" s="144">
        <f>SUM(CF18:CY18)-CT18-CL18</f>
        <v>991673</v>
      </c>
      <c r="DA18" s="144">
        <f>CE18+CZ18</f>
        <v>12012150</v>
      </c>
      <c r="DB18" s="55">
        <f t="shared" si="12"/>
        <v>4</v>
      </c>
      <c r="DC18" s="68" t="s">
        <v>164</v>
      </c>
      <c r="DD18" s="145">
        <f>CE18</f>
        <v>11020477</v>
      </c>
      <c r="DE18" s="146">
        <f>CZ18</f>
        <v>991673</v>
      </c>
      <c r="DF18" s="147">
        <f>+DD18+DE18</f>
        <v>12012150</v>
      </c>
      <c r="DG18" s="147">
        <v>0</v>
      </c>
      <c r="DH18" s="147">
        <f>+DF18+DG18</f>
        <v>12012150</v>
      </c>
      <c r="DI18" s="148"/>
    </row>
    <row r="19" spans="1:113" ht="12.75" customHeight="1">
      <c r="A19" s="78">
        <v>5</v>
      </c>
      <c r="B19" s="2" t="s">
        <v>165</v>
      </c>
      <c r="C19" s="110" t="s">
        <v>0</v>
      </c>
      <c r="D19" s="5"/>
      <c r="E19" s="5" t="s">
        <v>0</v>
      </c>
      <c r="F19" s="114">
        <f>SUM(F15:F18)</f>
        <v>169574795.25</v>
      </c>
      <c r="G19" s="55">
        <f t="shared" si="1"/>
        <v>6</v>
      </c>
      <c r="H19" s="2" t="s">
        <v>166</v>
      </c>
      <c r="I19" s="2"/>
      <c r="J19" s="2"/>
      <c r="K19" s="291">
        <v>-23990750</v>
      </c>
      <c r="L19" s="55">
        <v>6</v>
      </c>
      <c r="M19" s="58" t="s">
        <v>167</v>
      </c>
      <c r="N19" s="292"/>
      <c r="O19" s="75">
        <f>+N16*N18</f>
        <v>41332854.83931161</v>
      </c>
      <c r="P19" s="55">
        <v>6</v>
      </c>
      <c r="Q19" s="99" t="s">
        <v>152</v>
      </c>
      <c r="R19" s="2"/>
      <c r="S19" s="149">
        <f>-S17</f>
        <v>-241312.11999999732</v>
      </c>
      <c r="T19" s="55">
        <v>6</v>
      </c>
      <c r="U19" s="2"/>
      <c r="V19" s="2"/>
      <c r="W19" s="5"/>
      <c r="X19" s="78">
        <f t="shared" si="2"/>
        <v>6</v>
      </c>
      <c r="Y19" s="2"/>
      <c r="Z19" s="2"/>
      <c r="AA19" s="5"/>
      <c r="AB19" s="66">
        <f t="shared" si="0"/>
        <v>7</v>
      </c>
      <c r="AC19" s="2"/>
      <c r="AD19" s="5"/>
      <c r="AE19" s="5"/>
      <c r="AF19" s="115"/>
      <c r="AG19" s="55">
        <f>AG18+1</f>
        <v>6</v>
      </c>
      <c r="AH19" s="68" t="s">
        <v>168</v>
      </c>
      <c r="AI19" s="150"/>
      <c r="AJ19" s="79"/>
      <c r="AK19" s="151">
        <f>-AK16-AK18</f>
        <v>-1321869.4839999997</v>
      </c>
      <c r="AL19" s="55">
        <v>6</v>
      </c>
      <c r="AM19" s="104" t="s">
        <v>123</v>
      </c>
      <c r="AN19" s="104"/>
      <c r="AO19" s="103">
        <v>946086.68</v>
      </c>
      <c r="AP19" s="55">
        <v>6</v>
      </c>
      <c r="AQ19" s="2" t="s">
        <v>169</v>
      </c>
      <c r="AR19" s="130"/>
      <c r="AS19" s="65">
        <v>736450</v>
      </c>
      <c r="AT19" s="55">
        <f t="shared" si="3"/>
        <v>6</v>
      </c>
      <c r="AU19" s="68" t="s">
        <v>170</v>
      </c>
      <c r="AV19" s="152">
        <f>FEDERAL_INCOME_TAX</f>
        <v>0.35</v>
      </c>
      <c r="AW19" s="112"/>
      <c r="AX19" s="105">
        <f>AV19*-AX16</f>
        <v>-228344.55</v>
      </c>
      <c r="AY19" s="55">
        <v>6</v>
      </c>
      <c r="AZ19" s="2"/>
      <c r="BA19" s="2"/>
      <c r="BB19" s="2"/>
      <c r="BC19" s="107"/>
      <c r="BD19" s="55">
        <f t="shared" si="4"/>
        <v>6</v>
      </c>
      <c r="BE19" s="68" t="s">
        <v>171</v>
      </c>
      <c r="BF19" s="68"/>
      <c r="BG19" s="68"/>
      <c r="BH19" s="105">
        <v>13727664.88236456</v>
      </c>
      <c r="BI19" s="105">
        <v>14716057</v>
      </c>
      <c r="BJ19" s="105">
        <f t="shared" si="5"/>
        <v>988392.1176354401</v>
      </c>
      <c r="BK19" s="55">
        <f t="shared" si="6"/>
        <v>6</v>
      </c>
      <c r="BL19" s="86" t="s">
        <v>172</v>
      </c>
      <c r="BM19" s="153"/>
      <c r="BN19" s="96"/>
      <c r="BO19" s="55">
        <v>6</v>
      </c>
      <c r="BP19" s="3" t="s">
        <v>173</v>
      </c>
      <c r="BQ19" s="290">
        <v>0.6773</v>
      </c>
      <c r="BR19" s="5">
        <f>BR17*BQ19</f>
        <v>4086287.1402495997</v>
      </c>
      <c r="BS19" s="55">
        <f t="shared" si="7"/>
        <v>6</v>
      </c>
      <c r="BT19" s="154" t="s">
        <v>159</v>
      </c>
      <c r="BU19" s="155">
        <f>FEDERAL_INCOME_TAX</f>
        <v>0.35</v>
      </c>
      <c r="BV19" s="156">
        <f>ROUND(+BV17*BU19,0)</f>
        <v>965032</v>
      </c>
      <c r="BW19" s="55">
        <f t="shared" si="8"/>
        <v>6</v>
      </c>
      <c r="BX19" s="68" t="s">
        <v>174</v>
      </c>
      <c r="BY19" s="157">
        <v>1</v>
      </c>
      <c r="BZ19" s="2"/>
      <c r="CA19" s="109"/>
      <c r="CB19" s="109"/>
      <c r="CC19" s="55">
        <f t="shared" si="9"/>
        <v>5</v>
      </c>
      <c r="CD19" s="68" t="s">
        <v>175</v>
      </c>
      <c r="CE19" s="120">
        <v>555198612.75</v>
      </c>
      <c r="CF19" s="120">
        <f aca="true" t="shared" si="13" ref="CF19:CK19">SUM(CF16:CF18)</f>
        <v>175368470.25</v>
      </c>
      <c r="CG19" s="120">
        <f t="shared" si="13"/>
        <v>0</v>
      </c>
      <c r="CH19" s="120">
        <f t="shared" si="13"/>
        <v>0</v>
      </c>
      <c r="CI19" s="120">
        <f t="shared" si="13"/>
        <v>0</v>
      </c>
      <c r="CJ19" s="120">
        <f t="shared" si="13"/>
        <v>0</v>
      </c>
      <c r="CK19" s="120">
        <f t="shared" si="13"/>
        <v>0</v>
      </c>
      <c r="CL19" s="55">
        <f t="shared" si="10"/>
        <v>5</v>
      </c>
      <c r="CM19" s="68" t="s">
        <v>175</v>
      </c>
      <c r="CN19" s="120">
        <f aca="true" t="shared" si="14" ref="CN19:CS19">SUM(CN16:CN18)</f>
        <v>0</v>
      </c>
      <c r="CO19" s="120">
        <f t="shared" si="14"/>
        <v>0</v>
      </c>
      <c r="CP19" s="158">
        <f t="shared" si="14"/>
        <v>0</v>
      </c>
      <c r="CQ19" s="158">
        <f t="shared" si="14"/>
        <v>0</v>
      </c>
      <c r="CR19" s="158">
        <f t="shared" si="14"/>
        <v>0</v>
      </c>
      <c r="CS19" s="158">
        <f t="shared" si="14"/>
        <v>0</v>
      </c>
      <c r="CT19" s="55">
        <f t="shared" si="11"/>
        <v>5</v>
      </c>
      <c r="CU19" s="68" t="s">
        <v>175</v>
      </c>
      <c r="CV19" s="120">
        <f>SUM(CV16:CV18)</f>
        <v>0</v>
      </c>
      <c r="CW19" s="158">
        <f>SUM(CW16:CW18)</f>
        <v>0</v>
      </c>
      <c r="CX19" s="120">
        <f>SUM(CX16:CX18)</f>
        <v>0</v>
      </c>
      <c r="CY19" s="120">
        <f>SUM(CY16:CY18)</f>
        <v>0</v>
      </c>
      <c r="CZ19" s="102">
        <f>SUM(CF19:CY19)-CT19-CL19</f>
        <v>175368470.25</v>
      </c>
      <c r="DA19" s="102">
        <f>CE19+CZ19</f>
        <v>730567083</v>
      </c>
      <c r="DB19" s="55">
        <f t="shared" si="12"/>
        <v>5</v>
      </c>
      <c r="DC19" s="68" t="s">
        <v>175</v>
      </c>
      <c r="DD19" s="94">
        <f>SUM(DD16:DD18)</f>
        <v>555198612.75</v>
      </c>
      <c r="DE19" s="94">
        <f>SUM(DE16:DE18)</f>
        <v>175368470.25</v>
      </c>
      <c r="DF19" s="120">
        <f>SUM(DF16:DF18)</f>
        <v>730567083</v>
      </c>
      <c r="DG19" s="120">
        <f>+CA111</f>
        <v>49015476</v>
      </c>
      <c r="DH19" s="120">
        <f>SUM(DH16:DH18)</f>
        <v>779582559</v>
      </c>
      <c r="DI19" s="117"/>
    </row>
    <row r="20" spans="1:113" ht="12.75" customHeight="1">
      <c r="A20" s="78">
        <v>6</v>
      </c>
      <c r="B20" s="2"/>
      <c r="C20" s="2"/>
      <c r="D20" s="2"/>
      <c r="E20" s="2"/>
      <c r="F20" s="2"/>
      <c r="G20" s="55">
        <f t="shared" si="1"/>
        <v>7</v>
      </c>
      <c r="H20" s="2" t="s">
        <v>176</v>
      </c>
      <c r="I20" s="2"/>
      <c r="J20" s="2"/>
      <c r="K20" s="293">
        <v>-636000</v>
      </c>
      <c r="L20" s="55">
        <v>7</v>
      </c>
      <c r="M20" s="58"/>
      <c r="N20" s="159"/>
      <c r="O20" s="97" t="s">
        <v>0</v>
      </c>
      <c r="P20" s="55">
        <v>7</v>
      </c>
      <c r="Q20" s="2"/>
      <c r="R20" s="2"/>
      <c r="S20" s="5"/>
      <c r="T20" s="55">
        <v>7</v>
      </c>
      <c r="U20" s="100" t="s">
        <v>177</v>
      </c>
      <c r="V20" s="294">
        <v>-88357</v>
      </c>
      <c r="W20" s="160"/>
      <c r="X20" s="78">
        <f t="shared" si="2"/>
        <v>7</v>
      </c>
      <c r="Y20" s="2" t="s">
        <v>178</v>
      </c>
      <c r="Z20" s="112">
        <f>FEDERAL_INCOME_TAX</f>
        <v>0.35</v>
      </c>
      <c r="AA20" s="134">
        <f>-AA18*Z20</f>
        <v>22833.156499999946</v>
      </c>
      <c r="AB20" s="66">
        <f t="shared" si="0"/>
        <v>8</v>
      </c>
      <c r="AC20" s="2"/>
      <c r="AD20" s="161"/>
      <c r="AE20" s="161"/>
      <c r="AF20" s="161"/>
      <c r="AG20" s="79"/>
      <c r="AH20" s="79"/>
      <c r="AI20" s="79"/>
      <c r="AJ20" s="79"/>
      <c r="AK20" s="79"/>
      <c r="AL20" s="55">
        <v>7</v>
      </c>
      <c r="AM20" s="162" t="s">
        <v>179</v>
      </c>
      <c r="AN20" s="162"/>
      <c r="AO20" s="160">
        <f>AO18-AO19</f>
        <v>106472.31999999995</v>
      </c>
      <c r="AP20" s="55">
        <v>7</v>
      </c>
      <c r="AQ20" s="68" t="s">
        <v>180</v>
      </c>
      <c r="AR20" s="130"/>
      <c r="AS20" s="111">
        <v>100000</v>
      </c>
      <c r="AT20" s="55">
        <f t="shared" si="3"/>
        <v>7</v>
      </c>
      <c r="AU20" s="68" t="s">
        <v>152</v>
      </c>
      <c r="AV20" s="2"/>
      <c r="AW20" s="2"/>
      <c r="AX20" s="151">
        <f>-AX16-AX19</f>
        <v>-424068.45</v>
      </c>
      <c r="AY20" s="55">
        <v>7</v>
      </c>
      <c r="AZ20" s="68" t="s">
        <v>170</v>
      </c>
      <c r="BA20" s="152">
        <f>FEDERAL_INCOME_TAX</f>
        <v>0.35</v>
      </c>
      <c r="BB20" s="112"/>
      <c r="BC20" s="105">
        <f>BA20*-BC17</f>
        <v>-1672872.95</v>
      </c>
      <c r="BD20" s="55">
        <f t="shared" si="4"/>
        <v>7</v>
      </c>
      <c r="BE20" s="68" t="s">
        <v>181</v>
      </c>
      <c r="BF20" s="68"/>
      <c r="BG20" s="68"/>
      <c r="BH20" s="105">
        <v>5540056.135395558</v>
      </c>
      <c r="BI20" s="105">
        <v>5938940</v>
      </c>
      <c r="BJ20" s="105">
        <f t="shared" si="5"/>
        <v>398883.8646044424</v>
      </c>
      <c r="BK20" s="55">
        <f t="shared" si="6"/>
        <v>7</v>
      </c>
      <c r="BL20" s="68" t="s">
        <v>182</v>
      </c>
      <c r="BM20" s="87"/>
      <c r="BN20" s="96">
        <f>327952+364181</f>
        <v>692133</v>
      </c>
      <c r="BO20" s="55">
        <v>7</v>
      </c>
      <c r="BP20" s="83" t="s">
        <v>183</v>
      </c>
      <c r="BQ20" s="112"/>
      <c r="BR20" s="144">
        <v>3337843</v>
      </c>
      <c r="BS20" s="55">
        <f t="shared" si="7"/>
        <v>7</v>
      </c>
      <c r="BT20" s="69"/>
      <c r="BU20" s="69"/>
      <c r="BV20" s="154"/>
      <c r="BW20" s="55">
        <f t="shared" si="8"/>
        <v>7</v>
      </c>
      <c r="BX20" s="2"/>
      <c r="BY20" s="163">
        <f>-CA17</f>
        <v>-0.0054</v>
      </c>
      <c r="BZ20" s="2"/>
      <c r="CA20" s="109"/>
      <c r="CB20" s="109"/>
      <c r="CC20" s="55">
        <f t="shared" si="9"/>
        <v>6</v>
      </c>
      <c r="CD20" s="2"/>
      <c r="CE20" s="2"/>
      <c r="CF20" s="2"/>
      <c r="CG20" s="2"/>
      <c r="CH20" s="2"/>
      <c r="CI20" s="2"/>
      <c r="CJ20" s="164"/>
      <c r="CK20" s="2"/>
      <c r="CL20" s="55">
        <f t="shared" si="10"/>
        <v>6</v>
      </c>
      <c r="CM20" s="2"/>
      <c r="CN20" s="2"/>
      <c r="CO20" s="2"/>
      <c r="CP20" s="164"/>
      <c r="CQ20" s="164"/>
      <c r="CR20" s="164"/>
      <c r="CS20" s="164"/>
      <c r="CT20" s="55">
        <f t="shared" si="11"/>
        <v>6</v>
      </c>
      <c r="CU20" s="2"/>
      <c r="CV20" s="164"/>
      <c r="CW20" s="164"/>
      <c r="CX20" s="164"/>
      <c r="CY20" s="164"/>
      <c r="CZ20" s="79"/>
      <c r="DA20" s="79"/>
      <c r="DB20" s="55">
        <f t="shared" si="12"/>
        <v>6</v>
      </c>
      <c r="DC20" s="2"/>
      <c r="DD20" s="2"/>
      <c r="DE20" s="2"/>
      <c r="DF20" s="2"/>
      <c r="DG20" s="2" t="s">
        <v>0</v>
      </c>
      <c r="DH20" s="2"/>
      <c r="DI20" s="2"/>
    </row>
    <row r="21" spans="1:113" ht="12.75" customHeight="1">
      <c r="A21" s="78">
        <v>7</v>
      </c>
      <c r="B21" s="2" t="s">
        <v>154</v>
      </c>
      <c r="C21" s="2"/>
      <c r="D21" s="165">
        <f>CE17</f>
        <v>21624997</v>
      </c>
      <c r="E21" s="165">
        <v>26426999</v>
      </c>
      <c r="F21" s="165">
        <f>E21-D21</f>
        <v>4802002</v>
      </c>
      <c r="G21" s="55">
        <f t="shared" si="1"/>
        <v>8</v>
      </c>
      <c r="H21" s="2" t="s">
        <v>184</v>
      </c>
      <c r="I21" s="2"/>
      <c r="J21" s="2"/>
      <c r="K21" s="80">
        <f>SUM(K17:K20)</f>
        <v>10043200</v>
      </c>
      <c r="L21" s="55">
        <v>8</v>
      </c>
      <c r="M21" s="166" t="s">
        <v>185</v>
      </c>
      <c r="N21" s="159"/>
      <c r="O21" s="97" t="s">
        <v>0</v>
      </c>
      <c r="P21" s="55">
        <v>8</v>
      </c>
      <c r="Q21" s="83" t="s">
        <v>186</v>
      </c>
      <c r="R21" s="155">
        <v>0.5</v>
      </c>
      <c r="S21" s="148">
        <f>-ROUND((0.5*S17),0)</f>
        <v>-120656</v>
      </c>
      <c r="T21" s="55">
        <v>8</v>
      </c>
      <c r="U21" s="2" t="s">
        <v>187</v>
      </c>
      <c r="V21" s="295">
        <v>0</v>
      </c>
      <c r="W21" s="111"/>
      <c r="X21" s="78">
        <f t="shared" si="2"/>
        <v>8</v>
      </c>
      <c r="Y21" s="2"/>
      <c r="Z21" s="2"/>
      <c r="AA21" s="5"/>
      <c r="AB21" s="66">
        <f t="shared" si="0"/>
        <v>9</v>
      </c>
      <c r="AC21" s="68" t="s">
        <v>188</v>
      </c>
      <c r="AD21" s="160">
        <f>SUM(AD15:AD19)</f>
        <v>1483537.1032577832</v>
      </c>
      <c r="AE21" s="160">
        <f>SUM(AE15:AE19)</f>
        <v>1320001</v>
      </c>
      <c r="AF21" s="160">
        <f>SUM(AF15:AF19)</f>
        <v>-163536.10325778322</v>
      </c>
      <c r="AG21" s="4"/>
      <c r="AH21" s="4"/>
      <c r="AI21" s="4"/>
      <c r="AJ21" s="4"/>
      <c r="AK21" s="4"/>
      <c r="AL21" s="55">
        <v>8</v>
      </c>
      <c r="AM21" s="129"/>
      <c r="AN21" s="129"/>
      <c r="AO21" s="2"/>
      <c r="AP21" s="55">
        <v>8</v>
      </c>
      <c r="AQ21" s="68" t="s">
        <v>189</v>
      </c>
      <c r="AR21" s="130"/>
      <c r="AS21" s="111">
        <v>1500000</v>
      </c>
      <c r="AT21" s="2"/>
      <c r="AU21" s="2"/>
      <c r="AV21" s="2"/>
      <c r="AW21" s="2"/>
      <c r="AX21" s="2"/>
      <c r="AY21" s="55">
        <v>8</v>
      </c>
      <c r="AZ21" s="68" t="s">
        <v>152</v>
      </c>
      <c r="BA21" s="2"/>
      <c r="BB21" s="2"/>
      <c r="BC21" s="151">
        <f>-BC17-BC20</f>
        <v>-3106764.05</v>
      </c>
      <c r="BD21" s="55">
        <f t="shared" si="4"/>
        <v>8</v>
      </c>
      <c r="BE21" s="68" t="s">
        <v>190</v>
      </c>
      <c r="BF21" s="68"/>
      <c r="BG21" s="68"/>
      <c r="BH21" s="105">
        <v>554178.5119748291</v>
      </c>
      <c r="BI21" s="105">
        <v>594079</v>
      </c>
      <c r="BJ21" s="105">
        <f t="shared" si="5"/>
        <v>39900.48802517087</v>
      </c>
      <c r="BK21" s="55">
        <f t="shared" si="6"/>
        <v>8</v>
      </c>
      <c r="BL21" s="2" t="s">
        <v>191</v>
      </c>
      <c r="BM21" s="296">
        <v>0.0788</v>
      </c>
      <c r="BN21" s="146">
        <f>+BN20*BM21</f>
        <v>54540.0804</v>
      </c>
      <c r="BO21" s="55">
        <v>8</v>
      </c>
      <c r="BP21" s="68" t="s">
        <v>137</v>
      </c>
      <c r="BQ21" s="55"/>
      <c r="BR21" s="115">
        <f>BR19-BR20</f>
        <v>748444.1402495997</v>
      </c>
      <c r="BS21" s="55">
        <f t="shared" si="7"/>
        <v>8</v>
      </c>
      <c r="BT21" s="69" t="s">
        <v>168</v>
      </c>
      <c r="BU21" s="69"/>
      <c r="BV21" s="167">
        <f>+BV17-BV19</f>
        <v>1792203</v>
      </c>
      <c r="BW21" s="55">
        <f t="shared" si="8"/>
        <v>8</v>
      </c>
      <c r="BX21" s="2"/>
      <c r="BY21" s="2"/>
      <c r="BZ21" s="2"/>
      <c r="CA21" s="2"/>
      <c r="CB21" s="2"/>
      <c r="CC21" s="55">
        <f t="shared" si="9"/>
        <v>7</v>
      </c>
      <c r="CD21" s="2"/>
      <c r="CE21" s="84"/>
      <c r="CF21" s="150"/>
      <c r="CG21" s="150" t="s">
        <v>0</v>
      </c>
      <c r="CH21" s="150" t="s">
        <v>0</v>
      </c>
      <c r="CI21" s="150" t="s">
        <v>0</v>
      </c>
      <c r="CJ21" s="150" t="s">
        <v>0</v>
      </c>
      <c r="CK21" s="150" t="s">
        <v>0</v>
      </c>
      <c r="CL21" s="55">
        <f t="shared" si="10"/>
        <v>7</v>
      </c>
      <c r="CM21" s="2"/>
      <c r="CN21" s="168" t="s">
        <v>0</v>
      </c>
      <c r="CO21" s="150"/>
      <c r="CP21" s="2"/>
      <c r="CQ21" s="2"/>
      <c r="CR21" s="2"/>
      <c r="CS21" s="2"/>
      <c r="CT21" s="55">
        <f t="shared" si="11"/>
        <v>7</v>
      </c>
      <c r="CU21" s="2"/>
      <c r="CV21" s="150" t="s">
        <v>0</v>
      </c>
      <c r="CW21" s="169" t="s">
        <v>0</v>
      </c>
      <c r="CX21" s="150" t="s">
        <v>0</v>
      </c>
      <c r="CY21" s="150"/>
      <c r="CZ21" s="79"/>
      <c r="DA21" s="79"/>
      <c r="DB21" s="55">
        <f t="shared" si="12"/>
        <v>7</v>
      </c>
      <c r="DC21" s="2"/>
      <c r="DD21" s="79"/>
      <c r="DE21" s="79"/>
      <c r="DF21" s="79"/>
      <c r="DG21" s="79"/>
      <c r="DH21" s="79"/>
      <c r="DI21" s="79"/>
    </row>
    <row r="22" spans="1:113" ht="12.75" customHeight="1">
      <c r="A22" s="78">
        <v>8</v>
      </c>
      <c r="B22" s="2"/>
      <c r="C22" s="2"/>
      <c r="D22" s="165"/>
      <c r="E22" s="165"/>
      <c r="F22" s="165"/>
      <c r="G22" s="55">
        <f t="shared" si="1"/>
        <v>9</v>
      </c>
      <c r="H22" s="2"/>
      <c r="I22" s="2"/>
      <c r="J22" s="2"/>
      <c r="K22" s="2"/>
      <c r="L22" s="55">
        <v>9</v>
      </c>
      <c r="M22" s="2" t="s">
        <v>192</v>
      </c>
      <c r="N22" s="297">
        <v>53270991</v>
      </c>
      <c r="O22" s="97"/>
      <c r="P22" s="55">
        <v>9</v>
      </c>
      <c r="Q22" s="98"/>
      <c r="R22" s="170"/>
      <c r="S22" s="128"/>
      <c r="T22" s="55">
        <v>9</v>
      </c>
      <c r="U22" s="2" t="s">
        <v>148</v>
      </c>
      <c r="V22" s="171">
        <f>V21-V20</f>
        <v>88357</v>
      </c>
      <c r="W22" s="5"/>
      <c r="X22" s="78">
        <f t="shared" si="2"/>
        <v>9</v>
      </c>
      <c r="Y22" s="2" t="s">
        <v>152</v>
      </c>
      <c r="Z22" s="2"/>
      <c r="AA22" s="151">
        <f>-AA18-AA20</f>
        <v>42404.433499999905</v>
      </c>
      <c r="AB22" s="66">
        <f t="shared" si="0"/>
        <v>10</v>
      </c>
      <c r="AC22" s="83"/>
      <c r="AD22" s="172"/>
      <c r="AE22" s="7"/>
      <c r="AF22" s="4"/>
      <c r="AG22" s="2"/>
      <c r="AH22" s="2"/>
      <c r="AI22" s="2"/>
      <c r="AJ22" s="2"/>
      <c r="AK22" s="2"/>
      <c r="AL22" s="55">
        <v>9</v>
      </c>
      <c r="AM22" s="129" t="s">
        <v>193</v>
      </c>
      <c r="AN22" s="129"/>
      <c r="AO22" s="102">
        <f>(AO16+AO20)</f>
        <v>178839.2300000001</v>
      </c>
      <c r="AP22" s="55">
        <v>9</v>
      </c>
      <c r="AQ22" s="68" t="s">
        <v>194</v>
      </c>
      <c r="AR22" s="130"/>
      <c r="AS22" s="111">
        <v>10312.5</v>
      </c>
      <c r="AT22" s="2"/>
      <c r="AU22" s="2"/>
      <c r="AV22" s="2"/>
      <c r="AW22" s="2"/>
      <c r="AX22" s="2"/>
      <c r="AY22" s="173"/>
      <c r="AZ22" s="173"/>
      <c r="BA22" s="173"/>
      <c r="BB22" s="173"/>
      <c r="BC22" s="173"/>
      <c r="BD22" s="55">
        <f t="shared" si="4"/>
        <v>9</v>
      </c>
      <c r="BE22" s="68" t="s">
        <v>195</v>
      </c>
      <c r="BF22" s="68"/>
      <c r="BG22" s="68"/>
      <c r="BH22" s="105">
        <v>493368.3822707092</v>
      </c>
      <c r="BI22" s="105">
        <v>528891</v>
      </c>
      <c r="BJ22" s="105">
        <f t="shared" si="5"/>
        <v>35522.617729290796</v>
      </c>
      <c r="BK22" s="55">
        <f t="shared" si="6"/>
        <v>9</v>
      </c>
      <c r="BL22" s="131" t="s">
        <v>196</v>
      </c>
      <c r="BM22" s="131"/>
      <c r="BN22" s="315">
        <f>SUM(BN20:BN21)</f>
        <v>746673.0804</v>
      </c>
      <c r="BO22" s="55">
        <v>9</v>
      </c>
      <c r="BP22" s="2"/>
      <c r="BQ22" s="55"/>
      <c r="BR22" s="5"/>
      <c r="BS22" s="5"/>
      <c r="BT22" s="5"/>
      <c r="BU22" s="5"/>
      <c r="BV22" s="5"/>
      <c r="BW22" s="55">
        <f t="shared" si="8"/>
        <v>9</v>
      </c>
      <c r="BX22" s="2" t="s">
        <v>197</v>
      </c>
      <c r="BY22" s="174">
        <f>BY19+BY20</f>
        <v>0.9946</v>
      </c>
      <c r="BZ22" s="163">
        <v>0.03852</v>
      </c>
      <c r="CA22" s="163">
        <f>BY22*BZ22</f>
        <v>0.038311992</v>
      </c>
      <c r="CB22" s="163"/>
      <c r="CC22" s="55">
        <f t="shared" si="9"/>
        <v>8</v>
      </c>
      <c r="CD22" s="68" t="s">
        <v>198</v>
      </c>
      <c r="CE22" s="84"/>
      <c r="CF22" s="79"/>
      <c r="CG22" s="79"/>
      <c r="CH22" s="79"/>
      <c r="CI22" s="79"/>
      <c r="CJ22" s="79"/>
      <c r="CK22" s="79"/>
      <c r="CL22" s="55">
        <f t="shared" si="10"/>
        <v>8</v>
      </c>
      <c r="CM22" s="68" t="s">
        <v>198</v>
      </c>
      <c r="CN22" s="84"/>
      <c r="CO22" s="79"/>
      <c r="CP22" s="2"/>
      <c r="CQ22" s="2"/>
      <c r="CR22" s="2"/>
      <c r="CS22" s="2"/>
      <c r="CT22" s="55">
        <f t="shared" si="11"/>
        <v>8</v>
      </c>
      <c r="CU22" s="68" t="s">
        <v>198</v>
      </c>
      <c r="CV22" s="79"/>
      <c r="CW22" s="4"/>
      <c r="CX22" s="79"/>
      <c r="CY22" s="79"/>
      <c r="CZ22" s="79"/>
      <c r="DA22" s="79"/>
      <c r="DB22" s="55">
        <f t="shared" si="12"/>
        <v>8</v>
      </c>
      <c r="DC22" s="100" t="s">
        <v>198</v>
      </c>
      <c r="DD22" s="79"/>
      <c r="DE22" s="79"/>
      <c r="DF22" s="79"/>
      <c r="DG22" s="79"/>
      <c r="DH22" s="79"/>
      <c r="DI22" s="79"/>
    </row>
    <row r="23" spans="1:113" ht="12.75" customHeight="1">
      <c r="A23" s="78">
        <v>9</v>
      </c>
      <c r="B23" s="2" t="s">
        <v>199</v>
      </c>
      <c r="C23" s="2"/>
      <c r="D23" s="165">
        <f>CE18</f>
        <v>11020477</v>
      </c>
      <c r="E23" s="165">
        <v>11664675</v>
      </c>
      <c r="F23" s="165">
        <f>E23-D23</f>
        <v>644198</v>
      </c>
      <c r="G23" s="55">
        <f t="shared" si="1"/>
        <v>10</v>
      </c>
      <c r="H23" s="2" t="s">
        <v>200</v>
      </c>
      <c r="I23" s="2"/>
      <c r="J23" s="2"/>
      <c r="K23" s="96"/>
      <c r="L23" s="55">
        <v>10</v>
      </c>
      <c r="M23" s="2" t="s">
        <v>201</v>
      </c>
      <c r="N23" s="292"/>
      <c r="O23" s="97" t="s">
        <v>0</v>
      </c>
      <c r="P23" s="55">
        <v>10</v>
      </c>
      <c r="Q23" s="2" t="s">
        <v>202</v>
      </c>
      <c r="R23" s="170"/>
      <c r="S23" s="175">
        <f>S19-S21</f>
        <v>-120656.11999999732</v>
      </c>
      <c r="T23" s="55">
        <v>10</v>
      </c>
      <c r="U23" s="98" t="s">
        <v>157</v>
      </c>
      <c r="V23" s="171"/>
      <c r="W23" s="111">
        <f>-V22</f>
        <v>-88357</v>
      </c>
      <c r="X23" s="78"/>
      <c r="Y23" s="2"/>
      <c r="Z23" s="2"/>
      <c r="AA23" s="2"/>
      <c r="AB23" s="66">
        <f t="shared" si="0"/>
        <v>11</v>
      </c>
      <c r="AC23" s="68" t="s">
        <v>203</v>
      </c>
      <c r="AD23" s="4"/>
      <c r="AE23" s="79"/>
      <c r="AF23" s="5">
        <f>-AF21</f>
        <v>163536.10325778322</v>
      </c>
      <c r="AG23" s="79"/>
      <c r="AH23" s="2"/>
      <c r="AI23" s="2"/>
      <c r="AJ23" s="2"/>
      <c r="AK23" s="2"/>
      <c r="AL23" s="55">
        <v>10</v>
      </c>
      <c r="AM23" s="129"/>
      <c r="AN23" s="129"/>
      <c r="AO23" s="2"/>
      <c r="AP23" s="55">
        <v>10</v>
      </c>
      <c r="AQ23" s="68" t="s">
        <v>204</v>
      </c>
      <c r="AR23" s="130"/>
      <c r="AS23" s="111">
        <v>48000</v>
      </c>
      <c r="AT23" s="131"/>
      <c r="AU23" s="131"/>
      <c r="AV23" s="131"/>
      <c r="AW23" s="131"/>
      <c r="AX23" s="131"/>
      <c r="AY23" s="2"/>
      <c r="AZ23" s="2"/>
      <c r="BA23" s="2"/>
      <c r="BB23" s="2"/>
      <c r="BC23" s="2" t="s">
        <v>0</v>
      </c>
      <c r="BD23" s="55">
        <f t="shared" si="4"/>
        <v>10</v>
      </c>
      <c r="BE23" s="68" t="s">
        <v>205</v>
      </c>
      <c r="BF23" s="68"/>
      <c r="BG23" s="68"/>
      <c r="BH23" s="103">
        <v>7671801.090042206</v>
      </c>
      <c r="BI23" s="103">
        <v>8224171</v>
      </c>
      <c r="BJ23" s="103">
        <f t="shared" si="5"/>
        <v>552369.9099577935</v>
      </c>
      <c r="BK23" s="55">
        <f t="shared" si="6"/>
        <v>10</v>
      </c>
      <c r="BL23" s="2"/>
      <c r="BM23" s="2"/>
      <c r="BN23" s="96"/>
      <c r="BO23" s="55">
        <v>10</v>
      </c>
      <c r="BP23" s="68" t="s">
        <v>159</v>
      </c>
      <c r="BQ23" s="112">
        <f>FEDERAL_INCOME_TAX</f>
        <v>0.35</v>
      </c>
      <c r="BR23" s="105">
        <f>-BR21*BQ23</f>
        <v>-261955.44908735988</v>
      </c>
      <c r="BS23" s="105"/>
      <c r="BT23" s="105"/>
      <c r="BU23" s="105"/>
      <c r="BV23" s="105"/>
      <c r="BW23" s="55">
        <f t="shared" si="8"/>
        <v>10</v>
      </c>
      <c r="BX23" s="2" t="s">
        <v>206</v>
      </c>
      <c r="BY23" s="2"/>
      <c r="BZ23" s="2"/>
      <c r="CA23" s="163">
        <v>0.0387932</v>
      </c>
      <c r="CB23" s="163"/>
      <c r="CC23" s="55">
        <f t="shared" si="9"/>
        <v>9</v>
      </c>
      <c r="CD23" s="2"/>
      <c r="CE23" s="2"/>
      <c r="CF23" s="2"/>
      <c r="CG23" s="2"/>
      <c r="CH23" s="2"/>
      <c r="CI23" s="2"/>
      <c r="CJ23" s="2"/>
      <c r="CK23" s="2"/>
      <c r="CL23" s="55">
        <f t="shared" si="10"/>
        <v>9</v>
      </c>
      <c r="CM23" s="2"/>
      <c r="CN23" s="2"/>
      <c r="CO23" s="2"/>
      <c r="CP23" s="2"/>
      <c r="CQ23" s="2"/>
      <c r="CR23" s="2"/>
      <c r="CS23" s="2"/>
      <c r="CT23" s="55">
        <f t="shared" si="11"/>
        <v>9</v>
      </c>
      <c r="CU23" s="2"/>
      <c r="CV23" s="2"/>
      <c r="CW23" s="57"/>
      <c r="CX23" s="2"/>
      <c r="CY23" s="2"/>
      <c r="CZ23" s="79"/>
      <c r="DA23" s="79"/>
      <c r="DB23" s="55">
        <f t="shared" si="12"/>
        <v>9</v>
      </c>
      <c r="DC23" s="2"/>
      <c r="DD23" s="79"/>
      <c r="DE23" s="79"/>
      <c r="DF23" s="79"/>
      <c r="DG23" s="79"/>
      <c r="DH23" s="79"/>
      <c r="DI23" s="79"/>
    </row>
    <row r="24" spans="1:113" ht="12.75" customHeight="1">
      <c r="A24" s="78">
        <v>10</v>
      </c>
      <c r="B24" s="2"/>
      <c r="C24" s="2"/>
      <c r="D24" s="165"/>
      <c r="E24" s="165"/>
      <c r="F24" s="165"/>
      <c r="G24" s="55">
        <f t="shared" si="1"/>
        <v>11</v>
      </c>
      <c r="H24" s="68" t="s">
        <v>207</v>
      </c>
      <c r="I24" s="164"/>
      <c r="J24" s="84"/>
      <c r="K24" s="94">
        <v>-11871394</v>
      </c>
      <c r="L24" s="55">
        <v>11</v>
      </c>
      <c r="M24" s="2" t="s">
        <v>208</v>
      </c>
      <c r="N24" s="298">
        <v>1223952</v>
      </c>
      <c r="O24" s="97"/>
      <c r="P24" s="55"/>
      <c r="Q24" s="99"/>
      <c r="R24" s="176"/>
      <c r="S24" s="176"/>
      <c r="T24" s="55">
        <v>11</v>
      </c>
      <c r="U24" s="2"/>
      <c r="V24" s="2"/>
      <c r="W24" s="5"/>
      <c r="X24" s="78"/>
      <c r="Y24" s="2"/>
      <c r="Z24" s="2"/>
      <c r="AA24" s="2"/>
      <c r="AB24" s="66">
        <f t="shared" si="0"/>
        <v>12</v>
      </c>
      <c r="AC24" s="68" t="s">
        <v>159</v>
      </c>
      <c r="AD24" s="4"/>
      <c r="AE24" s="112">
        <f>FEDERAL_INCOME_TAX</f>
        <v>0.35</v>
      </c>
      <c r="AF24" s="115">
        <f>ROUND(AE24*AF23,0)</f>
        <v>57238</v>
      </c>
      <c r="AG24" s="4"/>
      <c r="AH24" s="2"/>
      <c r="AI24" s="2"/>
      <c r="AJ24" s="2"/>
      <c r="AK24" s="2"/>
      <c r="AL24" s="55">
        <v>11</v>
      </c>
      <c r="AM24" s="129" t="s">
        <v>209</v>
      </c>
      <c r="AN24" s="177">
        <f>FEDERAL_INCOME_TAX</f>
        <v>0.35</v>
      </c>
      <c r="AO24" s="178">
        <f>-AO22*AN24</f>
        <v>-62593.73050000003</v>
      </c>
      <c r="AP24" s="55">
        <v>11</v>
      </c>
      <c r="AQ24" s="68" t="s">
        <v>0</v>
      </c>
      <c r="AR24" s="130"/>
      <c r="AS24" s="111">
        <v>0</v>
      </c>
      <c r="AT24" s="4"/>
      <c r="AU24" s="4"/>
      <c r="AV24" s="4"/>
      <c r="AW24" s="4"/>
      <c r="AX24" s="4"/>
      <c r="AY24" s="131"/>
      <c r="AZ24" s="131"/>
      <c r="BA24" s="131"/>
      <c r="BB24" s="131"/>
      <c r="BC24" s="179" t="s">
        <v>0</v>
      </c>
      <c r="BD24" s="55">
        <f t="shared" si="4"/>
        <v>11</v>
      </c>
      <c r="BE24" s="68" t="s">
        <v>210</v>
      </c>
      <c r="BF24" s="68"/>
      <c r="BG24" s="68"/>
      <c r="BH24" s="105">
        <f>SUM(BH14:BH23)</f>
        <v>28666749.4567624</v>
      </c>
      <c r="BI24" s="105">
        <f>SUM(BI14:BI23)</f>
        <v>30730755</v>
      </c>
      <c r="BJ24" s="105">
        <f>SUM(BJ14:BJ23)</f>
        <v>2064005.5432376028</v>
      </c>
      <c r="BK24" s="55">
        <f t="shared" si="6"/>
        <v>11</v>
      </c>
      <c r="BL24" s="180" t="s">
        <v>67</v>
      </c>
      <c r="BM24" s="181"/>
      <c r="BN24" s="313"/>
      <c r="BO24" s="55">
        <v>11</v>
      </c>
      <c r="BP24" s="2"/>
      <c r="BQ24" s="2"/>
      <c r="BR24" s="5"/>
      <c r="BS24" s="5"/>
      <c r="BT24" s="5"/>
      <c r="BU24" s="5"/>
      <c r="BV24" s="5"/>
      <c r="BW24" s="55">
        <f t="shared" si="8"/>
        <v>11</v>
      </c>
      <c r="BX24" s="2" t="s">
        <v>211</v>
      </c>
      <c r="BY24" s="2"/>
      <c r="BZ24" s="2"/>
      <c r="CA24" s="163">
        <v>0.0019</v>
      </c>
      <c r="CB24" s="163"/>
      <c r="CC24" s="55">
        <f t="shared" si="9"/>
        <v>10</v>
      </c>
      <c r="CD24" s="68" t="s">
        <v>212</v>
      </c>
      <c r="CE24" s="80"/>
      <c r="CF24" s="94"/>
      <c r="CG24" s="94"/>
      <c r="CH24" s="94"/>
      <c r="CI24" s="94"/>
      <c r="CJ24" s="79"/>
      <c r="CK24" s="94"/>
      <c r="CL24" s="55">
        <f t="shared" si="10"/>
        <v>10</v>
      </c>
      <c r="CM24" s="68" t="s">
        <v>212</v>
      </c>
      <c r="CN24" s="84"/>
      <c r="CO24" s="79"/>
      <c r="CP24" s="2"/>
      <c r="CQ24" s="2"/>
      <c r="CR24" s="2"/>
      <c r="CS24" s="2"/>
      <c r="CT24" s="55">
        <f t="shared" si="11"/>
        <v>10</v>
      </c>
      <c r="CU24" s="68" t="s">
        <v>212</v>
      </c>
      <c r="CV24" s="79"/>
      <c r="CW24" s="4"/>
      <c r="CX24" s="79"/>
      <c r="CY24" s="79"/>
      <c r="CZ24" s="79"/>
      <c r="DA24" s="79"/>
      <c r="DB24" s="55">
        <f t="shared" si="12"/>
        <v>10</v>
      </c>
      <c r="DC24" s="68" t="s">
        <v>212</v>
      </c>
      <c r="DD24" s="79"/>
      <c r="DE24" s="79"/>
      <c r="DF24" s="79"/>
      <c r="DG24" s="79"/>
      <c r="DH24" s="79"/>
      <c r="DI24" s="79"/>
    </row>
    <row r="25" spans="1:113" ht="12.75" customHeight="1">
      <c r="A25" s="78">
        <v>11</v>
      </c>
      <c r="B25" s="2" t="s">
        <v>213</v>
      </c>
      <c r="C25" s="2"/>
      <c r="D25" s="183">
        <f>SUM(D15:D24)</f>
        <v>555198612.75</v>
      </c>
      <c r="E25" s="183">
        <f>SUM(E17:E24)</f>
        <v>730219608</v>
      </c>
      <c r="F25" s="183">
        <f>SUM(F19:F24)</f>
        <v>175020995.25</v>
      </c>
      <c r="G25" s="55">
        <f t="shared" si="1"/>
        <v>12</v>
      </c>
      <c r="H25" s="68" t="s">
        <v>155</v>
      </c>
      <c r="I25" s="164"/>
      <c r="J25" s="84"/>
      <c r="K25" s="134">
        <f>44717000+177221</f>
        <v>44894221</v>
      </c>
      <c r="L25" s="55">
        <v>12</v>
      </c>
      <c r="M25" s="2" t="s">
        <v>214</v>
      </c>
      <c r="N25" s="299">
        <v>4157105</v>
      </c>
      <c r="O25" s="2"/>
      <c r="P25" s="55"/>
      <c r="Q25" s="2"/>
      <c r="R25" s="2"/>
      <c r="S25" s="2"/>
      <c r="T25" s="55">
        <v>12</v>
      </c>
      <c r="U25" s="73" t="s">
        <v>300</v>
      </c>
      <c r="V25" s="2"/>
      <c r="W25" s="5"/>
      <c r="X25" s="78"/>
      <c r="Y25" s="2"/>
      <c r="Z25" s="2"/>
      <c r="AA25" s="2"/>
      <c r="AB25" s="66">
        <f t="shared" si="0"/>
        <v>13</v>
      </c>
      <c r="AC25" s="68"/>
      <c r="AD25" s="4"/>
      <c r="AE25" s="152"/>
      <c r="AF25" s="4"/>
      <c r="AG25" s="4"/>
      <c r="AH25" s="2"/>
      <c r="AI25" s="2"/>
      <c r="AJ25" s="2"/>
      <c r="AK25" s="2"/>
      <c r="AL25" s="55">
        <v>12</v>
      </c>
      <c r="AM25" s="129" t="s">
        <v>168</v>
      </c>
      <c r="AN25" s="129"/>
      <c r="AO25" s="184">
        <f>-AO22-AO24</f>
        <v>-116245.49950000006</v>
      </c>
      <c r="AP25" s="55">
        <v>12</v>
      </c>
      <c r="AQ25" s="68" t="s">
        <v>215</v>
      </c>
      <c r="AR25" s="118"/>
      <c r="AS25" s="185">
        <f>SUM(AS19:AS24)</f>
        <v>2394762.5</v>
      </c>
      <c r="AT25" s="173"/>
      <c r="AU25" s="173"/>
      <c r="AV25" s="173"/>
      <c r="AW25" s="173"/>
      <c r="AX25" s="173"/>
      <c r="AY25" s="4"/>
      <c r="AZ25" s="4"/>
      <c r="BA25" s="4"/>
      <c r="BB25" s="4"/>
      <c r="BC25" s="4"/>
      <c r="BD25" s="55">
        <f t="shared" si="4"/>
        <v>12</v>
      </c>
      <c r="BE25" s="2"/>
      <c r="BF25" s="2"/>
      <c r="BG25" s="2"/>
      <c r="BH25" s="105"/>
      <c r="BI25" s="105"/>
      <c r="BJ25" s="105"/>
      <c r="BK25" s="55">
        <f t="shared" si="6"/>
        <v>12</v>
      </c>
      <c r="BL25" s="3" t="s">
        <v>216</v>
      </c>
      <c r="BM25" s="55"/>
      <c r="BN25" s="96">
        <f>+BN17+BN22</f>
        <v>2294264.7342</v>
      </c>
      <c r="BO25" s="55">
        <v>12</v>
      </c>
      <c r="BP25" s="68" t="s">
        <v>168</v>
      </c>
      <c r="BQ25" s="2"/>
      <c r="BR25" s="184">
        <f>-BR21-BR23</f>
        <v>-486488.6911622398</v>
      </c>
      <c r="BS25" s="101"/>
      <c r="BT25" s="101"/>
      <c r="BU25" s="101"/>
      <c r="BV25" s="101"/>
      <c r="BW25" s="55">
        <f t="shared" si="8"/>
        <v>12</v>
      </c>
      <c r="BX25" s="2" t="s">
        <v>217</v>
      </c>
      <c r="BY25" s="2"/>
      <c r="BZ25" s="2"/>
      <c r="CA25" s="163"/>
      <c r="CB25" s="163"/>
      <c r="CC25" s="55">
        <f t="shared" si="9"/>
        <v>11</v>
      </c>
      <c r="CD25" s="68"/>
      <c r="CE25" s="186"/>
      <c r="CF25" s="187"/>
      <c r="CG25" s="187"/>
      <c r="CH25" s="187"/>
      <c r="CI25" s="187"/>
      <c r="CJ25" s="187"/>
      <c r="CK25" s="187"/>
      <c r="CL25" s="55">
        <f t="shared" si="10"/>
        <v>11</v>
      </c>
      <c r="CM25" s="68"/>
      <c r="CN25" s="187"/>
      <c r="CO25" s="187"/>
      <c r="CP25" s="102"/>
      <c r="CQ25" s="102"/>
      <c r="CR25" s="102"/>
      <c r="CS25" s="102"/>
      <c r="CT25" s="55">
        <f t="shared" si="11"/>
        <v>11</v>
      </c>
      <c r="CU25" s="68"/>
      <c r="CV25" s="187"/>
      <c r="CW25" s="101"/>
      <c r="CX25" s="187"/>
      <c r="CY25" s="187"/>
      <c r="CZ25" s="102"/>
      <c r="DA25" s="102"/>
      <c r="DB25" s="55">
        <f t="shared" si="12"/>
        <v>11</v>
      </c>
      <c r="DC25" s="68"/>
      <c r="DD25" s="187"/>
      <c r="DE25" s="187"/>
      <c r="DF25" s="188"/>
      <c r="DG25" s="188"/>
      <c r="DH25" s="188"/>
      <c r="DI25" s="188"/>
    </row>
    <row r="26" spans="1:113" ht="12.75" customHeight="1">
      <c r="A26" s="78">
        <v>12</v>
      </c>
      <c r="B26" s="2"/>
      <c r="C26" s="2"/>
      <c r="D26" s="178"/>
      <c r="E26" s="178"/>
      <c r="F26" s="165"/>
      <c r="G26" s="55">
        <f t="shared" si="1"/>
        <v>13</v>
      </c>
      <c r="H26" s="2" t="s">
        <v>166</v>
      </c>
      <c r="I26" s="164"/>
      <c r="J26" s="84"/>
      <c r="K26" s="134">
        <v>-23568000</v>
      </c>
      <c r="L26" s="55">
        <v>13</v>
      </c>
      <c r="M26" s="131" t="s">
        <v>218</v>
      </c>
      <c r="N26" s="300"/>
      <c r="O26" s="189">
        <f>SUM(N22:N25)</f>
        <v>58652048</v>
      </c>
      <c r="P26" s="55"/>
      <c r="Q26" s="68"/>
      <c r="R26" s="68"/>
      <c r="S26" s="2"/>
      <c r="T26" s="55">
        <v>13</v>
      </c>
      <c r="U26" s="190" t="s">
        <v>219</v>
      </c>
      <c r="V26" s="301">
        <v>350674</v>
      </c>
      <c r="W26" s="5"/>
      <c r="X26" s="78"/>
      <c r="Y26" s="2"/>
      <c r="Z26" s="2"/>
      <c r="AA26" s="2"/>
      <c r="AB26" s="66">
        <f t="shared" si="0"/>
        <v>14</v>
      </c>
      <c r="AC26" s="68" t="s">
        <v>168</v>
      </c>
      <c r="AD26" s="4"/>
      <c r="AE26" s="79"/>
      <c r="AF26" s="191">
        <f>ROUND(+AF23-AF24,0)</f>
        <v>106298</v>
      </c>
      <c r="AG26" s="2"/>
      <c r="AH26" s="2"/>
      <c r="AI26" s="2"/>
      <c r="AJ26" s="2"/>
      <c r="AK26" s="2"/>
      <c r="AL26" s="2"/>
      <c r="AM26" s="2"/>
      <c r="AN26" s="2"/>
      <c r="AO26" s="2"/>
      <c r="AP26" s="55">
        <v>13</v>
      </c>
      <c r="AQ26" s="68"/>
      <c r="AR26" s="5"/>
      <c r="AS26" s="192"/>
      <c r="AT26" s="107"/>
      <c r="AU26" s="107"/>
      <c r="AV26" s="107"/>
      <c r="AW26" s="107"/>
      <c r="AX26" s="107"/>
      <c r="AY26" s="173"/>
      <c r="AZ26" s="173"/>
      <c r="BA26" s="173"/>
      <c r="BB26" s="173"/>
      <c r="BC26" s="173"/>
      <c r="BD26" s="55">
        <f t="shared" si="4"/>
        <v>13</v>
      </c>
      <c r="BE26" s="68" t="s">
        <v>220</v>
      </c>
      <c r="BF26" s="68"/>
      <c r="BG26" s="68"/>
      <c r="BH26" s="293">
        <v>2400319.616056</v>
      </c>
      <c r="BI26" s="293">
        <v>2544982</v>
      </c>
      <c r="BJ26" s="103">
        <f>BI26-BH26</f>
        <v>144662.38394400012</v>
      </c>
      <c r="BK26" s="55">
        <f t="shared" si="6"/>
        <v>13</v>
      </c>
      <c r="BL26" s="3" t="s">
        <v>221</v>
      </c>
      <c r="BM26" s="290">
        <v>0.6791</v>
      </c>
      <c r="BN26" s="96">
        <f>+BN25*BM26</f>
        <v>1558035.18099522</v>
      </c>
      <c r="BO26" s="2"/>
      <c r="BP26" s="2"/>
      <c r="BQ26" s="2"/>
      <c r="BR26" s="2"/>
      <c r="BS26" s="2"/>
      <c r="BT26" s="2"/>
      <c r="BU26" s="2"/>
      <c r="BV26" s="2"/>
      <c r="BW26" s="55">
        <f t="shared" si="8"/>
        <v>13</v>
      </c>
      <c r="BX26" s="2" t="s">
        <v>222</v>
      </c>
      <c r="BY26" s="174">
        <f>CA14-CA17-CA22-CA23-CA24</f>
        <v>0.915594808</v>
      </c>
      <c r="BZ26" s="157">
        <v>0.35</v>
      </c>
      <c r="CA26" s="163">
        <f>BY26*BZ26</f>
        <v>0.3204581828</v>
      </c>
      <c r="CB26" s="157"/>
      <c r="CC26" s="55">
        <f t="shared" si="9"/>
        <v>12</v>
      </c>
      <c r="CD26" s="68" t="s">
        <v>223</v>
      </c>
      <c r="CE26" s="80">
        <v>260366707.85</v>
      </c>
      <c r="CF26" s="94">
        <f>F33</f>
        <v>162756809.15</v>
      </c>
      <c r="CG26" s="94">
        <v>0</v>
      </c>
      <c r="CH26" s="94">
        <v>0</v>
      </c>
      <c r="CI26" s="94">
        <v>0</v>
      </c>
      <c r="CJ26" s="94">
        <v>0</v>
      </c>
      <c r="CK26" s="94">
        <v>0</v>
      </c>
      <c r="CL26" s="55">
        <f t="shared" si="10"/>
        <v>12</v>
      </c>
      <c r="CM26" s="68" t="s">
        <v>223</v>
      </c>
      <c r="CN26" s="94">
        <v>0</v>
      </c>
      <c r="CO26" s="94">
        <v>0</v>
      </c>
      <c r="CP26" s="102">
        <v>0</v>
      </c>
      <c r="CQ26" s="102">
        <v>0</v>
      </c>
      <c r="CR26" s="102">
        <v>0</v>
      </c>
      <c r="CS26" s="102">
        <v>0</v>
      </c>
      <c r="CT26" s="55">
        <f t="shared" si="11"/>
        <v>12</v>
      </c>
      <c r="CU26" s="68" t="s">
        <v>223</v>
      </c>
      <c r="CV26" s="94">
        <v>0</v>
      </c>
      <c r="CW26" s="101">
        <v>0</v>
      </c>
      <c r="CX26" s="94">
        <v>0</v>
      </c>
      <c r="CY26" s="94">
        <v>0</v>
      </c>
      <c r="CZ26" s="102">
        <f>SUM(CF26:CY26)-CT26-CL26</f>
        <v>162756809.15</v>
      </c>
      <c r="DA26" s="102">
        <f>CE26+CZ26</f>
        <v>423123517</v>
      </c>
      <c r="DB26" s="55">
        <f t="shared" si="12"/>
        <v>12</v>
      </c>
      <c r="DC26" s="68" t="s">
        <v>223</v>
      </c>
      <c r="DD26" s="94">
        <f>CE26</f>
        <v>260366707.85</v>
      </c>
      <c r="DE26" s="94">
        <f>CZ26</f>
        <v>162756809.15</v>
      </c>
      <c r="DF26" s="125">
        <f>+DD26+DE26</f>
        <v>423123517</v>
      </c>
      <c r="DG26" s="125">
        <v>0</v>
      </c>
      <c r="DH26" s="125">
        <f>+DF26+DG26</f>
        <v>423123517</v>
      </c>
      <c r="DI26" s="125"/>
    </row>
    <row r="27" spans="1:113" ht="12.75" customHeight="1" thickBot="1">
      <c r="A27" s="78">
        <v>13</v>
      </c>
      <c r="B27" s="2" t="s">
        <v>224</v>
      </c>
      <c r="C27" s="2"/>
      <c r="D27" s="178"/>
      <c r="E27" s="178"/>
      <c r="F27" s="165">
        <v>347475</v>
      </c>
      <c r="G27" s="55">
        <f t="shared" si="1"/>
        <v>14</v>
      </c>
      <c r="H27" s="2" t="s">
        <v>176</v>
      </c>
      <c r="I27" s="164"/>
      <c r="J27" s="164"/>
      <c r="K27" s="145">
        <v>-632727</v>
      </c>
      <c r="L27" s="55">
        <v>14</v>
      </c>
      <c r="M27" s="2" t="s">
        <v>225</v>
      </c>
      <c r="N27" s="292"/>
      <c r="O27" s="158">
        <f>O19-O26</f>
        <v>-17319193.160688393</v>
      </c>
      <c r="P27" s="55"/>
      <c r="Q27" s="2"/>
      <c r="R27" s="2"/>
      <c r="S27" s="2"/>
      <c r="T27" s="55">
        <v>14</v>
      </c>
      <c r="U27" s="83" t="s">
        <v>226</v>
      </c>
      <c r="V27" s="145">
        <v>116891</v>
      </c>
      <c r="W27" s="5"/>
      <c r="X27" s="78"/>
      <c r="Y27" s="2"/>
      <c r="Z27" s="2"/>
      <c r="AA27" s="2"/>
      <c r="AB27" s="66">
        <f t="shared" si="0"/>
        <v>15</v>
      </c>
      <c r="AC27" s="2"/>
      <c r="AD27" s="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55">
        <v>14</v>
      </c>
      <c r="AQ27" s="68" t="s">
        <v>227</v>
      </c>
      <c r="AR27" s="193"/>
      <c r="AS27" s="194">
        <f>AS16+AS25</f>
        <v>3429917.74</v>
      </c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55">
        <f t="shared" si="4"/>
        <v>14</v>
      </c>
      <c r="BE27" s="68" t="s">
        <v>228</v>
      </c>
      <c r="BF27" s="68"/>
      <c r="BG27" s="68"/>
      <c r="BH27" s="106">
        <f>+BH26+BH24</f>
        <v>31067069.0728184</v>
      </c>
      <c r="BI27" s="106">
        <f>+BI26+BI24</f>
        <v>33275737</v>
      </c>
      <c r="BJ27" s="106">
        <f>BI27-BH27</f>
        <v>2208667.9271816015</v>
      </c>
      <c r="BK27" s="55">
        <f t="shared" si="6"/>
        <v>14</v>
      </c>
      <c r="BL27" s="68" t="s">
        <v>229</v>
      </c>
      <c r="BM27" s="112"/>
      <c r="BN27" s="146">
        <f>(+BN15+BN20)*BM26</f>
        <v>1454911.3101000001</v>
      </c>
      <c r="BO27" s="2"/>
      <c r="BP27" s="2"/>
      <c r="BQ27" s="2"/>
      <c r="BR27" s="2"/>
      <c r="BS27" s="2"/>
      <c r="BT27" s="2"/>
      <c r="BU27" s="2"/>
      <c r="BV27" s="2"/>
      <c r="BW27" s="55">
        <f t="shared" si="8"/>
        <v>14</v>
      </c>
      <c r="BX27" s="2"/>
      <c r="BY27" s="174"/>
      <c r="BZ27" s="157"/>
      <c r="CA27" s="163"/>
      <c r="CB27" s="163"/>
      <c r="CC27" s="55">
        <f t="shared" si="9"/>
        <v>13</v>
      </c>
      <c r="CD27" s="68"/>
      <c r="CE27" s="105"/>
      <c r="CF27" s="5"/>
      <c r="CG27" s="5"/>
      <c r="CH27" s="5"/>
      <c r="CI27" s="5"/>
      <c r="CJ27" s="144"/>
      <c r="CK27" s="5"/>
      <c r="CL27" s="55">
        <f t="shared" si="10"/>
        <v>13</v>
      </c>
      <c r="CM27" s="68"/>
      <c r="CN27" s="105"/>
      <c r="CO27" s="5"/>
      <c r="CP27" s="144"/>
      <c r="CQ27" s="144"/>
      <c r="CR27" s="144"/>
      <c r="CS27" s="144"/>
      <c r="CT27" s="55">
        <f t="shared" si="11"/>
        <v>13</v>
      </c>
      <c r="CU27" s="68"/>
      <c r="CV27" s="144"/>
      <c r="CW27" s="144"/>
      <c r="CX27" s="144"/>
      <c r="CY27" s="144"/>
      <c r="CZ27" s="144"/>
      <c r="DA27" s="144"/>
      <c r="DB27" s="55">
        <f t="shared" si="12"/>
        <v>13</v>
      </c>
      <c r="DC27" s="68"/>
      <c r="DD27" s="144"/>
      <c r="DE27" s="5"/>
      <c r="DF27" s="135"/>
      <c r="DG27" s="135"/>
      <c r="DH27" s="147"/>
      <c r="DI27" s="148"/>
    </row>
    <row r="28" spans="1:113" ht="12.75" customHeight="1" thickTop="1">
      <c r="A28" s="78">
        <v>14</v>
      </c>
      <c r="B28" s="2"/>
      <c r="C28" s="2"/>
      <c r="D28" s="178"/>
      <c r="E28" s="178"/>
      <c r="F28" s="165"/>
      <c r="G28" s="55">
        <f t="shared" si="1"/>
        <v>15</v>
      </c>
      <c r="H28" s="2"/>
      <c r="I28" s="164"/>
      <c r="J28" s="164"/>
      <c r="K28" s="195"/>
      <c r="L28" s="55">
        <v>15</v>
      </c>
      <c r="M28" s="2" t="s">
        <v>0</v>
      </c>
      <c r="N28" s="2"/>
      <c r="O28" s="84" t="s">
        <v>0</v>
      </c>
      <c r="P28" s="55"/>
      <c r="Q28" s="2"/>
      <c r="R28" s="164"/>
      <c r="S28" s="164"/>
      <c r="T28" s="55">
        <v>15</v>
      </c>
      <c r="U28" s="98" t="s">
        <v>157</v>
      </c>
      <c r="V28" s="2"/>
      <c r="W28" s="5">
        <f>-V27</f>
        <v>-116891</v>
      </c>
      <c r="X28" s="78"/>
      <c r="Y28" s="2"/>
      <c r="Z28" s="2"/>
      <c r="AA28" s="2"/>
      <c r="AB28" s="66">
        <f t="shared" si="0"/>
        <v>16</v>
      </c>
      <c r="AC28" s="2"/>
      <c r="AD28" s="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55">
        <v>15</v>
      </c>
      <c r="AQ28" s="5"/>
      <c r="AR28" s="5"/>
      <c r="AS28" s="5"/>
      <c r="AT28" s="173"/>
      <c r="AU28" s="173"/>
      <c r="AV28" s="173"/>
      <c r="AW28" s="173"/>
      <c r="AX28" s="173"/>
      <c r="AY28" s="107"/>
      <c r="AZ28" s="107"/>
      <c r="BA28" s="107"/>
      <c r="BB28" s="107"/>
      <c r="BC28" s="2"/>
      <c r="BD28" s="55">
        <f t="shared" si="4"/>
        <v>15</v>
      </c>
      <c r="BE28" s="68"/>
      <c r="BF28" s="68"/>
      <c r="BG28" s="68"/>
      <c r="BH28" s="84"/>
      <c r="BI28" s="84"/>
      <c r="BJ28" s="84"/>
      <c r="BK28" s="55">
        <f t="shared" si="6"/>
        <v>15</v>
      </c>
      <c r="BL28" s="196" t="s">
        <v>148</v>
      </c>
      <c r="BM28" s="197"/>
      <c r="BN28" s="316">
        <f>BN26-BN27</f>
        <v>103123.87089521997</v>
      </c>
      <c r="BO28" s="2"/>
      <c r="BP28" s="2"/>
      <c r="BQ28" s="2"/>
      <c r="BR28" s="2"/>
      <c r="BS28" s="2"/>
      <c r="BT28" s="2"/>
      <c r="BU28" s="2"/>
      <c r="BV28" s="2"/>
      <c r="BW28" s="55">
        <f t="shared" si="8"/>
        <v>15</v>
      </c>
      <c r="BX28" s="2"/>
      <c r="BY28" s="2"/>
      <c r="BZ28" s="2"/>
      <c r="CA28" s="124"/>
      <c r="CB28" s="124"/>
      <c r="CC28" s="55">
        <f t="shared" si="9"/>
        <v>14</v>
      </c>
      <c r="CD28" s="68" t="s">
        <v>230</v>
      </c>
      <c r="CE28" s="199">
        <f aca="true" t="shared" si="15" ref="CE28:CK28">SUM(CE25:CE27)</f>
        <v>260366707.85</v>
      </c>
      <c r="CF28" s="199">
        <f t="shared" si="15"/>
        <v>162756809.15</v>
      </c>
      <c r="CG28" s="199">
        <f t="shared" si="15"/>
        <v>0</v>
      </c>
      <c r="CH28" s="199">
        <f t="shared" si="15"/>
        <v>0</v>
      </c>
      <c r="CI28" s="199">
        <f t="shared" si="15"/>
        <v>0</v>
      </c>
      <c r="CJ28" s="199">
        <f t="shared" si="15"/>
        <v>0</v>
      </c>
      <c r="CK28" s="199">
        <f t="shared" si="15"/>
        <v>0</v>
      </c>
      <c r="CL28" s="55">
        <f t="shared" si="10"/>
        <v>14</v>
      </c>
      <c r="CM28" s="68" t="s">
        <v>230</v>
      </c>
      <c r="CN28" s="199">
        <f aca="true" t="shared" si="16" ref="CN28:CS28">SUM(CN25:CN27)</f>
        <v>0</v>
      </c>
      <c r="CO28" s="199">
        <f t="shared" si="16"/>
        <v>0</v>
      </c>
      <c r="CP28" s="102">
        <f t="shared" si="16"/>
        <v>0</v>
      </c>
      <c r="CQ28" s="102">
        <f t="shared" si="16"/>
        <v>0</v>
      </c>
      <c r="CR28" s="102">
        <f t="shared" si="16"/>
        <v>0</v>
      </c>
      <c r="CS28" s="102">
        <f t="shared" si="16"/>
        <v>0</v>
      </c>
      <c r="CT28" s="55">
        <f t="shared" si="11"/>
        <v>14</v>
      </c>
      <c r="CU28" s="68" t="s">
        <v>230</v>
      </c>
      <c r="CV28" s="199">
        <f>SUM(CV25:CV27)</f>
        <v>0</v>
      </c>
      <c r="CW28" s="102">
        <f>SUM(CW25:CW27)</f>
        <v>0</v>
      </c>
      <c r="CX28" s="199">
        <f>SUM(CX25:CX27)</f>
        <v>0</v>
      </c>
      <c r="CY28" s="199">
        <f>SUM(CY25:CY27)</f>
        <v>0</v>
      </c>
      <c r="CZ28" s="102">
        <f>SUM(CF28:CY28)-CT28-CL28</f>
        <v>162756809.15</v>
      </c>
      <c r="DA28" s="102">
        <f>CE28+CZ28</f>
        <v>423123517</v>
      </c>
      <c r="DB28" s="55">
        <f t="shared" si="12"/>
        <v>14</v>
      </c>
      <c r="DC28" s="68" t="s">
        <v>230</v>
      </c>
      <c r="DD28" s="199">
        <f>SUM(DD24:DD27)</f>
        <v>260366707.85</v>
      </c>
      <c r="DE28" s="199">
        <f>SUM(DE24:DE27)</f>
        <v>162756809.15</v>
      </c>
      <c r="DF28" s="199">
        <f>SUM(DF24:DF27)</f>
        <v>423123517</v>
      </c>
      <c r="DG28" s="199">
        <f>SUM(DG24:DG27)</f>
        <v>0</v>
      </c>
      <c r="DH28" s="199">
        <f>SUM(DH24:DH27)</f>
        <v>423123517</v>
      </c>
      <c r="DI28" s="160"/>
    </row>
    <row r="29" spans="1:113" ht="12.75" customHeight="1">
      <c r="A29" s="78">
        <v>15</v>
      </c>
      <c r="B29" s="2"/>
      <c r="C29" s="2"/>
      <c r="D29" s="178"/>
      <c r="E29" s="178"/>
      <c r="F29" s="165"/>
      <c r="G29" s="55">
        <f t="shared" si="1"/>
        <v>16</v>
      </c>
      <c r="H29" s="182" t="s">
        <v>231</v>
      </c>
      <c r="I29" s="200"/>
      <c r="J29" s="200"/>
      <c r="K29" s="201">
        <f>SUM(K24:K27)</f>
        <v>8822100</v>
      </c>
      <c r="L29" s="55">
        <v>16</v>
      </c>
      <c r="M29" s="69" t="s">
        <v>178</v>
      </c>
      <c r="N29" s="202">
        <f>FEDERAL_INCOME_TAX</f>
        <v>0.35</v>
      </c>
      <c r="O29" s="154">
        <f>-O27*N29</f>
        <v>6061717.6062409375</v>
      </c>
      <c r="P29" s="182"/>
      <c r="Q29" s="182"/>
      <c r="R29" s="182"/>
      <c r="S29" s="182"/>
      <c r="T29" s="55">
        <v>16</v>
      </c>
      <c r="U29" s="131"/>
      <c r="V29" s="131"/>
      <c r="W29" s="131"/>
      <c r="X29" s="203"/>
      <c r="Y29" s="182"/>
      <c r="Z29" s="182"/>
      <c r="AA29" s="182"/>
      <c r="AB29" s="66">
        <f t="shared" si="0"/>
        <v>17</v>
      </c>
      <c r="AC29" s="56" t="s">
        <v>232</v>
      </c>
      <c r="AD29" s="4"/>
      <c r="AE29" s="2"/>
      <c r="AF29" s="204" t="s">
        <v>0</v>
      </c>
      <c r="AG29" s="182"/>
      <c r="AH29" s="182"/>
      <c r="AI29" s="182"/>
      <c r="AJ29" s="182"/>
      <c r="AK29" s="182"/>
      <c r="AL29" s="182"/>
      <c r="AM29" s="182"/>
      <c r="AN29" s="182"/>
      <c r="AO29" s="182"/>
      <c r="AP29" s="55">
        <v>16</v>
      </c>
      <c r="AQ29" s="68" t="s">
        <v>233</v>
      </c>
      <c r="AR29" s="182"/>
      <c r="AS29" s="206">
        <f>AS27/3</f>
        <v>1143305.9133333333</v>
      </c>
      <c r="AT29" s="182"/>
      <c r="AU29" s="182"/>
      <c r="AV29" s="182"/>
      <c r="AW29" s="182"/>
      <c r="AX29" s="182"/>
      <c r="AY29" s="173"/>
      <c r="AZ29" s="173"/>
      <c r="BA29" s="173"/>
      <c r="BB29" s="173"/>
      <c r="BC29" s="2"/>
      <c r="BD29" s="55">
        <f t="shared" si="4"/>
        <v>16</v>
      </c>
      <c r="BE29" s="196" t="s">
        <v>234</v>
      </c>
      <c r="BF29" s="196"/>
      <c r="BG29" s="196"/>
      <c r="BH29" s="198"/>
      <c r="BI29" s="198"/>
      <c r="BJ29" s="207">
        <f>BJ27</f>
        <v>2208667.9271816015</v>
      </c>
      <c r="BK29" s="181">
        <f t="shared" si="6"/>
        <v>16</v>
      </c>
      <c r="BL29" s="2"/>
      <c r="BM29" s="55"/>
      <c r="BN29" s="96"/>
      <c r="BO29" s="182"/>
      <c r="BP29" s="182"/>
      <c r="BQ29" s="182"/>
      <c r="BR29" s="182"/>
      <c r="BS29" s="182"/>
      <c r="BT29" s="182"/>
      <c r="BU29" s="182"/>
      <c r="BV29" s="182"/>
      <c r="BW29" s="181">
        <f t="shared" si="8"/>
        <v>16</v>
      </c>
      <c r="BX29" s="182" t="s">
        <v>235</v>
      </c>
      <c r="BY29" s="182"/>
      <c r="BZ29" s="182"/>
      <c r="CA29" s="208">
        <f>CA14-BY26+CA26</f>
        <v>0.40486337479999995</v>
      </c>
      <c r="CB29" s="209"/>
      <c r="CC29" s="181">
        <f t="shared" si="9"/>
        <v>15</v>
      </c>
      <c r="CD29" s="200"/>
      <c r="CE29" s="205"/>
      <c r="CF29" s="205"/>
      <c r="CG29" s="205"/>
      <c r="CH29" s="205"/>
      <c r="CI29" s="205"/>
      <c r="CJ29" s="210"/>
      <c r="CK29" s="205"/>
      <c r="CL29" s="181">
        <f t="shared" si="10"/>
        <v>15</v>
      </c>
      <c r="CM29" s="200"/>
      <c r="CN29" s="211"/>
      <c r="CO29" s="211"/>
      <c r="CP29" s="212"/>
      <c r="CQ29" s="212"/>
      <c r="CR29" s="212"/>
      <c r="CS29" s="212"/>
      <c r="CT29" s="181">
        <f t="shared" si="11"/>
        <v>15</v>
      </c>
      <c r="CU29" s="200"/>
      <c r="CV29" s="210"/>
      <c r="CW29" s="210"/>
      <c r="CX29" s="210"/>
      <c r="CY29" s="210"/>
      <c r="CZ29" s="205"/>
      <c r="DA29" s="205"/>
      <c r="DB29" s="181">
        <f t="shared" si="12"/>
        <v>15</v>
      </c>
      <c r="DC29" s="200"/>
      <c r="DD29" s="205"/>
      <c r="DE29" s="205"/>
      <c r="DF29" s="205"/>
      <c r="DG29" s="205"/>
      <c r="DH29" s="205"/>
      <c r="DI29" s="205"/>
    </row>
    <row r="30" spans="1:113" ht="12.75" customHeight="1" thickBot="1">
      <c r="A30" s="78">
        <v>16</v>
      </c>
      <c r="B30" s="2" t="s">
        <v>236</v>
      </c>
      <c r="C30" s="2"/>
      <c r="D30" s="178"/>
      <c r="E30" s="178"/>
      <c r="F30" s="213">
        <f>SUM(F25:F29)</f>
        <v>175368470.25</v>
      </c>
      <c r="G30" s="55">
        <f t="shared" si="1"/>
        <v>17</v>
      </c>
      <c r="H30" s="2"/>
      <c r="I30" s="2"/>
      <c r="J30" s="2"/>
      <c r="K30" s="214"/>
      <c r="L30" s="55">
        <v>17</v>
      </c>
      <c r="M30" s="2" t="s">
        <v>152</v>
      </c>
      <c r="N30" s="292"/>
      <c r="O30" s="230">
        <f>-O29</f>
        <v>-6061717.6062409375</v>
      </c>
      <c r="P30" s="2"/>
      <c r="Q30" s="2"/>
      <c r="R30" s="2"/>
      <c r="S30" s="2"/>
      <c r="T30" s="55">
        <v>17</v>
      </c>
      <c r="U30" s="286"/>
      <c r="V30" s="286"/>
      <c r="W30" s="286"/>
      <c r="X30" s="2"/>
      <c r="Y30" s="2"/>
      <c r="Z30" s="2"/>
      <c r="AA30" s="2"/>
      <c r="AB30" s="66">
        <f t="shared" si="0"/>
        <v>18</v>
      </c>
      <c r="AC30" s="2" t="s">
        <v>237</v>
      </c>
      <c r="AD30" s="215"/>
      <c r="AE30" s="212"/>
      <c r="AF30" s="5">
        <v>3267545.9725572504</v>
      </c>
      <c r="AG30" s="79"/>
      <c r="AH30" s="2"/>
      <c r="AI30" s="2"/>
      <c r="AJ30" s="2"/>
      <c r="AK30" s="2"/>
      <c r="AL30" s="2"/>
      <c r="AM30" s="2"/>
      <c r="AN30" s="2"/>
      <c r="AO30" s="2"/>
      <c r="AP30" s="66">
        <v>17</v>
      </c>
      <c r="AQ30" s="2" t="s">
        <v>238</v>
      </c>
      <c r="AR30" s="57"/>
      <c r="AS30" s="65">
        <v>-600936</v>
      </c>
      <c r="AT30" s="2"/>
      <c r="AU30" s="2"/>
      <c r="AV30" s="2"/>
      <c r="AW30" s="2"/>
      <c r="AX30" s="2"/>
      <c r="AY30" s="182"/>
      <c r="AZ30" s="182"/>
      <c r="BA30" s="182"/>
      <c r="BB30" s="182"/>
      <c r="BC30" s="182"/>
      <c r="BD30" s="55">
        <f t="shared" si="4"/>
        <v>17</v>
      </c>
      <c r="BE30" s="68" t="s">
        <v>239</v>
      </c>
      <c r="BF30" s="68" t="s">
        <v>240</v>
      </c>
      <c r="BG30" s="216">
        <f>FEDERAL_INCOME_TAX</f>
        <v>0.35</v>
      </c>
      <c r="BH30" s="84"/>
      <c r="BI30" s="84"/>
      <c r="BJ30" s="105">
        <f>-BJ29*BG30</f>
        <v>-773033.7745135605</v>
      </c>
      <c r="BK30" s="55">
        <f t="shared" si="6"/>
        <v>17</v>
      </c>
      <c r="BL30" s="68" t="s">
        <v>170</v>
      </c>
      <c r="BM30" s="112">
        <f>FEDERAL_INCOME_TAX</f>
        <v>0.35</v>
      </c>
      <c r="BN30" s="317">
        <f>ROUND(-BN28*BM30,0)</f>
        <v>-36093</v>
      </c>
      <c r="BO30" s="2"/>
      <c r="BP30" s="2"/>
      <c r="BQ30" s="2"/>
      <c r="BR30" s="2"/>
      <c r="BS30" s="2"/>
      <c r="BT30" s="2"/>
      <c r="BU30" s="2"/>
      <c r="BV30" s="2"/>
      <c r="BW30" s="55">
        <f t="shared" si="8"/>
        <v>17</v>
      </c>
      <c r="BX30" s="68"/>
      <c r="BY30" s="2"/>
      <c r="BZ30" s="217"/>
      <c r="CA30" s="218"/>
      <c r="CB30" s="218"/>
      <c r="CC30" s="55">
        <f t="shared" si="9"/>
        <v>16</v>
      </c>
      <c r="CD30" s="83" t="s">
        <v>241</v>
      </c>
      <c r="CE30" s="80">
        <v>1134457.62</v>
      </c>
      <c r="CF30" s="94">
        <v>0</v>
      </c>
      <c r="CG30" s="94">
        <v>0</v>
      </c>
      <c r="CH30" s="94">
        <v>0</v>
      </c>
      <c r="CI30" s="94">
        <v>0</v>
      </c>
      <c r="CJ30" s="94">
        <v>0</v>
      </c>
      <c r="CK30" s="94">
        <v>0</v>
      </c>
      <c r="CL30" s="55">
        <f t="shared" si="10"/>
        <v>16</v>
      </c>
      <c r="CM30" s="83" t="s">
        <v>241</v>
      </c>
      <c r="CN30" s="94">
        <v>0</v>
      </c>
      <c r="CO30" s="94">
        <v>0</v>
      </c>
      <c r="CP30" s="101">
        <v>0</v>
      </c>
      <c r="CQ30" s="101">
        <v>0</v>
      </c>
      <c r="CR30" s="101">
        <v>0</v>
      </c>
      <c r="CS30" s="101">
        <v>0</v>
      </c>
      <c r="CT30" s="55">
        <f t="shared" si="11"/>
        <v>16</v>
      </c>
      <c r="CU30" s="83" t="s">
        <v>241</v>
      </c>
      <c r="CV30" s="101">
        <f>+BJ16+BJ17+BJ15</f>
        <v>32557.873585763922</v>
      </c>
      <c r="CW30" s="101">
        <v>0</v>
      </c>
      <c r="CX30" s="101">
        <v>0</v>
      </c>
      <c r="CY30" s="101">
        <v>0</v>
      </c>
      <c r="CZ30" s="102">
        <f aca="true" t="shared" si="17" ref="CZ30:CZ43">SUM(CF30:CY30)-CT30-CL30</f>
        <v>32557.873585763922</v>
      </c>
      <c r="DA30" s="102">
        <f aca="true" t="shared" si="18" ref="DA30:DA43">CE30+CZ30</f>
        <v>1167015.493585764</v>
      </c>
      <c r="DB30" s="55">
        <f t="shared" si="12"/>
        <v>16</v>
      </c>
      <c r="DC30" s="100" t="s">
        <v>242</v>
      </c>
      <c r="DD30" s="94">
        <f aca="true" t="shared" si="19" ref="DD30:DD43">CE30</f>
        <v>1134457.62</v>
      </c>
      <c r="DE30" s="94">
        <f aca="true" t="shared" si="20" ref="DE30:DE43">CZ30</f>
        <v>32557.873585763922</v>
      </c>
      <c r="DF30" s="125">
        <f>DD30+DE30</f>
        <v>1167015.493585764</v>
      </c>
      <c r="DG30" s="125">
        <v>0</v>
      </c>
      <c r="DH30" s="125">
        <f>DF30+DG30</f>
        <v>1167015.493585764</v>
      </c>
      <c r="DI30" s="125"/>
    </row>
    <row r="31" spans="1:113" ht="12.75" customHeight="1" thickBot="1" thickTop="1">
      <c r="A31" s="78">
        <v>17</v>
      </c>
      <c r="B31" s="2"/>
      <c r="C31" s="2"/>
      <c r="D31" s="178"/>
      <c r="E31" s="178"/>
      <c r="F31" s="165"/>
      <c r="G31" s="55">
        <f t="shared" si="1"/>
        <v>18</v>
      </c>
      <c r="H31" s="68" t="s">
        <v>209</v>
      </c>
      <c r="I31" s="68"/>
      <c r="J31" s="68"/>
      <c r="K31" s="94">
        <f>K17-K24</f>
        <v>302494</v>
      </c>
      <c r="L31" s="181"/>
      <c r="M31" s="182"/>
      <c r="N31" s="182"/>
      <c r="O31" s="182"/>
      <c r="P31" s="2"/>
      <c r="Q31" s="2"/>
      <c r="R31" s="2"/>
      <c r="S31" s="2"/>
      <c r="T31" s="55">
        <v>18</v>
      </c>
      <c r="U31" s="83" t="s">
        <v>243</v>
      </c>
      <c r="V31" s="219"/>
      <c r="W31" s="220">
        <f>W18+W23+W28</f>
        <v>1160780</v>
      </c>
      <c r="X31" s="2"/>
      <c r="Y31" s="2"/>
      <c r="Z31" s="2"/>
      <c r="AA31" s="2"/>
      <c r="AB31" s="66">
        <f t="shared" si="0"/>
        <v>19</v>
      </c>
      <c r="AC31" s="2" t="s">
        <v>0</v>
      </c>
      <c r="AD31" s="131"/>
      <c r="AE31" s="131"/>
      <c r="AF31" s="221"/>
      <c r="AG31" s="4"/>
      <c r="AH31" s="2"/>
      <c r="AI31" s="2"/>
      <c r="AJ31" s="2"/>
      <c r="AK31" s="2"/>
      <c r="AL31" s="2"/>
      <c r="AM31" s="2"/>
      <c r="AN31" s="2"/>
      <c r="AO31" s="2"/>
      <c r="AP31" s="66">
        <v>18</v>
      </c>
      <c r="AQ31" s="68"/>
      <c r="AR31" s="57"/>
      <c r="AS31" s="22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55">
        <f t="shared" si="4"/>
        <v>18</v>
      </c>
      <c r="BE31" s="68" t="s">
        <v>152</v>
      </c>
      <c r="BF31" s="68"/>
      <c r="BG31" s="68"/>
      <c r="BH31" s="2"/>
      <c r="BI31" s="2"/>
      <c r="BJ31" s="184">
        <f>-BJ29-BJ30</f>
        <v>-1435634.1526680412</v>
      </c>
      <c r="BK31" s="55">
        <f t="shared" si="6"/>
        <v>18</v>
      </c>
      <c r="BL31" s="68" t="s">
        <v>152</v>
      </c>
      <c r="BM31" s="55"/>
      <c r="BN31" s="318">
        <f>-BN28-BN30</f>
        <v>-67030.87089521997</v>
      </c>
      <c r="BO31" s="2"/>
      <c r="BP31" s="2"/>
      <c r="BQ31" s="2"/>
      <c r="BR31" s="2"/>
      <c r="BS31" s="2"/>
      <c r="BT31" s="2"/>
      <c r="BU31" s="2"/>
      <c r="BV31" s="2"/>
      <c r="BW31" s="55">
        <f t="shared" si="8"/>
        <v>18</v>
      </c>
      <c r="BX31" s="68" t="s">
        <v>43</v>
      </c>
      <c r="BY31" s="2"/>
      <c r="BZ31" s="57"/>
      <c r="CA31" s="314">
        <f>ROUND(BY26-CA26,7)</f>
        <v>0.5951366</v>
      </c>
      <c r="CB31" s="223"/>
      <c r="CC31" s="55">
        <f t="shared" si="9"/>
        <v>17</v>
      </c>
      <c r="CD31" s="68" t="s">
        <v>244</v>
      </c>
      <c r="CE31" s="105">
        <v>360965.43</v>
      </c>
      <c r="CF31" s="5"/>
      <c r="CG31" s="5"/>
      <c r="CH31" s="5"/>
      <c r="CI31" s="5"/>
      <c r="CJ31" s="5"/>
      <c r="CK31" s="5"/>
      <c r="CL31" s="55">
        <f t="shared" si="10"/>
        <v>17</v>
      </c>
      <c r="CM31" s="68" t="s">
        <v>244</v>
      </c>
      <c r="CN31" s="105"/>
      <c r="CO31" s="5"/>
      <c r="CP31" s="5"/>
      <c r="CQ31" s="5"/>
      <c r="CR31" s="5"/>
      <c r="CS31" s="5"/>
      <c r="CT31" s="55">
        <f t="shared" si="11"/>
        <v>17</v>
      </c>
      <c r="CU31" s="68" t="s">
        <v>244</v>
      </c>
      <c r="CV31" s="5">
        <f>+BJ18</f>
        <v>16378.671699701052</v>
      </c>
      <c r="CW31" s="115"/>
      <c r="CX31" s="5"/>
      <c r="CY31" s="5"/>
      <c r="CZ31" s="5">
        <f t="shared" si="17"/>
        <v>16378.671699701052</v>
      </c>
      <c r="DA31" s="5">
        <f t="shared" si="18"/>
        <v>377344.10169970104</v>
      </c>
      <c r="DB31" s="55">
        <f t="shared" si="12"/>
        <v>17</v>
      </c>
      <c r="DC31" s="68" t="s">
        <v>244</v>
      </c>
      <c r="DD31" s="5">
        <f t="shared" si="19"/>
        <v>360965.43</v>
      </c>
      <c r="DE31" s="96">
        <f t="shared" si="20"/>
        <v>16378.671699701052</v>
      </c>
      <c r="DF31" s="135">
        <f aca="true" t="shared" si="21" ref="DF31:DF43">+DD31+DE31</f>
        <v>377344.10169970104</v>
      </c>
      <c r="DG31" s="135"/>
      <c r="DH31" s="135">
        <f aca="true" t="shared" si="22" ref="DH31:DH43">+DF31+DG31</f>
        <v>377344.10169970104</v>
      </c>
      <c r="DI31" s="135"/>
    </row>
    <row r="32" spans="1:113" ht="12.75" customHeight="1" thickTop="1">
      <c r="A32" s="78">
        <v>18</v>
      </c>
      <c r="B32" s="92" t="s">
        <v>88</v>
      </c>
      <c r="C32" s="93"/>
      <c r="D32" s="134"/>
      <c r="E32" s="148"/>
      <c r="F32" s="134"/>
      <c r="G32" s="55">
        <f t="shared" si="1"/>
        <v>19</v>
      </c>
      <c r="H32" s="68" t="s">
        <v>245</v>
      </c>
      <c r="I32" s="2"/>
      <c r="J32" s="2"/>
      <c r="K32" s="128">
        <f>(K18+K19)-(K25+K26)</f>
        <v>921879</v>
      </c>
      <c r="L32" s="2"/>
      <c r="M32" s="2"/>
      <c r="N32" s="2"/>
      <c r="O32" s="2" t="s">
        <v>0</v>
      </c>
      <c r="P32" s="2"/>
      <c r="Q32" s="2"/>
      <c r="R32" s="2"/>
      <c r="S32" s="2"/>
      <c r="T32" s="55">
        <v>19</v>
      </c>
      <c r="U32" s="83" t="s">
        <v>239</v>
      </c>
      <c r="V32" s="224">
        <v>0.35</v>
      </c>
      <c r="W32" s="111">
        <f>W31*V32</f>
        <v>406273</v>
      </c>
      <c r="X32" s="2"/>
      <c r="Y32" s="2"/>
      <c r="Z32" s="2"/>
      <c r="AA32" s="2"/>
      <c r="AB32" s="66">
        <f t="shared" si="0"/>
        <v>20</v>
      </c>
      <c r="AC32" s="2" t="s">
        <v>0</v>
      </c>
      <c r="AD32" s="2"/>
      <c r="AE32" s="2"/>
      <c r="AF32" s="5"/>
      <c r="AG32" s="2"/>
      <c r="AH32" s="2"/>
      <c r="AI32" s="2"/>
      <c r="AJ32" s="2"/>
      <c r="AK32" s="2"/>
      <c r="AL32" s="2"/>
      <c r="AM32" s="2"/>
      <c r="AN32" s="2"/>
      <c r="AO32" s="2"/>
      <c r="AP32" s="225">
        <v>19</v>
      </c>
      <c r="AQ32" s="68" t="s">
        <v>148</v>
      </c>
      <c r="AR32" s="57"/>
      <c r="AS32" s="158">
        <f>SUM(AS29:AS31)</f>
        <v>542369.9133333333</v>
      </c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96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55">
        <f t="shared" si="9"/>
        <v>18</v>
      </c>
      <c r="CD32" s="68" t="s">
        <v>246</v>
      </c>
      <c r="CE32" s="105">
        <v>25045609.599999998</v>
      </c>
      <c r="CF32" s="5"/>
      <c r="CG32" s="5"/>
      <c r="CH32" s="5"/>
      <c r="CI32" s="5"/>
      <c r="CJ32" s="5"/>
      <c r="CK32" s="5"/>
      <c r="CL32" s="55">
        <f t="shared" si="10"/>
        <v>18</v>
      </c>
      <c r="CM32" s="68" t="s">
        <v>246</v>
      </c>
      <c r="CN32" s="105"/>
      <c r="CO32" s="5"/>
      <c r="CP32" s="5"/>
      <c r="CQ32" s="5"/>
      <c r="CR32" s="5"/>
      <c r="CS32" s="5"/>
      <c r="CT32" s="55">
        <f t="shared" si="11"/>
        <v>18</v>
      </c>
      <c r="CU32" s="68" t="s">
        <v>246</v>
      </c>
      <c r="CV32" s="5">
        <f>BJ19</f>
        <v>988392.1176354401</v>
      </c>
      <c r="CW32" s="115"/>
      <c r="CX32" s="5"/>
      <c r="CY32" s="5"/>
      <c r="CZ32" s="5">
        <f t="shared" si="17"/>
        <v>988392.1176354401</v>
      </c>
      <c r="DA32" s="5">
        <f t="shared" si="18"/>
        <v>26034001.717635438</v>
      </c>
      <c r="DB32" s="55">
        <f t="shared" si="12"/>
        <v>18</v>
      </c>
      <c r="DC32" s="68" t="s">
        <v>246</v>
      </c>
      <c r="DD32" s="5">
        <f t="shared" si="19"/>
        <v>25045609.599999998</v>
      </c>
      <c r="DE32" s="96">
        <f t="shared" si="20"/>
        <v>988392.1176354401</v>
      </c>
      <c r="DF32" s="135">
        <f t="shared" si="21"/>
        <v>26034001.717635438</v>
      </c>
      <c r="DG32" s="135"/>
      <c r="DH32" s="135">
        <f t="shared" si="22"/>
        <v>26034001.717635438</v>
      </c>
      <c r="DI32" s="135"/>
    </row>
    <row r="33" spans="1:113" ht="12.75" customHeight="1">
      <c r="A33" s="78">
        <v>19</v>
      </c>
      <c r="B33" s="136" t="s">
        <v>247</v>
      </c>
      <c r="C33" s="93"/>
      <c r="D33" s="95">
        <f>CE26</f>
        <v>260366707.85</v>
      </c>
      <c r="E33" s="95">
        <v>423123517</v>
      </c>
      <c r="F33" s="226">
        <f>E33-D33</f>
        <v>162756809.15</v>
      </c>
      <c r="G33" s="55">
        <f t="shared" si="1"/>
        <v>20</v>
      </c>
      <c r="H33" s="2" t="s">
        <v>248</v>
      </c>
      <c r="I33" s="2"/>
      <c r="J33" s="2"/>
      <c r="K33" s="5">
        <f>K20-K27</f>
        <v>-3273</v>
      </c>
      <c r="L33" s="55" t="s">
        <v>0</v>
      </c>
      <c r="M33" s="292"/>
      <c r="N33" s="227"/>
      <c r="O33" s="101" t="s">
        <v>0</v>
      </c>
      <c r="P33" s="2"/>
      <c r="Q33" s="2"/>
      <c r="R33" s="2"/>
      <c r="S33" s="2"/>
      <c r="T33" s="55">
        <v>20</v>
      </c>
      <c r="U33" s="2"/>
      <c r="V33" s="2"/>
      <c r="W33" s="5"/>
      <c r="X33" s="2"/>
      <c r="Y33" s="2"/>
      <c r="Z33" s="2"/>
      <c r="AA33" s="2"/>
      <c r="AB33" s="66">
        <f t="shared" si="0"/>
        <v>21</v>
      </c>
      <c r="AC33" s="228" t="s">
        <v>249</v>
      </c>
      <c r="AD33" s="218"/>
      <c r="AE33" s="57"/>
      <c r="AF33" s="184">
        <f>SUM(AF29:AF32)</f>
        <v>3267545.9725572504</v>
      </c>
      <c r="AG33" s="2"/>
      <c r="AH33" s="2"/>
      <c r="AI33" s="2"/>
      <c r="AJ33" s="2"/>
      <c r="AK33" s="2"/>
      <c r="AL33" s="2"/>
      <c r="AM33" s="2"/>
      <c r="AN33" s="2"/>
      <c r="AO33" s="2"/>
      <c r="AP33" s="66">
        <v>20</v>
      </c>
      <c r="AQ33" s="2"/>
      <c r="AR33" s="57"/>
      <c r="AS33" s="101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174" t="s">
        <v>0</v>
      </c>
      <c r="CA33" s="174"/>
      <c r="CB33" s="2"/>
      <c r="CC33" s="55">
        <f t="shared" si="9"/>
        <v>19</v>
      </c>
      <c r="CD33" s="196" t="s">
        <v>250</v>
      </c>
      <c r="CE33" s="105">
        <v>20751968.55669</v>
      </c>
      <c r="CF33" s="221">
        <f>F35</f>
        <v>946989.73935</v>
      </c>
      <c r="CG33" s="221"/>
      <c r="CH33" s="221"/>
      <c r="CI33" s="221"/>
      <c r="CJ33" s="5"/>
      <c r="CK33" s="221">
        <f>AA18</f>
        <v>-65237.58999999985</v>
      </c>
      <c r="CL33" s="55">
        <f t="shared" si="10"/>
        <v>19</v>
      </c>
      <c r="CM33" s="196" t="s">
        <v>250</v>
      </c>
      <c r="CN33" s="229"/>
      <c r="CO33" s="221"/>
      <c r="CP33" s="5"/>
      <c r="CQ33" s="5"/>
      <c r="CR33" s="5"/>
      <c r="CS33" s="5"/>
      <c r="CT33" s="55">
        <f t="shared" si="11"/>
        <v>19</v>
      </c>
      <c r="CU33" s="196" t="s">
        <v>250</v>
      </c>
      <c r="CV33" s="5">
        <f>+BJ20</f>
        <v>398883.8646044424</v>
      </c>
      <c r="CW33" s="115"/>
      <c r="CX33" s="5"/>
      <c r="CY33" s="5"/>
      <c r="CZ33" s="5">
        <f t="shared" si="17"/>
        <v>1280636.0139544425</v>
      </c>
      <c r="DA33" s="5">
        <f t="shared" si="18"/>
        <v>22032604.570644442</v>
      </c>
      <c r="DB33" s="55">
        <f t="shared" si="12"/>
        <v>19</v>
      </c>
      <c r="DC33" s="196" t="s">
        <v>251</v>
      </c>
      <c r="DD33" s="5">
        <f t="shared" si="19"/>
        <v>20751968.55669</v>
      </c>
      <c r="DE33" s="96">
        <f t="shared" si="20"/>
        <v>1280636.0139544425</v>
      </c>
      <c r="DF33" s="135">
        <f t="shared" si="21"/>
        <v>22032604.570644442</v>
      </c>
      <c r="DG33" s="135"/>
      <c r="DH33" s="135">
        <f t="shared" si="22"/>
        <v>22032604.570644442</v>
      </c>
      <c r="DI33" s="135"/>
    </row>
    <row r="34" spans="1:113" ht="12.75" customHeight="1">
      <c r="A34" s="78">
        <v>20</v>
      </c>
      <c r="B34" s="136"/>
      <c r="C34" s="93"/>
      <c r="D34" s="95"/>
      <c r="E34" s="95"/>
      <c r="F34" s="94"/>
      <c r="G34" s="55">
        <f t="shared" si="1"/>
        <v>21</v>
      </c>
      <c r="H34" s="68" t="s">
        <v>252</v>
      </c>
      <c r="I34" s="68"/>
      <c r="J34" s="68"/>
      <c r="K34" s="151">
        <f>-SUM(K31:K33)</f>
        <v>-1221100</v>
      </c>
      <c r="L34" s="55"/>
      <c r="M34" s="292"/>
      <c r="N34" s="227"/>
      <c r="O34" s="97"/>
      <c r="P34" s="2"/>
      <c r="Q34" s="2"/>
      <c r="R34" s="2"/>
      <c r="S34" s="2"/>
      <c r="T34" s="55">
        <v>21</v>
      </c>
      <c r="U34" s="68" t="s">
        <v>152</v>
      </c>
      <c r="V34" s="219"/>
      <c r="W34" s="230">
        <f>W31-W32</f>
        <v>754507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25">
        <v>21</v>
      </c>
      <c r="AQ34" s="2" t="s">
        <v>159</v>
      </c>
      <c r="AR34" s="217">
        <f>FEDERAL_INCOME_TAX</f>
        <v>0.35</v>
      </c>
      <c r="AS34" s="101">
        <f>-AS32*AR34</f>
        <v>-189829.46966666664</v>
      </c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 t="s">
        <v>0</v>
      </c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174"/>
      <c r="CA34" s="174"/>
      <c r="CB34" s="2"/>
      <c r="CC34" s="55">
        <f t="shared" si="9"/>
        <v>20</v>
      </c>
      <c r="CD34" s="68" t="s">
        <v>253</v>
      </c>
      <c r="CE34" s="105">
        <v>4862124.462664001</v>
      </c>
      <c r="CF34" s="5"/>
      <c r="CG34" s="5"/>
      <c r="CH34" s="5"/>
      <c r="CI34" s="5"/>
      <c r="CJ34" s="5"/>
      <c r="CK34" s="5"/>
      <c r="CL34" s="55">
        <f t="shared" si="10"/>
        <v>20</v>
      </c>
      <c r="CM34" s="68" t="s">
        <v>253</v>
      </c>
      <c r="CN34" s="105"/>
      <c r="CO34" s="5"/>
      <c r="CP34" s="5"/>
      <c r="CQ34" s="5"/>
      <c r="CR34" s="5"/>
      <c r="CS34" s="5"/>
      <c r="CT34" s="55">
        <f t="shared" si="11"/>
        <v>20</v>
      </c>
      <c r="CU34" s="68" t="s">
        <v>253</v>
      </c>
      <c r="CV34" s="5">
        <f>+BJ21+BJ22</f>
        <v>75423.10575446166</v>
      </c>
      <c r="CW34" s="115"/>
      <c r="CX34" s="5"/>
      <c r="CY34" s="5">
        <f>-BV14</f>
        <v>-2757235</v>
      </c>
      <c r="CZ34" s="5">
        <f t="shared" si="17"/>
        <v>-2681811.8942455384</v>
      </c>
      <c r="DA34" s="5">
        <f t="shared" si="18"/>
        <v>2180312.5684184623</v>
      </c>
      <c r="DB34" s="55">
        <f t="shared" si="12"/>
        <v>20</v>
      </c>
      <c r="DC34" s="68" t="s">
        <v>253</v>
      </c>
      <c r="DD34" s="5">
        <f t="shared" si="19"/>
        <v>4862124.462664001</v>
      </c>
      <c r="DE34" s="96">
        <f t="shared" si="20"/>
        <v>-2681811.8942455384</v>
      </c>
      <c r="DF34" s="135">
        <f t="shared" si="21"/>
        <v>2180312.5684184623</v>
      </c>
      <c r="DG34" s="135"/>
      <c r="DH34" s="135">
        <f t="shared" si="22"/>
        <v>2180312.5684184623</v>
      </c>
      <c r="DI34" s="135"/>
    </row>
    <row r="35" spans="1:113" ht="12.75" customHeight="1">
      <c r="A35" s="78">
        <v>21</v>
      </c>
      <c r="B35" s="136" t="s">
        <v>254</v>
      </c>
      <c r="C35" s="157">
        <f>CA17</f>
        <v>0.0054</v>
      </c>
      <c r="D35" s="134"/>
      <c r="E35" s="148"/>
      <c r="F35" s="134">
        <f>F30*C35</f>
        <v>946989.73935</v>
      </c>
      <c r="G35" s="8"/>
      <c r="H35" s="68"/>
      <c r="I35" s="112"/>
      <c r="J35" s="7"/>
      <c r="K35" s="195"/>
      <c r="L35" s="55"/>
      <c r="M35" s="2"/>
      <c r="N35" s="227"/>
      <c r="O35" s="97"/>
      <c r="P35" s="2"/>
      <c r="Q35" s="2"/>
      <c r="R35" s="2"/>
      <c r="S35" s="2"/>
      <c r="T35" s="55" t="s">
        <v>0</v>
      </c>
      <c r="U35" s="2"/>
      <c r="V35" s="2"/>
      <c r="W35" s="5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66">
        <v>22</v>
      </c>
      <c r="AQ35" s="2" t="s">
        <v>168</v>
      </c>
      <c r="AR35" s="57"/>
      <c r="AS35" s="184">
        <f>-AS32-AS34</f>
        <v>-352540.4436666667</v>
      </c>
      <c r="AT35" s="131"/>
      <c r="AU35" s="131"/>
      <c r="AV35" s="131"/>
      <c r="AW35" s="131"/>
      <c r="AX35" s="131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179" t="s">
        <v>0</v>
      </c>
      <c r="BK35" s="131"/>
      <c r="BL35" s="131"/>
      <c r="BM35" s="131"/>
      <c r="BN35" s="131"/>
      <c r="BO35" s="131"/>
      <c r="BP35" s="131"/>
      <c r="BQ35" s="131"/>
      <c r="BR35" s="2"/>
      <c r="BS35" s="2"/>
      <c r="BT35" s="2"/>
      <c r="BU35" s="2"/>
      <c r="BV35" s="2"/>
      <c r="BW35" s="2"/>
      <c r="BX35" s="2"/>
      <c r="BY35" s="2"/>
      <c r="BZ35" s="174"/>
      <c r="CA35" s="174"/>
      <c r="CB35" s="2"/>
      <c r="CC35" s="55">
        <f t="shared" si="9"/>
        <v>21</v>
      </c>
      <c r="CD35" s="68" t="s">
        <v>255</v>
      </c>
      <c r="CE35" s="105">
        <v>2008929.18</v>
      </c>
      <c r="CF35" s="5"/>
      <c r="CG35" s="5"/>
      <c r="CH35" s="5"/>
      <c r="CI35" s="5"/>
      <c r="CJ35" s="221">
        <f>-W31</f>
        <v>-1160780</v>
      </c>
      <c r="CK35" s="5"/>
      <c r="CL35" s="55">
        <f t="shared" si="10"/>
        <v>21</v>
      </c>
      <c r="CM35" s="68" t="s">
        <v>255</v>
      </c>
      <c r="CN35" s="105"/>
      <c r="CO35" s="5"/>
      <c r="CP35" s="221"/>
      <c r="CQ35" s="221"/>
      <c r="CR35" s="221"/>
      <c r="CS35" s="221"/>
      <c r="CT35" s="55">
        <f t="shared" si="11"/>
        <v>21</v>
      </c>
      <c r="CU35" s="68" t="s">
        <v>255</v>
      </c>
      <c r="CV35" s="221"/>
      <c r="CW35" s="231"/>
      <c r="CX35" s="221"/>
      <c r="CY35" s="221"/>
      <c r="CZ35" s="5">
        <f t="shared" si="17"/>
        <v>-1160780</v>
      </c>
      <c r="DA35" s="5">
        <f t="shared" si="18"/>
        <v>848149.1799999999</v>
      </c>
      <c r="DB35" s="55">
        <f t="shared" si="12"/>
        <v>21</v>
      </c>
      <c r="DC35" s="68" t="s">
        <v>255</v>
      </c>
      <c r="DD35" s="5">
        <f t="shared" si="19"/>
        <v>2008929.18</v>
      </c>
      <c r="DE35" s="96">
        <f t="shared" si="20"/>
        <v>-1160780</v>
      </c>
      <c r="DF35" s="135">
        <f t="shared" si="21"/>
        <v>848149.1799999999</v>
      </c>
      <c r="DG35" s="135"/>
      <c r="DH35" s="135">
        <f t="shared" si="22"/>
        <v>848149.1799999999</v>
      </c>
      <c r="DI35" s="135"/>
    </row>
    <row r="36" spans="1:113" ht="12.75" customHeight="1">
      <c r="A36" s="78">
        <v>22</v>
      </c>
      <c r="B36" s="136"/>
      <c r="C36" s="93"/>
      <c r="D36" s="134"/>
      <c r="E36" s="148"/>
      <c r="F36" s="134"/>
      <c r="G36" s="55"/>
      <c r="H36" s="68"/>
      <c r="I36" s="7"/>
      <c r="J36" s="7"/>
      <c r="K36" s="195"/>
      <c r="L36" s="197"/>
      <c r="M36" s="131"/>
      <c r="N36" s="227"/>
      <c r="O36" s="232"/>
      <c r="P36" s="2"/>
      <c r="Q36" s="2"/>
      <c r="R36" s="2"/>
      <c r="S36" s="2"/>
      <c r="T36" s="55" t="s">
        <v>0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92"/>
      <c r="AQ36" s="182"/>
      <c r="AR36" s="2"/>
      <c r="AS36" s="2"/>
      <c r="AT36" s="2"/>
      <c r="AU36" s="2"/>
      <c r="AV36" s="2"/>
      <c r="AW36" s="2"/>
      <c r="AX36" s="2"/>
      <c r="AY36" s="131"/>
      <c r="AZ36" s="131"/>
      <c r="BA36" s="131"/>
      <c r="BB36" s="131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174"/>
      <c r="CA36" s="174"/>
      <c r="CB36" s="2"/>
      <c r="CC36" s="55">
        <f t="shared" si="9"/>
        <v>22</v>
      </c>
      <c r="CD36" s="68" t="s">
        <v>256</v>
      </c>
      <c r="CE36" s="105">
        <v>26373760.265541997</v>
      </c>
      <c r="CF36" s="5">
        <v>0</v>
      </c>
      <c r="CG36" s="5"/>
      <c r="CH36" s="5"/>
      <c r="CI36" s="5"/>
      <c r="CJ36" s="5"/>
      <c r="CK36" s="5">
        <v>0</v>
      </c>
      <c r="CL36" s="55">
        <f t="shared" si="10"/>
        <v>22</v>
      </c>
      <c r="CM36" s="68" t="s">
        <v>256</v>
      </c>
      <c r="CN36" s="105">
        <f>AF15+AF19</f>
        <v>-152837.2740726946</v>
      </c>
      <c r="CO36" s="5"/>
      <c r="CP36" s="5">
        <f>AO20</f>
        <v>106472.31999999995</v>
      </c>
      <c r="CQ36" s="233">
        <f>AS32</f>
        <v>542369.9133333333</v>
      </c>
      <c r="CR36" s="5">
        <f>AX16</f>
        <v>652413</v>
      </c>
      <c r="CS36" s="5">
        <f>BC17</f>
        <v>4779637</v>
      </c>
      <c r="CT36" s="55">
        <f t="shared" si="11"/>
        <v>22</v>
      </c>
      <c r="CU36" s="68" t="s">
        <v>256</v>
      </c>
      <c r="CV36" s="5">
        <f>+BJ23</f>
        <v>552369.9099577935</v>
      </c>
      <c r="CW36" s="5">
        <f>BN28</f>
        <v>103123.87089521997</v>
      </c>
      <c r="CX36" s="5">
        <f>BR21</f>
        <v>748444.1402495997</v>
      </c>
      <c r="CY36" s="5"/>
      <c r="CZ36" s="5">
        <f t="shared" si="17"/>
        <v>7331992.880363252</v>
      </c>
      <c r="DA36" s="5">
        <f t="shared" si="18"/>
        <v>33705753.14590525</v>
      </c>
      <c r="DB36" s="55">
        <f t="shared" si="12"/>
        <v>22</v>
      </c>
      <c r="DC36" s="68" t="s">
        <v>256</v>
      </c>
      <c r="DD36" s="5">
        <f t="shared" si="19"/>
        <v>26373760.265541997</v>
      </c>
      <c r="DE36" s="96">
        <f t="shared" si="20"/>
        <v>7331992.880363252</v>
      </c>
      <c r="DF36" s="135">
        <f t="shared" si="21"/>
        <v>33705753.14590525</v>
      </c>
      <c r="DG36" s="135">
        <f>+CA109*(CA17+CA24)</f>
        <v>357812.9748</v>
      </c>
      <c r="DH36" s="135">
        <f t="shared" si="22"/>
        <v>34063566.12070525</v>
      </c>
      <c r="DI36" s="135"/>
    </row>
    <row r="37" spans="1:113" ht="12.75" customHeight="1">
      <c r="A37" s="78">
        <v>23</v>
      </c>
      <c r="B37" s="136" t="s">
        <v>89</v>
      </c>
      <c r="C37" s="93"/>
      <c r="D37" s="134"/>
      <c r="E37" s="148"/>
      <c r="F37" s="134"/>
      <c r="G37" s="55"/>
      <c r="H37" s="2"/>
      <c r="I37" s="2"/>
      <c r="J37" s="2"/>
      <c r="K37" s="102" t="s">
        <v>0</v>
      </c>
      <c r="L37" s="55"/>
      <c r="M37" s="2"/>
      <c r="N37" s="227"/>
      <c r="O37" s="97"/>
      <c r="P37" s="2"/>
      <c r="Q37" s="2"/>
      <c r="R37" s="2"/>
      <c r="S37" s="2"/>
      <c r="T37" s="55" t="s">
        <v>0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5"/>
      <c r="AP37" s="292"/>
      <c r="AQ37" s="29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56"/>
      <c r="BP37" s="57"/>
      <c r="BQ37" s="2"/>
      <c r="BR37" s="12"/>
      <c r="BS37" s="12"/>
      <c r="BT37" s="12"/>
      <c r="BU37" s="12"/>
      <c r="BV37" s="12"/>
      <c r="BW37" s="2"/>
      <c r="BX37" s="2"/>
      <c r="BY37" s="2"/>
      <c r="BZ37" s="174"/>
      <c r="CA37" s="174"/>
      <c r="CB37" s="2"/>
      <c r="CC37" s="55">
        <f t="shared" si="9"/>
        <v>23</v>
      </c>
      <c r="CD37" s="68" t="s">
        <v>258</v>
      </c>
      <c r="CE37" s="105">
        <v>57635006.124584004</v>
      </c>
      <c r="CF37" s="5"/>
      <c r="CG37" s="5"/>
      <c r="CH37" s="5"/>
      <c r="CI37" s="5">
        <f>S17</f>
        <v>241312.11999999732</v>
      </c>
      <c r="CJ37" s="5"/>
      <c r="CK37" s="5"/>
      <c r="CL37" s="55">
        <f t="shared" si="10"/>
        <v>23</v>
      </c>
      <c r="CM37" s="68" t="s">
        <v>258</v>
      </c>
      <c r="CN37" s="105"/>
      <c r="CO37" s="5"/>
      <c r="CP37" s="5"/>
      <c r="CQ37" s="5"/>
      <c r="CR37" s="5"/>
      <c r="CS37" s="5"/>
      <c r="CT37" s="55">
        <f t="shared" si="11"/>
        <v>23</v>
      </c>
      <c r="CU37" s="68" t="s">
        <v>258</v>
      </c>
      <c r="CV37" s="5"/>
      <c r="CW37" s="115"/>
      <c r="CX37" s="5"/>
      <c r="CY37" s="5"/>
      <c r="CZ37" s="5">
        <f t="shared" si="17"/>
        <v>241312.11999999732</v>
      </c>
      <c r="DA37" s="5">
        <f t="shared" si="18"/>
        <v>57876318.244584</v>
      </c>
      <c r="DB37" s="55">
        <f t="shared" si="12"/>
        <v>23</v>
      </c>
      <c r="DC37" s="68" t="s">
        <v>258</v>
      </c>
      <c r="DD37" s="5">
        <f t="shared" si="19"/>
        <v>57635006.124584004</v>
      </c>
      <c r="DE37" s="96">
        <f t="shared" si="20"/>
        <v>241312.11999999732</v>
      </c>
      <c r="DF37" s="135">
        <f t="shared" si="21"/>
        <v>57876318.244584</v>
      </c>
      <c r="DG37" s="135"/>
      <c r="DH37" s="135">
        <f t="shared" si="22"/>
        <v>57876318.244584</v>
      </c>
      <c r="DI37" s="135"/>
    </row>
    <row r="38" spans="1:113" ht="12.75" customHeight="1">
      <c r="A38" s="78">
        <v>24</v>
      </c>
      <c r="B38" s="136" t="s">
        <v>259</v>
      </c>
      <c r="C38" s="157">
        <f>CA22+CA23+CA24</f>
        <v>0.079005192</v>
      </c>
      <c r="D38" s="134"/>
      <c r="E38" s="148"/>
      <c r="F38" s="134">
        <f>F30*C38</f>
        <v>13855019.662847538</v>
      </c>
      <c r="G38" s="2"/>
      <c r="H38" s="2"/>
      <c r="I38" s="2"/>
      <c r="J38" s="2"/>
      <c r="K38" s="2"/>
      <c r="L38" s="55"/>
      <c r="M38" s="2"/>
      <c r="N38" s="227"/>
      <c r="O38" s="97"/>
      <c r="P38" s="2"/>
      <c r="Q38" s="2"/>
      <c r="R38" s="2"/>
      <c r="S38" s="2"/>
      <c r="T38" s="55" t="s">
        <v>0</v>
      </c>
      <c r="U38" s="2"/>
      <c r="V38" s="2"/>
      <c r="W38" s="2"/>
      <c r="X38" s="2" t="s">
        <v>260</v>
      </c>
      <c r="Y38" s="2"/>
      <c r="Z38" s="2"/>
      <c r="AA38" s="2"/>
      <c r="AB38" s="2" t="s">
        <v>0</v>
      </c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5"/>
      <c r="AP38" s="292"/>
      <c r="AQ38" s="292"/>
      <c r="AR38" s="2"/>
      <c r="AS38" s="131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18"/>
      <c r="BT38" s="18"/>
      <c r="BU38" s="18"/>
      <c r="BV38" s="18"/>
      <c r="BW38" s="2"/>
      <c r="BX38" s="2"/>
      <c r="BY38" s="2"/>
      <c r="BZ38" s="174"/>
      <c r="CA38" s="174"/>
      <c r="CB38" s="2"/>
      <c r="CC38" s="55">
        <f t="shared" si="9"/>
        <v>24</v>
      </c>
      <c r="CD38" s="68" t="s">
        <v>86</v>
      </c>
      <c r="CE38" s="105">
        <v>9600783.714736</v>
      </c>
      <c r="CF38" s="5"/>
      <c r="CG38" s="5"/>
      <c r="CH38" s="5"/>
      <c r="CI38" s="5"/>
      <c r="CJ38" s="5"/>
      <c r="CK38" s="5"/>
      <c r="CL38" s="55">
        <f t="shared" si="10"/>
        <v>24</v>
      </c>
      <c r="CM38" s="68" t="s">
        <v>86</v>
      </c>
      <c r="CN38" s="105"/>
      <c r="CO38" s="5"/>
      <c r="CP38" s="5"/>
      <c r="CQ38" s="5"/>
      <c r="CR38" s="5"/>
      <c r="CS38" s="5"/>
      <c r="CT38" s="55">
        <f t="shared" si="11"/>
        <v>24</v>
      </c>
      <c r="CU38" s="68" t="s">
        <v>86</v>
      </c>
      <c r="CV38" s="5"/>
      <c r="CW38" s="115"/>
      <c r="CX38" s="5"/>
      <c r="CY38" s="5"/>
      <c r="CZ38" s="5">
        <f t="shared" si="17"/>
        <v>0</v>
      </c>
      <c r="DA38" s="5">
        <f t="shared" si="18"/>
        <v>9600783.714736</v>
      </c>
      <c r="DB38" s="55">
        <f t="shared" si="12"/>
        <v>24</v>
      </c>
      <c r="DC38" s="68" t="s">
        <v>86</v>
      </c>
      <c r="DD38" s="5">
        <f t="shared" si="19"/>
        <v>9600783.714736</v>
      </c>
      <c r="DE38" s="96">
        <f t="shared" si="20"/>
        <v>0</v>
      </c>
      <c r="DF38" s="135">
        <f t="shared" si="21"/>
        <v>9600783.714736</v>
      </c>
      <c r="DG38" s="135"/>
      <c r="DH38" s="135">
        <f t="shared" si="22"/>
        <v>9600783.714736</v>
      </c>
      <c r="DI38" s="135"/>
    </row>
    <row r="39" spans="1:113" ht="12.75" customHeight="1">
      <c r="A39" s="78">
        <v>25</v>
      </c>
      <c r="B39" s="136"/>
      <c r="C39" s="93"/>
      <c r="D39" s="234" t="s">
        <v>0</v>
      </c>
      <c r="E39" s="234" t="s">
        <v>0</v>
      </c>
      <c r="F39" s="111"/>
      <c r="G39" s="2"/>
      <c r="H39" s="2"/>
      <c r="I39" s="2"/>
      <c r="J39" s="2"/>
      <c r="K39" s="2"/>
      <c r="L39" s="55"/>
      <c r="M39" s="2"/>
      <c r="N39" s="227"/>
      <c r="O39" s="97"/>
      <c r="P39" s="2"/>
      <c r="Q39" s="2"/>
      <c r="R39" s="2"/>
      <c r="S39" s="2"/>
      <c r="T39" s="55" t="s">
        <v>0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5"/>
      <c r="AP39" s="292"/>
      <c r="AQ39" s="29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18"/>
      <c r="BT39" s="18"/>
      <c r="BU39" s="18"/>
      <c r="BV39" s="18"/>
      <c r="BW39" s="2"/>
      <c r="BX39" s="2"/>
      <c r="BY39" s="2"/>
      <c r="BZ39" s="174"/>
      <c r="CA39" s="174"/>
      <c r="CB39" s="2"/>
      <c r="CC39" s="55">
        <f t="shared" si="9"/>
        <v>25</v>
      </c>
      <c r="CD39" s="68" t="s">
        <v>262</v>
      </c>
      <c r="CE39" s="105">
        <v>36543.46</v>
      </c>
      <c r="CF39" s="5"/>
      <c r="CG39" s="5"/>
      <c r="CH39" s="5"/>
      <c r="CI39" s="5"/>
      <c r="CJ39" s="5"/>
      <c r="CK39" s="5"/>
      <c r="CL39" s="55">
        <f t="shared" si="10"/>
        <v>25</v>
      </c>
      <c r="CM39" s="68" t="s">
        <v>262</v>
      </c>
      <c r="CN39" s="105"/>
      <c r="CO39" s="5"/>
      <c r="CP39" s="5"/>
      <c r="CQ39" s="5"/>
      <c r="CR39" s="5"/>
      <c r="CS39" s="5"/>
      <c r="CT39" s="55">
        <f t="shared" si="11"/>
        <v>25</v>
      </c>
      <c r="CU39" s="68" t="s">
        <v>262</v>
      </c>
      <c r="CV39" s="5"/>
      <c r="CW39" s="115"/>
      <c r="CX39" s="5"/>
      <c r="CY39" s="5"/>
      <c r="CZ39" s="5">
        <f t="shared" si="17"/>
        <v>0</v>
      </c>
      <c r="DA39" s="5">
        <f t="shared" si="18"/>
        <v>36543.46</v>
      </c>
      <c r="DB39" s="55">
        <f t="shared" si="12"/>
        <v>25</v>
      </c>
      <c r="DC39" s="68" t="s">
        <v>262</v>
      </c>
      <c r="DD39" s="5">
        <f t="shared" si="19"/>
        <v>36543.46</v>
      </c>
      <c r="DE39" s="96">
        <f t="shared" si="20"/>
        <v>0</v>
      </c>
      <c r="DF39" s="135">
        <f t="shared" si="21"/>
        <v>36543.46</v>
      </c>
      <c r="DG39" s="135"/>
      <c r="DH39" s="135">
        <f t="shared" si="22"/>
        <v>36543.46</v>
      </c>
      <c r="DI39" s="135"/>
    </row>
    <row r="40" spans="1:113" ht="12.75" customHeight="1">
      <c r="A40" s="78">
        <v>26</v>
      </c>
      <c r="B40" s="235" t="s">
        <v>263</v>
      </c>
      <c r="C40" s="236"/>
      <c r="D40" s="237"/>
      <c r="E40" s="238"/>
      <c r="F40" s="239"/>
      <c r="G40" s="2"/>
      <c r="H40" s="2"/>
      <c r="I40" s="2"/>
      <c r="J40" s="2"/>
      <c r="K40" s="2"/>
      <c r="L40" s="55"/>
      <c r="M40" s="2"/>
      <c r="N40" s="227"/>
      <c r="O40" s="97"/>
      <c r="P40" s="302"/>
      <c r="Q40" s="302"/>
      <c r="R40" s="302"/>
      <c r="S40" s="302"/>
      <c r="T40" s="2" t="s">
        <v>0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5"/>
      <c r="AP40" s="292"/>
      <c r="AQ40" s="29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130"/>
      <c r="BQ40" s="130"/>
      <c r="BR40" s="2"/>
      <c r="BS40" s="10"/>
      <c r="BT40" s="10"/>
      <c r="BU40" s="10"/>
      <c r="BV40" s="10"/>
      <c r="BW40" s="2"/>
      <c r="BX40" s="2"/>
      <c r="BY40" s="2"/>
      <c r="BZ40" s="174"/>
      <c r="CA40" s="174"/>
      <c r="CB40" s="2"/>
      <c r="CC40" s="55">
        <f t="shared" si="9"/>
        <v>26</v>
      </c>
      <c r="CD40" s="68" t="s">
        <v>264</v>
      </c>
      <c r="CE40" s="105">
        <v>600936</v>
      </c>
      <c r="CF40" s="5"/>
      <c r="CG40" s="5"/>
      <c r="CH40" s="5"/>
      <c r="CI40" s="5"/>
      <c r="CJ40" s="5"/>
      <c r="CK40" s="5"/>
      <c r="CL40" s="55">
        <f t="shared" si="10"/>
        <v>26</v>
      </c>
      <c r="CM40" s="68" t="s">
        <v>264</v>
      </c>
      <c r="CN40" s="5"/>
      <c r="CO40" s="5"/>
      <c r="CP40" s="5"/>
      <c r="CQ40" s="5"/>
      <c r="CR40" s="5"/>
      <c r="CS40" s="5"/>
      <c r="CT40" s="55">
        <f t="shared" si="11"/>
        <v>26</v>
      </c>
      <c r="CU40" s="68" t="s">
        <v>264</v>
      </c>
      <c r="CV40" s="5"/>
      <c r="CW40" s="115"/>
      <c r="CX40" s="5"/>
      <c r="CY40" s="5"/>
      <c r="CZ40" s="5">
        <f t="shared" si="17"/>
        <v>0</v>
      </c>
      <c r="DA40" s="5">
        <f t="shared" si="18"/>
        <v>600936</v>
      </c>
      <c r="DB40" s="55">
        <f t="shared" si="12"/>
        <v>26</v>
      </c>
      <c r="DC40" s="68" t="s">
        <v>264</v>
      </c>
      <c r="DD40" s="5">
        <f t="shared" si="19"/>
        <v>600936</v>
      </c>
      <c r="DE40" s="96">
        <f t="shared" si="20"/>
        <v>0</v>
      </c>
      <c r="DF40" s="135">
        <f t="shared" si="21"/>
        <v>600936</v>
      </c>
      <c r="DG40" s="135"/>
      <c r="DH40" s="135">
        <f t="shared" si="22"/>
        <v>600936</v>
      </c>
      <c r="DI40" s="135"/>
    </row>
    <row r="41" spans="1:113" ht="12.75" customHeight="1">
      <c r="A41" s="78">
        <v>27</v>
      </c>
      <c r="B41" s="2" t="s">
        <v>222</v>
      </c>
      <c r="C41" s="127">
        <f>FEDERAL_INCOME_TAX</f>
        <v>0.35</v>
      </c>
      <c r="D41" s="5"/>
      <c r="E41" s="5"/>
      <c r="F41" s="5">
        <f>((F30-SUM(F33:F38))*C41)</f>
        <v>-766621.9057691409</v>
      </c>
      <c r="G41" s="2"/>
      <c r="H41" s="2"/>
      <c r="I41" s="2"/>
      <c r="J41" s="2"/>
      <c r="K41" s="2"/>
      <c r="L41" s="55"/>
      <c r="M41" s="2"/>
      <c r="N41" s="227"/>
      <c r="O41" s="97"/>
      <c r="P41" s="2"/>
      <c r="Q41" s="2"/>
      <c r="R41" s="2"/>
      <c r="S41" s="2"/>
      <c r="T41" s="2"/>
      <c r="U41" s="7"/>
      <c r="V41" s="7"/>
      <c r="W41" s="7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5"/>
      <c r="AP41" s="292"/>
      <c r="AQ41" s="29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40"/>
      <c r="BP41" s="241"/>
      <c r="BQ41" s="241"/>
      <c r="BR41" s="2"/>
      <c r="BS41" s="18"/>
      <c r="BT41" s="18"/>
      <c r="BU41" s="18"/>
      <c r="BV41" s="18"/>
      <c r="BW41" s="2"/>
      <c r="BX41" s="2"/>
      <c r="BY41" s="2"/>
      <c r="BZ41" s="174"/>
      <c r="CA41" s="174"/>
      <c r="CB41" s="2"/>
      <c r="CC41" s="55">
        <f t="shared" si="9"/>
        <v>27</v>
      </c>
      <c r="CD41" s="68" t="s">
        <v>265</v>
      </c>
      <c r="CE41" s="105">
        <v>56143333.525248006</v>
      </c>
      <c r="CF41" s="5">
        <f>F38</f>
        <v>13855019.662847538</v>
      </c>
      <c r="CG41" s="5"/>
      <c r="CH41" s="5"/>
      <c r="CI41" s="5"/>
      <c r="CJ41" s="5"/>
      <c r="CK41" s="5"/>
      <c r="CL41" s="55">
        <f t="shared" si="10"/>
        <v>27</v>
      </c>
      <c r="CM41" s="68" t="s">
        <v>265</v>
      </c>
      <c r="CN41" s="105">
        <f>AF16</f>
        <v>-10698.82918508863</v>
      </c>
      <c r="CO41" s="5">
        <f>AK16</f>
        <v>2033645.3599999994</v>
      </c>
      <c r="CP41" s="5">
        <f>AO16</f>
        <v>72366.91000000015</v>
      </c>
      <c r="CQ41" s="5"/>
      <c r="CR41" s="5"/>
      <c r="CS41" s="5"/>
      <c r="CT41" s="55">
        <f t="shared" si="11"/>
        <v>27</v>
      </c>
      <c r="CU41" s="68" t="s">
        <v>265</v>
      </c>
      <c r="CV41" s="5">
        <f>+BJ26</f>
        <v>144662.38394400012</v>
      </c>
      <c r="CW41" s="115"/>
      <c r="CX41" s="5"/>
      <c r="CY41" s="5"/>
      <c r="CZ41" s="5">
        <f t="shared" si="17"/>
        <v>16094995.487606447</v>
      </c>
      <c r="DA41" s="5">
        <f t="shared" si="18"/>
        <v>72238329.01285446</v>
      </c>
      <c r="DB41" s="55">
        <f t="shared" si="12"/>
        <v>27</v>
      </c>
      <c r="DC41" s="68" t="s">
        <v>265</v>
      </c>
      <c r="DD41" s="5">
        <f t="shared" si="19"/>
        <v>56143333.525248006</v>
      </c>
      <c r="DE41" s="96">
        <f t="shared" si="20"/>
        <v>16094995.487606447</v>
      </c>
      <c r="DF41" s="135">
        <f t="shared" si="21"/>
        <v>72238329.01285446</v>
      </c>
      <c r="DG41" s="135">
        <f>+CA109*(CA22+CA23)</f>
        <v>3779347.687951392</v>
      </c>
      <c r="DH41" s="135">
        <f t="shared" si="22"/>
        <v>76017676.70080584</v>
      </c>
      <c r="DI41" s="135"/>
    </row>
    <row r="42" spans="1:113" ht="12.75" customHeight="1">
      <c r="A42" s="78">
        <v>28</v>
      </c>
      <c r="B42" s="2" t="s">
        <v>0</v>
      </c>
      <c r="C42" s="7"/>
      <c r="D42" s="134"/>
      <c r="E42" s="5"/>
      <c r="F42" s="5"/>
      <c r="G42" s="2"/>
      <c r="H42" s="2"/>
      <c r="I42" s="2"/>
      <c r="J42" s="2"/>
      <c r="K42" s="2"/>
      <c r="L42" s="55"/>
      <c r="M42" s="2"/>
      <c r="N42" s="227"/>
      <c r="O42" s="97"/>
      <c r="P42" s="2"/>
      <c r="Q42" s="2"/>
      <c r="R42" s="2"/>
      <c r="S42" s="2"/>
      <c r="T42" s="2"/>
      <c r="U42" s="7"/>
      <c r="V42" s="7"/>
      <c r="W42" s="7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5"/>
      <c r="AP42" s="292"/>
      <c r="AQ42" s="292"/>
      <c r="AR42" s="11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40"/>
      <c r="BP42" s="241"/>
      <c r="BQ42" s="241"/>
      <c r="BR42" s="31"/>
      <c r="BS42" s="31"/>
      <c r="BT42" s="31"/>
      <c r="BU42" s="31"/>
      <c r="BV42" s="31"/>
      <c r="BW42" s="2"/>
      <c r="BX42" s="2"/>
      <c r="BY42" s="2"/>
      <c r="BZ42" s="174"/>
      <c r="CA42" s="174"/>
      <c r="CB42" s="2"/>
      <c r="CC42" s="55">
        <f t="shared" si="9"/>
        <v>28</v>
      </c>
      <c r="CD42" s="68" t="s">
        <v>263</v>
      </c>
      <c r="CE42" s="105">
        <v>-11871394</v>
      </c>
      <c r="CF42" s="5">
        <f>F41</f>
        <v>-766621.9057691409</v>
      </c>
      <c r="CG42" s="5">
        <f>K31</f>
        <v>302494</v>
      </c>
      <c r="CH42" s="5">
        <f>+O29</f>
        <v>6061717.6062409375</v>
      </c>
      <c r="CI42" s="5"/>
      <c r="CJ42" s="5">
        <f>W32</f>
        <v>406273</v>
      </c>
      <c r="CK42" s="5">
        <f>AA20</f>
        <v>22833.156499999946</v>
      </c>
      <c r="CL42" s="55">
        <f t="shared" si="10"/>
        <v>28</v>
      </c>
      <c r="CM42" s="68" t="s">
        <v>263</v>
      </c>
      <c r="CN42" s="105">
        <f>AF24</f>
        <v>57238</v>
      </c>
      <c r="CO42" s="5">
        <f>AK18</f>
        <v>-711775.8759999997</v>
      </c>
      <c r="CP42" s="5">
        <f>AO24</f>
        <v>-62593.73050000003</v>
      </c>
      <c r="CQ42" s="102">
        <f>AS34</f>
        <v>-189829.46966666664</v>
      </c>
      <c r="CR42" s="5">
        <f>AX19</f>
        <v>-228344.55</v>
      </c>
      <c r="CS42" s="5">
        <f>BC20</f>
        <v>-1672872.95</v>
      </c>
      <c r="CT42" s="55">
        <f t="shared" si="11"/>
        <v>28</v>
      </c>
      <c r="CU42" s="68" t="s">
        <v>263</v>
      </c>
      <c r="CV42" s="5">
        <f>BJ30</f>
        <v>-773033.7745135605</v>
      </c>
      <c r="CW42" s="5">
        <f>BN30</f>
        <v>-36093</v>
      </c>
      <c r="CX42" s="5">
        <f>BR23</f>
        <v>-261955.44908735988</v>
      </c>
      <c r="CY42" s="5">
        <f>BV19</f>
        <v>965032</v>
      </c>
      <c r="CZ42" s="5">
        <f t="shared" si="17"/>
        <v>3112467.05720421</v>
      </c>
      <c r="DA42" s="5">
        <f t="shared" si="18"/>
        <v>-8758926.94279579</v>
      </c>
      <c r="DB42" s="55">
        <f t="shared" si="12"/>
        <v>28</v>
      </c>
      <c r="DC42" s="68" t="s">
        <v>263</v>
      </c>
      <c r="DD42" s="5">
        <f t="shared" si="19"/>
        <v>-11871394</v>
      </c>
      <c r="DE42" s="96">
        <f t="shared" si="20"/>
        <v>3112467.05720421</v>
      </c>
      <c r="DF42" s="135">
        <f t="shared" si="21"/>
        <v>-8758926.94279579</v>
      </c>
      <c r="DG42" s="135">
        <f>+CA109*CA26</f>
        <v>15707410.368037011</v>
      </c>
      <c r="DH42" s="135">
        <f t="shared" si="22"/>
        <v>6948483.425241221</v>
      </c>
      <c r="DI42" s="135"/>
    </row>
    <row r="43" spans="1:113" ht="12.75" customHeight="1">
      <c r="A43" s="78">
        <v>29</v>
      </c>
      <c r="B43" s="68" t="s">
        <v>0</v>
      </c>
      <c r="C43" s="83"/>
      <c r="D43" s="134"/>
      <c r="E43" s="5"/>
      <c r="F43" s="111"/>
      <c r="G43" s="2"/>
      <c r="H43" s="2"/>
      <c r="I43" s="2"/>
      <c r="J43" s="2"/>
      <c r="K43" s="2"/>
      <c r="L43" s="55"/>
      <c r="M43" s="2"/>
      <c r="N43" s="227"/>
      <c r="O43" s="97"/>
      <c r="P43" s="2"/>
      <c r="Q43" s="2"/>
      <c r="R43" s="2"/>
      <c r="S43" s="2"/>
      <c r="T43" s="2"/>
      <c r="U43" s="7"/>
      <c r="V43" s="7"/>
      <c r="W43" s="7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5"/>
      <c r="AP43" s="286"/>
      <c r="AQ43" s="292"/>
      <c r="AR43" s="2"/>
      <c r="AS43" s="2"/>
      <c r="AT43" s="2"/>
      <c r="AU43" s="2"/>
      <c r="AV43" s="2"/>
      <c r="AW43" s="2"/>
      <c r="AX43" s="2"/>
      <c r="AY43" s="1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40"/>
      <c r="BP43" s="241"/>
      <c r="BQ43" s="241"/>
      <c r="BR43" s="12"/>
      <c r="BS43" s="12"/>
      <c r="BT43" s="12"/>
      <c r="BU43" s="12"/>
      <c r="BV43" s="12"/>
      <c r="BW43" s="2"/>
      <c r="BX43" s="2"/>
      <c r="BY43" s="2"/>
      <c r="BZ43" s="174"/>
      <c r="CA43" s="174"/>
      <c r="CB43" s="2"/>
      <c r="CC43" s="55">
        <f t="shared" si="9"/>
        <v>29</v>
      </c>
      <c r="CD43" s="2" t="s">
        <v>266</v>
      </c>
      <c r="CE43" s="103">
        <v>20693494</v>
      </c>
      <c r="CF43" s="5"/>
      <c r="CG43" s="5">
        <f>K32+K33</f>
        <v>918606</v>
      </c>
      <c r="CH43" s="5"/>
      <c r="CI43" s="5"/>
      <c r="CJ43" s="144"/>
      <c r="CK43" s="5"/>
      <c r="CL43" s="55">
        <f t="shared" si="10"/>
        <v>29</v>
      </c>
      <c r="CM43" s="2" t="s">
        <v>266</v>
      </c>
      <c r="CN43" s="5"/>
      <c r="CO43" s="105"/>
      <c r="CP43" s="144"/>
      <c r="CQ43" s="144"/>
      <c r="CR43" s="144"/>
      <c r="CS43" s="144"/>
      <c r="CT43" s="55">
        <f t="shared" si="11"/>
        <v>29</v>
      </c>
      <c r="CU43" s="2" t="s">
        <v>266</v>
      </c>
      <c r="CV43" s="144"/>
      <c r="CW43" s="144"/>
      <c r="CX43" s="144"/>
      <c r="CY43" s="144"/>
      <c r="CZ43" s="144">
        <f t="shared" si="17"/>
        <v>918606</v>
      </c>
      <c r="DA43" s="144">
        <f t="shared" si="18"/>
        <v>21612100</v>
      </c>
      <c r="DB43" s="55">
        <f t="shared" si="12"/>
        <v>29</v>
      </c>
      <c r="DC43" s="2" t="s">
        <v>266</v>
      </c>
      <c r="DD43" s="144">
        <f t="shared" si="19"/>
        <v>20693494</v>
      </c>
      <c r="DE43" s="146">
        <f t="shared" si="20"/>
        <v>918606</v>
      </c>
      <c r="DF43" s="147">
        <f t="shared" si="21"/>
        <v>21612100</v>
      </c>
      <c r="DG43" s="147"/>
      <c r="DH43" s="147">
        <f t="shared" si="22"/>
        <v>21612100</v>
      </c>
      <c r="DI43" s="148"/>
    </row>
    <row r="44" spans="1:113" ht="12.75" customHeight="1">
      <c r="A44" s="78">
        <v>30</v>
      </c>
      <c r="B44" s="68"/>
      <c r="C44" s="83"/>
      <c r="D44" s="134"/>
      <c r="E44" s="5"/>
      <c r="F44" s="111"/>
      <c r="G44" s="2"/>
      <c r="H44" s="2"/>
      <c r="I44" s="2"/>
      <c r="J44" s="2"/>
      <c r="K44" s="2"/>
      <c r="L44" s="55"/>
      <c r="M44" s="2"/>
      <c r="N44" s="227"/>
      <c r="O44" s="97"/>
      <c r="P44" s="2"/>
      <c r="Q44" s="2"/>
      <c r="R44" s="2"/>
      <c r="S44" s="2"/>
      <c r="T44" s="292"/>
      <c r="U44" s="292"/>
      <c r="V44" s="292"/>
      <c r="W44" s="29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5"/>
      <c r="AP44" s="5"/>
      <c r="AQ44" s="29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40"/>
      <c r="BQ44" s="241"/>
      <c r="BR44" s="241"/>
      <c r="BS44" s="241"/>
      <c r="BT44" s="241"/>
      <c r="BU44" s="241"/>
      <c r="BV44" s="241"/>
      <c r="BW44" s="2"/>
      <c r="BX44" s="2"/>
      <c r="BY44" s="2"/>
      <c r="BZ44" s="174"/>
      <c r="CA44" s="174"/>
      <c r="CB44" s="2"/>
      <c r="CC44" s="55">
        <f t="shared" si="9"/>
        <v>30</v>
      </c>
      <c r="CD44" s="68" t="s">
        <v>269</v>
      </c>
      <c r="CE44" s="199">
        <f aca="true" t="shared" si="23" ref="CE44:CK44">SUM(CE30:CE43)</f>
        <v>213376517.93946403</v>
      </c>
      <c r="CF44" s="199">
        <f t="shared" si="23"/>
        <v>14035387.496428397</v>
      </c>
      <c r="CG44" s="199">
        <f t="shared" si="23"/>
        <v>1221100</v>
      </c>
      <c r="CH44" s="199">
        <f t="shared" si="23"/>
        <v>6061717.6062409375</v>
      </c>
      <c r="CI44" s="199">
        <f t="shared" si="23"/>
        <v>241312.11999999732</v>
      </c>
      <c r="CJ44" s="199">
        <f t="shared" si="23"/>
        <v>-754507</v>
      </c>
      <c r="CK44" s="199">
        <f t="shared" si="23"/>
        <v>-42404.433499999905</v>
      </c>
      <c r="CL44" s="55">
        <f t="shared" si="10"/>
        <v>30</v>
      </c>
      <c r="CM44" s="68" t="s">
        <v>269</v>
      </c>
      <c r="CN44" s="199">
        <f aca="true" t="shared" si="24" ref="CN44:CS44">SUM(CN30:CN43)</f>
        <v>-106298.10325778322</v>
      </c>
      <c r="CO44" s="199">
        <f t="shared" si="24"/>
        <v>1321869.4839999997</v>
      </c>
      <c r="CP44" s="199">
        <f t="shared" si="24"/>
        <v>116245.49950000006</v>
      </c>
      <c r="CQ44" s="199">
        <f t="shared" si="24"/>
        <v>352540.4436666667</v>
      </c>
      <c r="CR44" s="199">
        <f t="shared" si="24"/>
        <v>424068.45</v>
      </c>
      <c r="CS44" s="199">
        <f t="shared" si="24"/>
        <v>3106764.05</v>
      </c>
      <c r="CT44" s="55">
        <f t="shared" si="11"/>
        <v>30</v>
      </c>
      <c r="CU44" s="68" t="s">
        <v>269</v>
      </c>
      <c r="CV44" s="199">
        <f aca="true" t="shared" si="25" ref="CV44:DA44">SUM(CV30:CV43)</f>
        <v>1435634.152668042</v>
      </c>
      <c r="CW44" s="199">
        <f t="shared" si="25"/>
        <v>67030.87089521997</v>
      </c>
      <c r="CX44" s="199">
        <f t="shared" si="25"/>
        <v>486488.6911622398</v>
      </c>
      <c r="CY44" s="199">
        <f t="shared" si="25"/>
        <v>-1792203</v>
      </c>
      <c r="CZ44" s="199">
        <f t="shared" si="25"/>
        <v>26174746.327803716</v>
      </c>
      <c r="DA44" s="199">
        <f t="shared" si="25"/>
        <v>239551264.26726776</v>
      </c>
      <c r="DB44" s="55">
        <f t="shared" si="12"/>
        <v>30</v>
      </c>
      <c r="DC44" s="68" t="s">
        <v>269</v>
      </c>
      <c r="DD44" s="199">
        <f>SUM(DD30:DD43)</f>
        <v>213376517.93946403</v>
      </c>
      <c r="DE44" s="199">
        <f>SUM(DE30:DE43)</f>
        <v>26174746.327803716</v>
      </c>
      <c r="DF44" s="199">
        <f>SUM(DF30:DF43)</f>
        <v>239551264.26726776</v>
      </c>
      <c r="DG44" s="199">
        <f>SUM(DG30:DG43)</f>
        <v>19844571.030788403</v>
      </c>
      <c r="DH44" s="199">
        <f>SUM(DH30:DH43)</f>
        <v>259395835.29805616</v>
      </c>
      <c r="DI44" s="160"/>
    </row>
    <row r="45" spans="1:113" ht="12.75" customHeight="1">
      <c r="A45" s="78">
        <v>31</v>
      </c>
      <c r="B45" s="68" t="s">
        <v>270</v>
      </c>
      <c r="C45" s="83"/>
      <c r="D45" s="134"/>
      <c r="E45" s="5"/>
      <c r="F45" s="242">
        <f>F30</f>
        <v>175368470.25</v>
      </c>
      <c r="G45" s="2"/>
      <c r="H45" s="2"/>
      <c r="I45" s="2"/>
      <c r="J45" s="2"/>
      <c r="K45" s="2"/>
      <c r="L45" s="55"/>
      <c r="M45" s="2"/>
      <c r="N45" s="227"/>
      <c r="O45" s="97"/>
      <c r="P45" s="2"/>
      <c r="Q45" s="2"/>
      <c r="R45" s="2"/>
      <c r="S45" s="2"/>
      <c r="T45" s="292"/>
      <c r="U45" s="292"/>
      <c r="V45" s="292"/>
      <c r="W45" s="29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5"/>
      <c r="AP45" s="5"/>
      <c r="AQ45" s="29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40"/>
      <c r="BQ45" s="241"/>
      <c r="BR45" s="241"/>
      <c r="BS45" s="241"/>
      <c r="BT45" s="241"/>
      <c r="BU45" s="241"/>
      <c r="BV45" s="241"/>
      <c r="BW45" s="2"/>
      <c r="BX45" s="2"/>
      <c r="BY45" s="2"/>
      <c r="BZ45" s="174"/>
      <c r="CA45" s="174"/>
      <c r="CB45" s="2"/>
      <c r="CC45" s="55">
        <f t="shared" si="9"/>
        <v>31</v>
      </c>
      <c r="CD45" s="2"/>
      <c r="CE45" s="102"/>
      <c r="CF45" s="246" t="s">
        <v>0</v>
      </c>
      <c r="CG45" s="246" t="s">
        <v>0</v>
      </c>
      <c r="CH45" s="246" t="s">
        <v>0</v>
      </c>
      <c r="CI45" s="246" t="s">
        <v>0</v>
      </c>
      <c r="CJ45" s="4"/>
      <c r="CK45" s="246" t="s">
        <v>0</v>
      </c>
      <c r="CL45" s="55">
        <f t="shared" si="10"/>
        <v>31</v>
      </c>
      <c r="CM45" s="2"/>
      <c r="CN45" s="247"/>
      <c r="CO45" s="248"/>
      <c r="CP45" s="150"/>
      <c r="CQ45" s="150" t="s">
        <v>0</v>
      </c>
      <c r="CR45" s="150"/>
      <c r="CS45" s="150"/>
      <c r="CT45" s="55">
        <f t="shared" si="11"/>
        <v>31</v>
      </c>
      <c r="CU45" s="2"/>
      <c r="CV45" s="4"/>
      <c r="CW45" s="4"/>
      <c r="CX45" s="4"/>
      <c r="CY45" s="4"/>
      <c r="CZ45" s="79" t="s">
        <v>0</v>
      </c>
      <c r="DA45" s="79"/>
      <c r="DB45" s="55">
        <f t="shared" si="12"/>
        <v>31</v>
      </c>
      <c r="DC45" s="2"/>
      <c r="DD45" s="102"/>
      <c r="DE45" s="102"/>
      <c r="DF45" s="102" t="s">
        <v>0</v>
      </c>
      <c r="DG45" s="102"/>
      <c r="DH45" s="102"/>
      <c r="DI45" s="102"/>
    </row>
    <row r="46" spans="1:113" ht="12.75" customHeight="1">
      <c r="A46" s="78">
        <v>32</v>
      </c>
      <c r="B46" s="68"/>
      <c r="C46" s="83"/>
      <c r="D46" s="134"/>
      <c r="E46" s="5"/>
      <c r="F46" s="242"/>
      <c r="G46" s="2"/>
      <c r="H46" s="2"/>
      <c r="I46" s="2"/>
      <c r="J46" s="2"/>
      <c r="K46" s="2"/>
      <c r="L46" s="55"/>
      <c r="M46" s="2"/>
      <c r="N46" s="227"/>
      <c r="O46" s="97"/>
      <c r="P46" s="2"/>
      <c r="Q46" s="2"/>
      <c r="R46" s="2"/>
      <c r="S46" s="2"/>
      <c r="T46" s="286"/>
      <c r="U46" s="286"/>
      <c r="V46" s="286"/>
      <c r="W46" s="286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5"/>
      <c r="AP46" s="5"/>
      <c r="AQ46" s="286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40"/>
      <c r="BQ46" s="241"/>
      <c r="BR46" s="241"/>
      <c r="BS46" s="241"/>
      <c r="BT46" s="241"/>
      <c r="BU46" s="241"/>
      <c r="BV46" s="241"/>
      <c r="BW46" s="2"/>
      <c r="BX46" s="2"/>
      <c r="BY46" s="2"/>
      <c r="BZ46" s="174"/>
      <c r="CA46" s="174"/>
      <c r="CB46" s="2"/>
      <c r="CC46" s="55">
        <f t="shared" si="9"/>
        <v>32</v>
      </c>
      <c r="CD46" s="68" t="s">
        <v>274</v>
      </c>
      <c r="CE46" s="80">
        <f aca="true" t="shared" si="26" ref="CE46:CK46">CE19-CE28-CE44</f>
        <v>81455386.96053594</v>
      </c>
      <c r="CF46" s="80">
        <f t="shared" si="26"/>
        <v>-1423726.3964284025</v>
      </c>
      <c r="CG46" s="80">
        <f t="shared" si="26"/>
        <v>-1221100</v>
      </c>
      <c r="CH46" s="80">
        <f t="shared" si="26"/>
        <v>-6061717.6062409375</v>
      </c>
      <c r="CI46" s="80">
        <f t="shared" si="26"/>
        <v>-241312.11999999732</v>
      </c>
      <c r="CJ46" s="80">
        <f t="shared" si="26"/>
        <v>754507</v>
      </c>
      <c r="CK46" s="80">
        <f t="shared" si="26"/>
        <v>42404.433499999905</v>
      </c>
      <c r="CL46" s="55">
        <f t="shared" si="10"/>
        <v>32</v>
      </c>
      <c r="CM46" s="68" t="s">
        <v>274</v>
      </c>
      <c r="CN46" s="80">
        <f aca="true" t="shared" si="27" ref="CN46:CS46">CN19-CN28-CN44</f>
        <v>106298.10325778322</v>
      </c>
      <c r="CO46" s="80">
        <f t="shared" si="27"/>
        <v>-1321869.4839999997</v>
      </c>
      <c r="CP46" s="80">
        <f t="shared" si="27"/>
        <v>-116245.49950000006</v>
      </c>
      <c r="CQ46" s="80">
        <f t="shared" si="27"/>
        <v>-352540.4436666667</v>
      </c>
      <c r="CR46" s="80">
        <f t="shared" si="27"/>
        <v>-424068.45</v>
      </c>
      <c r="CS46" s="80">
        <f t="shared" si="27"/>
        <v>-3106764.05</v>
      </c>
      <c r="CT46" s="55">
        <f t="shared" si="11"/>
        <v>32</v>
      </c>
      <c r="CU46" s="68" t="s">
        <v>274</v>
      </c>
      <c r="CV46" s="80">
        <f aca="true" t="shared" si="28" ref="CV46:DA46">CV19-CV28-CV44</f>
        <v>-1435634.152668042</v>
      </c>
      <c r="CW46" s="80">
        <f t="shared" si="28"/>
        <v>-67030.87089521997</v>
      </c>
      <c r="CX46" s="80">
        <f t="shared" si="28"/>
        <v>-486488.6911622398</v>
      </c>
      <c r="CY46" s="80">
        <f t="shared" si="28"/>
        <v>1792203</v>
      </c>
      <c r="CZ46" s="80">
        <f t="shared" si="28"/>
        <v>-13563085.227803722</v>
      </c>
      <c r="DA46" s="80">
        <f t="shared" si="28"/>
        <v>67892301.73273224</v>
      </c>
      <c r="DB46" s="55">
        <f t="shared" si="12"/>
        <v>32</v>
      </c>
      <c r="DC46" s="2" t="str">
        <f>CD46</f>
        <v>NET OPERATING INCOME</v>
      </c>
      <c r="DD46" s="80">
        <f>DD19-DD28-DD44</f>
        <v>81455386.96053594</v>
      </c>
      <c r="DE46" s="80">
        <f>DE19-DE28-DE44</f>
        <v>-13563085.227803722</v>
      </c>
      <c r="DF46" s="80">
        <f>DF19-DF28-DF44</f>
        <v>67892301.73273224</v>
      </c>
      <c r="DG46" s="80">
        <f>DG19-DG28-DG44</f>
        <v>29170904.969211597</v>
      </c>
      <c r="DH46" s="80">
        <f>DH19-DH28-DH44</f>
        <v>97063206.70194384</v>
      </c>
      <c r="DI46" s="80"/>
    </row>
    <row r="47" spans="1:113" ht="12.75" customHeight="1">
      <c r="A47" s="78">
        <v>33</v>
      </c>
      <c r="B47" s="68" t="s">
        <v>275</v>
      </c>
      <c r="C47" s="83"/>
      <c r="D47" s="134"/>
      <c r="E47" s="5"/>
      <c r="F47" s="242">
        <f>F33+F35+F38</f>
        <v>177558818.55219755</v>
      </c>
      <c r="G47" s="2"/>
      <c r="H47" s="2"/>
      <c r="I47" s="2"/>
      <c r="J47" s="2"/>
      <c r="K47" s="2"/>
      <c r="L47" s="55"/>
      <c r="M47" s="2"/>
      <c r="N47" s="227"/>
      <c r="O47" s="97"/>
      <c r="P47" s="2"/>
      <c r="Q47" s="2"/>
      <c r="R47" s="2"/>
      <c r="S47" s="2"/>
      <c r="T47" s="286"/>
      <c r="U47" s="286"/>
      <c r="V47" s="286"/>
      <c r="W47" s="286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55"/>
      <c r="AM47" s="100"/>
      <c r="AN47" s="57"/>
      <c r="AO47" s="115"/>
      <c r="AP47" s="115"/>
      <c r="AQ47" s="5"/>
      <c r="AR47" s="5"/>
      <c r="AS47" s="5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40"/>
      <c r="BQ47" s="241"/>
      <c r="BR47" s="241"/>
      <c r="BS47" s="241"/>
      <c r="BT47" s="241"/>
      <c r="BU47" s="241"/>
      <c r="BV47" s="241"/>
      <c r="BW47" s="2"/>
      <c r="BX47" s="2"/>
      <c r="BY47" s="2"/>
      <c r="BZ47" s="174"/>
      <c r="CA47" s="174"/>
      <c r="CB47" s="2"/>
      <c r="CC47" s="55">
        <f t="shared" si="9"/>
        <v>33</v>
      </c>
      <c r="CD47" s="2"/>
      <c r="CE47" s="102"/>
      <c r="CF47" s="102"/>
      <c r="CG47" s="102"/>
      <c r="CH47" s="102"/>
      <c r="CI47" s="102"/>
      <c r="CJ47" s="169" t="s">
        <v>0</v>
      </c>
      <c r="CK47" s="102"/>
      <c r="CL47" s="55">
        <f t="shared" si="10"/>
        <v>33</v>
      </c>
      <c r="CM47" s="2"/>
      <c r="CN47" s="102"/>
      <c r="CO47" s="102"/>
      <c r="CP47" s="2"/>
      <c r="CQ47" s="2"/>
      <c r="CR47" s="2"/>
      <c r="CS47" s="2"/>
      <c r="CT47" s="55">
        <f t="shared" si="11"/>
        <v>33</v>
      </c>
      <c r="CU47" s="2"/>
      <c r="CV47" s="169" t="s">
        <v>0</v>
      </c>
      <c r="CW47" s="169" t="s">
        <v>0</v>
      </c>
      <c r="CX47" s="169" t="s">
        <v>0</v>
      </c>
      <c r="CY47" s="169"/>
      <c r="CZ47" s="79"/>
      <c r="DA47" s="79"/>
      <c r="DB47" s="55">
        <f t="shared" si="12"/>
        <v>33</v>
      </c>
      <c r="DC47" s="68"/>
      <c r="DD47" s="246"/>
      <c r="DE47" s="246"/>
      <c r="DF47" s="246"/>
      <c r="DG47" s="246"/>
      <c r="DH47" s="246"/>
      <c r="DI47" s="246"/>
    </row>
    <row r="48" spans="1:113" ht="12.75" customHeight="1">
      <c r="A48" s="78">
        <v>34</v>
      </c>
      <c r="B48" s="68"/>
      <c r="C48" s="83"/>
      <c r="D48" s="134"/>
      <c r="E48" s="5"/>
      <c r="F48" s="242"/>
      <c r="G48" s="2"/>
      <c r="H48" s="2"/>
      <c r="I48" s="2"/>
      <c r="J48" s="2"/>
      <c r="K48" s="2"/>
      <c r="L48" s="55"/>
      <c r="M48" s="2"/>
      <c r="N48" s="227"/>
      <c r="O48" s="97"/>
      <c r="P48" s="2"/>
      <c r="Q48" s="2"/>
      <c r="R48" s="2"/>
      <c r="S48" s="2"/>
      <c r="T48" s="286"/>
      <c r="U48" s="286"/>
      <c r="V48" s="286"/>
      <c r="W48" s="286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5"/>
      <c r="AP48" s="5"/>
      <c r="AQ48" s="5"/>
      <c r="AR48" s="5"/>
      <c r="AS48" s="5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40"/>
      <c r="BQ48" s="241"/>
      <c r="BR48" s="241"/>
      <c r="BS48" s="241"/>
      <c r="BT48" s="241"/>
      <c r="BU48" s="241"/>
      <c r="BV48" s="241"/>
      <c r="BW48" s="2"/>
      <c r="BX48" s="2"/>
      <c r="BY48" s="2"/>
      <c r="BZ48" s="174"/>
      <c r="CA48" s="174"/>
      <c r="CB48" s="2"/>
      <c r="CC48" s="55">
        <f t="shared" si="9"/>
        <v>34</v>
      </c>
      <c r="CD48" s="68" t="s">
        <v>278</v>
      </c>
      <c r="CE48" s="80">
        <f>CE59</f>
        <v>1061142640.5733333</v>
      </c>
      <c r="CF48" s="102"/>
      <c r="CG48" s="102"/>
      <c r="CH48" s="102"/>
      <c r="CI48" s="102">
        <f>S23</f>
        <v>-120656.11999999732</v>
      </c>
      <c r="CJ48" s="158"/>
      <c r="CK48" s="102"/>
      <c r="CL48" s="55">
        <f t="shared" si="10"/>
        <v>34</v>
      </c>
      <c r="CM48" s="68" t="s">
        <v>278</v>
      </c>
      <c r="CN48" s="102">
        <f>AF33</f>
        <v>3267545.9725572504</v>
      </c>
      <c r="CO48" s="102"/>
      <c r="CP48" s="79"/>
      <c r="CQ48" s="79"/>
      <c r="CR48" s="79"/>
      <c r="CS48" s="79"/>
      <c r="CT48" s="55">
        <f t="shared" si="11"/>
        <v>34</v>
      </c>
      <c r="CU48" s="68" t="s">
        <v>278</v>
      </c>
      <c r="CV48" s="158"/>
      <c r="CW48" s="4"/>
      <c r="CX48" s="101"/>
      <c r="CY48" s="101"/>
      <c r="CZ48" s="102">
        <f>SUM(CF48:CY48)-CT48-CL48</f>
        <v>3146889.852557253</v>
      </c>
      <c r="DA48" s="102">
        <f>CE48+CZ48</f>
        <v>1064289530.4258906</v>
      </c>
      <c r="DB48" s="55">
        <f t="shared" si="12"/>
        <v>34</v>
      </c>
      <c r="DC48" s="68" t="s">
        <v>278</v>
      </c>
      <c r="DD48" s="102">
        <f>CE48</f>
        <v>1061142640.5733333</v>
      </c>
      <c r="DE48" s="250">
        <f>CZ48</f>
        <v>3146889.852557253</v>
      </c>
      <c r="DF48" s="102">
        <f>+DD48+DE48</f>
        <v>1064289530.4258906</v>
      </c>
      <c r="DG48" s="102">
        <v>0</v>
      </c>
      <c r="DH48" s="102">
        <f>+DF48+DG48</f>
        <v>1064289530.4258906</v>
      </c>
      <c r="DI48" s="102"/>
    </row>
    <row r="49" spans="1:113" ht="12.75" customHeight="1">
      <c r="A49" s="78">
        <v>35</v>
      </c>
      <c r="B49" s="68" t="s">
        <v>279</v>
      </c>
      <c r="C49" s="83"/>
      <c r="D49" s="134"/>
      <c r="E49" s="5"/>
      <c r="F49" s="242">
        <f>(F45-F47)*FEDERAL_INCOME_TAX</f>
        <v>-766621.9057691409</v>
      </c>
      <c r="G49" s="2"/>
      <c r="H49" s="2"/>
      <c r="I49" s="2"/>
      <c r="J49" s="2"/>
      <c r="K49" s="2"/>
      <c r="L49" s="55"/>
      <c r="M49" s="2"/>
      <c r="N49" s="227"/>
      <c r="O49" s="97"/>
      <c r="P49" s="2"/>
      <c r="Q49" s="2"/>
      <c r="R49" s="2"/>
      <c r="S49" s="2"/>
      <c r="T49" s="286"/>
      <c r="U49" s="286"/>
      <c r="V49" s="286"/>
      <c r="W49" s="286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55"/>
      <c r="AM49" s="2"/>
      <c r="AN49" s="2"/>
      <c r="AO49" s="5"/>
      <c r="AP49" s="5"/>
      <c r="AQ49" s="5"/>
      <c r="AR49" s="5"/>
      <c r="AS49" s="5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40"/>
      <c r="BQ49" s="241"/>
      <c r="BR49" s="241"/>
      <c r="BS49" s="241"/>
      <c r="BT49" s="241"/>
      <c r="BU49" s="241"/>
      <c r="BV49" s="241"/>
      <c r="BW49" s="2"/>
      <c r="BX49" s="2"/>
      <c r="BY49" s="2"/>
      <c r="BZ49" s="174"/>
      <c r="CA49" s="174"/>
      <c r="CB49" s="2"/>
      <c r="CC49" s="55">
        <f t="shared" si="9"/>
        <v>35</v>
      </c>
      <c r="CD49" s="2"/>
      <c r="CE49" s="2"/>
      <c r="CF49" s="2"/>
      <c r="CG49" s="2"/>
      <c r="CH49" s="2"/>
      <c r="CI49" s="2"/>
      <c r="CJ49" s="4"/>
      <c r="CK49" s="2"/>
      <c r="CL49" s="55">
        <f t="shared" si="10"/>
        <v>35</v>
      </c>
      <c r="CM49" s="2"/>
      <c r="CN49" s="2"/>
      <c r="CO49" s="2"/>
      <c r="CP49" s="2"/>
      <c r="CQ49" s="2"/>
      <c r="CR49" s="2"/>
      <c r="CS49" s="2"/>
      <c r="CT49" s="55">
        <f t="shared" si="11"/>
        <v>35</v>
      </c>
      <c r="CU49" s="2"/>
      <c r="CV49" s="57"/>
      <c r="CW49" s="57"/>
      <c r="CX49" s="57"/>
      <c r="CY49" s="57"/>
      <c r="CZ49" s="79"/>
      <c r="DA49" s="79"/>
      <c r="DB49" s="55">
        <f t="shared" si="12"/>
        <v>35</v>
      </c>
      <c r="DC49" s="2"/>
      <c r="DD49" s="2"/>
      <c r="DE49" s="2"/>
      <c r="DF49" s="2"/>
      <c r="DG49" s="2"/>
      <c r="DH49" s="2"/>
      <c r="DI49" s="2"/>
    </row>
    <row r="50" spans="1:113" ht="12.75" customHeight="1">
      <c r="A50" s="78">
        <v>36</v>
      </c>
      <c r="B50" s="68"/>
      <c r="C50" s="83"/>
      <c r="D50" s="134"/>
      <c r="E50" s="5"/>
      <c r="F50" s="242"/>
      <c r="G50" s="2"/>
      <c r="H50" s="2"/>
      <c r="I50" s="2"/>
      <c r="J50" s="2"/>
      <c r="K50" s="2"/>
      <c r="L50" s="55"/>
      <c r="M50" s="2"/>
      <c r="N50" s="227"/>
      <c r="O50" s="97"/>
      <c r="P50" s="2"/>
      <c r="Q50" s="2"/>
      <c r="R50" s="2"/>
      <c r="S50" s="2"/>
      <c r="T50" s="2"/>
      <c r="U50" s="7"/>
      <c r="V50" s="7"/>
      <c r="W50" s="7"/>
      <c r="X50" s="2"/>
      <c r="Y50" s="2"/>
      <c r="Z50" s="2"/>
      <c r="AA50" s="2"/>
      <c r="AB50" s="2"/>
      <c r="AC50" s="292"/>
      <c r="AD50" s="292"/>
      <c r="AE50" s="292"/>
      <c r="AF50" s="2"/>
      <c r="AG50" s="2"/>
      <c r="AH50" s="2"/>
      <c r="AI50" s="2"/>
      <c r="AJ50" s="2"/>
      <c r="AK50" s="2"/>
      <c r="AL50" s="55"/>
      <c r="AM50" s="2"/>
      <c r="AN50" s="2"/>
      <c r="AO50" s="5"/>
      <c r="AP50" s="5"/>
      <c r="AQ50" s="115"/>
      <c r="AR50" s="115"/>
      <c r="AS50" s="115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40"/>
      <c r="BQ50" s="241"/>
      <c r="BR50" s="241"/>
      <c r="BS50" s="241"/>
      <c r="BT50" s="241"/>
      <c r="BU50" s="241"/>
      <c r="BV50" s="241"/>
      <c r="BW50" s="2"/>
      <c r="BX50" s="2"/>
      <c r="BY50" s="2"/>
      <c r="BZ50" s="174"/>
      <c r="CA50" s="174"/>
      <c r="CB50" s="2"/>
      <c r="CC50" s="55">
        <f t="shared" si="9"/>
        <v>36</v>
      </c>
      <c r="CD50" s="68" t="s">
        <v>281</v>
      </c>
      <c r="CE50" s="255">
        <f>CE46/CE48</f>
        <v>0.07676195814403025</v>
      </c>
      <c r="CF50" s="2"/>
      <c r="CG50" s="2"/>
      <c r="CH50" s="2"/>
      <c r="CI50" s="256"/>
      <c r="CJ50" s="57"/>
      <c r="CK50" s="2"/>
      <c r="CL50" s="55">
        <f t="shared" si="10"/>
        <v>36</v>
      </c>
      <c r="CM50" s="68" t="s">
        <v>281</v>
      </c>
      <c r="CN50" s="2"/>
      <c r="CO50" s="2"/>
      <c r="CP50" s="2"/>
      <c r="CQ50" s="2"/>
      <c r="CR50" s="2"/>
      <c r="CS50" s="2"/>
      <c r="CT50" s="55">
        <f t="shared" si="11"/>
        <v>36</v>
      </c>
      <c r="CU50" s="68" t="s">
        <v>281</v>
      </c>
      <c r="CV50" s="57"/>
      <c r="CW50" s="57"/>
      <c r="CX50" s="57"/>
      <c r="CY50" s="57"/>
      <c r="CZ50" s="2"/>
      <c r="DA50" s="174">
        <f>DA46/DA48</f>
        <v>0.06379119571491432</v>
      </c>
      <c r="DB50" s="55">
        <f t="shared" si="12"/>
        <v>36</v>
      </c>
      <c r="DC50" s="68" t="s">
        <v>281</v>
      </c>
      <c r="DD50" s="174">
        <f>CE50</f>
        <v>0.07676195814403025</v>
      </c>
      <c r="DE50" s="2"/>
      <c r="DF50" s="174">
        <f>DF46/DF48</f>
        <v>0.06379119571491432</v>
      </c>
      <c r="DG50" s="174"/>
      <c r="DH50" s="174">
        <f>DH46/DH48</f>
        <v>0.09120000143485638</v>
      </c>
      <c r="DI50" s="174"/>
    </row>
    <row r="51" spans="1:113" ht="12.75" customHeight="1">
      <c r="A51" s="78">
        <v>37</v>
      </c>
      <c r="B51" s="68" t="s">
        <v>282</v>
      </c>
      <c r="C51" s="83"/>
      <c r="D51" s="134"/>
      <c r="E51" s="5"/>
      <c r="F51" s="257">
        <f>F45-F47-F49</f>
        <v>-1423726.3964284048</v>
      </c>
      <c r="G51" s="2"/>
      <c r="H51" s="2"/>
      <c r="I51" s="2"/>
      <c r="J51" s="2"/>
      <c r="K51" s="2"/>
      <c r="L51" s="55"/>
      <c r="M51" s="2"/>
      <c r="N51" s="227"/>
      <c r="O51" s="97"/>
      <c r="P51" s="2"/>
      <c r="Q51" s="2"/>
      <c r="R51" s="2"/>
      <c r="S51" s="2"/>
      <c r="T51" s="2"/>
      <c r="U51" s="7"/>
      <c r="V51" s="7"/>
      <c r="W51" s="7"/>
      <c r="X51" s="2"/>
      <c r="Y51" s="2"/>
      <c r="Z51" s="2"/>
      <c r="AA51" s="2"/>
      <c r="AB51" s="2"/>
      <c r="AC51" s="292"/>
      <c r="AD51" s="292"/>
      <c r="AE51" s="292"/>
      <c r="AF51" s="2"/>
      <c r="AG51" s="2"/>
      <c r="AH51" s="2"/>
      <c r="AI51" s="2"/>
      <c r="AJ51" s="2"/>
      <c r="AK51" s="2"/>
      <c r="AL51" s="55"/>
      <c r="AM51" s="2"/>
      <c r="AN51" s="2"/>
      <c r="AO51" s="5"/>
      <c r="AP51" s="5"/>
      <c r="AQ51" s="5"/>
      <c r="AR51" s="5"/>
      <c r="AS51" s="5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40"/>
      <c r="BQ51" s="241"/>
      <c r="BR51" s="241"/>
      <c r="BS51" s="241"/>
      <c r="BT51" s="241"/>
      <c r="BU51" s="241"/>
      <c r="BV51" s="241"/>
      <c r="BW51" s="2"/>
      <c r="BX51" s="2"/>
      <c r="BY51" s="2"/>
      <c r="BZ51" s="174"/>
      <c r="CA51" s="174"/>
      <c r="CB51" s="2"/>
      <c r="CC51" s="55">
        <f t="shared" si="9"/>
        <v>37</v>
      </c>
      <c r="CD51" s="2"/>
      <c r="CE51" s="2"/>
      <c r="CF51" s="2"/>
      <c r="CG51" s="2"/>
      <c r="CH51" s="2"/>
      <c r="CI51" s="2"/>
      <c r="CJ51" s="2"/>
      <c r="CK51" s="2"/>
      <c r="CL51" s="55">
        <f t="shared" si="10"/>
        <v>37</v>
      </c>
      <c r="CM51" s="2"/>
      <c r="CN51" s="2"/>
      <c r="CO51" s="2"/>
      <c r="CP51" s="2"/>
      <c r="CQ51" s="2"/>
      <c r="CR51" s="2"/>
      <c r="CS51" s="2"/>
      <c r="CT51" s="55">
        <f t="shared" si="11"/>
        <v>37</v>
      </c>
      <c r="CU51" s="2"/>
      <c r="CV51" s="2"/>
      <c r="CW51" s="2"/>
      <c r="CX51" s="2"/>
      <c r="CY51" s="2"/>
      <c r="CZ51" s="2"/>
      <c r="DA51" s="2"/>
      <c r="DB51" s="55">
        <f t="shared" si="12"/>
        <v>37</v>
      </c>
      <c r="DC51" s="2"/>
      <c r="DD51" s="258"/>
      <c r="DE51" s="2"/>
      <c r="DF51" s="258"/>
      <c r="DG51" s="258"/>
      <c r="DH51" s="258"/>
      <c r="DI51" s="258"/>
    </row>
    <row r="52" spans="1:113" ht="12.75" customHeight="1">
      <c r="A52" s="78">
        <v>38</v>
      </c>
      <c r="B52" s="68"/>
      <c r="C52" s="83"/>
      <c r="D52" s="134"/>
      <c r="E52" s="5"/>
      <c r="F52" s="259"/>
      <c r="G52" s="2"/>
      <c r="H52" s="2"/>
      <c r="I52" s="2"/>
      <c r="J52" s="2"/>
      <c r="K52" s="2"/>
      <c r="L52" s="55"/>
      <c r="M52" s="2"/>
      <c r="N52" s="227"/>
      <c r="O52" s="97"/>
      <c r="P52" s="2"/>
      <c r="Q52" s="2"/>
      <c r="R52" s="2"/>
      <c r="S52" s="2"/>
      <c r="T52" s="2"/>
      <c r="U52" s="7"/>
      <c r="V52" s="7"/>
      <c r="W52" s="7"/>
      <c r="X52" s="2"/>
      <c r="Y52" s="2"/>
      <c r="Z52" s="2"/>
      <c r="AA52" s="2"/>
      <c r="AB52" s="2"/>
      <c r="AC52" s="292"/>
      <c r="AD52" s="292"/>
      <c r="AE52" s="292"/>
      <c r="AF52" s="2"/>
      <c r="AG52" s="2"/>
      <c r="AH52" s="2"/>
      <c r="AI52" s="2"/>
      <c r="AJ52" s="2"/>
      <c r="AK52" s="2"/>
      <c r="AL52" s="2"/>
      <c r="AM52" s="2"/>
      <c r="AN52" s="2"/>
      <c r="AO52" s="5"/>
      <c r="AP52" s="5"/>
      <c r="AQ52" s="5"/>
      <c r="AR52" s="5"/>
      <c r="AS52" s="5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40"/>
      <c r="BQ52" s="241"/>
      <c r="BR52" s="241"/>
      <c r="BS52" s="241"/>
      <c r="BT52" s="241"/>
      <c r="BU52" s="241"/>
      <c r="BV52" s="241"/>
      <c r="BW52" s="2"/>
      <c r="BX52" s="2"/>
      <c r="BY52" s="2"/>
      <c r="BZ52" s="174"/>
      <c r="CA52" s="174"/>
      <c r="CB52" s="2"/>
      <c r="CC52" s="55">
        <f t="shared" si="9"/>
        <v>38</v>
      </c>
      <c r="CD52" s="2" t="s">
        <v>284</v>
      </c>
      <c r="CE52" s="2"/>
      <c r="CF52" s="2"/>
      <c r="CG52" s="2"/>
      <c r="CH52" s="2"/>
      <c r="CI52" s="2"/>
      <c r="CJ52" s="57"/>
      <c r="CK52" s="2"/>
      <c r="CL52" s="55">
        <f t="shared" si="10"/>
        <v>38</v>
      </c>
      <c r="CM52" s="2" t="s">
        <v>284</v>
      </c>
      <c r="CN52" s="2"/>
      <c r="CO52" s="2"/>
      <c r="CP52" s="2"/>
      <c r="CQ52" s="2"/>
      <c r="CR52" s="2"/>
      <c r="CS52" s="2"/>
      <c r="CT52" s="55">
        <f t="shared" si="11"/>
        <v>38</v>
      </c>
      <c r="CU52" s="2" t="s">
        <v>284</v>
      </c>
      <c r="CV52" s="57"/>
      <c r="CW52" s="57"/>
      <c r="CX52" s="57"/>
      <c r="CY52" s="57"/>
      <c r="CZ52" s="2"/>
      <c r="DA52" s="79"/>
      <c r="DB52" s="55">
        <f t="shared" si="12"/>
        <v>38</v>
      </c>
      <c r="DC52" s="2" t="s">
        <v>284</v>
      </c>
      <c r="DD52" s="2"/>
      <c r="DE52" s="2"/>
      <c r="DF52" s="2"/>
      <c r="DG52" s="2"/>
      <c r="DH52" s="2"/>
      <c r="DI52" s="2"/>
    </row>
    <row r="53" spans="1:113" ht="12.75" customHeight="1">
      <c r="A53" s="78">
        <v>39</v>
      </c>
      <c r="C53" s="83"/>
      <c r="D53" s="134"/>
      <c r="E53" s="5"/>
      <c r="F53" s="111" t="s">
        <v>0</v>
      </c>
      <c r="G53" s="2"/>
      <c r="H53" s="2"/>
      <c r="I53" s="2"/>
      <c r="J53" s="2"/>
      <c r="K53" s="2"/>
      <c r="L53" s="55"/>
      <c r="M53" s="2"/>
      <c r="N53" s="227"/>
      <c r="O53" s="97"/>
      <c r="P53" s="2"/>
      <c r="Q53" s="2"/>
      <c r="R53" s="2"/>
      <c r="S53" s="2"/>
      <c r="T53" s="2"/>
      <c r="U53" s="7"/>
      <c r="V53" s="7"/>
      <c r="W53" s="7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1"/>
      <c r="AI53" s="2"/>
      <c r="AJ53" s="2"/>
      <c r="AK53" s="2"/>
      <c r="AL53" s="55"/>
      <c r="AM53" s="2"/>
      <c r="AN53" s="2"/>
      <c r="AO53" s="5"/>
      <c r="AP53" s="5"/>
      <c r="AQ53" s="5"/>
      <c r="AR53" s="5"/>
      <c r="AS53" s="5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40"/>
      <c r="BQ53" s="241"/>
      <c r="BR53" s="241"/>
      <c r="BS53" s="241"/>
      <c r="BT53" s="241"/>
      <c r="BU53" s="241"/>
      <c r="BV53" s="241"/>
      <c r="BW53" s="2"/>
      <c r="BX53" s="2"/>
      <c r="BY53" s="2"/>
      <c r="BZ53" s="174"/>
      <c r="CA53" s="174"/>
      <c r="CB53" s="2"/>
      <c r="CC53" s="55">
        <f t="shared" si="9"/>
        <v>39</v>
      </c>
      <c r="CD53" s="304" t="s">
        <v>285</v>
      </c>
      <c r="CE53" s="80">
        <f>DD53</f>
        <v>1755514587</v>
      </c>
      <c r="CF53" s="80">
        <v>0</v>
      </c>
      <c r="CG53" s="80">
        <v>0</v>
      </c>
      <c r="CH53" s="80">
        <v>0</v>
      </c>
      <c r="CI53" s="80">
        <f>+CI48</f>
        <v>-120656.11999999732</v>
      </c>
      <c r="CJ53" s="80">
        <v>0</v>
      </c>
      <c r="CK53" s="80">
        <v>0</v>
      </c>
      <c r="CL53" s="55">
        <f t="shared" si="10"/>
        <v>39</v>
      </c>
      <c r="CM53" s="304" t="s">
        <v>285</v>
      </c>
      <c r="CN53" s="80">
        <f>+CN48</f>
        <v>3267545.9725572504</v>
      </c>
      <c r="CO53" s="80">
        <v>0</v>
      </c>
      <c r="CP53" s="80">
        <v>0</v>
      </c>
      <c r="CQ53" s="80">
        <v>0</v>
      </c>
      <c r="CR53" s="80">
        <v>0</v>
      </c>
      <c r="CS53" s="80">
        <v>0</v>
      </c>
      <c r="CT53" s="55">
        <f t="shared" si="11"/>
        <v>39</v>
      </c>
      <c r="CU53" s="304" t="s">
        <v>285</v>
      </c>
      <c r="CV53" s="80">
        <v>0</v>
      </c>
      <c r="CW53" s="80">
        <v>0</v>
      </c>
      <c r="CX53" s="80">
        <v>0</v>
      </c>
      <c r="CY53" s="80">
        <v>0</v>
      </c>
      <c r="CZ53" s="80">
        <f>SUM(CF53:CY53)-CT53-CL53</f>
        <v>3146889.852557253</v>
      </c>
      <c r="DA53" s="80">
        <f>+CZ53+CE53</f>
        <v>1758661476.8525572</v>
      </c>
      <c r="DB53" s="55">
        <f t="shared" si="12"/>
        <v>39</v>
      </c>
      <c r="DC53" s="304" t="s">
        <v>285</v>
      </c>
      <c r="DD53" s="80">
        <v>1755514587</v>
      </c>
      <c r="DE53" s="303">
        <f>+CZ53</f>
        <v>3146889.852557253</v>
      </c>
      <c r="DF53" s="80">
        <f>+DE53+DD53</f>
        <v>1758661476.8525572</v>
      </c>
      <c r="DG53" s="2"/>
      <c r="DH53" s="2"/>
      <c r="DI53" s="2"/>
    </row>
    <row r="54" spans="1:113" ht="12.75" customHeight="1">
      <c r="A54" s="260"/>
      <c r="B54" s="68"/>
      <c r="C54" s="83"/>
      <c r="D54" s="134"/>
      <c r="E54" s="5"/>
      <c r="F54" s="111"/>
      <c r="G54" s="2"/>
      <c r="H54" s="2"/>
      <c r="I54" s="2"/>
      <c r="J54" s="2"/>
      <c r="K54" s="2"/>
      <c r="L54" s="55"/>
      <c r="M54" s="2"/>
      <c r="N54" s="227"/>
      <c r="O54" s="97"/>
      <c r="P54" s="2"/>
      <c r="Q54" s="2"/>
      <c r="R54" s="2"/>
      <c r="S54" s="2"/>
      <c r="T54" s="2"/>
      <c r="U54" s="7"/>
      <c r="V54" s="7"/>
      <c r="W54" s="7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55"/>
      <c r="AM54" s="57"/>
      <c r="AN54" s="57"/>
      <c r="AO54" s="115"/>
      <c r="AP54" s="115"/>
      <c r="AQ54" s="5"/>
      <c r="AR54" s="5"/>
      <c r="AS54" s="5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40"/>
      <c r="BQ54" s="241"/>
      <c r="BR54" s="241"/>
      <c r="BS54" s="241"/>
      <c r="BT54" s="241"/>
      <c r="BU54" s="241"/>
      <c r="BV54" s="241"/>
      <c r="BW54" s="2"/>
      <c r="BX54" s="2"/>
      <c r="BY54" s="2"/>
      <c r="BZ54" s="174"/>
      <c r="CA54" s="174"/>
      <c r="CB54" s="2"/>
      <c r="CC54" s="55">
        <f t="shared" si="9"/>
        <v>40</v>
      </c>
      <c r="CD54" s="305" t="s">
        <v>286</v>
      </c>
      <c r="CE54" s="105">
        <f>DD54</f>
        <v>-540807236</v>
      </c>
      <c r="CF54" s="105"/>
      <c r="CG54" s="105"/>
      <c r="CH54" s="105"/>
      <c r="CI54" s="105"/>
      <c r="CJ54" s="105"/>
      <c r="CK54" s="105"/>
      <c r="CL54" s="55">
        <f t="shared" si="10"/>
        <v>40</v>
      </c>
      <c r="CM54" s="305" t="s">
        <v>286</v>
      </c>
      <c r="CN54" s="105"/>
      <c r="CO54" s="105"/>
      <c r="CP54" s="105"/>
      <c r="CQ54" s="105"/>
      <c r="CR54" s="105"/>
      <c r="CS54" s="105"/>
      <c r="CT54" s="55">
        <f t="shared" si="11"/>
        <v>40</v>
      </c>
      <c r="CU54" s="305" t="s">
        <v>286</v>
      </c>
      <c r="CV54" s="105"/>
      <c r="CW54" s="105"/>
      <c r="CX54" s="105"/>
      <c r="CY54" s="105"/>
      <c r="CZ54" s="105">
        <f>SUM(CF54:CY54)-CT54-CL54</f>
        <v>0</v>
      </c>
      <c r="DA54" s="105">
        <f>+CZ54+CE54</f>
        <v>-540807236</v>
      </c>
      <c r="DB54" s="55">
        <f t="shared" si="12"/>
        <v>40</v>
      </c>
      <c r="DC54" s="305" t="s">
        <v>286</v>
      </c>
      <c r="DD54" s="105">
        <v>-540807236</v>
      </c>
      <c r="DE54" s="105">
        <f>+CZ54</f>
        <v>0</v>
      </c>
      <c r="DF54" s="105">
        <f>+DE54+DD54</f>
        <v>-540807236</v>
      </c>
      <c r="DG54" s="305"/>
      <c r="DH54" s="305"/>
      <c r="DI54" s="305"/>
    </row>
    <row r="55" spans="1:113" ht="12.75" customHeight="1">
      <c r="A55" s="260"/>
      <c r="B55" s="68"/>
      <c r="C55" s="83"/>
      <c r="D55" s="134"/>
      <c r="E55" s="5"/>
      <c r="F55" s="111" t="s">
        <v>0</v>
      </c>
      <c r="G55" s="2"/>
      <c r="H55" s="2"/>
      <c r="I55" s="2"/>
      <c r="J55" s="2"/>
      <c r="K55" s="2"/>
      <c r="L55" s="55"/>
      <c r="M55" s="2"/>
      <c r="N55" s="227"/>
      <c r="O55" s="97"/>
      <c r="P55" s="2"/>
      <c r="Q55" s="2"/>
      <c r="R55" s="2"/>
      <c r="S55" s="2"/>
      <c r="T55" s="2"/>
      <c r="U55" s="7"/>
      <c r="V55" s="7"/>
      <c r="W55" s="7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55"/>
      <c r="AM55" s="57"/>
      <c r="AN55" s="262"/>
      <c r="AO55" s="115"/>
      <c r="AP55" s="115"/>
      <c r="AQ55" s="5"/>
      <c r="AR55" s="5"/>
      <c r="AS55" s="5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41"/>
      <c r="BR55" s="241"/>
      <c r="BS55" s="241"/>
      <c r="BT55" s="241"/>
      <c r="BU55" s="241"/>
      <c r="BV55" s="241"/>
      <c r="BW55" s="2"/>
      <c r="BX55" s="2"/>
      <c r="BY55" s="2"/>
      <c r="BZ55" s="174"/>
      <c r="CA55" s="174"/>
      <c r="CB55" s="2"/>
      <c r="CC55" s="55">
        <f t="shared" si="9"/>
        <v>41</v>
      </c>
      <c r="CD55" s="305" t="s">
        <v>288</v>
      </c>
      <c r="CE55" s="105">
        <f>DD55</f>
        <v>-140198298.42666665</v>
      </c>
      <c r="CF55" s="263"/>
      <c r="CG55" s="263"/>
      <c r="CH55" s="263"/>
      <c r="CI55" s="263"/>
      <c r="CJ55" s="263"/>
      <c r="CK55" s="263"/>
      <c r="CL55" s="55">
        <f t="shared" si="10"/>
        <v>41</v>
      </c>
      <c r="CM55" s="305" t="s">
        <v>288</v>
      </c>
      <c r="CN55" s="263"/>
      <c r="CO55" s="263"/>
      <c r="CP55" s="263"/>
      <c r="CQ55" s="263"/>
      <c r="CR55" s="263"/>
      <c r="CS55" s="263"/>
      <c r="CT55" s="55">
        <f t="shared" si="11"/>
        <v>41</v>
      </c>
      <c r="CU55" s="305" t="s">
        <v>288</v>
      </c>
      <c r="CV55" s="263"/>
      <c r="CW55" s="263"/>
      <c r="CX55" s="263"/>
      <c r="CY55" s="263"/>
      <c r="CZ55" s="105">
        <f>SUM(CF55:CY55)-CT55-CL55</f>
        <v>0</v>
      </c>
      <c r="DA55" s="105">
        <f>+CZ55+CE55</f>
        <v>-140198298.42666665</v>
      </c>
      <c r="DB55" s="55">
        <f t="shared" si="12"/>
        <v>41</v>
      </c>
      <c r="DC55" s="305" t="s">
        <v>288</v>
      </c>
      <c r="DD55" s="263">
        <v>-140198298.42666665</v>
      </c>
      <c r="DE55" s="263">
        <f>+CZ55</f>
        <v>0</v>
      </c>
      <c r="DF55" s="263">
        <f>+DE55+DD55</f>
        <v>-140198298.42666665</v>
      </c>
      <c r="DG55" s="306"/>
      <c r="DH55" s="306"/>
      <c r="DI55" s="306"/>
    </row>
    <row r="56" spans="1:113" ht="12.75" customHeight="1">
      <c r="A56" s="260"/>
      <c r="B56" s="68"/>
      <c r="C56" s="83"/>
      <c r="D56" s="134"/>
      <c r="E56" s="5"/>
      <c r="F56" s="11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7"/>
      <c r="V56" s="7"/>
      <c r="W56" s="7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55"/>
      <c r="AM56" s="57"/>
      <c r="AN56" s="57"/>
      <c r="AO56" s="115"/>
      <c r="AP56" s="115"/>
      <c r="AQ56" s="5"/>
      <c r="AR56" s="5"/>
      <c r="AS56" s="5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41"/>
      <c r="BR56" s="241"/>
      <c r="BS56" s="241"/>
      <c r="BT56" s="241"/>
      <c r="BU56" s="241"/>
      <c r="BV56" s="241"/>
      <c r="BW56" s="2"/>
      <c r="BX56" s="2"/>
      <c r="BY56" s="2"/>
      <c r="BZ56" s="174"/>
      <c r="CA56" s="174"/>
      <c r="CB56" s="2"/>
      <c r="CC56" s="55">
        <f t="shared" si="9"/>
        <v>42</v>
      </c>
      <c r="CD56" s="305" t="s">
        <v>289</v>
      </c>
      <c r="CE56" s="105">
        <f>DD56</f>
        <v>-17174520</v>
      </c>
      <c r="CF56" s="103"/>
      <c r="CG56" s="103"/>
      <c r="CH56" s="103"/>
      <c r="CI56" s="103"/>
      <c r="CJ56" s="103"/>
      <c r="CK56" s="103"/>
      <c r="CL56" s="55">
        <f t="shared" si="10"/>
        <v>42</v>
      </c>
      <c r="CM56" s="305" t="s">
        <v>289</v>
      </c>
      <c r="CN56" s="103"/>
      <c r="CO56" s="103"/>
      <c r="CP56" s="103"/>
      <c r="CQ56" s="103"/>
      <c r="CR56" s="103"/>
      <c r="CS56" s="103"/>
      <c r="CT56" s="55">
        <f t="shared" si="11"/>
        <v>42</v>
      </c>
      <c r="CU56" s="305" t="s">
        <v>289</v>
      </c>
      <c r="CV56" s="103"/>
      <c r="CW56" s="103"/>
      <c r="CX56" s="103"/>
      <c r="CY56" s="103"/>
      <c r="CZ56" s="103">
        <f>SUM(CF56:CY56)-CT56-CL56</f>
        <v>0</v>
      </c>
      <c r="DA56" s="103">
        <f>+CZ56+CE56</f>
        <v>-17174520</v>
      </c>
      <c r="DB56" s="55">
        <f t="shared" si="12"/>
        <v>42</v>
      </c>
      <c r="DC56" s="305" t="s">
        <v>289</v>
      </c>
      <c r="DD56" s="103">
        <v>-17174520</v>
      </c>
      <c r="DE56" s="103">
        <f>+CZ56</f>
        <v>0</v>
      </c>
      <c r="DF56" s="103">
        <f>+DE56+DD56</f>
        <v>-17174520</v>
      </c>
      <c r="DG56" s="303"/>
      <c r="DH56" s="303"/>
      <c r="DI56" s="303"/>
    </row>
    <row r="57" spans="1:113" ht="12.75" customHeight="1">
      <c r="A57" s="57"/>
      <c r="B57" s="131"/>
      <c r="C57" s="83"/>
      <c r="D57" s="111"/>
      <c r="E57" s="221"/>
      <c r="F57" s="160"/>
      <c r="G57" s="5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7"/>
      <c r="V57" s="7"/>
      <c r="W57" s="7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55"/>
      <c r="AM57" s="264"/>
      <c r="AN57" s="262"/>
      <c r="AO57" s="115"/>
      <c r="AP57" s="115"/>
      <c r="AQ57" s="115"/>
      <c r="AR57" s="115"/>
      <c r="AS57" s="115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57"/>
      <c r="BR57" s="57"/>
      <c r="BS57" s="57"/>
      <c r="BT57" s="57"/>
      <c r="BU57" s="57"/>
      <c r="BV57" s="57"/>
      <c r="BW57" s="2"/>
      <c r="BX57" s="2"/>
      <c r="BY57" s="2"/>
      <c r="BZ57" s="174"/>
      <c r="CA57" s="174"/>
      <c r="CB57" s="2"/>
      <c r="CC57" s="55">
        <f t="shared" si="9"/>
        <v>43</v>
      </c>
      <c r="CD57" s="305" t="s">
        <v>290</v>
      </c>
      <c r="CE57" s="307">
        <f aca="true" t="shared" si="29" ref="CE57:CK57">SUM(CE53:CE56)</f>
        <v>1057334532.5733333</v>
      </c>
      <c r="CF57" s="303">
        <f t="shared" si="29"/>
        <v>0</v>
      </c>
      <c r="CG57" s="303">
        <f t="shared" si="29"/>
        <v>0</v>
      </c>
      <c r="CH57" s="303">
        <f t="shared" si="29"/>
        <v>0</v>
      </c>
      <c r="CI57" s="303">
        <f t="shared" si="29"/>
        <v>-120656.11999999732</v>
      </c>
      <c r="CJ57" s="303">
        <f t="shared" si="29"/>
        <v>0</v>
      </c>
      <c r="CK57" s="303">
        <f t="shared" si="29"/>
        <v>0</v>
      </c>
      <c r="CL57" s="55">
        <f t="shared" si="10"/>
        <v>43</v>
      </c>
      <c r="CM57" s="305" t="s">
        <v>290</v>
      </c>
      <c r="CN57" s="303">
        <f aca="true" t="shared" si="30" ref="CN57:CS57">SUM(CN53:CN56)</f>
        <v>3267545.9725572504</v>
      </c>
      <c r="CO57" s="303">
        <f t="shared" si="30"/>
        <v>0</v>
      </c>
      <c r="CP57" s="303">
        <f t="shared" si="30"/>
        <v>0</v>
      </c>
      <c r="CQ57" s="303">
        <f t="shared" si="30"/>
        <v>0</v>
      </c>
      <c r="CR57" s="303">
        <f t="shared" si="30"/>
        <v>0</v>
      </c>
      <c r="CS57" s="303">
        <f t="shared" si="30"/>
        <v>0</v>
      </c>
      <c r="CT57" s="55">
        <f t="shared" si="11"/>
        <v>43</v>
      </c>
      <c r="CU57" s="305" t="s">
        <v>290</v>
      </c>
      <c r="CV57" s="303">
        <f aca="true" t="shared" si="31" ref="CV57:DA57">SUM(CV53:CV56)</f>
        <v>0</v>
      </c>
      <c r="CW57" s="303">
        <f t="shared" si="31"/>
        <v>0</v>
      </c>
      <c r="CX57" s="303">
        <f t="shared" si="31"/>
        <v>0</v>
      </c>
      <c r="CY57" s="303">
        <f t="shared" si="31"/>
        <v>0</v>
      </c>
      <c r="CZ57" s="303">
        <f t="shared" si="31"/>
        <v>3146889.852557253</v>
      </c>
      <c r="DA57" s="303">
        <f t="shared" si="31"/>
        <v>1060481422.4258904</v>
      </c>
      <c r="DB57" s="55">
        <f t="shared" si="12"/>
        <v>43</v>
      </c>
      <c r="DC57" s="305" t="s">
        <v>290</v>
      </c>
      <c r="DD57" s="303">
        <f>SUM(DD53:DD56)</f>
        <v>1057334532.5733333</v>
      </c>
      <c r="DE57" s="303">
        <f>SUM(DE53:DE56)</f>
        <v>3146889.852557253</v>
      </c>
      <c r="DF57" s="303">
        <f>SUM(DF53:DF56)</f>
        <v>1060481422.4258904</v>
      </c>
      <c r="DG57" s="306"/>
      <c r="DH57" s="306"/>
      <c r="DI57" s="306"/>
    </row>
    <row r="58" spans="1:113" ht="12.75" customHeight="1">
      <c r="A58" s="260"/>
      <c r="B58" s="2"/>
      <c r="C58" s="2"/>
      <c r="D58" s="5"/>
      <c r="E58" s="5"/>
      <c r="F58" s="160"/>
      <c r="G58" s="5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7"/>
      <c r="V58" s="7"/>
      <c r="W58" s="7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55"/>
      <c r="AM58" s="264"/>
      <c r="AN58" s="262"/>
      <c r="AO58" s="115"/>
      <c r="AP58" s="115"/>
      <c r="AQ58" s="115"/>
      <c r="AR58" s="115"/>
      <c r="AS58" s="115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57"/>
      <c r="BR58" s="57"/>
      <c r="BS58" s="57"/>
      <c r="BT58" s="57"/>
      <c r="BU58" s="57"/>
      <c r="BV58" s="57"/>
      <c r="BW58" s="2"/>
      <c r="BX58" s="2"/>
      <c r="BY58" s="2"/>
      <c r="BZ58" s="174"/>
      <c r="CA58" s="174"/>
      <c r="CB58" s="2"/>
      <c r="CC58" s="55">
        <f t="shared" si="9"/>
        <v>44</v>
      </c>
      <c r="CD58" s="305" t="s">
        <v>291</v>
      </c>
      <c r="CE58" s="105">
        <f>DD58</f>
        <v>3808108</v>
      </c>
      <c r="CF58" s="103"/>
      <c r="CG58" s="103"/>
      <c r="CH58" s="103"/>
      <c r="CI58" s="103"/>
      <c r="CJ58" s="103"/>
      <c r="CK58" s="103"/>
      <c r="CL58" s="55">
        <f t="shared" si="10"/>
        <v>44</v>
      </c>
      <c r="CM58" s="305" t="s">
        <v>291</v>
      </c>
      <c r="CN58" s="103"/>
      <c r="CO58" s="103"/>
      <c r="CP58" s="103"/>
      <c r="CQ58" s="103"/>
      <c r="CR58" s="103"/>
      <c r="CS58" s="103"/>
      <c r="CT58" s="55">
        <f t="shared" si="11"/>
        <v>44</v>
      </c>
      <c r="CU58" s="305" t="s">
        <v>291</v>
      </c>
      <c r="CV58" s="103"/>
      <c r="CW58" s="103"/>
      <c r="CX58" s="103"/>
      <c r="CY58" s="103"/>
      <c r="CZ58" s="103">
        <f>SUM(CF58:CY58)-CT58-CL58</f>
        <v>0</v>
      </c>
      <c r="DA58" s="103">
        <f>+CZ58+CE58</f>
        <v>3808108</v>
      </c>
      <c r="DB58" s="55">
        <f t="shared" si="12"/>
        <v>44</v>
      </c>
      <c r="DC58" s="305" t="s">
        <v>291</v>
      </c>
      <c r="DD58" s="103">
        <v>3808108</v>
      </c>
      <c r="DE58" s="103">
        <f>+CZ58</f>
        <v>0</v>
      </c>
      <c r="DF58" s="103">
        <f>+DE58+DD58</f>
        <v>3808108</v>
      </c>
      <c r="DG58" s="308"/>
      <c r="DH58" s="308"/>
      <c r="DI58" s="308"/>
    </row>
    <row r="59" spans="1:113" ht="12.75" customHeight="1" thickBot="1">
      <c r="A59" s="260"/>
      <c r="B59" s="131"/>
      <c r="C59" s="131"/>
      <c r="D59" s="131"/>
      <c r="E59" s="131"/>
      <c r="F59" s="265"/>
      <c r="G59" s="57"/>
      <c r="H59" s="2"/>
      <c r="I59" s="2"/>
      <c r="J59" s="2"/>
      <c r="K59" s="2"/>
      <c r="L59" s="55"/>
      <c r="M59" s="2"/>
      <c r="N59" s="227"/>
      <c r="O59" s="97"/>
      <c r="P59" s="1" t="s">
        <v>0</v>
      </c>
      <c r="Q59" s="2"/>
      <c r="R59" s="2"/>
      <c r="S59" s="2"/>
      <c r="T59" s="2"/>
      <c r="U59" s="7"/>
      <c r="V59" s="7"/>
      <c r="W59" s="7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1" t="s">
        <v>0</v>
      </c>
      <c r="AM59" s="264"/>
      <c r="AN59" s="262"/>
      <c r="AO59" s="115"/>
      <c r="AP59" s="115"/>
      <c r="AQ59" s="115"/>
      <c r="AR59" s="115"/>
      <c r="AS59" s="115"/>
      <c r="AT59" s="1" t="s">
        <v>0</v>
      </c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57"/>
      <c r="BR59" s="57"/>
      <c r="BS59" s="57"/>
      <c r="BT59" s="57"/>
      <c r="BU59" s="57"/>
      <c r="BV59" s="57"/>
      <c r="BW59" s="2"/>
      <c r="BX59" s="2"/>
      <c r="BY59" s="2"/>
      <c r="BZ59" s="174"/>
      <c r="CA59" s="174"/>
      <c r="CB59" s="2"/>
      <c r="CC59" s="55">
        <f t="shared" si="9"/>
        <v>45</v>
      </c>
      <c r="CD59" s="304" t="s">
        <v>292</v>
      </c>
      <c r="CE59" s="310">
        <f aca="true" t="shared" si="32" ref="CE59:CK59">SUM(CE57:CE58)</f>
        <v>1061142640.5733333</v>
      </c>
      <c r="CF59" s="311">
        <f t="shared" si="32"/>
        <v>0</v>
      </c>
      <c r="CG59" s="311">
        <f t="shared" si="32"/>
        <v>0</v>
      </c>
      <c r="CH59" s="311">
        <f t="shared" si="32"/>
        <v>0</v>
      </c>
      <c r="CI59" s="311">
        <f t="shared" si="32"/>
        <v>-120656.11999999732</v>
      </c>
      <c r="CJ59" s="311">
        <f t="shared" si="32"/>
        <v>0</v>
      </c>
      <c r="CK59" s="311">
        <f t="shared" si="32"/>
        <v>0</v>
      </c>
      <c r="CL59" s="55">
        <f t="shared" si="10"/>
        <v>45</v>
      </c>
      <c r="CM59" s="304" t="s">
        <v>292</v>
      </c>
      <c r="CN59" s="311">
        <f aca="true" t="shared" si="33" ref="CN59:CS59">SUM(CN57:CN58)</f>
        <v>3267545.9725572504</v>
      </c>
      <c r="CO59" s="311">
        <f t="shared" si="33"/>
        <v>0</v>
      </c>
      <c r="CP59" s="311">
        <f t="shared" si="33"/>
        <v>0</v>
      </c>
      <c r="CQ59" s="311">
        <f t="shared" si="33"/>
        <v>0</v>
      </c>
      <c r="CR59" s="311">
        <f t="shared" si="33"/>
        <v>0</v>
      </c>
      <c r="CS59" s="311">
        <f t="shared" si="33"/>
        <v>0</v>
      </c>
      <c r="CT59" s="55">
        <f t="shared" si="11"/>
        <v>45</v>
      </c>
      <c r="CU59" s="304" t="s">
        <v>292</v>
      </c>
      <c r="CV59" s="311">
        <f aca="true" t="shared" si="34" ref="CV59:DA59">SUM(CV57:CV58)</f>
        <v>0</v>
      </c>
      <c r="CW59" s="311">
        <f t="shared" si="34"/>
        <v>0</v>
      </c>
      <c r="CX59" s="311">
        <f t="shared" si="34"/>
        <v>0</v>
      </c>
      <c r="CY59" s="311">
        <f t="shared" si="34"/>
        <v>0</v>
      </c>
      <c r="CZ59" s="311">
        <f t="shared" si="34"/>
        <v>3146889.852557253</v>
      </c>
      <c r="DA59" s="311">
        <f t="shared" si="34"/>
        <v>1064289530.4258904</v>
      </c>
      <c r="DB59" s="55">
        <f t="shared" si="12"/>
        <v>45</v>
      </c>
      <c r="DC59" s="304" t="s">
        <v>292</v>
      </c>
      <c r="DD59" s="311">
        <f>SUM(DD57:DD58)</f>
        <v>1061142640.5733333</v>
      </c>
      <c r="DE59" s="311">
        <f>SUM(DE57:DE58)</f>
        <v>3146889.852557253</v>
      </c>
      <c r="DF59" s="311">
        <f>SUM(DF57:DF58)</f>
        <v>1064289530.4258904</v>
      </c>
      <c r="DG59" s="309"/>
      <c r="DH59" s="309"/>
      <c r="DI59" s="309"/>
    </row>
    <row r="60" spans="1:113" ht="12.75" customHeight="1" thickTop="1">
      <c r="A60" s="57"/>
      <c r="B60" s="2"/>
      <c r="C60" s="2"/>
      <c r="D60" s="2"/>
      <c r="E60" s="2"/>
      <c r="F60" s="57"/>
      <c r="G60" s="57"/>
      <c r="H60" s="2"/>
      <c r="I60" s="2"/>
      <c r="J60" s="2"/>
      <c r="K60" s="2"/>
      <c r="L60" s="55"/>
      <c r="M60" s="2"/>
      <c r="N60" s="227"/>
      <c r="O60" s="97"/>
      <c r="P60" s="2"/>
      <c r="Q60" s="2"/>
      <c r="R60" s="2"/>
      <c r="S60" s="2"/>
      <c r="T60" s="2"/>
      <c r="U60" s="7"/>
      <c r="V60" s="7"/>
      <c r="W60" s="7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87"/>
      <c r="AM60" s="264"/>
      <c r="AN60" s="267"/>
      <c r="AO60" s="5"/>
      <c r="AP60" s="5"/>
      <c r="AQ60" s="115"/>
      <c r="AR60" s="115"/>
      <c r="AS60" s="115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107"/>
      <c r="BR60" s="107"/>
      <c r="BS60" s="107"/>
      <c r="BT60" s="107"/>
      <c r="BU60" s="107"/>
      <c r="BV60" s="107"/>
      <c r="BW60" s="2"/>
      <c r="BX60" s="2"/>
      <c r="BY60" s="2"/>
      <c r="BZ60" s="174"/>
      <c r="CA60" s="174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55"/>
      <c r="DC60" s="2"/>
      <c r="DD60" s="2"/>
      <c r="DE60" s="2"/>
      <c r="DF60" s="2"/>
      <c r="DG60" s="312"/>
      <c r="DH60" s="312"/>
      <c r="DI60" s="312"/>
    </row>
    <row r="61" spans="1:113" ht="12.75" customHeight="1">
      <c r="A61" s="57"/>
      <c r="B61" s="57"/>
      <c r="C61" s="57"/>
      <c r="D61" s="115"/>
      <c r="E61" s="115"/>
      <c r="F61" s="115"/>
      <c r="G61" s="57"/>
      <c r="H61" s="2"/>
      <c r="I61" s="2"/>
      <c r="J61" s="2"/>
      <c r="K61" s="2"/>
      <c r="L61" s="57"/>
      <c r="M61" s="57"/>
      <c r="N61" s="57"/>
      <c r="O61" s="57"/>
      <c r="P61" s="2"/>
      <c r="Q61" s="2"/>
      <c r="R61" s="2"/>
      <c r="S61" s="2"/>
      <c r="T61" s="2"/>
      <c r="U61" s="7"/>
      <c r="V61" s="7"/>
      <c r="W61" s="7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87"/>
      <c r="AM61" s="264"/>
      <c r="AN61" s="267"/>
      <c r="AO61" s="5"/>
      <c r="AP61" s="5"/>
      <c r="AQ61" s="115"/>
      <c r="AR61" s="115"/>
      <c r="AS61" s="115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107"/>
      <c r="BR61" s="107"/>
      <c r="BS61" s="107"/>
      <c r="BT61" s="107"/>
      <c r="BU61" s="107"/>
      <c r="BV61" s="107"/>
      <c r="BW61" s="2"/>
      <c r="BX61" s="2"/>
      <c r="BY61" s="2"/>
      <c r="BZ61" s="174"/>
      <c r="CA61" s="174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</row>
    <row r="62" spans="1:113" ht="12.75" customHeight="1">
      <c r="A62" s="57"/>
      <c r="B62" s="268"/>
      <c r="C62" s="268"/>
      <c r="D62" s="67"/>
      <c r="E62" s="57"/>
      <c r="F62" s="241"/>
      <c r="G62" s="57"/>
      <c r="H62" s="2"/>
      <c r="I62" s="2"/>
      <c r="J62" s="2"/>
      <c r="K62" s="2"/>
      <c r="L62" s="57"/>
      <c r="M62" s="57"/>
      <c r="N62" s="57"/>
      <c r="O62" s="57"/>
      <c r="P62" s="2"/>
      <c r="Q62" s="2"/>
      <c r="R62" s="2"/>
      <c r="S62" s="2"/>
      <c r="T62" s="2"/>
      <c r="U62" s="7"/>
      <c r="V62" s="7"/>
      <c r="W62" s="7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87"/>
      <c r="AM62" s="264"/>
      <c r="AN62" s="267"/>
      <c r="AO62" s="5"/>
      <c r="AP62" s="5"/>
      <c r="AQ62" s="115"/>
      <c r="AR62" s="115"/>
      <c r="AS62" s="115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107"/>
      <c r="BR62" s="107"/>
      <c r="BS62" s="107"/>
      <c r="BT62" s="107"/>
      <c r="BU62" s="107"/>
      <c r="BV62" s="107"/>
      <c r="BW62" s="2"/>
      <c r="BX62" s="2"/>
      <c r="BY62" s="2"/>
      <c r="BZ62" s="174"/>
      <c r="CA62" s="174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69">
        <f>CE46+SUM(CF46:CK46)+SUM(CN46:CS46)+SUM(CV46:CY46)-DA46</f>
        <v>0</v>
      </c>
      <c r="DB62" s="2" t="s">
        <v>293</v>
      </c>
      <c r="DC62" s="2"/>
      <c r="DD62" s="2"/>
      <c r="DE62" s="2"/>
      <c r="DF62" s="2"/>
      <c r="DG62" s="2"/>
      <c r="DH62" s="2"/>
      <c r="DI62" s="2"/>
    </row>
    <row r="63" spans="1:113" ht="15.75" customHeight="1">
      <c r="A63" s="57"/>
      <c r="B63" s="57"/>
      <c r="C63" s="57"/>
      <c r="D63" s="100"/>
      <c r="E63" s="57"/>
      <c r="F63" s="270"/>
      <c r="G63" s="57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7"/>
      <c r="V63" s="7"/>
      <c r="W63" s="7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87"/>
      <c r="AM63" s="264"/>
      <c r="AN63" s="267"/>
      <c r="AO63" s="5"/>
      <c r="AP63" s="5"/>
      <c r="AQ63" s="5"/>
      <c r="AR63" s="5"/>
      <c r="AS63" s="5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107"/>
      <c r="BR63" s="107"/>
      <c r="BS63" s="107"/>
      <c r="BT63" s="107"/>
      <c r="BU63" s="107"/>
      <c r="BV63" s="107"/>
      <c r="BW63" s="2"/>
      <c r="BX63" s="2"/>
      <c r="BY63" s="57"/>
      <c r="BZ63" s="2"/>
      <c r="CA63" s="458" t="s">
        <v>414</v>
      </c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</row>
    <row r="64" spans="1:113" ht="15.75" customHeight="1">
      <c r="A64" s="57"/>
      <c r="B64" s="272"/>
      <c r="C64" s="57"/>
      <c r="D64" s="57"/>
      <c r="E64" s="57"/>
      <c r="F64" s="270"/>
      <c r="G64" s="57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7"/>
      <c r="V64" s="7"/>
      <c r="W64" s="7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87"/>
      <c r="AM64" s="264"/>
      <c r="AN64" s="267"/>
      <c r="AO64" s="5"/>
      <c r="AP64" s="5"/>
      <c r="AQ64" s="5"/>
      <c r="AR64" s="5"/>
      <c r="AS64" s="5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107"/>
      <c r="BR64" s="107"/>
      <c r="BS64" s="107"/>
      <c r="BT64" s="107"/>
      <c r="BU64" s="107"/>
      <c r="BV64" s="107"/>
      <c r="BW64" s="2"/>
      <c r="BX64" s="2"/>
      <c r="BY64" s="57"/>
      <c r="BZ64" s="2"/>
      <c r="CA64" s="458" t="s">
        <v>415</v>
      </c>
      <c r="CB64" s="131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</row>
    <row r="65" spans="1:113" ht="15.75" customHeight="1" thickBot="1">
      <c r="A65" s="57"/>
      <c r="B65" s="272"/>
      <c r="C65" s="57"/>
      <c r="D65" s="57"/>
      <c r="E65" s="57"/>
      <c r="F65" s="273"/>
      <c r="G65" s="57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7"/>
      <c r="V65" s="7"/>
      <c r="W65" s="7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87"/>
      <c r="AM65" s="264"/>
      <c r="AN65" s="267"/>
      <c r="AO65" s="5"/>
      <c r="AP65" s="5"/>
      <c r="AQ65" s="5"/>
      <c r="AR65" s="5"/>
      <c r="AS65" s="5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107"/>
      <c r="BR65" s="107"/>
      <c r="BS65" s="107"/>
      <c r="BT65" s="107"/>
      <c r="BU65" s="107"/>
      <c r="BV65" s="107"/>
      <c r="BW65" s="1" t="s">
        <v>0</v>
      </c>
      <c r="BX65" s="2"/>
      <c r="BY65" s="57"/>
      <c r="BZ65" s="2"/>
      <c r="CA65" s="458" t="s">
        <v>438</v>
      </c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</row>
    <row r="66" spans="1:113" ht="21.75" customHeight="1" thickBot="1" thickTop="1">
      <c r="A66" s="264"/>
      <c r="B66" s="57"/>
      <c r="C66" s="272"/>
      <c r="D66" s="57"/>
      <c r="E66" s="57"/>
      <c r="F66" s="270"/>
      <c r="G66" s="57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7"/>
      <c r="V66" s="7"/>
      <c r="W66" s="7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87"/>
      <c r="AM66" s="264"/>
      <c r="AN66" s="267"/>
      <c r="AO66" s="5"/>
      <c r="AP66" s="5"/>
      <c r="AQ66" s="5"/>
      <c r="AR66" s="5"/>
      <c r="AS66" s="5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107"/>
      <c r="BR66" s="107"/>
      <c r="BS66" s="107"/>
      <c r="BT66" s="107"/>
      <c r="BU66" s="107"/>
      <c r="BV66" s="107"/>
      <c r="BW66" s="12"/>
      <c r="BX66" s="12"/>
      <c r="BY66" s="12"/>
      <c r="BZ66" s="2"/>
      <c r="CA66" s="430" t="s">
        <v>257</v>
      </c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</row>
    <row r="67" spans="1:113" ht="12.75" customHeight="1" thickTop="1">
      <c r="A67" s="264"/>
      <c r="B67" s="57"/>
      <c r="C67" s="57"/>
      <c r="D67" s="57"/>
      <c r="E67" s="57"/>
      <c r="F67" s="57"/>
      <c r="G67" s="57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87"/>
      <c r="AM67" s="264"/>
      <c r="AN67" s="267"/>
      <c r="AO67" s="5"/>
      <c r="AP67" s="5"/>
      <c r="AQ67" s="5"/>
      <c r="AR67" s="5"/>
      <c r="AS67" s="5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107"/>
      <c r="BQ67" s="107"/>
      <c r="BR67" s="107"/>
      <c r="BS67" s="107"/>
      <c r="BT67" s="107"/>
      <c r="BU67" s="107"/>
      <c r="BV67" s="107"/>
      <c r="BW67" s="18" t="str">
        <f>PSPL</f>
        <v>PUGET SOUND ENERGY-GAS </v>
      </c>
      <c r="BX67" s="10"/>
      <c r="BY67" s="10"/>
      <c r="BZ67" s="10"/>
      <c r="CA67" s="10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</row>
    <row r="68" spans="1:113" ht="12.75" customHeight="1">
      <c r="A68" s="260"/>
      <c r="B68" s="57"/>
      <c r="C68" s="57"/>
      <c r="D68" s="57"/>
      <c r="E68" s="57"/>
      <c r="F68" s="57"/>
      <c r="G68" s="5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87"/>
      <c r="AM68" s="264"/>
      <c r="AN68" s="267"/>
      <c r="AO68" s="5"/>
      <c r="AP68" s="5"/>
      <c r="AQ68" s="5"/>
      <c r="AR68" s="5"/>
      <c r="AS68" s="5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107"/>
      <c r="BQ68" s="107"/>
      <c r="BR68" s="107"/>
      <c r="BS68" s="107"/>
      <c r="BT68" s="107"/>
      <c r="BU68" s="107"/>
      <c r="BV68" s="107"/>
      <c r="BW68" s="18" t="s">
        <v>261</v>
      </c>
      <c r="BX68" s="10"/>
      <c r="BY68" s="28"/>
      <c r="BZ68" s="10"/>
      <c r="CA68" s="10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</row>
    <row r="69" spans="1:113" ht="12.75" customHeight="1">
      <c r="A69" s="260"/>
      <c r="B69" s="100"/>
      <c r="C69" s="100"/>
      <c r="D69" s="100"/>
      <c r="E69" s="227"/>
      <c r="F69" s="275"/>
      <c r="G69" s="5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87"/>
      <c r="AM69" s="264"/>
      <c r="AN69" s="267"/>
      <c r="AO69" s="5"/>
      <c r="AP69" s="5"/>
      <c r="AQ69" s="5"/>
      <c r="AR69" s="5"/>
      <c r="AS69" s="5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57"/>
      <c r="BP69" s="107"/>
      <c r="BQ69" s="107"/>
      <c r="BR69" s="107"/>
      <c r="BS69" s="107"/>
      <c r="BT69" s="107"/>
      <c r="BU69" s="107"/>
      <c r="BV69" s="107"/>
      <c r="BW69" s="10" t="str">
        <f>TESTYEAR</f>
        <v>FOR THE TWELVE MONTHS ENDED SEPTEMBER 30, 2003</v>
      </c>
      <c r="BX69" s="10"/>
      <c r="BY69" s="10"/>
      <c r="BZ69" s="10"/>
      <c r="CA69" s="10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</row>
    <row r="70" spans="1:113" ht="12.75" customHeight="1">
      <c r="A70" s="260"/>
      <c r="B70" s="100"/>
      <c r="C70" s="100"/>
      <c r="D70" s="100"/>
      <c r="E70" s="227"/>
      <c r="F70" s="275"/>
      <c r="G70" s="5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87"/>
      <c r="AM70" s="264"/>
      <c r="AN70" s="267"/>
      <c r="AO70" s="5"/>
      <c r="AP70" s="5"/>
      <c r="AQ70" s="5"/>
      <c r="AR70" s="5"/>
      <c r="AS70" s="5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107"/>
      <c r="BQ70" s="107"/>
      <c r="BR70" s="107"/>
      <c r="BS70" s="107"/>
      <c r="BT70" s="107"/>
      <c r="BU70" s="107"/>
      <c r="BV70" s="107"/>
      <c r="BW70" s="18" t="str">
        <f>DOCKET</f>
        <v>GENERAL RATE INCREASE</v>
      </c>
      <c r="BX70" s="10"/>
      <c r="BY70" s="10"/>
      <c r="BZ70" s="10"/>
      <c r="CA70" s="10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</row>
    <row r="71" spans="1:113" ht="12.75" customHeight="1">
      <c r="A71" s="260"/>
      <c r="B71" s="100"/>
      <c r="C71" s="100"/>
      <c r="D71" s="100"/>
      <c r="E71" s="227"/>
      <c r="F71" s="241"/>
      <c r="G71" s="5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5"/>
      <c r="AP71" s="5"/>
      <c r="AQ71" s="5"/>
      <c r="AR71" s="5"/>
      <c r="AS71" s="5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107"/>
      <c r="BQ71" s="107"/>
      <c r="BR71" s="107"/>
      <c r="BS71" s="107"/>
      <c r="BT71" s="107"/>
      <c r="BU71" s="107"/>
      <c r="BV71" s="107"/>
      <c r="BW71" s="12"/>
      <c r="BX71" s="12"/>
      <c r="BY71" s="12"/>
      <c r="BZ71" s="12"/>
      <c r="CA71" s="1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</row>
    <row r="72" spans="1:113" ht="12.75" customHeight="1">
      <c r="A72" s="260"/>
      <c r="B72" s="100"/>
      <c r="C72" s="100"/>
      <c r="D72" s="100"/>
      <c r="E72" s="227"/>
      <c r="F72" s="241"/>
      <c r="G72" s="5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5"/>
      <c r="AP72" s="5"/>
      <c r="AQ72" s="5"/>
      <c r="AR72" s="5"/>
      <c r="AS72" s="5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107"/>
      <c r="BQ72" s="107"/>
      <c r="BR72" s="107"/>
      <c r="BS72" s="107"/>
      <c r="BT72" s="107"/>
      <c r="BU72" s="107"/>
      <c r="BV72" s="107"/>
      <c r="BW72" s="12"/>
      <c r="BX72" s="12"/>
      <c r="BY72" s="12"/>
      <c r="BZ72" s="12"/>
      <c r="CA72" s="1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</row>
    <row r="73" spans="1:113" ht="12.75" customHeight="1">
      <c r="A73" s="57"/>
      <c r="B73" s="100"/>
      <c r="C73" s="100"/>
      <c r="D73" s="100"/>
      <c r="E73" s="227"/>
      <c r="F73" s="241"/>
      <c r="G73" s="5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5"/>
      <c r="AP73" s="5"/>
      <c r="AQ73" s="5"/>
      <c r="AR73" s="5"/>
      <c r="AS73" s="5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107"/>
      <c r="BQ73" s="107"/>
      <c r="BR73" s="107"/>
      <c r="BS73" s="107"/>
      <c r="BT73" s="107"/>
      <c r="BU73" s="107"/>
      <c r="BV73" s="107"/>
      <c r="BW73" s="37" t="s">
        <v>48</v>
      </c>
      <c r="BX73" s="12"/>
      <c r="BY73" s="37" t="s">
        <v>267</v>
      </c>
      <c r="BZ73" s="37"/>
      <c r="CA73" s="37" t="s">
        <v>268</v>
      </c>
      <c r="CB73" s="37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</row>
    <row r="74" spans="1:113" ht="12.75" customHeight="1">
      <c r="A74" s="57"/>
      <c r="B74" s="272"/>
      <c r="C74" s="272"/>
      <c r="D74" s="100"/>
      <c r="E74" s="57"/>
      <c r="F74" s="241"/>
      <c r="G74" s="5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5"/>
      <c r="AP74" s="5"/>
      <c r="AQ74" s="5"/>
      <c r="AR74" s="5"/>
      <c r="AS74" s="5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107"/>
      <c r="BQ74" s="107"/>
      <c r="BR74" s="107"/>
      <c r="BS74" s="107"/>
      <c r="BT74" s="107"/>
      <c r="BU74" s="107"/>
      <c r="BV74" s="107"/>
      <c r="BW74" s="243" t="s">
        <v>72</v>
      </c>
      <c r="BX74" s="244" t="s">
        <v>73</v>
      </c>
      <c r="BY74" s="243" t="s">
        <v>271</v>
      </c>
      <c r="BZ74" s="243" t="s">
        <v>272</v>
      </c>
      <c r="CA74" s="243" t="s">
        <v>273</v>
      </c>
      <c r="CB74" s="245"/>
      <c r="CC74" s="55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</row>
    <row r="75" spans="1:113" ht="12.75" customHeight="1">
      <c r="A75" s="278"/>
      <c r="B75" s="100"/>
      <c r="C75" s="279"/>
      <c r="D75" s="100"/>
      <c r="E75" s="57"/>
      <c r="F75" s="24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5"/>
      <c r="AP75" s="5"/>
      <c r="AQ75" s="5"/>
      <c r="AR75" s="5"/>
      <c r="AS75" s="5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107"/>
      <c r="BQ75" s="107"/>
      <c r="BR75" s="107"/>
      <c r="BS75" s="107"/>
      <c r="BT75" s="107"/>
      <c r="BU75" s="107"/>
      <c r="BV75" s="107"/>
      <c r="BW75" s="61"/>
      <c r="BX75" s="61"/>
      <c r="BY75" s="61"/>
      <c r="BZ75" s="61"/>
      <c r="CA75" s="61"/>
      <c r="CB75" s="61"/>
      <c r="CC75" s="55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</row>
    <row r="76" spans="1:113" ht="12.75" customHeight="1">
      <c r="A76" s="278"/>
      <c r="B76" s="100"/>
      <c r="C76" s="100"/>
      <c r="D76" s="100"/>
      <c r="E76" s="57"/>
      <c r="F76" s="5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5"/>
      <c r="AP76" s="5"/>
      <c r="AQ76" s="5"/>
      <c r="AR76" s="5"/>
      <c r="AS76" s="5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107"/>
      <c r="BQ76" s="107"/>
      <c r="BR76" s="107"/>
      <c r="BS76" s="107"/>
      <c r="BT76" s="107"/>
      <c r="BU76" s="107"/>
      <c r="BV76" s="107"/>
      <c r="BW76" s="55">
        <v>1</v>
      </c>
      <c r="BX76" s="2" t="s">
        <v>276</v>
      </c>
      <c r="BY76" s="249">
        <f>1-BY77-BY78</f>
        <v>0.5496000000000001</v>
      </c>
      <c r="BZ76" s="249">
        <v>0.0696</v>
      </c>
      <c r="CA76" s="249">
        <f>ROUND(BY76*BZ76,4)</f>
        <v>0.0383</v>
      </c>
      <c r="CB76" s="174"/>
      <c r="CC76" s="61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2"/>
      <c r="CP76" s="55"/>
      <c r="CQ76" s="55"/>
      <c r="CR76" s="55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</row>
    <row r="77" spans="1:113" ht="12.75" customHeight="1">
      <c r="A77" s="260"/>
      <c r="B77" s="100"/>
      <c r="C77" s="100"/>
      <c r="D77" s="100"/>
      <c r="E77" s="57"/>
      <c r="F77" s="24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5"/>
      <c r="AP77" s="5"/>
      <c r="AQ77" s="5"/>
      <c r="AR77" s="5"/>
      <c r="AS77" s="5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107"/>
      <c r="BQ77" s="107"/>
      <c r="BR77" s="107"/>
      <c r="BS77" s="107"/>
      <c r="BT77" s="107"/>
      <c r="BU77" s="107"/>
      <c r="BV77" s="107"/>
      <c r="BW77" s="55">
        <f aca="true" t="shared" si="35" ref="BW77:BW84">BW76+1</f>
        <v>2</v>
      </c>
      <c r="BX77" s="2" t="s">
        <v>277</v>
      </c>
      <c r="BY77" s="249">
        <v>0.0004</v>
      </c>
      <c r="BZ77" s="249">
        <v>0.0851</v>
      </c>
      <c r="CA77" s="249">
        <f>ROUND(BY77*BZ77,4)</f>
        <v>0</v>
      </c>
      <c r="CB77" s="174"/>
      <c r="CC77" s="2"/>
      <c r="CD77" s="2"/>
      <c r="CE77" s="2"/>
      <c r="CF77" s="2"/>
      <c r="CG77" s="55"/>
      <c r="CH77" s="55"/>
      <c r="CI77" s="55"/>
      <c r="CJ77" s="55"/>
      <c r="CK77" s="55"/>
      <c r="CL77" s="55"/>
      <c r="CM77" s="55"/>
      <c r="CN77" s="55"/>
      <c r="CO77" s="55"/>
      <c r="CP77" s="2"/>
      <c r="CQ77" s="2"/>
      <c r="CR77" s="61"/>
      <c r="CS77" s="55"/>
      <c r="CT77" s="55"/>
      <c r="CU77" s="55"/>
      <c r="CV77" s="55"/>
      <c r="CW77" s="55"/>
      <c r="CX77" s="55"/>
      <c r="CY77" s="55"/>
      <c r="CZ77" s="61"/>
      <c r="DA77" s="2"/>
      <c r="DB77" s="2"/>
      <c r="DC77" s="2"/>
      <c r="DD77" s="2"/>
      <c r="DE77" s="2"/>
      <c r="DF77" s="2"/>
      <c r="DG77" s="2"/>
      <c r="DH77" s="2"/>
      <c r="DI77" s="2"/>
    </row>
    <row r="78" spans="1:113" ht="12.75" customHeight="1">
      <c r="A78" s="260"/>
      <c r="B78" s="100"/>
      <c r="C78" s="100"/>
      <c r="D78" s="100"/>
      <c r="E78" s="57"/>
      <c r="F78" s="24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5"/>
      <c r="AP78" s="5"/>
      <c r="AQ78" s="5"/>
      <c r="AR78" s="5"/>
      <c r="AS78" s="5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107"/>
      <c r="BQ78" s="107"/>
      <c r="BR78" s="107"/>
      <c r="BS78" s="107"/>
      <c r="BT78" s="107"/>
      <c r="BU78" s="107"/>
      <c r="BV78" s="107"/>
      <c r="BW78" s="55">
        <f t="shared" si="35"/>
        <v>3</v>
      </c>
      <c r="BX78" s="2" t="s">
        <v>280</v>
      </c>
      <c r="BY78" s="251">
        <v>0.45</v>
      </c>
      <c r="BZ78" s="252">
        <v>0.1175</v>
      </c>
      <c r="CA78" s="249">
        <f>ROUND(BY78*BZ78,4)</f>
        <v>0.0529</v>
      </c>
      <c r="CB78" s="174"/>
      <c r="CC78" s="2"/>
      <c r="CD78" s="2"/>
      <c r="CE78" s="2"/>
      <c r="CF78" s="2"/>
      <c r="CG78" s="61"/>
      <c r="CH78" s="61"/>
      <c r="CI78" s="61"/>
      <c r="CJ78" s="61"/>
      <c r="CK78" s="61"/>
      <c r="CL78" s="61"/>
      <c r="CM78" s="61"/>
      <c r="CN78" s="61"/>
      <c r="CO78" s="61"/>
      <c r="CP78" s="2"/>
      <c r="CQ78" s="2"/>
      <c r="CR78" s="55"/>
      <c r="CS78" s="61"/>
      <c r="CT78" s="61"/>
      <c r="CU78" s="61"/>
      <c r="CV78" s="61"/>
      <c r="CW78" s="61"/>
      <c r="CX78" s="61"/>
      <c r="CY78" s="61"/>
      <c r="CZ78" s="55"/>
      <c r="DA78" s="2"/>
      <c r="DB78" s="2"/>
      <c r="DC78" s="2"/>
      <c r="DD78" s="2"/>
      <c r="DE78" s="2"/>
      <c r="DF78" s="2"/>
      <c r="DG78" s="2"/>
      <c r="DH78" s="2"/>
      <c r="DI78" s="2"/>
    </row>
    <row r="79" spans="1:113" ht="12.75" customHeight="1">
      <c r="A79" s="87"/>
      <c r="B79" s="100"/>
      <c r="C79" s="100"/>
      <c r="D79" s="100"/>
      <c r="E79" s="283"/>
      <c r="F79" s="24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5"/>
      <c r="AP79" s="5"/>
      <c r="AQ79" s="5"/>
      <c r="AR79" s="5"/>
      <c r="AS79" s="5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107"/>
      <c r="BQ79" s="107"/>
      <c r="BR79" s="107"/>
      <c r="BS79" s="107"/>
      <c r="BT79" s="107"/>
      <c r="BU79" s="107"/>
      <c r="BV79" s="107"/>
      <c r="BW79" s="55">
        <f t="shared" si="35"/>
        <v>4</v>
      </c>
      <c r="BX79" s="2" t="s">
        <v>67</v>
      </c>
      <c r="BY79" s="253">
        <f>SUM(BY76:BY78)</f>
        <v>1</v>
      </c>
      <c r="BZ79" s="174"/>
      <c r="CA79" s="253">
        <f>SUM(CA76:CA78)</f>
        <v>0.0912</v>
      </c>
      <c r="CB79" s="254"/>
      <c r="CC79" s="2"/>
      <c r="CD79" s="2"/>
      <c r="CE79" s="2"/>
      <c r="CF79" s="2"/>
      <c r="CG79" s="55"/>
      <c r="CH79" s="55"/>
      <c r="CI79" s="55"/>
      <c r="CJ79" s="55"/>
      <c r="CK79" s="55"/>
      <c r="CL79" s="55"/>
      <c r="CM79" s="55"/>
      <c r="CN79" s="55"/>
      <c r="CO79" s="55"/>
      <c r="CP79" s="2"/>
      <c r="CQ79" s="2"/>
      <c r="CR79" s="55"/>
      <c r="CS79" s="55"/>
      <c r="CT79" s="55"/>
      <c r="CU79" s="55"/>
      <c r="CV79" s="55"/>
      <c r="CW79" s="55"/>
      <c r="CX79" s="55"/>
      <c r="CY79" s="55"/>
      <c r="CZ79" s="55"/>
      <c r="DA79" s="2"/>
      <c r="DB79" s="2"/>
      <c r="DC79" s="2"/>
      <c r="DD79" s="2"/>
      <c r="DE79" s="2"/>
      <c r="DF79" s="2"/>
      <c r="DG79" s="2"/>
      <c r="DH79" s="2"/>
      <c r="DI79" s="2"/>
    </row>
    <row r="80" spans="1:113" ht="16.5" customHeight="1">
      <c r="A80" s="260"/>
      <c r="B80" s="100"/>
      <c r="C80" s="100"/>
      <c r="D80" s="100"/>
      <c r="E80" s="57"/>
      <c r="F80" s="24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5"/>
      <c r="AP80" s="5"/>
      <c r="AQ80" s="5"/>
      <c r="AR80" s="5"/>
      <c r="AS80" s="5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82"/>
      <c r="BE80" s="282"/>
      <c r="BF80" s="282"/>
      <c r="BG80" s="282"/>
      <c r="BH80" s="282"/>
      <c r="BI80" s="282"/>
      <c r="BJ80" s="282"/>
      <c r="BK80" s="2"/>
      <c r="BL80" s="2"/>
      <c r="BM80" s="2"/>
      <c r="BN80" s="2"/>
      <c r="BO80" s="2"/>
      <c r="BP80" s="107"/>
      <c r="BQ80" s="107"/>
      <c r="BR80" s="107"/>
      <c r="BS80" s="107"/>
      <c r="BT80" s="107"/>
      <c r="BU80" s="107"/>
      <c r="BV80" s="107"/>
      <c r="BW80" s="55">
        <f t="shared" si="35"/>
        <v>5</v>
      </c>
      <c r="BX80" s="2"/>
      <c r="BY80" s="174"/>
      <c r="BZ80" s="174"/>
      <c r="CA80" s="174"/>
      <c r="CB80" s="2"/>
      <c r="CC80" s="2"/>
      <c r="CD80" s="2"/>
      <c r="CE80" s="2"/>
      <c r="CF80" s="2"/>
      <c r="CG80" s="55"/>
      <c r="CH80" s="55"/>
      <c r="CI80" s="55"/>
      <c r="CJ80" s="55"/>
      <c r="CK80" s="55"/>
      <c r="CL80" s="55"/>
      <c r="CM80" s="55"/>
      <c r="CN80" s="55"/>
      <c r="CO80" s="55"/>
      <c r="CP80" s="2"/>
      <c r="CQ80" s="2"/>
      <c r="CR80" s="55"/>
      <c r="CS80" s="55"/>
      <c r="CT80" s="55"/>
      <c r="CU80" s="55"/>
      <c r="CV80" s="55"/>
      <c r="CW80" s="55"/>
      <c r="CX80" s="55"/>
      <c r="CY80" s="55"/>
      <c r="CZ80" s="55"/>
      <c r="DA80" s="2"/>
      <c r="DB80" s="2"/>
      <c r="DC80" s="2"/>
      <c r="DD80" s="2"/>
      <c r="DE80" s="2"/>
      <c r="DF80" s="2"/>
      <c r="DG80" s="2"/>
      <c r="DH80" s="2"/>
      <c r="DI80" s="2"/>
    </row>
    <row r="81" spans="1:113" ht="12.75" customHeight="1">
      <c r="A81" s="260"/>
      <c r="B81" s="57"/>
      <c r="C81" s="57"/>
      <c r="D81" s="57"/>
      <c r="E81" s="57"/>
      <c r="F81" s="57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5"/>
      <c r="AP81" s="5"/>
      <c r="AQ81" s="5"/>
      <c r="AR81" s="5"/>
      <c r="AS81" s="5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82"/>
      <c r="BE81" s="282"/>
      <c r="BF81" s="282"/>
      <c r="BG81" s="282"/>
      <c r="BH81" s="282"/>
      <c r="BI81" s="282"/>
      <c r="BJ81" s="282"/>
      <c r="BK81" s="2"/>
      <c r="BL81" s="2"/>
      <c r="BM81" s="2"/>
      <c r="BN81" s="2"/>
      <c r="BO81" s="2"/>
      <c r="BP81" s="107"/>
      <c r="BQ81" s="107"/>
      <c r="BR81" s="107"/>
      <c r="BS81" s="107"/>
      <c r="BT81" s="107"/>
      <c r="BU81" s="107"/>
      <c r="BV81" s="107"/>
      <c r="BW81" s="55">
        <f t="shared" si="35"/>
        <v>6</v>
      </c>
      <c r="BX81" s="2" t="s">
        <v>283</v>
      </c>
      <c r="BY81" s="174">
        <f>BY76</f>
        <v>0.5496000000000001</v>
      </c>
      <c r="BZ81" s="174">
        <f>BZ76*0.65</f>
        <v>0.045239999999999995</v>
      </c>
      <c r="CA81" s="174">
        <f>ROUND(BY81*BZ81,4)</f>
        <v>0.0249</v>
      </c>
      <c r="CB81" s="2"/>
      <c r="CC81" s="2"/>
      <c r="CD81" s="2"/>
      <c r="CE81" s="2"/>
      <c r="CF81" s="2"/>
      <c r="CG81" s="55"/>
      <c r="CH81" s="55"/>
      <c r="CI81" s="55"/>
      <c r="CJ81" s="55"/>
      <c r="CK81" s="55"/>
      <c r="CL81" s="55"/>
      <c r="CM81" s="55"/>
      <c r="CN81" s="55"/>
      <c r="CO81" s="55"/>
      <c r="CP81" s="2"/>
      <c r="CQ81" s="2"/>
      <c r="CR81" s="55"/>
      <c r="CS81" s="55"/>
      <c r="CT81" s="55"/>
      <c r="CU81" s="55"/>
      <c r="CV81" s="55"/>
      <c r="CW81" s="55"/>
      <c r="CX81" s="55"/>
      <c r="CY81" s="55"/>
      <c r="CZ81" s="55"/>
      <c r="DA81" s="2"/>
      <c r="DB81" s="2"/>
      <c r="DC81" s="2"/>
      <c r="DD81" s="2"/>
      <c r="DE81" s="2"/>
      <c r="DF81" s="2"/>
      <c r="DG81" s="2"/>
      <c r="DH81" s="2"/>
      <c r="DI81" s="2"/>
    </row>
    <row r="82" spans="75:80" ht="18.75" customHeight="1">
      <c r="BW82" s="55">
        <f t="shared" si="35"/>
        <v>7</v>
      </c>
      <c r="BX82" s="2" t="s">
        <v>277</v>
      </c>
      <c r="BY82" s="174">
        <f>BY77</f>
        <v>0.0004</v>
      </c>
      <c r="BZ82" s="174">
        <f>BZ77</f>
        <v>0.0851</v>
      </c>
      <c r="CA82" s="174">
        <f>ROUND(BY82*BZ82,4)</f>
        <v>0</v>
      </c>
      <c r="CB82" s="9"/>
    </row>
    <row r="83" spans="75:80" ht="12.75" customHeight="1">
      <c r="BW83" s="55">
        <f t="shared" si="35"/>
        <v>8</v>
      </c>
      <c r="BX83" s="2" t="s">
        <v>280</v>
      </c>
      <c r="BY83" s="254">
        <f>BY78</f>
        <v>0.45</v>
      </c>
      <c r="BZ83" s="261">
        <f>BZ78</f>
        <v>0.1175</v>
      </c>
      <c r="CA83" s="174">
        <f>ROUND(BY83*BZ83,4)</f>
        <v>0.0529</v>
      </c>
      <c r="CB83" s="6"/>
    </row>
    <row r="84" spans="75:80" ht="12.75">
      <c r="BW84" s="55">
        <f t="shared" si="35"/>
        <v>9</v>
      </c>
      <c r="BX84" s="2" t="s">
        <v>287</v>
      </c>
      <c r="BY84" s="253">
        <f>SUM(BY81:BY83)</f>
        <v>1</v>
      </c>
      <c r="BZ84" s="174"/>
      <c r="CA84" s="253">
        <f>SUM(CA81:CA83)</f>
        <v>0.07780000000000001</v>
      </c>
      <c r="CB84" s="6"/>
    </row>
    <row r="85" spans="75:80" ht="12.75" customHeight="1">
      <c r="BW85" s="55"/>
      <c r="BX85" s="2"/>
      <c r="BY85" s="254"/>
      <c r="BZ85" s="174"/>
      <c r="CA85" s="254"/>
      <c r="CB85" s="6"/>
    </row>
    <row r="86" spans="75:80" ht="12.75" customHeight="1">
      <c r="BW86" s="55"/>
      <c r="BX86" s="2"/>
      <c r="BY86" s="254"/>
      <c r="BZ86" s="174"/>
      <c r="CA86" s="254"/>
      <c r="CB86" s="6"/>
    </row>
    <row r="87" spans="75:80" ht="15.75" customHeight="1">
      <c r="BW87" s="55"/>
      <c r="BX87" s="2"/>
      <c r="BY87" s="254"/>
      <c r="BZ87" s="174"/>
      <c r="CA87" s="458" t="s">
        <v>414</v>
      </c>
      <c r="CB87" s="6"/>
    </row>
    <row r="88" spans="75:80" ht="15.75" customHeight="1">
      <c r="BW88" s="55"/>
      <c r="BX88" s="2"/>
      <c r="BY88" s="2"/>
      <c r="BZ88" s="2"/>
      <c r="CA88" s="458" t="s">
        <v>415</v>
      </c>
      <c r="CB88" s="6"/>
    </row>
    <row r="89" spans="75:80" ht="15.75" customHeight="1" thickBot="1">
      <c r="BW89" s="1" t="s">
        <v>0</v>
      </c>
      <c r="BX89" s="2"/>
      <c r="BY89" s="2"/>
      <c r="BZ89" s="2"/>
      <c r="CA89" s="458" t="s">
        <v>435</v>
      </c>
      <c r="CB89" s="6"/>
    </row>
    <row r="90" spans="75:80" ht="22.5" customHeight="1" thickBot="1" thickTop="1">
      <c r="BW90" s="12"/>
      <c r="BX90" s="266"/>
      <c r="BY90" s="12"/>
      <c r="BZ90" s="2"/>
      <c r="CA90" s="454" t="s">
        <v>445</v>
      </c>
      <c r="CB90" s="2"/>
    </row>
    <row r="91" spans="75:80" ht="12.75" customHeight="1" thickTop="1">
      <c r="BW91" s="2"/>
      <c r="BX91" s="6"/>
      <c r="BY91" s="10"/>
      <c r="BZ91" s="28"/>
      <c r="CA91" s="6"/>
      <c r="CB91" s="2"/>
    </row>
    <row r="92" spans="75:80" ht="12.75" customHeight="1">
      <c r="BW92" s="2"/>
      <c r="BX92" s="6"/>
      <c r="BY92" s="10"/>
      <c r="BZ92" s="28"/>
      <c r="CA92" s="6"/>
      <c r="CB92" s="212"/>
    </row>
    <row r="93" spans="75:80" ht="12.75" customHeight="1">
      <c r="BW93" s="18" t="str">
        <f>PSPL</f>
        <v>PUGET SOUND ENERGY-GAS </v>
      </c>
      <c r="BX93" s="6"/>
      <c r="BY93" s="10"/>
      <c r="BZ93" s="10"/>
      <c r="CA93" s="6"/>
      <c r="CB93" s="2"/>
    </row>
    <row r="94" spans="75:80" ht="12.75" customHeight="1">
      <c r="BW94" s="10" t="str">
        <f>TESTYEAR</f>
        <v>FOR THE TWELVE MONTHS ENDED SEPTEMBER 30, 2003</v>
      </c>
      <c r="BX94" s="6"/>
      <c r="BY94" s="10"/>
      <c r="BZ94" s="10"/>
      <c r="CA94" s="6"/>
      <c r="CB94" s="271"/>
    </row>
    <row r="95" spans="75:80" ht="12.75" customHeight="1">
      <c r="BW95" s="18" t="str">
        <f>DOCKET</f>
        <v>GENERAL RATE INCREASE</v>
      </c>
      <c r="BX95" s="10"/>
      <c r="BY95" s="10"/>
      <c r="BZ95" s="10"/>
      <c r="CA95" s="6"/>
      <c r="CB95" s="254"/>
    </row>
    <row r="96" spans="75:80" ht="12.75" customHeight="1">
      <c r="BW96" s="12"/>
      <c r="BX96" s="12"/>
      <c r="BY96" s="12"/>
      <c r="BZ96" s="12"/>
      <c r="CA96" s="2"/>
      <c r="CB96" s="2"/>
    </row>
    <row r="97" spans="75:80" ht="12.75" customHeight="1">
      <c r="BW97" s="37" t="s">
        <v>48</v>
      </c>
      <c r="BX97" s="12"/>
      <c r="BY97" s="12"/>
      <c r="BZ97" s="12"/>
      <c r="CA97" s="2"/>
      <c r="CB97" s="79"/>
    </row>
    <row r="98" spans="75:80" ht="12.75" customHeight="1">
      <c r="BW98" s="47" t="s">
        <v>72</v>
      </c>
      <c r="BX98" s="49" t="s">
        <v>73</v>
      </c>
      <c r="BY98" s="43"/>
      <c r="BZ98" s="43"/>
      <c r="CA98" s="274"/>
      <c r="CB98" s="79"/>
    </row>
    <row r="99" spans="75:80" ht="12.75" customHeight="1">
      <c r="BW99" s="2"/>
      <c r="BX99" s="2"/>
      <c r="BY99" s="2"/>
      <c r="BZ99" s="2"/>
      <c r="CA99" s="2"/>
      <c r="CB99" s="4"/>
    </row>
    <row r="100" spans="75:80" ht="12.75" customHeight="1">
      <c r="BW100" s="55">
        <v>1</v>
      </c>
      <c r="BX100" s="2" t="s">
        <v>102</v>
      </c>
      <c r="BY100" s="2"/>
      <c r="BZ100" s="2"/>
      <c r="CA100" s="125">
        <f>DF59</f>
        <v>1064289530.4258904</v>
      </c>
      <c r="CB100" s="79"/>
    </row>
    <row r="101" spans="75:80" ht="12.75" customHeight="1">
      <c r="BW101" s="55">
        <f aca="true" t="shared" si="36" ref="BW101:BW109">BW100+1</f>
        <v>2</v>
      </c>
      <c r="BX101" s="68" t="s">
        <v>281</v>
      </c>
      <c r="BY101" s="2"/>
      <c r="BZ101" s="2"/>
      <c r="CA101" s="261">
        <f>CA79</f>
        <v>0.0912</v>
      </c>
      <c r="CB101" s="79"/>
    </row>
    <row r="102" spans="75:80" ht="12.75" customHeight="1">
      <c r="BW102" s="55">
        <f t="shared" si="36"/>
        <v>3</v>
      </c>
      <c r="BX102" s="68"/>
      <c r="BY102" s="2"/>
      <c r="BZ102" s="2"/>
      <c r="CA102" s="2"/>
      <c r="CB102" s="276"/>
    </row>
    <row r="103" spans="75:80" ht="12.75" customHeight="1">
      <c r="BW103" s="55">
        <f t="shared" si="36"/>
        <v>4</v>
      </c>
      <c r="BX103" s="2" t="s">
        <v>294</v>
      </c>
      <c r="BY103" s="2"/>
      <c r="BZ103" s="2"/>
      <c r="CA103" s="79">
        <f>+CA100*CA101</f>
        <v>97063205.17484121</v>
      </c>
      <c r="CB103" s="4" t="s">
        <v>0</v>
      </c>
    </row>
    <row r="104" spans="75:80" ht="12.75" customHeight="1">
      <c r="BW104" s="55">
        <f t="shared" si="36"/>
        <v>5</v>
      </c>
      <c r="BX104" s="2"/>
      <c r="BY104" s="2"/>
      <c r="BZ104" s="131"/>
      <c r="CA104" s="79"/>
      <c r="CB104" s="111" t="s">
        <v>0</v>
      </c>
    </row>
    <row r="105" spans="75:80" ht="12.75" customHeight="1">
      <c r="BW105" s="55">
        <f t="shared" si="36"/>
        <v>6</v>
      </c>
      <c r="BX105" s="68" t="s">
        <v>295</v>
      </c>
      <c r="BY105" s="2"/>
      <c r="BZ105" s="2"/>
      <c r="CA105" s="122">
        <f>DA46</f>
        <v>67892301.73273224</v>
      </c>
      <c r="CB105" s="277"/>
    </row>
    <row r="106" spans="75:80" ht="12.75" customHeight="1">
      <c r="BW106" s="55">
        <f t="shared" si="36"/>
        <v>7</v>
      </c>
      <c r="BX106" s="68" t="s">
        <v>296</v>
      </c>
      <c r="BY106" s="2"/>
      <c r="BZ106" s="2"/>
      <c r="CA106" s="79">
        <f>+CA103-CA105</f>
        <v>29170903.442108974</v>
      </c>
      <c r="CB106" s="182"/>
    </row>
    <row r="107" spans="75:80" ht="12.75" customHeight="1">
      <c r="BW107" s="55">
        <f t="shared" si="36"/>
        <v>8</v>
      </c>
      <c r="BX107" s="2"/>
      <c r="BY107" s="2"/>
      <c r="BZ107" s="2"/>
      <c r="CA107" s="79"/>
      <c r="CB107" s="280"/>
    </row>
    <row r="108" spans="75:80" ht="12.75" customHeight="1">
      <c r="BW108" s="55">
        <f t="shared" si="36"/>
        <v>9</v>
      </c>
      <c r="BX108" s="2" t="s">
        <v>43</v>
      </c>
      <c r="BY108" s="2"/>
      <c r="BZ108" s="2"/>
      <c r="CA108" s="281">
        <f>+CA31</f>
        <v>0.5951366</v>
      </c>
      <c r="CB108" s="182"/>
    </row>
    <row r="109" spans="75:80" ht="12.75" customHeight="1">
      <c r="BW109" s="55">
        <f t="shared" si="36"/>
        <v>10</v>
      </c>
      <c r="BX109" s="2" t="s">
        <v>297</v>
      </c>
      <c r="BY109" s="282"/>
      <c r="BZ109" s="2"/>
      <c r="CA109" s="4">
        <f>ROUND(+CA106/CA108,0)</f>
        <v>49015476</v>
      </c>
      <c r="CB109" s="182"/>
    </row>
    <row r="110" spans="75:80" ht="12.75" customHeight="1" thickBot="1">
      <c r="BW110" s="55">
        <v>11</v>
      </c>
      <c r="BX110" s="2" t="s">
        <v>298</v>
      </c>
      <c r="BY110" s="2"/>
      <c r="BZ110" s="2"/>
      <c r="CA110" s="111" t="s">
        <v>0</v>
      </c>
      <c r="CB110" s="284"/>
    </row>
    <row r="111" spans="75:80" ht="18" customHeight="1" thickBot="1">
      <c r="BW111" s="55">
        <v>12</v>
      </c>
      <c r="BX111" s="182" t="s">
        <v>299</v>
      </c>
      <c r="BY111" s="182"/>
      <c r="BZ111" s="2"/>
      <c r="CA111" s="285">
        <f>SUM(CA109:CA110)</f>
        <v>49015476</v>
      </c>
      <c r="CB111" s="280"/>
    </row>
    <row r="112" spans="75:80" ht="12.75" customHeight="1">
      <c r="BW112" s="55"/>
      <c r="BX112" s="2"/>
      <c r="BY112" s="2"/>
      <c r="BZ112" s="2"/>
      <c r="CA112" s="313" t="s">
        <v>0</v>
      </c>
      <c r="CB112" s="211"/>
    </row>
  </sheetData>
  <printOptions horizontalCentered="1"/>
  <pageMargins left="0.25" right="0.25" top="0.5" bottom="0.5" header="0.25" footer="0.25"/>
  <pageSetup fitToWidth="4" horizontalDpi="1200" verticalDpi="1200" orientation="landscape" scale="65" r:id="rId3"/>
  <headerFooter alignWithMargins="0">
    <oddFooter>&amp;L&amp;"Times New Roman,Bold"&amp;10ELECTRONIC FILING</oddFooter>
  </headerFooter>
  <colBreaks count="3" manualBreakCount="3">
    <brk id="89" max="60" man="1"/>
    <brk id="97" max="60" man="1"/>
    <brk id="105" max="60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ckrueg</dc:creator>
  <cp:keywords/>
  <dc:description/>
  <cp:lastModifiedBy>ckrueg</cp:lastModifiedBy>
  <cp:lastPrinted>2004-04-02T23:26:23Z</cp:lastPrinted>
  <dcterms:created xsi:type="dcterms:W3CDTF">2004-03-24T16:56:33Z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040641</vt:lpwstr>
  </property>
  <property fmtid="{D5CDD505-2E9C-101B-9397-08002B2CF9AE}" pid="5" name="IsConfidential">
    <vt:lpwstr>0</vt:lpwstr>
  </property>
  <property fmtid="{D5CDD505-2E9C-101B-9397-08002B2CF9AE}" pid="6" name="Date1">
    <vt:lpwstr>2004-04-05T00:00:00Z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2004-04-05T00:00:00Z</vt:lpwstr>
  </property>
  <property fmtid="{D5CDD505-2E9C-101B-9397-08002B2CF9AE}" pid="9" name="Prefix">
    <vt:lpwstr>UE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140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