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A32C4D4-8BA3-47C8-9B22-547FCBC0EF88}" xr6:coauthVersionLast="46" xr6:coauthVersionMax="46" xr10:uidLastSave="{00000000-0000-0000-0000-000000000000}"/>
  <bookViews>
    <workbookView xWindow="-110" yWindow="-110" windowWidth="19420" windowHeight="10420" tabRatio="859" xr2:uid="{CA8DECA1-BBBD-44F7-820E-B654A2EC9DBE}"/>
  </bookViews>
  <sheets>
    <sheet name="Summary" sheetId="1" r:id="rId1"/>
    <sheet name="TransCedarSpring" sheetId="2" r:id="rId2"/>
    <sheet name="Aeolus-Bridger" sheetId="3" r:id="rId3"/>
    <sheet name="TransTBFlats" sheetId="4" r:id="rId4"/>
    <sheet name="TransPryorMtn" sheetId="5" r:id="rId5"/>
    <sheet name="Cedar Springs" sheetId="6" r:id="rId6"/>
    <sheet name="Ekola Flats" sheetId="7" r:id="rId7"/>
    <sheet name="Pryor Mtn" sheetId="8" r:id="rId8"/>
    <sheet name="TB Flats" sheetId="9" r:id="rId9"/>
    <sheet name="Dunlap" sheetId="10" r:id="rId10"/>
    <sheet name="FooteCreek" sheetId="11" r:id="rId11"/>
    <sheet name="Variable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11" hidden="1">[2]Inputs!#REF!</definedName>
    <definedName name="__123Graph_A" hidden="1">[3]Inputs!#REF!</definedName>
    <definedName name="__123Graph_B" localSheetId="11" hidden="1">[2]Inputs!#REF!</definedName>
    <definedName name="__123Graph_B" hidden="1">[3]Inputs!#REF!</definedName>
    <definedName name="__123Graph_D" localSheetId="11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xlnm._FilterDatabase" localSheetId="11" hidden="1">#REF!</definedName>
    <definedName name="_xlnm._FilterDatabase" hidden="1">#REF!</definedName>
    <definedName name="_idahoshr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1" hidden="1">#REF!</definedName>
    <definedName name="_Key2" hidden="1">#REF!</definedName>
    <definedName name="_MEN2">[1]Jan!#REF!</definedName>
    <definedName name="_MEN3">[1]Jan!#REF!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" localSheetId="11" hidden="1">'[5]DSM Output'!$J$21:$J$23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[6]Variables!$AK$42:$AK$396</definedName>
    <definedName name="Additions_by_Function_Project_State_Month">'[7]Apr 05 - Mar 06 Adds'!#REF!</definedName>
    <definedName name="Adjs2avg">[8]Inputs!$L$255:'[8]Inputs'!$T$505</definedName>
    <definedName name="aftertax_ror">[9]Utah!#REF!</definedName>
    <definedName name="APR">[1]Jan!#REF!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[10]Factors!$B$3:$P$99</definedName>
    <definedName name="B1_Print">[11]Main!#REF!</definedName>
    <definedName name="B2_Print">#REF!</definedName>
    <definedName name="B3_Print">#REF!</definedName>
    <definedName name="Bottom">#REF!</definedName>
    <definedName name="budsum2">[12]Att1!#REF!</definedName>
    <definedName name="bump">[9]Utah!#REF!</definedName>
    <definedName name="C_">'[13]Other States WZAMRT98'!#REF!</definedName>
    <definedName name="CA_Net_Rate_Base">#REF!</definedName>
    <definedName name="CA_Operating_Revenue_For_Return">#REF!</definedName>
    <definedName name="CARBON_LONG">#REF!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AL_RECEIVED">#REF!</definedName>
    <definedName name="COAL_SALES">#REF!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>#REF!</definedName>
    <definedName name="DATA10">'[17]Carbon NBV'!#REF!</definedName>
    <definedName name="DATA11">'[17]Carbon NBV'!#REF!</definedName>
    <definedName name="DATA12">'[17]Carbon NBV'!$C$2:$C$7</definedName>
    <definedName name="DATA13">'[18]Intagible &amp; Leaseholds'!#REF!</definedName>
    <definedName name="DATA14">'[18]Intagible &amp; Leaseholds'!#REF!</definedName>
    <definedName name="DATA15">'[17]Carbon NBV'!#REF!</definedName>
    <definedName name="DATA16">'[17]Carbon NBV'!#REF!</definedName>
    <definedName name="DATA17">'[17]Carbon NBV'!#REF!</definedName>
    <definedName name="DATA18">'[19]390.1'!#REF!</definedName>
    <definedName name="DATA19">'[19]390.1'!#REF!</definedName>
    <definedName name="DATA2">#REF!</definedName>
    <definedName name="DATA20">'[19]390.1'!#REF!</definedName>
    <definedName name="DATA21">'[19]390.1'!#REF!</definedName>
    <definedName name="DATA22">#REF!</definedName>
    <definedName name="DATA23">'[19]390.1'!#REF!</definedName>
    <definedName name="DATA24">'[19]390.1'!#REF!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'[17]Carbon NBV'!#REF!</definedName>
    <definedName name="DATA9">'[17]Carbon NBV'!#REF!</definedName>
    <definedName name="DATE">[20]Jan!#REF!</definedName>
    <definedName name="debt">[9]Utah!#REF!</definedName>
    <definedName name="debt_cost">[9]Utah!#REF!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count_Rate">[21]Assumptions!$B$12</definedName>
    <definedName name="DispatchSum">"GRID Thermal Generation!R2C1:R4C2"</definedName>
    <definedName name="DUDE" localSheetId="11" hidden="1">#REF!</definedName>
    <definedName name="DUDE" hidden="1">#REF!</definedName>
    <definedName name="EffectiveTaxRate">#REF!</definedName>
    <definedName name="EmbeddedCapCost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1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'[22]Aug 03'!#REF!</definedName>
    <definedName name="Extract_MI">'[22]Aug 03'!#REF!</definedName>
    <definedName name="FactorMethod">[8]Variables!$AB$2</definedName>
    <definedName name="FactorType">[10]Variables!$AK$2:$AL$12</definedName>
    <definedName name="FEB">[1]Jan!#REF!</definedName>
    <definedName name="FedTax">[9]Utah!#REF!</definedName>
    <definedName name="FIT">#REF!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[10]Variables!$AK$15</definedName>
    <definedName name="JurisNumber">[10]Variables!$AL$15</definedName>
    <definedName name="JurisTitle">#REF!</definedName>
    <definedName name="JVENTRY">#REF!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[23]Variables!$B$7</definedName>
    <definedName name="LastCell">#REF!</definedName>
    <definedName name="limcount" hidden="1">1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'[24]Multipliers Input'!$Y$4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'[25]Master Data'!$A$2</definedName>
    <definedName name="MD_Low1">'[25]Master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'[26]DSM Output'!$AL$1:$AM$12</definedName>
    <definedName name="monthtotals">'[26]DSM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'[27]Master Data'!$P$2</definedName>
    <definedName name="OMEX_Low1">'[27]Master Data'!$P$36</definedName>
    <definedName name="OMEX_Low2">'[27]Master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11" hidden="1">[28]Inputs!#REF!</definedName>
    <definedName name="PricingInfo" hidden="1">[29]Inputs!#REF!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tc">[24]Main!$D$111</definedName>
    <definedName name="PTC_Credit">[24]Main!$D$108</definedName>
    <definedName name="ptc_date">[24]Main!$D$113</definedName>
    <definedName name="ptc_esc">[24]Main!$D$112</definedName>
    <definedName name="ptc_start_date">[24]Main!$D$114</definedName>
    <definedName name="ptc_yr">[24]Main!$D$109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'[30]Repower Info'!$A$5:$AD$23</definedName>
    <definedName name="ResourceSupplier">#REF!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[11]Main!#REF!</definedName>
    <definedName name="standard1" localSheetId="11" hidden="1">{"YTD-Total",#N/A,FALSE,"Provision"}</definedName>
    <definedName name="standard1" hidden="1">{"YTD-Total",#N/A,FALSE,"Provision"}</definedName>
    <definedName name="START">[1]Jan!#REF!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'[31]Allocation FY2005'!#REF!</definedName>
    <definedName name="table2">'[31]Allocation FY2005'!#REF!</definedName>
    <definedName name="table3">'[31]Allocation FY2004'!#REF!</definedName>
    <definedName name="table4">'[31]Allocation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0">#REF!</definedName>
    <definedName name="TEST1">#REF!</definedName>
    <definedName name="TEST2">'[32]2007 - 2009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[10]Variables!$AK$43:$AK$367</definedName>
    <definedName name="ValidFactor">#REF!</definedName>
    <definedName name="w" localSheetId="11" hidden="1">[33]Inputs!#REF!</definedName>
    <definedName name="w" hidden="1">[3]Inputs!#REF!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Adj._.Back_Up." localSheetId="1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[34]Variables!$AK$2:$AL$12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[10]Factors!$S$3:$AG$99</definedName>
    <definedName name="YTD">'[35]Actuals - Data Input'!#REF!</definedName>
    <definedName name="z" hidden="1">'[2]DSM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  <definedName name="ZA">'[36]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9" l="1"/>
  <c r="S38" i="9"/>
  <c r="R38" i="9"/>
  <c r="Q38" i="9"/>
  <c r="P38" i="9"/>
  <c r="AA38" i="9"/>
  <c r="Z38" i="9"/>
  <c r="Y38" i="9"/>
  <c r="X38" i="9"/>
  <c r="W38" i="9"/>
  <c r="V38" i="9"/>
  <c r="U38" i="9"/>
  <c r="D23" i="12" l="1"/>
  <c r="D22" i="12"/>
  <c r="D20" i="12"/>
  <c r="F13" i="12"/>
  <c r="F8" i="12" s="1"/>
  <c r="B9" i="12"/>
  <c r="D8" i="12"/>
  <c r="D7" i="12"/>
  <c r="F7" i="12" s="1"/>
  <c r="F6" i="12"/>
  <c r="D6" i="12"/>
  <c r="D9" i="12" s="1"/>
  <c r="L13" i="11" s="1"/>
  <c r="Q44" i="11"/>
  <c r="R44" i="11" s="1"/>
  <c r="S44" i="11" s="1"/>
  <c r="AA34" i="11"/>
  <c r="W34" i="11"/>
  <c r="V34" i="11"/>
  <c r="Z31" i="11"/>
  <c r="O31" i="11"/>
  <c r="L31" i="11"/>
  <c r="O19" i="11"/>
  <c r="P17" i="11"/>
  <c r="Z34" i="11"/>
  <c r="Y34" i="11"/>
  <c r="X34" i="11"/>
  <c r="U34" i="11"/>
  <c r="T34" i="11"/>
  <c r="S34" i="11"/>
  <c r="R34" i="11"/>
  <c r="Q34" i="11"/>
  <c r="P34" i="11"/>
  <c r="O34" i="11"/>
  <c r="Y13" i="11"/>
  <c r="X13" i="11"/>
  <c r="M13" i="11"/>
  <c r="D13" i="11"/>
  <c r="C11" i="11"/>
  <c r="P10" i="11"/>
  <c r="Q10" i="11" s="1"/>
  <c r="R10" i="11" s="1"/>
  <c r="S10" i="11" s="1"/>
  <c r="T10" i="11" s="1"/>
  <c r="U10" i="11" s="1"/>
  <c r="V10" i="11" s="1"/>
  <c r="W10" i="11" s="1"/>
  <c r="X10" i="11" s="1"/>
  <c r="Y10" i="11" s="1"/>
  <c r="Z10" i="11" s="1"/>
  <c r="AA10" i="11" s="1"/>
  <c r="P9" i="1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O11" i="11"/>
  <c r="C9" i="11"/>
  <c r="D9" i="11" s="1"/>
  <c r="A9" i="11"/>
  <c r="Q8" i="11"/>
  <c r="R8" i="11" s="1"/>
  <c r="P8" i="11"/>
  <c r="P11" i="11" s="1"/>
  <c r="N8" i="11"/>
  <c r="N17" i="11" s="1"/>
  <c r="AA34" i="10"/>
  <c r="U34" i="10"/>
  <c r="N34" i="10"/>
  <c r="M34" i="10"/>
  <c r="V31" i="10"/>
  <c r="T31" i="10"/>
  <c r="Q31" i="10"/>
  <c r="M31" i="10"/>
  <c r="J31" i="10"/>
  <c r="H31" i="10"/>
  <c r="G31" i="10"/>
  <c r="O19" i="10"/>
  <c r="R17" i="10"/>
  <c r="P17" i="10"/>
  <c r="Q17" i="10" s="1"/>
  <c r="Q19" i="10" s="1"/>
  <c r="Z34" i="10"/>
  <c r="Y34" i="10"/>
  <c r="X34" i="10"/>
  <c r="W34" i="10"/>
  <c r="V34" i="10"/>
  <c r="T34" i="10"/>
  <c r="S34" i="10"/>
  <c r="R34" i="10"/>
  <c r="Q34" i="10"/>
  <c r="P34" i="10"/>
  <c r="O34" i="10"/>
  <c r="L34" i="10"/>
  <c r="AA13" i="10"/>
  <c r="Z13" i="10"/>
  <c r="Y13" i="10"/>
  <c r="W13" i="10"/>
  <c r="V13" i="10"/>
  <c r="U13" i="10"/>
  <c r="S13" i="10"/>
  <c r="R13" i="10"/>
  <c r="Q13" i="10"/>
  <c r="O13" i="10"/>
  <c r="N13" i="10"/>
  <c r="M13" i="10"/>
  <c r="K13" i="10"/>
  <c r="J13" i="10"/>
  <c r="I13" i="10"/>
  <c r="G13" i="10"/>
  <c r="F13" i="10"/>
  <c r="E13" i="10"/>
  <c r="C13" i="10"/>
  <c r="Q10" i="10"/>
  <c r="R10" i="10" s="1"/>
  <c r="S10" i="10" s="1"/>
  <c r="T10" i="10" s="1"/>
  <c r="U10" i="10" s="1"/>
  <c r="V10" i="10" s="1"/>
  <c r="W10" i="10" s="1"/>
  <c r="X10" i="10" s="1"/>
  <c r="Y10" i="10" s="1"/>
  <c r="Z10" i="10" s="1"/>
  <c r="AA10" i="10" s="1"/>
  <c r="P10" i="10"/>
  <c r="U9" i="10"/>
  <c r="V9" i="10" s="1"/>
  <c r="W9" i="10" s="1"/>
  <c r="X9" i="10" s="1"/>
  <c r="Y9" i="10" s="1"/>
  <c r="Z9" i="10" s="1"/>
  <c r="AA9" i="10" s="1"/>
  <c r="P9" i="10"/>
  <c r="Q9" i="10" s="1"/>
  <c r="R9" i="10" s="1"/>
  <c r="S9" i="10" s="1"/>
  <c r="T9" i="10" s="1"/>
  <c r="D9" i="10"/>
  <c r="C9" i="10"/>
  <c r="C11" i="10" s="1"/>
  <c r="C14" i="10" s="1"/>
  <c r="C20" i="10" s="1"/>
  <c r="A9" i="10"/>
  <c r="A10" i="10" s="1"/>
  <c r="N8" i="10"/>
  <c r="M8" i="10"/>
  <c r="M17" i="10" s="1"/>
  <c r="L17" i="10"/>
  <c r="X34" i="9"/>
  <c r="P34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C29" i="9"/>
  <c r="O28" i="9"/>
  <c r="C27" i="9"/>
  <c r="O19" i="9"/>
  <c r="O18" i="9"/>
  <c r="P17" i="9"/>
  <c r="AA34" i="9"/>
  <c r="Z34" i="9"/>
  <c r="Y34" i="9"/>
  <c r="W34" i="9"/>
  <c r="V34" i="9"/>
  <c r="U34" i="9"/>
  <c r="T34" i="9"/>
  <c r="S34" i="9"/>
  <c r="R34" i="9"/>
  <c r="Q34" i="9"/>
  <c r="O34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C11" i="9"/>
  <c r="C14" i="9" s="1"/>
  <c r="Q10" i="9"/>
  <c r="R10" i="9" s="1"/>
  <c r="S10" i="9" s="1"/>
  <c r="T10" i="9" s="1"/>
  <c r="U10" i="9" s="1"/>
  <c r="V10" i="9" s="1"/>
  <c r="W10" i="9" s="1"/>
  <c r="X10" i="9" s="1"/>
  <c r="Y10" i="9" s="1"/>
  <c r="Z10" i="9" s="1"/>
  <c r="AA10" i="9" s="1"/>
  <c r="A10" i="9"/>
  <c r="A11" i="9" s="1"/>
  <c r="W9" i="9"/>
  <c r="X9" i="9" s="1"/>
  <c r="Y9" i="9" s="1"/>
  <c r="Z9" i="9" s="1"/>
  <c r="AA9" i="9" s="1"/>
  <c r="U9" i="9"/>
  <c r="V9" i="9" s="1"/>
  <c r="T9" i="9"/>
  <c r="P9" i="9"/>
  <c r="Q9" i="9" s="1"/>
  <c r="R9" i="9" s="1"/>
  <c r="S9" i="9" s="1"/>
  <c r="D9" i="9"/>
  <c r="C9" i="9"/>
  <c r="A9" i="9"/>
  <c r="D17" i="9"/>
  <c r="Q44" i="8"/>
  <c r="V34" i="8"/>
  <c r="R34" i="8"/>
  <c r="Q34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O28" i="8"/>
  <c r="O18" i="8"/>
  <c r="P17" i="8"/>
  <c r="P19" i="8" s="1"/>
  <c r="O19" i="8"/>
  <c r="D17" i="8"/>
  <c r="AA34" i="8"/>
  <c r="Z34" i="8"/>
  <c r="Y34" i="8"/>
  <c r="X34" i="8"/>
  <c r="W34" i="8"/>
  <c r="U34" i="8"/>
  <c r="T34" i="8"/>
  <c r="S34" i="8"/>
  <c r="P34" i="8"/>
  <c r="O3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T10" i="8"/>
  <c r="U10" i="8" s="1"/>
  <c r="V10" i="8" s="1"/>
  <c r="W10" i="8" s="1"/>
  <c r="X10" i="8" s="1"/>
  <c r="Y10" i="8" s="1"/>
  <c r="Z10" i="8" s="1"/>
  <c r="AA10" i="8" s="1"/>
  <c r="P10" i="8"/>
  <c r="Q10" i="8" s="1"/>
  <c r="R10" i="8" s="1"/>
  <c r="S10" i="8" s="1"/>
  <c r="R9" i="8"/>
  <c r="S9" i="8" s="1"/>
  <c r="T9" i="8" s="1"/>
  <c r="U9" i="8" s="1"/>
  <c r="V9" i="8" s="1"/>
  <c r="W9" i="8" s="1"/>
  <c r="X9" i="8" s="1"/>
  <c r="Y9" i="8" s="1"/>
  <c r="Z9" i="8" s="1"/>
  <c r="AA9" i="8" s="1"/>
  <c r="P9" i="8"/>
  <c r="Q9" i="8" s="1"/>
  <c r="A9" i="8"/>
  <c r="P8" i="8"/>
  <c r="E17" i="8"/>
  <c r="J35" i="7"/>
  <c r="I35" i="7"/>
  <c r="AA34" i="7"/>
  <c r="T34" i="7"/>
  <c r="S34" i="7"/>
  <c r="L34" i="7"/>
  <c r="L35" i="7" s="1"/>
  <c r="K34" i="7"/>
  <c r="K35" i="7" s="1"/>
  <c r="D34" i="7"/>
  <c r="D35" i="7" s="1"/>
  <c r="C34" i="7"/>
  <c r="C35" i="7" s="1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O18" i="7"/>
  <c r="P17" i="7"/>
  <c r="D17" i="7"/>
  <c r="Z34" i="7"/>
  <c r="Y34" i="7"/>
  <c r="X34" i="7"/>
  <c r="W34" i="7"/>
  <c r="V34" i="7"/>
  <c r="U34" i="7"/>
  <c r="R34" i="7"/>
  <c r="Q34" i="7"/>
  <c r="P34" i="7"/>
  <c r="O34" i="7"/>
  <c r="N34" i="7"/>
  <c r="N35" i="7" s="1"/>
  <c r="M34" i="7"/>
  <c r="M35" i="7" s="1"/>
  <c r="J34" i="7"/>
  <c r="I34" i="7"/>
  <c r="H34" i="7"/>
  <c r="H35" i="7" s="1"/>
  <c r="G34" i="7"/>
  <c r="G35" i="7" s="1"/>
  <c r="F34" i="7"/>
  <c r="F35" i="7" s="1"/>
  <c r="E34" i="7"/>
  <c r="E35" i="7" s="1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P10" i="7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10" i="7"/>
  <c r="T9" i="7"/>
  <c r="U9" i="7" s="1"/>
  <c r="V9" i="7" s="1"/>
  <c r="W9" i="7" s="1"/>
  <c r="X9" i="7" s="1"/>
  <c r="Y9" i="7" s="1"/>
  <c r="Z9" i="7" s="1"/>
  <c r="AA9" i="7" s="1"/>
  <c r="P9" i="7"/>
  <c r="Q9" i="7" s="1"/>
  <c r="R9" i="7" s="1"/>
  <c r="S9" i="7" s="1"/>
  <c r="D9" i="7"/>
  <c r="D11" i="7" s="1"/>
  <c r="D14" i="7" s="1"/>
  <c r="C9" i="7"/>
  <c r="C11" i="7" s="1"/>
  <c r="C14" i="7" s="1"/>
  <c r="A9" i="7"/>
  <c r="P8" i="7"/>
  <c r="O11" i="7"/>
  <c r="O14" i="7" s="1"/>
  <c r="D35" i="6"/>
  <c r="X34" i="6"/>
  <c r="U34" i="6"/>
  <c r="P34" i="6"/>
  <c r="N34" i="6"/>
  <c r="M34" i="6"/>
  <c r="H34" i="6"/>
  <c r="F34" i="6"/>
  <c r="E34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C29" i="6"/>
  <c r="C32" i="6" s="1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C27" i="6"/>
  <c r="F35" i="6"/>
  <c r="O19" i="6"/>
  <c r="O18" i="6"/>
  <c r="AA34" i="6"/>
  <c r="Z34" i="6"/>
  <c r="Y34" i="6"/>
  <c r="W34" i="6"/>
  <c r="V34" i="6"/>
  <c r="T34" i="6"/>
  <c r="S34" i="6"/>
  <c r="R34" i="6"/>
  <c r="Q34" i="6"/>
  <c r="O34" i="6"/>
  <c r="L34" i="6"/>
  <c r="K34" i="6"/>
  <c r="J34" i="6"/>
  <c r="I34" i="6"/>
  <c r="G34" i="6"/>
  <c r="D3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S10" i="6"/>
  <c r="T10" i="6" s="1"/>
  <c r="U10" i="6" s="1"/>
  <c r="V10" i="6" s="1"/>
  <c r="W10" i="6" s="1"/>
  <c r="X10" i="6" s="1"/>
  <c r="Y10" i="6" s="1"/>
  <c r="Z10" i="6" s="1"/>
  <c r="AA10" i="6" s="1"/>
  <c r="P10" i="6"/>
  <c r="Q10" i="6" s="1"/>
  <c r="R10" i="6" s="1"/>
  <c r="Y9" i="6"/>
  <c r="Z9" i="6" s="1"/>
  <c r="AA9" i="6" s="1"/>
  <c r="Q9" i="6"/>
  <c r="R9" i="6" s="1"/>
  <c r="S9" i="6" s="1"/>
  <c r="T9" i="6" s="1"/>
  <c r="U9" i="6" s="1"/>
  <c r="V9" i="6" s="1"/>
  <c r="W9" i="6" s="1"/>
  <c r="X9" i="6" s="1"/>
  <c r="P9" i="6"/>
  <c r="A9" i="6"/>
  <c r="X34" i="5"/>
  <c r="V34" i="5"/>
  <c r="U34" i="5"/>
  <c r="P34" i="5"/>
  <c r="N34" i="5"/>
  <c r="M34" i="5"/>
  <c r="H34" i="5"/>
  <c r="F34" i="5"/>
  <c r="E34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P17" i="5"/>
  <c r="J17" i="5"/>
  <c r="H17" i="5"/>
  <c r="G17" i="5"/>
  <c r="AA34" i="5"/>
  <c r="Z34" i="5"/>
  <c r="Y34" i="5"/>
  <c r="W34" i="5"/>
  <c r="T34" i="5"/>
  <c r="S34" i="5"/>
  <c r="R34" i="5"/>
  <c r="Q34" i="5"/>
  <c r="O34" i="5"/>
  <c r="N17" i="5"/>
  <c r="M17" i="5"/>
  <c r="K34" i="5"/>
  <c r="J34" i="5"/>
  <c r="G34" i="5"/>
  <c r="F17" i="5"/>
  <c r="E17" i="5"/>
  <c r="C3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P10" i="5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P9" i="5"/>
  <c r="Q9" i="5" s="1"/>
  <c r="R9" i="5" s="1"/>
  <c r="S9" i="5" s="1"/>
  <c r="T9" i="5" s="1"/>
  <c r="U9" i="5" s="1"/>
  <c r="V9" i="5" s="1"/>
  <c r="W9" i="5" s="1"/>
  <c r="X9" i="5" s="1"/>
  <c r="Y9" i="5" s="1"/>
  <c r="Z9" i="5" s="1"/>
  <c r="AA9" i="5" s="1"/>
  <c r="A9" i="5"/>
  <c r="P8" i="5"/>
  <c r="Z34" i="4"/>
  <c r="X34" i="4"/>
  <c r="R34" i="4"/>
  <c r="P34" i="4"/>
  <c r="O34" i="4"/>
  <c r="J34" i="4"/>
  <c r="H34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19" i="4"/>
  <c r="Q17" i="4"/>
  <c r="P17" i="4"/>
  <c r="M17" i="4"/>
  <c r="J17" i="4"/>
  <c r="I17" i="4"/>
  <c r="E17" i="4"/>
  <c r="AA34" i="4"/>
  <c r="Y34" i="4"/>
  <c r="W34" i="4"/>
  <c r="V34" i="4"/>
  <c r="U34" i="4"/>
  <c r="T34" i="4"/>
  <c r="S34" i="4"/>
  <c r="Q34" i="4"/>
  <c r="M34" i="4"/>
  <c r="L34" i="4"/>
  <c r="I34" i="4"/>
  <c r="H17" i="4"/>
  <c r="G17" i="4"/>
  <c r="E34" i="4"/>
  <c r="D3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P10" i="4"/>
  <c r="Q10" i="4" s="1"/>
  <c r="R10" i="4" s="1"/>
  <c r="S10" i="4" s="1"/>
  <c r="T10" i="4" s="1"/>
  <c r="U10" i="4" s="1"/>
  <c r="V10" i="4" s="1"/>
  <c r="W10" i="4" s="1"/>
  <c r="X10" i="4" s="1"/>
  <c r="Y10" i="4" s="1"/>
  <c r="Z10" i="4" s="1"/>
  <c r="AA10" i="4" s="1"/>
  <c r="Z9" i="4"/>
  <c r="AA9" i="4" s="1"/>
  <c r="R9" i="4"/>
  <c r="S9" i="4" s="1"/>
  <c r="T9" i="4" s="1"/>
  <c r="U9" i="4" s="1"/>
  <c r="V9" i="4" s="1"/>
  <c r="W9" i="4" s="1"/>
  <c r="X9" i="4" s="1"/>
  <c r="Y9" i="4" s="1"/>
  <c r="P9" i="4"/>
  <c r="Q9" i="4" s="1"/>
  <c r="A9" i="4"/>
  <c r="O11" i="4"/>
  <c r="O14" i="4" s="1"/>
  <c r="AA34" i="3"/>
  <c r="Y34" i="3"/>
  <c r="S34" i="3"/>
  <c r="Q34" i="3"/>
  <c r="K34" i="3"/>
  <c r="C34" i="3"/>
  <c r="C35" i="3" s="1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C17" i="3"/>
  <c r="Z34" i="3"/>
  <c r="X34" i="3"/>
  <c r="W34" i="3"/>
  <c r="V34" i="3"/>
  <c r="U34" i="3"/>
  <c r="T34" i="3"/>
  <c r="R34" i="3"/>
  <c r="P34" i="3"/>
  <c r="O34" i="3"/>
  <c r="N34" i="3"/>
  <c r="M34" i="3"/>
  <c r="L34" i="3"/>
  <c r="J34" i="3"/>
  <c r="I34" i="3"/>
  <c r="H34" i="3"/>
  <c r="G34" i="3"/>
  <c r="F34" i="3"/>
  <c r="E34" i="3"/>
  <c r="D3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W10" i="3"/>
  <c r="X10" i="3" s="1"/>
  <c r="Y10" i="3" s="1"/>
  <c r="Z10" i="3" s="1"/>
  <c r="AA10" i="3" s="1"/>
  <c r="U10" i="3"/>
  <c r="V10" i="3" s="1"/>
  <c r="Q10" i="3"/>
  <c r="R10" i="3" s="1"/>
  <c r="S10" i="3" s="1"/>
  <c r="T10" i="3" s="1"/>
  <c r="P10" i="3"/>
  <c r="P9" i="3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9" i="3"/>
  <c r="P8" i="3"/>
  <c r="W34" i="2"/>
  <c r="O34" i="2"/>
  <c r="G34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34" i="2"/>
  <c r="Z34" i="2"/>
  <c r="Y34" i="2"/>
  <c r="X34" i="2"/>
  <c r="V34" i="2"/>
  <c r="U34" i="2"/>
  <c r="T34" i="2"/>
  <c r="S34" i="2"/>
  <c r="R34" i="2"/>
  <c r="Q34" i="2"/>
  <c r="P34" i="2"/>
  <c r="N34" i="2"/>
  <c r="M34" i="2"/>
  <c r="L34" i="2"/>
  <c r="K34" i="2"/>
  <c r="J34" i="2"/>
  <c r="I34" i="2"/>
  <c r="H34" i="2"/>
  <c r="F34" i="2"/>
  <c r="E34" i="2"/>
  <c r="D34" i="2"/>
  <c r="C3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1" i="2"/>
  <c r="O14" i="2" s="1"/>
  <c r="Q10" i="2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P10" i="2"/>
  <c r="A10" i="2"/>
  <c r="Q9" i="2"/>
  <c r="R9" i="2" s="1"/>
  <c r="S9" i="2" s="1"/>
  <c r="T9" i="2" s="1"/>
  <c r="U9" i="2" s="1"/>
  <c r="V9" i="2" s="1"/>
  <c r="W9" i="2" s="1"/>
  <c r="X9" i="2" s="1"/>
  <c r="Y9" i="2" s="1"/>
  <c r="Z9" i="2" s="1"/>
  <c r="AA9" i="2" s="1"/>
  <c r="P9" i="2"/>
  <c r="A9" i="2"/>
  <c r="P8" i="2"/>
  <c r="E35" i="2" l="1"/>
  <c r="C27" i="3"/>
  <c r="Q8" i="7"/>
  <c r="P11" i="7"/>
  <c r="P14" i="7" s="1"/>
  <c r="F34" i="4"/>
  <c r="F17" i="4"/>
  <c r="D17" i="2"/>
  <c r="P17" i="2"/>
  <c r="O19" i="2"/>
  <c r="D17" i="3"/>
  <c r="O11" i="3"/>
  <c r="O14" i="3" s="1"/>
  <c r="D35" i="3"/>
  <c r="D35" i="2"/>
  <c r="C35" i="2"/>
  <c r="Q17" i="5"/>
  <c r="P19" i="5"/>
  <c r="E35" i="3"/>
  <c r="C17" i="2"/>
  <c r="C9" i="3"/>
  <c r="A10" i="4"/>
  <c r="P11" i="2"/>
  <c r="P14" i="2" s="1"/>
  <c r="Q8" i="2"/>
  <c r="N34" i="4"/>
  <c r="N17" i="4"/>
  <c r="P11" i="3"/>
  <c r="P14" i="3" s="1"/>
  <c r="Q8" i="3"/>
  <c r="O19" i="3"/>
  <c r="P17" i="3"/>
  <c r="A11" i="2"/>
  <c r="A13" i="2" s="1"/>
  <c r="Q8" i="5"/>
  <c r="P11" i="5"/>
  <c r="P14" i="5" s="1"/>
  <c r="I17" i="5"/>
  <c r="I34" i="5"/>
  <c r="C9" i="8"/>
  <c r="P8" i="4"/>
  <c r="L17" i="4"/>
  <c r="O11" i="5"/>
  <c r="O14" i="5" s="1"/>
  <c r="C34" i="4"/>
  <c r="C17" i="4"/>
  <c r="K34" i="4"/>
  <c r="K17" i="4"/>
  <c r="P19" i="4"/>
  <c r="G34" i="4"/>
  <c r="O35" i="5"/>
  <c r="C27" i="5"/>
  <c r="Q19" i="4"/>
  <c r="C35" i="4"/>
  <c r="E17" i="6"/>
  <c r="C17" i="6"/>
  <c r="C34" i="6"/>
  <c r="D27" i="6"/>
  <c r="A10" i="3"/>
  <c r="D17" i="4"/>
  <c r="R17" i="4"/>
  <c r="D17" i="6"/>
  <c r="O19" i="5"/>
  <c r="A13" i="7"/>
  <c r="E35" i="5"/>
  <c r="O11" i="6"/>
  <c r="O14" i="6" s="1"/>
  <c r="P8" i="6"/>
  <c r="A10" i="6"/>
  <c r="D34" i="5"/>
  <c r="D35" i="5" s="1"/>
  <c r="D17" i="5"/>
  <c r="L34" i="5"/>
  <c r="L17" i="5"/>
  <c r="E17" i="7"/>
  <c r="A10" i="5"/>
  <c r="A11" i="5"/>
  <c r="E35" i="6"/>
  <c r="C17" i="5"/>
  <c r="K17" i="5"/>
  <c r="O35" i="7"/>
  <c r="C27" i="7"/>
  <c r="F17" i="8"/>
  <c r="A11" i="7"/>
  <c r="O19" i="7"/>
  <c r="A10" i="8"/>
  <c r="A11" i="8"/>
  <c r="P17" i="6"/>
  <c r="C20" i="7"/>
  <c r="P19" i="7"/>
  <c r="Q17" i="7"/>
  <c r="O11" i="9"/>
  <c r="O14" i="9" s="1"/>
  <c r="P8" i="9"/>
  <c r="P11" i="8"/>
  <c r="P14" i="8" s="1"/>
  <c r="Q8" i="8"/>
  <c r="A10" i="11"/>
  <c r="A11" i="11"/>
  <c r="R44" i="8"/>
  <c r="R19" i="10"/>
  <c r="S17" i="10"/>
  <c r="O11" i="8"/>
  <c r="O14" i="8" s="1"/>
  <c r="Q17" i="8"/>
  <c r="P19" i="9"/>
  <c r="Q17" i="9"/>
  <c r="C20" i="9"/>
  <c r="C27" i="11"/>
  <c r="C29" i="11" s="1"/>
  <c r="C32" i="9"/>
  <c r="C38" i="9" s="1"/>
  <c r="N17" i="10"/>
  <c r="D11" i="10"/>
  <c r="E9" i="10"/>
  <c r="P19" i="11"/>
  <c r="Q17" i="11"/>
  <c r="T44" i="11"/>
  <c r="O11" i="10"/>
  <c r="O14" i="10" s="1"/>
  <c r="P8" i="10"/>
  <c r="C27" i="10"/>
  <c r="D27" i="10" s="1"/>
  <c r="D11" i="9"/>
  <c r="D14" i="9" s="1"/>
  <c r="A13" i="9"/>
  <c r="X31" i="11"/>
  <c r="P31" i="11"/>
  <c r="H31" i="11"/>
  <c r="Z13" i="11"/>
  <c r="R13" i="11"/>
  <c r="J13" i="11"/>
  <c r="Z31" i="10"/>
  <c r="R31" i="10"/>
  <c r="U31" i="11"/>
  <c r="M31" i="11"/>
  <c r="E31" i="11"/>
  <c r="W13" i="11"/>
  <c r="O13" i="11"/>
  <c r="O14" i="11" s="1"/>
  <c r="G13" i="11"/>
  <c r="W31" i="10"/>
  <c r="O31" i="10"/>
  <c r="Y31" i="11"/>
  <c r="Q31" i="11"/>
  <c r="I31" i="11"/>
  <c r="AA13" i="11"/>
  <c r="S13" i="11"/>
  <c r="K13" i="11"/>
  <c r="C13" i="11"/>
  <c r="C14" i="11" s="1"/>
  <c r="C20" i="11" s="1"/>
  <c r="AA31" i="10"/>
  <c r="S31" i="10"/>
  <c r="K31" i="10"/>
  <c r="AA31" i="11"/>
  <c r="N31" i="11"/>
  <c r="N13" i="11"/>
  <c r="U31" i="10"/>
  <c r="I31" i="10"/>
  <c r="T13" i="10"/>
  <c r="L13" i="10"/>
  <c r="D13" i="10"/>
  <c r="V31" i="11"/>
  <c r="J31" i="11"/>
  <c r="V13" i="11"/>
  <c r="I13" i="11"/>
  <c r="P31" i="10"/>
  <c r="F31" i="10"/>
  <c r="T31" i="11"/>
  <c r="G31" i="11"/>
  <c r="U13" i="11"/>
  <c r="H13" i="11"/>
  <c r="N31" i="10"/>
  <c r="E31" i="10"/>
  <c r="X13" i="10"/>
  <c r="P13" i="10"/>
  <c r="H13" i="10"/>
  <c r="S31" i="11"/>
  <c r="F31" i="11"/>
  <c r="T13" i="11"/>
  <c r="F13" i="11"/>
  <c r="R31" i="11"/>
  <c r="D31" i="11"/>
  <c r="Q13" i="11"/>
  <c r="E13" i="11"/>
  <c r="X31" i="10"/>
  <c r="L31" i="10"/>
  <c r="C31" i="10"/>
  <c r="D27" i="9"/>
  <c r="Q44" i="9"/>
  <c r="P19" i="10"/>
  <c r="Q11" i="11"/>
  <c r="Q14" i="11" s="1"/>
  <c r="P13" i="11"/>
  <c r="P14" i="11" s="1"/>
  <c r="C31" i="11"/>
  <c r="A11" i="10"/>
  <c r="S8" i="11"/>
  <c r="R11" i="11"/>
  <c r="R14" i="11" s="1"/>
  <c r="K31" i="11"/>
  <c r="D31" i="10"/>
  <c r="Y31" i="10"/>
  <c r="D11" i="11"/>
  <c r="D14" i="11" s="1"/>
  <c r="D20" i="11" s="1"/>
  <c r="E9" i="11"/>
  <c r="W31" i="11"/>
  <c r="D21" i="12"/>
  <c r="M17" i="11"/>
  <c r="C29" i="10"/>
  <c r="C32" i="10" s="1"/>
  <c r="C38" i="10" s="1"/>
  <c r="F9" i="12"/>
  <c r="C26" i="12"/>
  <c r="C30" i="12" s="1"/>
  <c r="D24" i="12"/>
  <c r="C32" i="11" l="1"/>
  <c r="C38" i="11" s="1"/>
  <c r="D26" i="12"/>
  <c r="D30" i="12" s="1"/>
  <c r="D32" i="12" s="1"/>
  <c r="D34" i="12" s="1"/>
  <c r="E27" i="9"/>
  <c r="D29" i="9"/>
  <c r="D32" i="9" s="1"/>
  <c r="D38" i="9" s="1"/>
  <c r="A14" i="2"/>
  <c r="A16" i="2"/>
  <c r="A17" i="2" s="1"/>
  <c r="R17" i="9"/>
  <c r="Q19" i="9"/>
  <c r="P19" i="6"/>
  <c r="Q17" i="6"/>
  <c r="F17" i="7"/>
  <c r="Q19" i="5"/>
  <c r="R17" i="5"/>
  <c r="Q8" i="9"/>
  <c r="P11" i="9"/>
  <c r="P14" i="9" s="1"/>
  <c r="A11" i="6"/>
  <c r="F17" i="6"/>
  <c r="D27" i="5"/>
  <c r="C29" i="5"/>
  <c r="C32" i="5" s="1"/>
  <c r="G35" i="6"/>
  <c r="D9" i="3"/>
  <c r="C11" i="3"/>
  <c r="C14" i="3" s="1"/>
  <c r="P19" i="2"/>
  <c r="Q17" i="2"/>
  <c r="Q11" i="7"/>
  <c r="Q14" i="7" s="1"/>
  <c r="R8" i="7"/>
  <c r="A16" i="9"/>
  <c r="A14" i="9"/>
  <c r="F9" i="10"/>
  <c r="E11" i="10"/>
  <c r="E14" i="10" s="1"/>
  <c r="E20" i="10" s="1"/>
  <c r="Q11" i="8"/>
  <c r="Q14" i="8" s="1"/>
  <c r="R8" i="8"/>
  <c r="G17" i="8"/>
  <c r="E9" i="7"/>
  <c r="P11" i="6"/>
  <c r="P14" i="6" s="1"/>
  <c r="Q8" i="6"/>
  <c r="C9" i="2"/>
  <c r="E17" i="2"/>
  <c r="E11" i="11"/>
  <c r="E14" i="11" s="1"/>
  <c r="E20" i="11" s="1"/>
  <c r="F9" i="11"/>
  <c r="D14" i="10"/>
  <c r="D20" i="10" s="1"/>
  <c r="A13" i="8"/>
  <c r="C9" i="5"/>
  <c r="D35" i="4"/>
  <c r="Q11" i="5"/>
  <c r="Q14" i="5" s="1"/>
  <c r="R8" i="5"/>
  <c r="R8" i="2"/>
  <c r="Q11" i="2"/>
  <c r="Q14" i="2" s="1"/>
  <c r="C27" i="2"/>
  <c r="C29" i="3"/>
  <c r="C32" i="3" s="1"/>
  <c r="D27" i="3"/>
  <c r="D29" i="10"/>
  <c r="D32" i="10" s="1"/>
  <c r="D38" i="10" s="1"/>
  <c r="E27" i="10"/>
  <c r="E17" i="9"/>
  <c r="T17" i="10"/>
  <c r="S19" i="10"/>
  <c r="F35" i="5"/>
  <c r="R19" i="4"/>
  <c r="S17" i="4"/>
  <c r="E27" i="6"/>
  <c r="D29" i="6"/>
  <c r="D32" i="6" s="1"/>
  <c r="O37" i="5"/>
  <c r="C9" i="4"/>
  <c r="P11" i="4"/>
  <c r="P14" i="4" s="1"/>
  <c r="Q8" i="4"/>
  <c r="Q17" i="3"/>
  <c r="P19" i="3"/>
  <c r="E17" i="3"/>
  <c r="C32" i="12"/>
  <c r="C34" i="12" s="1"/>
  <c r="O20" i="9" s="1"/>
  <c r="A13" i="10"/>
  <c r="U44" i="11"/>
  <c r="R17" i="7"/>
  <c r="Q19" i="7"/>
  <c r="C27" i="4"/>
  <c r="P35" i="5"/>
  <c r="A11" i="4"/>
  <c r="F35" i="3"/>
  <c r="R44" i="9"/>
  <c r="Q8" i="10"/>
  <c r="P11" i="10"/>
  <c r="P14" i="10" s="1"/>
  <c r="S44" i="8"/>
  <c r="A13" i="11"/>
  <c r="A14" i="11" s="1"/>
  <c r="C29" i="7"/>
  <c r="C32" i="7" s="1"/>
  <c r="D27" i="7"/>
  <c r="C9" i="6"/>
  <c r="Q11" i="3"/>
  <c r="Q14" i="3" s="1"/>
  <c r="R8" i="3"/>
  <c r="A14" i="10"/>
  <c r="T8" i="11"/>
  <c r="S11" i="11"/>
  <c r="S14" i="11" s="1"/>
  <c r="A16" i="10"/>
  <c r="Q19" i="11"/>
  <c r="R17" i="11"/>
  <c r="D27" i="11"/>
  <c r="R17" i="8"/>
  <c r="Q19" i="8"/>
  <c r="C27" i="8"/>
  <c r="A14" i="7"/>
  <c r="P35" i="7"/>
  <c r="A13" i="5"/>
  <c r="A11" i="3"/>
  <c r="D9" i="8"/>
  <c r="C11" i="8"/>
  <c r="C14" i="8" s="1"/>
  <c r="C20" i="8" s="1"/>
  <c r="F35" i="2"/>
  <c r="Q20" i="11" l="1"/>
  <c r="Q22" i="11" s="1"/>
  <c r="Q20" i="5"/>
  <c r="Q22" i="5" s="1"/>
  <c r="P20" i="6"/>
  <c r="P22" i="6" s="1"/>
  <c r="P20" i="2"/>
  <c r="P22" i="2" s="1"/>
  <c r="A20" i="2"/>
  <c r="A22" i="2" s="1"/>
  <c r="D29" i="11"/>
  <c r="D32" i="11" s="1"/>
  <c r="D38" i="11" s="1"/>
  <c r="A17" i="7"/>
  <c r="A16" i="7"/>
  <c r="A22" i="7"/>
  <c r="A27" i="7" s="1"/>
  <c r="R19" i="8"/>
  <c r="S17" i="8"/>
  <c r="C38" i="7"/>
  <c r="P37" i="5"/>
  <c r="A20" i="7"/>
  <c r="F17" i="9"/>
  <c r="D27" i="2"/>
  <c r="C29" i="2"/>
  <c r="C32" i="2" s="1"/>
  <c r="C38" i="2" s="1"/>
  <c r="C40" i="2" s="1"/>
  <c r="H17" i="8"/>
  <c r="C38" i="5"/>
  <c r="G17" i="7"/>
  <c r="A14" i="8"/>
  <c r="F14" i="12"/>
  <c r="O20" i="4"/>
  <c r="C38" i="6"/>
  <c r="D20" i="7"/>
  <c r="O20" i="5"/>
  <c r="P20" i="7"/>
  <c r="P22" i="7" s="1"/>
  <c r="O20" i="3"/>
  <c r="O20" i="2"/>
  <c r="P20" i="3"/>
  <c r="P22" i="3" s="1"/>
  <c r="E35" i="4"/>
  <c r="D9" i="5"/>
  <c r="C11" i="5"/>
  <c r="C14" i="5" s="1"/>
  <c r="C20" i="5" s="1"/>
  <c r="F17" i="2"/>
  <c r="S8" i="8"/>
  <c r="R11" i="8"/>
  <c r="R14" i="8" s="1"/>
  <c r="R20" i="8" s="1"/>
  <c r="R22" i="8" s="1"/>
  <c r="C20" i="3"/>
  <c r="E27" i="5"/>
  <c r="D29" i="5"/>
  <c r="D32" i="5" s="1"/>
  <c r="D38" i="5" s="1"/>
  <c r="A17" i="10"/>
  <c r="A13" i="4"/>
  <c r="A16" i="4" s="1"/>
  <c r="Q20" i="7"/>
  <c r="Q22" i="7" s="1"/>
  <c r="D38" i="6"/>
  <c r="F27" i="10"/>
  <c r="E29" i="10"/>
  <c r="E32" i="10" s="1"/>
  <c r="E38" i="10" s="1"/>
  <c r="E9" i="3"/>
  <c r="D11" i="3"/>
  <c r="D14" i="3" s="1"/>
  <c r="D20" i="3" s="1"/>
  <c r="G17" i="6"/>
  <c r="R19" i="9"/>
  <c r="S17" i="9"/>
  <c r="P20" i="11"/>
  <c r="P22" i="11" s="1"/>
  <c r="S17" i="7"/>
  <c r="R19" i="7"/>
  <c r="T44" i="8"/>
  <c r="F17" i="3"/>
  <c r="R17" i="3"/>
  <c r="Q19" i="3"/>
  <c r="Q20" i="3" s="1"/>
  <c r="Q22" i="3" s="1"/>
  <c r="F27" i="6"/>
  <c r="E29" i="6"/>
  <c r="E32" i="6" s="1"/>
  <c r="E38" i="6" s="1"/>
  <c r="G35" i="5"/>
  <c r="T19" i="10"/>
  <c r="U17" i="10"/>
  <c r="R8" i="6"/>
  <c r="Q11" i="6"/>
  <c r="Q14" i="6" s="1"/>
  <c r="O20" i="11"/>
  <c r="A26" i="7"/>
  <c r="Q35" i="7"/>
  <c r="T11" i="11"/>
  <c r="T14" i="11" s="1"/>
  <c r="U8" i="11"/>
  <c r="C11" i="6"/>
  <c r="C14" i="6" s="1"/>
  <c r="C20" i="6" s="1"/>
  <c r="D9" i="6"/>
  <c r="V44" i="11"/>
  <c r="Q11" i="4"/>
  <c r="Q14" i="4" s="1"/>
  <c r="Q20" i="4" s="1"/>
  <c r="Q22" i="4" s="1"/>
  <c r="R8" i="4"/>
  <c r="P20" i="8"/>
  <c r="P22" i="8" s="1"/>
  <c r="R11" i="7"/>
  <c r="R14" i="7" s="1"/>
  <c r="R20" i="7" s="1"/>
  <c r="R22" i="7" s="1"/>
  <c r="S8" i="7"/>
  <c r="S17" i="5"/>
  <c r="R19" i="5"/>
  <c r="R20" i="5" s="1"/>
  <c r="R22" i="5" s="1"/>
  <c r="A20" i="10"/>
  <c r="Q20" i="8"/>
  <c r="Q22" i="8" s="1"/>
  <c r="R11" i="3"/>
  <c r="R14" i="3" s="1"/>
  <c r="S8" i="3"/>
  <c r="P20" i="10"/>
  <c r="P22" i="10" s="1"/>
  <c r="G35" i="3"/>
  <c r="P20" i="4"/>
  <c r="P22" i="4" s="1"/>
  <c r="S19" i="4"/>
  <c r="T17" i="4"/>
  <c r="D29" i="3"/>
  <c r="D32" i="3" s="1"/>
  <c r="D38" i="3" s="1"/>
  <c r="E27" i="3"/>
  <c r="S8" i="2"/>
  <c r="R11" i="2"/>
  <c r="R14" i="2" s="1"/>
  <c r="F9" i="7"/>
  <c r="E11" i="7"/>
  <c r="E14" i="7" s="1"/>
  <c r="E20" i="7" s="1"/>
  <c r="F11" i="10"/>
  <c r="F14" i="10" s="1"/>
  <c r="F20" i="10" s="1"/>
  <c r="G9" i="10"/>
  <c r="P20" i="9"/>
  <c r="P22" i="9" s="1"/>
  <c r="Q19" i="6"/>
  <c r="Q20" i="6"/>
  <c r="Q22" i="6" s="1"/>
  <c r="R17" i="6"/>
  <c r="P20" i="5"/>
  <c r="P22" i="5" s="1"/>
  <c r="O20" i="7"/>
  <c r="O20" i="10"/>
  <c r="S44" i="9"/>
  <c r="D27" i="8"/>
  <c r="C29" i="8"/>
  <c r="C32" i="8" s="1"/>
  <c r="C38" i="8" s="1"/>
  <c r="G35" i="2"/>
  <c r="S17" i="11"/>
  <c r="R19" i="11"/>
  <c r="Q11" i="10"/>
  <c r="Q14" i="10" s="1"/>
  <c r="Q20" i="10" s="1"/>
  <c r="Q22" i="10" s="1"/>
  <c r="R8" i="10"/>
  <c r="Q35" i="5"/>
  <c r="D9" i="4"/>
  <c r="C11" i="4"/>
  <c r="C14" i="4" s="1"/>
  <c r="C20" i="4" s="1"/>
  <c r="C38" i="3"/>
  <c r="R11" i="5"/>
  <c r="R14" i="5" s="1"/>
  <c r="S8" i="5"/>
  <c r="A13" i="6"/>
  <c r="A14" i="6" s="1"/>
  <c r="F11" i="11"/>
  <c r="F14" i="11" s="1"/>
  <c r="F20" i="11" s="1"/>
  <c r="G9" i="11"/>
  <c r="D9" i="2"/>
  <c r="C11" i="2"/>
  <c r="C14" i="2" s="1"/>
  <c r="C20" i="2" s="1"/>
  <c r="Q11" i="9"/>
  <c r="Q14" i="9" s="1"/>
  <c r="Q20" i="9" s="1"/>
  <c r="Q22" i="9" s="1"/>
  <c r="R8" i="9"/>
  <c r="D20" i="9"/>
  <c r="D27" i="4"/>
  <c r="C29" i="4"/>
  <c r="C32" i="4" s="1"/>
  <c r="C38" i="4" s="1"/>
  <c r="E9" i="8"/>
  <c r="D11" i="8"/>
  <c r="D14" i="8" s="1"/>
  <c r="D20" i="8" s="1"/>
  <c r="E27" i="11"/>
  <c r="A13" i="3"/>
  <c r="A14" i="3" s="1"/>
  <c r="A14" i="4"/>
  <c r="E27" i="7"/>
  <c r="D29" i="7"/>
  <c r="D32" i="7" s="1"/>
  <c r="D38" i="7" s="1"/>
  <c r="A16" i="11"/>
  <c r="R20" i="11"/>
  <c r="R22" i="11" s="1"/>
  <c r="E9" i="9"/>
  <c r="A14" i="5"/>
  <c r="O20" i="8"/>
  <c r="A17" i="9"/>
  <c r="Q20" i="2"/>
  <c r="Q22" i="2" s="1"/>
  <c r="Q19" i="2"/>
  <c r="R17" i="2"/>
  <c r="H35" i="6"/>
  <c r="O20" i="6"/>
  <c r="F27" i="9"/>
  <c r="E29" i="9"/>
  <c r="E32" i="9" s="1"/>
  <c r="E38" i="9" s="1"/>
  <c r="E29" i="11" l="1"/>
  <c r="E32" i="11" s="1"/>
  <c r="E38" i="11" s="1"/>
  <c r="E9" i="2"/>
  <c r="D11" i="2"/>
  <c r="D14" i="2" s="1"/>
  <c r="D20" i="2" s="1"/>
  <c r="E27" i="8"/>
  <c r="D29" i="8"/>
  <c r="D32" i="8" s="1"/>
  <c r="D38" i="8" s="1"/>
  <c r="U11" i="11"/>
  <c r="U14" i="11" s="1"/>
  <c r="V8" i="11"/>
  <c r="E9" i="5"/>
  <c r="D11" i="5"/>
  <c r="D14" i="5" s="1"/>
  <c r="D20" i="5" s="1"/>
  <c r="R11" i="9"/>
  <c r="R14" i="9" s="1"/>
  <c r="R20" i="9" s="1"/>
  <c r="R22" i="9" s="1"/>
  <c r="S8" i="9"/>
  <c r="G11" i="11"/>
  <c r="G14" i="11" s="1"/>
  <c r="G20" i="11" s="1"/>
  <c r="H9" i="11"/>
  <c r="W44" i="11"/>
  <c r="G27" i="6"/>
  <c r="F29" i="6"/>
  <c r="F32" i="6" s="1"/>
  <c r="F38" i="6" s="1"/>
  <c r="U44" i="8"/>
  <c r="F35" i="4"/>
  <c r="D11" i="4"/>
  <c r="D14" i="4" s="1"/>
  <c r="D20" i="4" s="1"/>
  <c r="E9" i="4"/>
  <c r="S11" i="7"/>
  <c r="S14" i="7" s="1"/>
  <c r="T8" i="7"/>
  <c r="A17" i="4"/>
  <c r="T8" i="8"/>
  <c r="S11" i="8"/>
  <c r="S14" i="8" s="1"/>
  <c r="H17" i="7"/>
  <c r="A22" i="10"/>
  <c r="A26" i="10" s="1"/>
  <c r="A27" i="2"/>
  <c r="I35" i="6"/>
  <c r="F9" i="8"/>
  <c r="E11" i="8"/>
  <c r="E14" i="8" s="1"/>
  <c r="E20" i="8" s="1"/>
  <c r="S19" i="11"/>
  <c r="S20" i="11" s="1"/>
  <c r="S22" i="11" s="1"/>
  <c r="T17" i="11"/>
  <c r="H9" i="10"/>
  <c r="G11" i="10"/>
  <c r="G14" i="10" s="1"/>
  <c r="G20" i="10" s="1"/>
  <c r="V17" i="10"/>
  <c r="U19" i="10"/>
  <c r="T17" i="9"/>
  <c r="S19" i="9"/>
  <c r="F9" i="3"/>
  <c r="E11" i="3"/>
  <c r="E14" i="3" s="1"/>
  <c r="E20" i="3" s="1"/>
  <c r="A28" i="7"/>
  <c r="A16" i="6"/>
  <c r="R35" i="5"/>
  <c r="T44" i="9"/>
  <c r="S11" i="2"/>
  <c r="S14" i="2" s="1"/>
  <c r="T8" i="2"/>
  <c r="A16" i="5"/>
  <c r="R19" i="3"/>
  <c r="R20" i="3" s="1"/>
  <c r="R22" i="3" s="1"/>
  <c r="S17" i="3"/>
  <c r="G17" i="2"/>
  <c r="E27" i="2"/>
  <c r="D29" i="2"/>
  <c r="D32" i="2" s="1"/>
  <c r="D38" i="2" s="1"/>
  <c r="D40" i="2" s="1"/>
  <c r="A28" i="2"/>
  <c r="E29" i="7"/>
  <c r="E32" i="7" s="1"/>
  <c r="E38" i="7" s="1"/>
  <c r="F27" i="7"/>
  <c r="G27" i="9"/>
  <c r="F29" i="9"/>
  <c r="F32" i="9" s="1"/>
  <c r="F38" i="9" s="1"/>
  <c r="A17" i="11"/>
  <c r="A20" i="11" s="1"/>
  <c r="A22" i="11" s="1"/>
  <c r="A16" i="3"/>
  <c r="E27" i="4"/>
  <c r="D29" i="4"/>
  <c r="D32" i="4" s="1"/>
  <c r="D38" i="4" s="1"/>
  <c r="T8" i="5"/>
  <c r="S11" i="5"/>
  <c r="S14" i="5" s="1"/>
  <c r="S17" i="6"/>
  <c r="R19" i="6"/>
  <c r="F27" i="3"/>
  <c r="E29" i="3"/>
  <c r="E32" i="3" s="1"/>
  <c r="E38" i="3" s="1"/>
  <c r="E9" i="6"/>
  <c r="D11" i="6"/>
  <c r="D14" i="6" s="1"/>
  <c r="D20" i="6" s="1"/>
  <c r="R35" i="7"/>
  <c r="G17" i="9"/>
  <c r="A26" i="2"/>
  <c r="A29" i="2" s="1"/>
  <c r="F9" i="9"/>
  <c r="E11" i="9"/>
  <c r="E14" i="9" s="1"/>
  <c r="E20" i="9" s="1"/>
  <c r="F27" i="11"/>
  <c r="A17" i="5"/>
  <c r="A20" i="5" s="1"/>
  <c r="Q37" i="5"/>
  <c r="H35" i="2"/>
  <c r="H35" i="3"/>
  <c r="T8" i="3"/>
  <c r="S11" i="3"/>
  <c r="S14" i="3" s="1"/>
  <c r="T17" i="5"/>
  <c r="S19" i="5"/>
  <c r="S20" i="5" s="1"/>
  <c r="S22" i="5" s="1"/>
  <c r="S8" i="6"/>
  <c r="R11" i="6"/>
  <c r="R14" i="6" s="1"/>
  <c r="R20" i="6" s="1"/>
  <c r="R22" i="6" s="1"/>
  <c r="S19" i="7"/>
  <c r="S20" i="7"/>
  <c r="S22" i="7" s="1"/>
  <c r="T17" i="7"/>
  <c r="G27" i="10"/>
  <c r="F29" i="10"/>
  <c r="F32" i="10" s="1"/>
  <c r="F38" i="10" s="1"/>
  <c r="S19" i="8"/>
  <c r="S20" i="8"/>
  <c r="S22" i="8" s="1"/>
  <c r="T17" i="8"/>
  <c r="A20" i="9"/>
  <c r="A22" i="9"/>
  <c r="R19" i="2"/>
  <c r="S17" i="2"/>
  <c r="R20" i="2"/>
  <c r="R22" i="2" s="1"/>
  <c r="R11" i="10"/>
  <c r="R14" i="10" s="1"/>
  <c r="R20" i="10" s="1"/>
  <c r="R22" i="10" s="1"/>
  <c r="S8" i="10"/>
  <c r="G9" i="7"/>
  <c r="F11" i="7"/>
  <c r="F14" i="7" s="1"/>
  <c r="F20" i="7" s="1"/>
  <c r="T19" i="4"/>
  <c r="U17" i="4"/>
  <c r="R11" i="4"/>
  <c r="R14" i="4" s="1"/>
  <c r="R20" i="4" s="1"/>
  <c r="R22" i="4" s="1"/>
  <c r="S8" i="4"/>
  <c r="H35" i="5"/>
  <c r="G17" i="3"/>
  <c r="H17" i="6"/>
  <c r="F27" i="5"/>
  <c r="E29" i="5"/>
  <c r="E32" i="5" s="1"/>
  <c r="E38" i="5" s="1"/>
  <c r="A16" i="8"/>
  <c r="I17" i="8"/>
  <c r="A29" i="7"/>
  <c r="F29" i="11" l="1"/>
  <c r="F32" i="11" s="1"/>
  <c r="F38" i="11" s="1"/>
  <c r="A27" i="10"/>
  <c r="A28" i="10"/>
  <c r="A29" i="10" s="1"/>
  <c r="I17" i="6"/>
  <c r="I35" i="3"/>
  <c r="T11" i="5"/>
  <c r="T14" i="5" s="1"/>
  <c r="U8" i="5"/>
  <c r="T11" i="2"/>
  <c r="T14" i="2" s="1"/>
  <c r="U8" i="2"/>
  <c r="T11" i="8"/>
  <c r="T14" i="8" s="1"/>
  <c r="U8" i="8"/>
  <c r="A20" i="4"/>
  <c r="H9" i="7"/>
  <c r="G11" i="7"/>
  <c r="G14" i="7" s="1"/>
  <c r="G20" i="7" s="1"/>
  <c r="G27" i="11"/>
  <c r="F27" i="2"/>
  <c r="E29" i="2"/>
  <c r="E32" i="2" s="1"/>
  <c r="E38" i="2" s="1"/>
  <c r="E40" i="2" s="1"/>
  <c r="T17" i="3"/>
  <c r="S19" i="3"/>
  <c r="S20" i="3" s="1"/>
  <c r="S22" i="3" s="1"/>
  <c r="G9" i="3"/>
  <c r="F11" i="3"/>
  <c r="F14" i="3" s="1"/>
  <c r="F20" i="3" s="1"/>
  <c r="V44" i="8"/>
  <c r="T8" i="10"/>
  <c r="S11" i="10"/>
  <c r="S14" i="10" s="1"/>
  <c r="S20" i="10" s="1"/>
  <c r="S22" i="10" s="1"/>
  <c r="H27" i="10"/>
  <c r="G29" i="10"/>
  <c r="G32" i="10" s="1"/>
  <c r="G38" i="10" s="1"/>
  <c r="S11" i="6"/>
  <c r="S14" i="6" s="1"/>
  <c r="T8" i="6"/>
  <c r="H17" i="9"/>
  <c r="G27" i="3"/>
  <c r="F29" i="3"/>
  <c r="F32" i="3" s="1"/>
  <c r="F38" i="3" s="1"/>
  <c r="F27" i="4"/>
  <c r="E29" i="4"/>
  <c r="E32" i="4" s="1"/>
  <c r="E38" i="4" s="1"/>
  <c r="U44" i="9"/>
  <c r="G9" i="8"/>
  <c r="F11" i="8"/>
  <c r="F14" i="8" s="1"/>
  <c r="F20" i="8" s="1"/>
  <c r="A27" i="9"/>
  <c r="A28" i="9" s="1"/>
  <c r="A22" i="4"/>
  <c r="F27" i="8"/>
  <c r="E29" i="8"/>
  <c r="E32" i="8" s="1"/>
  <c r="E38" i="8" s="1"/>
  <c r="S19" i="2"/>
  <c r="S20" i="2" s="1"/>
  <c r="S22" i="2" s="1"/>
  <c r="T17" i="2"/>
  <c r="A26" i="9"/>
  <c r="I35" i="2"/>
  <c r="H27" i="9"/>
  <c r="G29" i="9"/>
  <c r="G32" i="9" s="1"/>
  <c r="G38" i="9" s="1"/>
  <c r="T19" i="9"/>
  <c r="U17" i="9"/>
  <c r="I9" i="10"/>
  <c r="H11" i="10"/>
  <c r="H14" i="10" s="1"/>
  <c r="H20" i="10" s="1"/>
  <c r="G35" i="4"/>
  <c r="H27" i="6"/>
  <c r="G29" i="6"/>
  <c r="G32" i="6" s="1"/>
  <c r="G38" i="6" s="1"/>
  <c r="I9" i="11"/>
  <c r="H11" i="11"/>
  <c r="H14" i="11" s="1"/>
  <c r="H20" i="11" s="1"/>
  <c r="F9" i="5"/>
  <c r="E11" i="5"/>
  <c r="E14" i="5" s="1"/>
  <c r="E20" i="5" s="1"/>
  <c r="U17" i="8"/>
  <c r="T20" i="8"/>
  <c r="T22" i="8" s="1"/>
  <c r="T19" i="8"/>
  <c r="U17" i="7"/>
  <c r="T19" i="7"/>
  <c r="A26" i="11"/>
  <c r="A27" i="11" s="1"/>
  <c r="A28" i="11" s="1"/>
  <c r="A29" i="11" s="1"/>
  <c r="G27" i="7"/>
  <c r="F29" i="7"/>
  <c r="F32" i="7" s="1"/>
  <c r="F38" i="7" s="1"/>
  <c r="T11" i="7"/>
  <c r="T14" i="7" s="1"/>
  <c r="T20" i="7" s="1"/>
  <c r="T22" i="7" s="1"/>
  <c r="U8" i="7"/>
  <c r="F9" i="4"/>
  <c r="E11" i="4"/>
  <c r="E14" i="4" s="1"/>
  <c r="E20" i="4" s="1"/>
  <c r="F9" i="2"/>
  <c r="E11" i="2"/>
  <c r="E14" i="2" s="1"/>
  <c r="E20" i="2" s="1"/>
  <c r="A31" i="7"/>
  <c r="S11" i="4"/>
  <c r="S14" i="4" s="1"/>
  <c r="S20" i="4" s="1"/>
  <c r="S22" i="4" s="1"/>
  <c r="T8" i="4"/>
  <c r="J17" i="8"/>
  <c r="T19" i="5"/>
  <c r="U17" i="5"/>
  <c r="T20" i="5"/>
  <c r="T22" i="5" s="1"/>
  <c r="S35" i="7"/>
  <c r="S20" i="6"/>
  <c r="S22" i="6" s="1"/>
  <c r="S19" i="6"/>
  <c r="T17" i="6"/>
  <c r="A17" i="3"/>
  <c r="H17" i="2"/>
  <c r="R37" i="5"/>
  <c r="A26" i="5"/>
  <c r="J35" i="6"/>
  <c r="I17" i="7"/>
  <c r="S11" i="9"/>
  <c r="S14" i="9" s="1"/>
  <c r="S20" i="9" s="1"/>
  <c r="S22" i="9" s="1"/>
  <c r="T8" i="9"/>
  <c r="A17" i="8"/>
  <c r="H17" i="3"/>
  <c r="G27" i="5"/>
  <c r="F29" i="5"/>
  <c r="F32" i="5" s="1"/>
  <c r="F38" i="5" s="1"/>
  <c r="G9" i="9"/>
  <c r="F11" i="9"/>
  <c r="F14" i="9" s="1"/>
  <c r="F20" i="9" s="1"/>
  <c r="A22" i="5"/>
  <c r="S35" i="5"/>
  <c r="U17" i="11"/>
  <c r="T19" i="11"/>
  <c r="T20" i="11" s="1"/>
  <c r="T22" i="11" s="1"/>
  <c r="X44" i="11"/>
  <c r="V17" i="4"/>
  <c r="U19" i="4"/>
  <c r="I35" i="5"/>
  <c r="T11" i="3"/>
  <c r="T14" i="3" s="1"/>
  <c r="U8" i="3"/>
  <c r="A31" i="2"/>
  <c r="A32" i="2"/>
  <c r="F9" i="6"/>
  <c r="E11" i="6"/>
  <c r="E14" i="6" s="1"/>
  <c r="E20" i="6" s="1"/>
  <c r="A26" i="4"/>
  <c r="A17" i="6"/>
  <c r="W17" i="10"/>
  <c r="V19" i="10"/>
  <c r="W8" i="11"/>
  <c r="V11" i="11"/>
  <c r="V14" i="11" s="1"/>
  <c r="G29" i="11" l="1"/>
  <c r="G32" i="11" s="1"/>
  <c r="G38" i="11" s="1"/>
  <c r="W19" i="10"/>
  <c r="X17" i="10"/>
  <c r="U11" i="3"/>
  <c r="U14" i="3" s="1"/>
  <c r="V8" i="3"/>
  <c r="V17" i="11"/>
  <c r="U19" i="11"/>
  <c r="T11" i="9"/>
  <c r="T14" i="9" s="1"/>
  <c r="T20" i="9" s="1"/>
  <c r="T22" i="9" s="1"/>
  <c r="U8" i="9"/>
  <c r="U11" i="7"/>
  <c r="U14" i="7" s="1"/>
  <c r="V8" i="7"/>
  <c r="U17" i="2"/>
  <c r="T19" i="2"/>
  <c r="T20" i="2" s="1"/>
  <c r="T22" i="2" s="1"/>
  <c r="G27" i="4"/>
  <c r="F29" i="4"/>
  <c r="F32" i="4" s="1"/>
  <c r="F38" i="4" s="1"/>
  <c r="U8" i="6"/>
  <c r="T11" i="6"/>
  <c r="T14" i="6" s="1"/>
  <c r="G9" i="6"/>
  <c r="F11" i="6"/>
  <c r="F14" i="6" s="1"/>
  <c r="F20" i="6" s="1"/>
  <c r="T11" i="4"/>
  <c r="T14" i="4" s="1"/>
  <c r="T20" i="4" s="1"/>
  <c r="T22" i="4" s="1"/>
  <c r="U8" i="4"/>
  <c r="I11" i="11"/>
  <c r="I14" i="11" s="1"/>
  <c r="I20" i="11" s="1"/>
  <c r="J9" i="11"/>
  <c r="A32" i="7"/>
  <c r="A34" i="7" s="1"/>
  <c r="A35" i="7" s="1"/>
  <c r="A38" i="7" s="1"/>
  <c r="A40" i="7" s="1"/>
  <c r="A43" i="7" s="1"/>
  <c r="A44" i="7" s="1"/>
  <c r="H9" i="3"/>
  <c r="G11" i="3"/>
  <c r="G14" i="3" s="1"/>
  <c r="G20" i="3" s="1"/>
  <c r="U11" i="8"/>
  <c r="U14" i="8" s="1"/>
  <c r="V8" i="8"/>
  <c r="U11" i="5"/>
  <c r="U14" i="5" s="1"/>
  <c r="V8" i="5"/>
  <c r="J17" i="6"/>
  <c r="W17" i="4"/>
  <c r="V19" i="4"/>
  <c r="T20" i="6"/>
  <c r="T22" i="6" s="1"/>
  <c r="T19" i="6"/>
  <c r="U17" i="6"/>
  <c r="H27" i="7"/>
  <c r="G29" i="7"/>
  <c r="G32" i="7" s="1"/>
  <c r="G38" i="7" s="1"/>
  <c r="U20" i="8"/>
  <c r="U22" i="8" s="1"/>
  <c r="U19" i="8"/>
  <c r="V17" i="8"/>
  <c r="I27" i="9"/>
  <c r="H29" i="9"/>
  <c r="H32" i="9" s="1"/>
  <c r="H38" i="9" s="1"/>
  <c r="H27" i="3"/>
  <c r="G29" i="3"/>
  <c r="G32" i="3" s="1"/>
  <c r="G38" i="3" s="1"/>
  <c r="H27" i="11"/>
  <c r="A20" i="8"/>
  <c r="A22" i="8" s="1"/>
  <c r="J17" i="7"/>
  <c r="V17" i="5"/>
  <c r="U20" i="5"/>
  <c r="U22" i="5" s="1"/>
  <c r="U19" i="5"/>
  <c r="I27" i="6"/>
  <c r="H29" i="6"/>
  <c r="H32" i="6" s="1"/>
  <c r="H38" i="6" s="1"/>
  <c r="H9" i="8"/>
  <c r="G11" i="8"/>
  <c r="G14" i="8" s="1"/>
  <c r="G20" i="8" s="1"/>
  <c r="I27" i="10"/>
  <c r="H29" i="10"/>
  <c r="H32" i="10" s="1"/>
  <c r="H38" i="10" s="1"/>
  <c r="W44" i="8"/>
  <c r="A31" i="10"/>
  <c r="A35" i="10" s="1"/>
  <c r="H9" i="9"/>
  <c r="G11" i="9"/>
  <c r="G14" i="9" s="1"/>
  <c r="G20" i="9" s="1"/>
  <c r="S37" i="5"/>
  <c r="J9" i="10"/>
  <c r="I11" i="10"/>
  <c r="I14" i="10" s="1"/>
  <c r="I20" i="10" s="1"/>
  <c r="I9" i="7"/>
  <c r="H11" i="7"/>
  <c r="H14" i="7" s="1"/>
  <c r="H20" i="7" s="1"/>
  <c r="A20" i="6"/>
  <c r="A34" i="2"/>
  <c r="J35" i="5"/>
  <c r="Y44" i="11"/>
  <c r="H27" i="5"/>
  <c r="G29" i="5"/>
  <c r="G32" i="5" s="1"/>
  <c r="G38" i="5" s="1"/>
  <c r="T35" i="7"/>
  <c r="G9" i="2"/>
  <c r="F11" i="2"/>
  <c r="F14" i="2" s="1"/>
  <c r="F20" i="2" s="1"/>
  <c r="O35" i="9"/>
  <c r="J35" i="2"/>
  <c r="G27" i="8"/>
  <c r="F29" i="8"/>
  <c r="F32" i="8" s="1"/>
  <c r="F38" i="8" s="1"/>
  <c r="V44" i="9"/>
  <c r="U8" i="10"/>
  <c r="T11" i="10"/>
  <c r="T14" i="10" s="1"/>
  <c r="T20" i="10" s="1"/>
  <c r="T22" i="10" s="1"/>
  <c r="T19" i="3"/>
  <c r="T20" i="3" s="1"/>
  <c r="T22" i="3" s="1"/>
  <c r="U17" i="3"/>
  <c r="J35" i="3"/>
  <c r="A31" i="11"/>
  <c r="A32" i="11" s="1"/>
  <c r="A34" i="11" s="1"/>
  <c r="A35" i="11" s="1"/>
  <c r="A38" i="11" s="1"/>
  <c r="A40" i="11" s="1"/>
  <c r="A42" i="11" s="1"/>
  <c r="K35" i="6"/>
  <c r="I17" i="2"/>
  <c r="A22" i="6"/>
  <c r="A26" i="6" s="1"/>
  <c r="H35" i="4"/>
  <c r="U19" i="9"/>
  <c r="V17" i="9"/>
  <c r="A31" i="9"/>
  <c r="A32" i="9" s="1"/>
  <c r="A34" i="9" s="1"/>
  <c r="A29" i="9"/>
  <c r="I17" i="9"/>
  <c r="A27" i="4"/>
  <c r="U11" i="2"/>
  <c r="U14" i="2" s="1"/>
  <c r="V8" i="2"/>
  <c r="A32" i="10"/>
  <c r="A34" i="10" s="1"/>
  <c r="T35" i="5"/>
  <c r="X8" i="11"/>
  <c r="W11" i="11"/>
  <c r="W14" i="11" s="1"/>
  <c r="A20" i="3"/>
  <c r="I17" i="3"/>
  <c r="K17" i="8"/>
  <c r="G9" i="4"/>
  <c r="F11" i="4"/>
  <c r="F14" i="4" s="1"/>
  <c r="F20" i="4" s="1"/>
  <c r="U20" i="7"/>
  <c r="U22" i="7" s="1"/>
  <c r="U19" i="7"/>
  <c r="V17" i="7"/>
  <c r="F11" i="5"/>
  <c r="F14" i="5" s="1"/>
  <c r="F20" i="5" s="1"/>
  <c r="G9" i="5"/>
  <c r="A27" i="5"/>
  <c r="A28" i="5" s="1"/>
  <c r="A29" i="5" s="1"/>
  <c r="G27" i="2"/>
  <c r="F29" i="2"/>
  <c r="F32" i="2" s="1"/>
  <c r="F38" i="2" s="1"/>
  <c r="F40" i="2" s="1"/>
  <c r="U20" i="11"/>
  <c r="U22" i="11" s="1"/>
  <c r="H29" i="11" l="1"/>
  <c r="H32" i="11" s="1"/>
  <c r="H38" i="11" s="1"/>
  <c r="A26" i="8"/>
  <c r="T37" i="5"/>
  <c r="K35" i="2"/>
  <c r="A22" i="3"/>
  <c r="A26" i="3" s="1"/>
  <c r="J27" i="9"/>
  <c r="I29" i="9"/>
  <c r="I32" i="9" s="1"/>
  <c r="I38" i="9" s="1"/>
  <c r="K17" i="6"/>
  <c r="V11" i="7"/>
  <c r="V14" i="7" s="1"/>
  <c r="W8" i="7"/>
  <c r="J17" i="9"/>
  <c r="J27" i="10"/>
  <c r="I29" i="10"/>
  <c r="I32" i="10" s="1"/>
  <c r="I38" i="10" s="1"/>
  <c r="V19" i="5"/>
  <c r="V20" i="5" s="1"/>
  <c r="V22" i="5" s="1"/>
  <c r="W17" i="5"/>
  <c r="V11" i="5"/>
  <c r="V14" i="5" s="1"/>
  <c r="W8" i="5"/>
  <c r="J11" i="11"/>
  <c r="J14" i="11" s="1"/>
  <c r="J20" i="11" s="1"/>
  <c r="K9" i="11"/>
  <c r="A31" i="5"/>
  <c r="A38" i="5" s="1"/>
  <c r="A40" i="5" s="1"/>
  <c r="A43" i="5" s="1"/>
  <c r="A44" i="5" s="1"/>
  <c r="A38" i="10"/>
  <c r="A40" i="10" s="1"/>
  <c r="A43" i="10" s="1"/>
  <c r="A44" i="10" s="1"/>
  <c r="J17" i="2"/>
  <c r="U11" i="10"/>
  <c r="U14" i="10" s="1"/>
  <c r="U20" i="10" s="1"/>
  <c r="U22" i="10" s="1"/>
  <c r="V8" i="10"/>
  <c r="H9" i="2"/>
  <c r="G11" i="2"/>
  <c r="G14" i="2" s="1"/>
  <c r="G20" i="2" s="1"/>
  <c r="K17" i="7"/>
  <c r="V19" i="8"/>
  <c r="W17" i="8"/>
  <c r="A32" i="5"/>
  <c r="V8" i="6"/>
  <c r="U11" i="6"/>
  <c r="U14" i="6" s="1"/>
  <c r="H9" i="4"/>
  <c r="G11" i="4"/>
  <c r="G14" i="4" s="1"/>
  <c r="G20" i="4" s="1"/>
  <c r="H9" i="5"/>
  <c r="G11" i="5"/>
  <c r="G14" i="5" s="1"/>
  <c r="G20" i="5" s="1"/>
  <c r="A44" i="11"/>
  <c r="A45" i="11" s="1"/>
  <c r="W17" i="9"/>
  <c r="V19" i="9"/>
  <c r="K35" i="5"/>
  <c r="J9" i="7"/>
  <c r="I11" i="7"/>
  <c r="I14" i="7" s="1"/>
  <c r="I20" i="7" s="1"/>
  <c r="I9" i="8"/>
  <c r="H11" i="8"/>
  <c r="H14" i="8" s="1"/>
  <c r="H20" i="8" s="1"/>
  <c r="I27" i="11"/>
  <c r="W8" i="8"/>
  <c r="V11" i="8"/>
  <c r="V14" i="8" s="1"/>
  <c r="V20" i="8" s="1"/>
  <c r="V22" i="8" s="1"/>
  <c r="U11" i="4"/>
  <c r="U14" i="4" s="1"/>
  <c r="U20" i="4" s="1"/>
  <c r="U22" i="4" s="1"/>
  <c r="V8" i="4"/>
  <c r="V19" i="11"/>
  <c r="V20" i="11" s="1"/>
  <c r="V22" i="11" s="1"/>
  <c r="W17" i="11"/>
  <c r="U35" i="5"/>
  <c r="V11" i="2"/>
  <c r="V14" i="2" s="1"/>
  <c r="W8" i="2"/>
  <c r="K35" i="3"/>
  <c r="I9" i="9"/>
  <c r="H11" i="9"/>
  <c r="H14" i="9" s="1"/>
  <c r="H20" i="9" s="1"/>
  <c r="X17" i="4"/>
  <c r="W19" i="4"/>
  <c r="H27" i="4"/>
  <c r="G29" i="4"/>
  <c r="G32" i="4" s="1"/>
  <c r="G38" i="4" s="1"/>
  <c r="W8" i="3"/>
  <c r="V11" i="3"/>
  <c r="V14" i="3" s="1"/>
  <c r="L17" i="8"/>
  <c r="A35" i="9"/>
  <c r="P35" i="9"/>
  <c r="I27" i="5"/>
  <c r="H29" i="5"/>
  <c r="H32" i="5" s="1"/>
  <c r="H38" i="5" s="1"/>
  <c r="H9" i="6"/>
  <c r="G11" i="6"/>
  <c r="G14" i="6" s="1"/>
  <c r="G20" i="6" s="1"/>
  <c r="H27" i="2"/>
  <c r="G29" i="2"/>
  <c r="G32" i="2" s="1"/>
  <c r="G38" i="2" s="1"/>
  <c r="G40" i="2" s="1"/>
  <c r="A46" i="11"/>
  <c r="A49" i="11" s="1"/>
  <c r="A50" i="11" s="1"/>
  <c r="V20" i="7"/>
  <c r="V22" i="7" s="1"/>
  <c r="W17" i="7"/>
  <c r="V19" i="7"/>
  <c r="J17" i="3"/>
  <c r="Y8" i="11"/>
  <c r="X11" i="11"/>
  <c r="X14" i="11" s="1"/>
  <c r="A28" i="4"/>
  <c r="L35" i="6"/>
  <c r="U20" i="3"/>
  <c r="U22" i="3" s="1"/>
  <c r="U19" i="3"/>
  <c r="V17" i="3"/>
  <c r="U35" i="7"/>
  <c r="A34" i="5"/>
  <c r="A35" i="5" s="1"/>
  <c r="A27" i="6"/>
  <c r="A28" i="6" s="1"/>
  <c r="A29" i="6" s="1"/>
  <c r="X44" i="8"/>
  <c r="J27" i="6"/>
  <c r="I29" i="6"/>
  <c r="I32" i="6" s="1"/>
  <c r="I38" i="6" s="1"/>
  <c r="I27" i="3"/>
  <c r="H29" i="3"/>
  <c r="H32" i="3" s="1"/>
  <c r="H38" i="3" s="1"/>
  <c r="H29" i="7"/>
  <c r="H32" i="7" s="1"/>
  <c r="H38" i="7" s="1"/>
  <c r="I27" i="7"/>
  <c r="I9" i="3"/>
  <c r="H11" i="3"/>
  <c r="H14" i="3" s="1"/>
  <c r="H20" i="3" s="1"/>
  <c r="V8" i="9"/>
  <c r="U11" i="9"/>
  <c r="U14" i="9" s="1"/>
  <c r="U20" i="9" s="1"/>
  <c r="U22" i="9" s="1"/>
  <c r="Y17" i="10"/>
  <c r="X19" i="10"/>
  <c r="W44" i="9"/>
  <c r="A38" i="9"/>
  <c r="A40" i="9" s="1"/>
  <c r="A42" i="9" s="1"/>
  <c r="A44" i="9" s="1"/>
  <c r="A45" i="9" s="1"/>
  <c r="A46" i="9" s="1"/>
  <c r="A49" i="9" s="1"/>
  <c r="A50" i="9" s="1"/>
  <c r="I35" i="4"/>
  <c r="H27" i="8"/>
  <c r="G29" i="8"/>
  <c r="G32" i="8" s="1"/>
  <c r="G38" i="8" s="1"/>
  <c r="Z44" i="11"/>
  <c r="J11" i="10"/>
  <c r="J14" i="10" s="1"/>
  <c r="J20" i="10" s="1"/>
  <c r="K9" i="10"/>
  <c r="U19" i="6"/>
  <c r="U20" i="6" s="1"/>
  <c r="U22" i="6" s="1"/>
  <c r="V17" i="6"/>
  <c r="V17" i="2"/>
  <c r="U19" i="2"/>
  <c r="U20" i="2" s="1"/>
  <c r="U22" i="2" s="1"/>
  <c r="A35" i="2"/>
  <c r="A38" i="2" s="1"/>
  <c r="A40" i="2" s="1"/>
  <c r="A43" i="2" s="1"/>
  <c r="A44" i="2" s="1"/>
  <c r="I29" i="11" l="1"/>
  <c r="I32" i="11" s="1"/>
  <c r="I38" i="11" s="1"/>
  <c r="K11" i="10"/>
  <c r="K14" i="10" s="1"/>
  <c r="K20" i="10" s="1"/>
  <c r="L9" i="10"/>
  <c r="V19" i="6"/>
  <c r="W17" i="6"/>
  <c r="V20" i="6"/>
  <c r="V22" i="6" s="1"/>
  <c r="I27" i="8"/>
  <c r="H29" i="8"/>
  <c r="H32" i="8" s="1"/>
  <c r="H38" i="8" s="1"/>
  <c r="Y44" i="8"/>
  <c r="I9" i="6"/>
  <c r="H11" i="6"/>
  <c r="H14" i="6" s="1"/>
  <c r="H20" i="6" s="1"/>
  <c r="W19" i="9"/>
  <c r="X17" i="9"/>
  <c r="W19" i="5"/>
  <c r="W20" i="5" s="1"/>
  <c r="W22" i="5" s="1"/>
  <c r="X17" i="5"/>
  <c r="X8" i="7"/>
  <c r="W11" i="7"/>
  <c r="W14" i="7" s="1"/>
  <c r="W20" i="7" s="1"/>
  <c r="W22" i="7" s="1"/>
  <c r="A27" i="3"/>
  <c r="A28" i="3" s="1"/>
  <c r="A29" i="3" s="1"/>
  <c r="Y11" i="11"/>
  <c r="Y14" i="11" s="1"/>
  <c r="Z8" i="11"/>
  <c r="W19" i="7"/>
  <c r="X17" i="7"/>
  <c r="Q35" i="9"/>
  <c r="V35" i="5"/>
  <c r="K9" i="7"/>
  <c r="J11" i="7"/>
  <c r="J14" i="7" s="1"/>
  <c r="J20" i="7" s="1"/>
  <c r="V11" i="6"/>
  <c r="V14" i="6" s="1"/>
  <c r="W8" i="6"/>
  <c r="K17" i="2"/>
  <c r="Z17" i="10"/>
  <c r="Y19" i="10"/>
  <c r="K17" i="3"/>
  <c r="M17" i="8"/>
  <c r="W11" i="3"/>
  <c r="W14" i="3" s="1"/>
  <c r="X8" i="3"/>
  <c r="J9" i="9"/>
  <c r="I11" i="9"/>
  <c r="I14" i="9" s="1"/>
  <c r="I20" i="9" s="1"/>
  <c r="W11" i="8"/>
  <c r="W14" i="8" s="1"/>
  <c r="X8" i="8"/>
  <c r="L35" i="5"/>
  <c r="U37" i="5"/>
  <c r="W19" i="8"/>
  <c r="W20" i="8" s="1"/>
  <c r="W22" i="8" s="1"/>
  <c r="X17" i="8"/>
  <c r="I9" i="2"/>
  <c r="H11" i="2"/>
  <c r="H14" i="2" s="1"/>
  <c r="H20" i="2" s="1"/>
  <c r="L17" i="6"/>
  <c r="L35" i="2"/>
  <c r="A27" i="8"/>
  <c r="M35" i="6"/>
  <c r="I27" i="4"/>
  <c r="H29" i="4"/>
  <c r="H32" i="4" s="1"/>
  <c r="H38" i="4" s="1"/>
  <c r="W19" i="11"/>
  <c r="W20" i="11" s="1"/>
  <c r="W22" i="11" s="1"/>
  <c r="X17" i="11"/>
  <c r="J27" i="11"/>
  <c r="L9" i="11"/>
  <c r="K11" i="11"/>
  <c r="K14" i="11" s="1"/>
  <c r="K20" i="11" s="1"/>
  <c r="K27" i="10"/>
  <c r="J29" i="10"/>
  <c r="J32" i="10" s="1"/>
  <c r="J38" i="10" s="1"/>
  <c r="A31" i="6"/>
  <c r="I29" i="7"/>
  <c r="I32" i="7" s="1"/>
  <c r="I38" i="7" s="1"/>
  <c r="J27" i="7"/>
  <c r="W8" i="9"/>
  <c r="V11" i="9"/>
  <c r="V14" i="9" s="1"/>
  <c r="V20" i="9" s="1"/>
  <c r="V22" i="9" s="1"/>
  <c r="I9" i="5"/>
  <c r="H11" i="5"/>
  <c r="H14" i="5" s="1"/>
  <c r="H20" i="5" s="1"/>
  <c r="V11" i="10"/>
  <c r="V14" i="10" s="1"/>
  <c r="V20" i="10" s="1"/>
  <c r="V22" i="10" s="1"/>
  <c r="W8" i="10"/>
  <c r="K17" i="9"/>
  <c r="A32" i="6"/>
  <c r="A34" i="6" s="1"/>
  <c r="A35" i="6" s="1"/>
  <c r="A38" i="6" s="1"/>
  <c r="A40" i="6" s="1"/>
  <c r="A43" i="6" s="1"/>
  <c r="A44" i="6" s="1"/>
  <c r="J35" i="4"/>
  <c r="J27" i="3"/>
  <c r="I29" i="3"/>
  <c r="I32" i="3" s="1"/>
  <c r="I38" i="3" s="1"/>
  <c r="K27" i="6"/>
  <c r="J29" i="6"/>
  <c r="J32" i="6" s="1"/>
  <c r="J38" i="6" s="1"/>
  <c r="V35" i="7"/>
  <c r="I27" i="2"/>
  <c r="H29" i="2"/>
  <c r="H32" i="2" s="1"/>
  <c r="H38" i="2" s="1"/>
  <c r="H40" i="2" s="1"/>
  <c r="L35" i="10"/>
  <c r="L35" i="3"/>
  <c r="X8" i="5"/>
  <c r="W11" i="5"/>
  <c r="W14" i="5" s="1"/>
  <c r="AA44" i="11"/>
  <c r="V20" i="2"/>
  <c r="V22" i="2" s="1"/>
  <c r="W17" i="2"/>
  <c r="V19" i="2"/>
  <c r="X44" i="9"/>
  <c r="J9" i="3"/>
  <c r="I11" i="3"/>
  <c r="I14" i="3" s="1"/>
  <c r="I20" i="3" s="1"/>
  <c r="V19" i="3"/>
  <c r="V20" i="3" s="1"/>
  <c r="V22" i="3" s="1"/>
  <c r="W17" i="3"/>
  <c r="A29" i="4"/>
  <c r="A31" i="4" s="1"/>
  <c r="A32" i="4"/>
  <c r="A34" i="4" s="1"/>
  <c r="A35" i="4" s="1"/>
  <c r="A38" i="4" s="1"/>
  <c r="A40" i="4" s="1"/>
  <c r="A43" i="4" s="1"/>
  <c r="A44" i="4" s="1"/>
  <c r="J27" i="5"/>
  <c r="I29" i="5"/>
  <c r="I32" i="5" s="1"/>
  <c r="I38" i="5" s="1"/>
  <c r="Y17" i="4"/>
  <c r="X19" i="4"/>
  <c r="X8" i="2"/>
  <c r="W11" i="2"/>
  <c r="W14" i="2" s="1"/>
  <c r="V11" i="4"/>
  <c r="V14" i="4" s="1"/>
  <c r="V20" i="4" s="1"/>
  <c r="V22" i="4" s="1"/>
  <c r="W8" i="4"/>
  <c r="J9" i="8"/>
  <c r="I11" i="8"/>
  <c r="I14" i="8" s="1"/>
  <c r="I20" i="8" s="1"/>
  <c r="I9" i="4"/>
  <c r="H11" i="4"/>
  <c r="H14" i="4" s="1"/>
  <c r="H20" i="4" s="1"/>
  <c r="L17" i="7"/>
  <c r="K27" i="9"/>
  <c r="J29" i="9"/>
  <c r="J32" i="9" s="1"/>
  <c r="J38" i="9" s="1"/>
  <c r="J29" i="11" l="1"/>
  <c r="J32" i="11" s="1"/>
  <c r="J38" i="11" s="1"/>
  <c r="X17" i="2"/>
  <c r="W19" i="2"/>
  <c r="W20" i="2" s="1"/>
  <c r="W22" i="2" s="1"/>
  <c r="J27" i="4"/>
  <c r="I29" i="4"/>
  <c r="I32" i="4" s="1"/>
  <c r="I38" i="4" s="1"/>
  <c r="M35" i="2"/>
  <c r="X11" i="3"/>
  <c r="X14" i="3" s="1"/>
  <c r="Y8" i="3"/>
  <c r="L9" i="7"/>
  <c r="K11" i="7"/>
  <c r="K14" i="7" s="1"/>
  <c r="K20" i="7" s="1"/>
  <c r="J27" i="8"/>
  <c r="I29" i="8"/>
  <c r="I32" i="8" s="1"/>
  <c r="I38" i="8" s="1"/>
  <c r="L27" i="9"/>
  <c r="K29" i="9"/>
  <c r="K32" i="9" s="1"/>
  <c r="K38" i="9" s="1"/>
  <c r="W11" i="9"/>
  <c r="W14" i="9" s="1"/>
  <c r="W20" i="9" s="1"/>
  <c r="W22" i="9" s="1"/>
  <c r="X8" i="9"/>
  <c r="L11" i="11"/>
  <c r="L14" i="11" s="1"/>
  <c r="L20" i="11" s="1"/>
  <c r="M9" i="11"/>
  <c r="X19" i="8"/>
  <c r="Y17" i="8"/>
  <c r="Z19" i="10"/>
  <c r="AA17" i="10"/>
  <c r="AA19" i="10" s="1"/>
  <c r="V37" i="5"/>
  <c r="X19" i="7"/>
  <c r="Y17" i="7"/>
  <c r="I11" i="5"/>
  <c r="I14" i="5" s="1"/>
  <c r="I20" i="5" s="1"/>
  <c r="J9" i="5"/>
  <c r="N35" i="6"/>
  <c r="Y8" i="7"/>
  <c r="X11" i="7"/>
  <c r="X14" i="7" s="1"/>
  <c r="X20" i="7" s="1"/>
  <c r="X22" i="7" s="1"/>
  <c r="W20" i="6"/>
  <c r="W22" i="6" s="1"/>
  <c r="X17" i="6"/>
  <c r="W19" i="6"/>
  <c r="K27" i="5"/>
  <c r="J29" i="5"/>
  <c r="J32" i="5" s="1"/>
  <c r="J38" i="5" s="1"/>
  <c r="K27" i="7"/>
  <c r="J29" i="7"/>
  <c r="J32" i="7" s="1"/>
  <c r="J38" i="7" s="1"/>
  <c r="K27" i="11"/>
  <c r="M35" i="5"/>
  <c r="N35" i="5"/>
  <c r="N17" i="8"/>
  <c r="W35" i="5"/>
  <c r="Y17" i="5"/>
  <c r="X19" i="5"/>
  <c r="J9" i="6"/>
  <c r="I11" i="6"/>
  <c r="I14" i="6" s="1"/>
  <c r="I20" i="6" s="1"/>
  <c r="W19" i="3"/>
  <c r="W20" i="3" s="1"/>
  <c r="W22" i="3" s="1"/>
  <c r="X17" i="3"/>
  <c r="W11" i="4"/>
  <c r="W14" i="4" s="1"/>
  <c r="W20" i="4" s="1"/>
  <c r="W22" i="4" s="1"/>
  <c r="X8" i="4"/>
  <c r="K9" i="3"/>
  <c r="J11" i="3"/>
  <c r="J14" i="3" s="1"/>
  <c r="J20" i="3" s="1"/>
  <c r="M35" i="10"/>
  <c r="L27" i="6"/>
  <c r="K29" i="6"/>
  <c r="K32" i="6" s="1"/>
  <c r="K38" i="6" s="1"/>
  <c r="M17" i="6"/>
  <c r="X11" i="8"/>
  <c r="X14" i="8" s="1"/>
  <c r="X20" i="8" s="1"/>
  <c r="X22" i="8" s="1"/>
  <c r="Y8" i="8"/>
  <c r="L17" i="2"/>
  <c r="AA8" i="11"/>
  <c r="Z11" i="11"/>
  <c r="Z14" i="11" s="1"/>
  <c r="M9" i="10"/>
  <c r="L11" i="10"/>
  <c r="L14" i="10" s="1"/>
  <c r="L20" i="10" s="1"/>
  <c r="Y8" i="5"/>
  <c r="X11" i="5"/>
  <c r="X14" i="5" s="1"/>
  <c r="X20" i="5" s="1"/>
  <c r="X22" i="5" s="1"/>
  <c r="L17" i="9"/>
  <c r="X19" i="11"/>
  <c r="X20" i="11" s="1"/>
  <c r="X22" i="11" s="1"/>
  <c r="Y17" i="11"/>
  <c r="A28" i="8"/>
  <c r="W11" i="6"/>
  <c r="W14" i="6" s="1"/>
  <c r="X8" i="6"/>
  <c r="R35" i="9"/>
  <c r="Z44" i="8"/>
  <c r="Y44" i="9"/>
  <c r="J27" i="2"/>
  <c r="I29" i="2"/>
  <c r="I32" i="2" s="1"/>
  <c r="I38" i="2" s="1"/>
  <c r="I40" i="2" s="1"/>
  <c r="K27" i="3"/>
  <c r="J29" i="3"/>
  <c r="J32" i="3" s="1"/>
  <c r="J38" i="3" s="1"/>
  <c r="K9" i="8"/>
  <c r="J11" i="8"/>
  <c r="J14" i="8" s="1"/>
  <c r="J20" i="8" s="1"/>
  <c r="M17" i="7"/>
  <c r="X11" i="2"/>
  <c r="X14" i="2" s="1"/>
  <c r="Y8" i="2"/>
  <c r="I11" i="4"/>
  <c r="I14" i="4" s="1"/>
  <c r="I20" i="4" s="1"/>
  <c r="J9" i="4"/>
  <c r="Y19" i="4"/>
  <c r="Z17" i="4"/>
  <c r="M35" i="3"/>
  <c r="W35" i="7"/>
  <c r="K35" i="4"/>
  <c r="X8" i="10"/>
  <c r="W11" i="10"/>
  <c r="W14" i="10" s="1"/>
  <c r="W20" i="10" s="1"/>
  <c r="W22" i="10" s="1"/>
  <c r="L27" i="10"/>
  <c r="K29" i="10"/>
  <c r="K32" i="10" s="1"/>
  <c r="K38" i="10" s="1"/>
  <c r="J9" i="2"/>
  <c r="I11" i="2"/>
  <c r="I14" i="2" s="1"/>
  <c r="I20" i="2" s="1"/>
  <c r="K9" i="9"/>
  <c r="J11" i="9"/>
  <c r="J14" i="9" s="1"/>
  <c r="J20" i="9" s="1"/>
  <c r="L17" i="3"/>
  <c r="A31" i="3"/>
  <c r="A32" i="3" s="1"/>
  <c r="A34" i="3" s="1"/>
  <c r="A35" i="3" s="1"/>
  <c r="A38" i="3" s="1"/>
  <c r="A40" i="3" s="1"/>
  <c r="A43" i="3" s="1"/>
  <c r="A44" i="3" s="1"/>
  <c r="X19" i="9"/>
  <c r="Y17" i="9"/>
  <c r="K29" i="11" l="1"/>
  <c r="K32" i="11" s="1"/>
  <c r="K38" i="11" s="1"/>
  <c r="Z17" i="9"/>
  <c r="Y19" i="9"/>
  <c r="L9" i="9"/>
  <c r="K11" i="9"/>
  <c r="K14" i="9" s="1"/>
  <c r="K20" i="9" s="1"/>
  <c r="L35" i="4"/>
  <c r="L27" i="3"/>
  <c r="K29" i="3"/>
  <c r="K32" i="3" s="1"/>
  <c r="K38" i="3" s="1"/>
  <c r="N35" i="10"/>
  <c r="Y17" i="3"/>
  <c r="X19" i="3"/>
  <c r="X20" i="3"/>
  <c r="X22" i="3" s="1"/>
  <c r="W37" i="5"/>
  <c r="X19" i="6"/>
  <c r="Y17" i="6"/>
  <c r="Y8" i="9"/>
  <c r="X11" i="9"/>
  <c r="X14" i="9" s="1"/>
  <c r="X20" i="9" s="1"/>
  <c r="X22" i="9" s="1"/>
  <c r="K27" i="8"/>
  <c r="J29" i="8"/>
  <c r="J32" i="8" s="1"/>
  <c r="J38" i="8" s="1"/>
  <c r="X35" i="5"/>
  <c r="K9" i="5"/>
  <c r="J11" i="5"/>
  <c r="J14" i="5" s="1"/>
  <c r="J20" i="5" s="1"/>
  <c r="K27" i="4"/>
  <c r="J29" i="4"/>
  <c r="J32" i="4" s="1"/>
  <c r="J38" i="4" s="1"/>
  <c r="N35" i="3"/>
  <c r="M9" i="7"/>
  <c r="L11" i="7"/>
  <c r="L14" i="7" s="1"/>
  <c r="L20" i="7" s="1"/>
  <c r="Z44" i="9"/>
  <c r="S35" i="9"/>
  <c r="Y19" i="11"/>
  <c r="Z17" i="11"/>
  <c r="Y11" i="8"/>
  <c r="Y14" i="8" s="1"/>
  <c r="Z8" i="8"/>
  <c r="L9" i="3"/>
  <c r="K11" i="3"/>
  <c r="K14" i="3" s="1"/>
  <c r="K20" i="3" s="1"/>
  <c r="K9" i="6"/>
  <c r="J11" i="6"/>
  <c r="J14" i="6" s="1"/>
  <c r="J20" i="6" s="1"/>
  <c r="K29" i="7"/>
  <c r="K32" i="7" s="1"/>
  <c r="K38" i="7" s="1"/>
  <c r="L27" i="7"/>
  <c r="Y11" i="7"/>
  <c r="Y14" i="7" s="1"/>
  <c r="Y20" i="7" s="1"/>
  <c r="Y22" i="7" s="1"/>
  <c r="Z8" i="7"/>
  <c r="Y11" i="3"/>
  <c r="Y14" i="3" s="1"/>
  <c r="Z8" i="3"/>
  <c r="K9" i="2"/>
  <c r="J11" i="2"/>
  <c r="J14" i="2" s="1"/>
  <c r="J20" i="2" s="1"/>
  <c r="Y11" i="5"/>
  <c r="Y14" i="5" s="1"/>
  <c r="Z8" i="5"/>
  <c r="X35" i="7"/>
  <c r="N9" i="10"/>
  <c r="N11" i="10" s="1"/>
  <c r="N14" i="10" s="1"/>
  <c r="N20" i="10" s="1"/>
  <c r="M11" i="10"/>
  <c r="M14" i="10" s="1"/>
  <c r="M20" i="10" s="1"/>
  <c r="Z17" i="7"/>
  <c r="Y19" i="7"/>
  <c r="Y20" i="8"/>
  <c r="Y22" i="8" s="1"/>
  <c r="Z17" i="8"/>
  <c r="Y19" i="8"/>
  <c r="X19" i="2"/>
  <c r="Y17" i="2"/>
  <c r="X20" i="2"/>
  <c r="X22" i="2" s="1"/>
  <c r="N17" i="7"/>
  <c r="Z19" i="4"/>
  <c r="AA17" i="4"/>
  <c r="M27" i="10"/>
  <c r="L29" i="10"/>
  <c r="L32" i="10" s="1"/>
  <c r="L38" i="10" s="1"/>
  <c r="K9" i="4"/>
  <c r="J11" i="4"/>
  <c r="J14" i="4" s="1"/>
  <c r="J20" i="4" s="1"/>
  <c r="AA44" i="8"/>
  <c r="X11" i="6"/>
  <c r="X14" i="6" s="1"/>
  <c r="X20" i="6" s="1"/>
  <c r="X22" i="6" s="1"/>
  <c r="Y8" i="6"/>
  <c r="X11" i="4"/>
  <c r="X14" i="4" s="1"/>
  <c r="X20" i="4" s="1"/>
  <c r="X22" i="4" s="1"/>
  <c r="Y8" i="4"/>
  <c r="A29" i="8"/>
  <c r="A32" i="8" s="1"/>
  <c r="A34" i="8" s="1"/>
  <c r="A35" i="8" s="1"/>
  <c r="A38" i="8" s="1"/>
  <c r="A40" i="8" s="1"/>
  <c r="A42" i="8" s="1"/>
  <c r="A44" i="8" s="1"/>
  <c r="A45" i="8" s="1"/>
  <c r="A46" i="8" s="1"/>
  <c r="A49" i="8" s="1"/>
  <c r="A50" i="8" s="1"/>
  <c r="A31" i="8"/>
  <c r="K27" i="2"/>
  <c r="J29" i="2"/>
  <c r="J32" i="2" s="1"/>
  <c r="J38" i="2" s="1"/>
  <c r="J40" i="2" s="1"/>
  <c r="M17" i="3"/>
  <c r="L9" i="8"/>
  <c r="K11" i="8"/>
  <c r="K14" i="8" s="1"/>
  <c r="K20" i="8" s="1"/>
  <c r="M17" i="9"/>
  <c r="AA11" i="11"/>
  <c r="AA14" i="11" s="1"/>
  <c r="M27" i="6"/>
  <c r="L29" i="6"/>
  <c r="L32" i="6" s="1"/>
  <c r="L38" i="6" s="1"/>
  <c r="Y19" i="5"/>
  <c r="Y20" i="5" s="1"/>
  <c r="Y22" i="5" s="1"/>
  <c r="Z17" i="5"/>
  <c r="L27" i="5"/>
  <c r="K29" i="5"/>
  <c r="K32" i="5" s="1"/>
  <c r="K38" i="5" s="1"/>
  <c r="O35" i="6"/>
  <c r="N9" i="11"/>
  <c r="N11" i="11" s="1"/>
  <c r="N14" i="11" s="1"/>
  <c r="N20" i="11" s="1"/>
  <c r="M11" i="11"/>
  <c r="M14" i="11" s="1"/>
  <c r="M20" i="11" s="1"/>
  <c r="M27" i="9"/>
  <c r="L29" i="9"/>
  <c r="L32" i="9" s="1"/>
  <c r="L38" i="9" s="1"/>
  <c r="Y8" i="10"/>
  <c r="X11" i="10"/>
  <c r="X14" i="10" s="1"/>
  <c r="X20" i="10" s="1"/>
  <c r="X22" i="10" s="1"/>
  <c r="Y11" i="2"/>
  <c r="Y14" i="2" s="1"/>
  <c r="Z8" i="2"/>
  <c r="Y20" i="11"/>
  <c r="Y22" i="11" s="1"/>
  <c r="M17" i="2"/>
  <c r="N17" i="6"/>
  <c r="L27" i="11"/>
  <c r="N35" i="2"/>
  <c r="L29" i="11" l="1"/>
  <c r="L32" i="11" s="1"/>
  <c r="L38" i="11" s="1"/>
  <c r="Y11" i="10"/>
  <c r="Y14" i="10" s="1"/>
  <c r="Y20" i="10" s="1"/>
  <c r="Y22" i="10" s="1"/>
  <c r="Z8" i="10"/>
  <c r="N17" i="9"/>
  <c r="L9" i="2"/>
  <c r="K11" i="2"/>
  <c r="K14" i="2" s="1"/>
  <c r="K20" i="2" s="1"/>
  <c r="L9" i="6"/>
  <c r="K11" i="6"/>
  <c r="K14" i="6" s="1"/>
  <c r="K20" i="6" s="1"/>
  <c r="AA17" i="11"/>
  <c r="AA19" i="11" s="1"/>
  <c r="Z19" i="11"/>
  <c r="AA44" i="9"/>
  <c r="M9" i="9"/>
  <c r="L11" i="9"/>
  <c r="L14" i="9" s="1"/>
  <c r="L20" i="9" s="1"/>
  <c r="AA19" i="4"/>
  <c r="Z19" i="8"/>
  <c r="AA17" i="8"/>
  <c r="Y35" i="7"/>
  <c r="Z11" i="3"/>
  <c r="Z14" i="3" s="1"/>
  <c r="AA8" i="3"/>
  <c r="L27" i="4"/>
  <c r="K29" i="4"/>
  <c r="K32" i="4" s="1"/>
  <c r="K38" i="4" s="1"/>
  <c r="L27" i="8"/>
  <c r="K29" i="8"/>
  <c r="K32" i="8" s="1"/>
  <c r="K38" i="8" s="1"/>
  <c r="N17" i="2"/>
  <c r="P35" i="6"/>
  <c r="M9" i="3"/>
  <c r="L11" i="3"/>
  <c r="L14" i="3" s="1"/>
  <c r="L20" i="3" s="1"/>
  <c r="M27" i="3"/>
  <c r="L29" i="3"/>
  <c r="L32" i="3" s="1"/>
  <c r="L38" i="3" s="1"/>
  <c r="N27" i="6"/>
  <c r="M29" i="6"/>
  <c r="M32" i="6" s="1"/>
  <c r="M38" i="6" s="1"/>
  <c r="N20" i="7"/>
  <c r="Z11" i="7"/>
  <c r="Z14" i="7" s="1"/>
  <c r="AA8" i="7"/>
  <c r="N9" i="7"/>
  <c r="N11" i="7" s="1"/>
  <c r="N14" i="7" s="1"/>
  <c r="M11" i="7"/>
  <c r="M14" i="7" s="1"/>
  <c r="M20" i="7" s="1"/>
  <c r="L9" i="5"/>
  <c r="K11" i="5"/>
  <c r="K14" i="5" s="1"/>
  <c r="K20" i="5" s="1"/>
  <c r="Y11" i="9"/>
  <c r="Y14" i="9" s="1"/>
  <c r="Y20" i="9" s="1"/>
  <c r="Y22" i="9" s="1"/>
  <c r="Z8" i="9"/>
  <c r="Z17" i="3"/>
  <c r="Y19" i="3"/>
  <c r="Y20" i="3" s="1"/>
  <c r="Y22" i="3" s="1"/>
  <c r="Z19" i="9"/>
  <c r="AA17" i="9"/>
  <c r="O35" i="2"/>
  <c r="M9" i="8"/>
  <c r="L11" i="8"/>
  <c r="L14" i="8" s="1"/>
  <c r="L20" i="8" s="1"/>
  <c r="M27" i="5"/>
  <c r="L29" i="5"/>
  <c r="L32" i="5" s="1"/>
  <c r="L38" i="5" s="1"/>
  <c r="AA20" i="11"/>
  <c r="AA22" i="11" s="1"/>
  <c r="Z8" i="4"/>
  <c r="Y11" i="4"/>
  <c r="Y14" i="4" s="1"/>
  <c r="Y20" i="4" s="1"/>
  <c r="Y22" i="4" s="1"/>
  <c r="L9" i="4"/>
  <c r="K11" i="4"/>
  <c r="K14" i="4" s="1"/>
  <c r="K20" i="4" s="1"/>
  <c r="Z19" i="7"/>
  <c r="Z20" i="7" s="1"/>
  <c r="Z22" i="7" s="1"/>
  <c r="AA17" i="7"/>
  <c r="Y35" i="5"/>
  <c r="Y19" i="6"/>
  <c r="Y20" i="6"/>
  <c r="Y22" i="6" s="1"/>
  <c r="Z17" i="6"/>
  <c r="O35" i="10"/>
  <c r="M35" i="4"/>
  <c r="N17" i="3"/>
  <c r="AA8" i="5"/>
  <c r="Z11" i="5"/>
  <c r="Z14" i="5" s="1"/>
  <c r="M27" i="7"/>
  <c r="L29" i="7"/>
  <c r="L32" i="7" s="1"/>
  <c r="L38" i="7" s="1"/>
  <c r="T35" i="9"/>
  <c r="O35" i="3"/>
  <c r="N27" i="9"/>
  <c r="M29" i="9"/>
  <c r="M32" i="9" s="1"/>
  <c r="M38" i="9" s="1"/>
  <c r="M27" i="11"/>
  <c r="Z20" i="11"/>
  <c r="Z22" i="11" s="1"/>
  <c r="N27" i="10"/>
  <c r="M29" i="10"/>
  <c r="M32" i="10" s="1"/>
  <c r="M38" i="10" s="1"/>
  <c r="Y19" i="2"/>
  <c r="Y20" i="2" s="1"/>
  <c r="Y22" i="2" s="1"/>
  <c r="Z17" i="2"/>
  <c r="AA8" i="8"/>
  <c r="Z11" i="8"/>
  <c r="Z14" i="8" s="1"/>
  <c r="Z20" i="8" s="1"/>
  <c r="Z22" i="8" s="1"/>
  <c r="X37" i="5"/>
  <c r="AA8" i="2"/>
  <c r="Z11" i="2"/>
  <c r="Z14" i="2" s="1"/>
  <c r="AA17" i="5"/>
  <c r="Z19" i="5"/>
  <c r="Z20" i="5" s="1"/>
  <c r="Z22" i="5" s="1"/>
  <c r="L27" i="2"/>
  <c r="K29" i="2"/>
  <c r="K32" i="2" s="1"/>
  <c r="K38" i="2" s="1"/>
  <c r="K40" i="2" s="1"/>
  <c r="Z8" i="6"/>
  <c r="Y11" i="6"/>
  <c r="Y14" i="6" s="1"/>
  <c r="M29" i="11" l="1"/>
  <c r="M32" i="11" s="1"/>
  <c r="M38" i="11" s="1"/>
  <c r="P35" i="10"/>
  <c r="Y37" i="5"/>
  <c r="AA8" i="4"/>
  <c r="Z11" i="4"/>
  <c r="Z14" i="4" s="1"/>
  <c r="Z20" i="4" s="1"/>
  <c r="Z22" i="4" s="1"/>
  <c r="P35" i="2"/>
  <c r="N9" i="3"/>
  <c r="N11" i="3" s="1"/>
  <c r="N14" i="3" s="1"/>
  <c r="M11" i="3"/>
  <c r="M14" i="3" s="1"/>
  <c r="M20" i="3" s="1"/>
  <c r="M27" i="8"/>
  <c r="L29" i="8"/>
  <c r="L32" i="8" s="1"/>
  <c r="L38" i="8" s="1"/>
  <c r="Z36" i="7"/>
  <c r="Z35" i="7"/>
  <c r="N9" i="9"/>
  <c r="N11" i="9" s="1"/>
  <c r="N14" i="9" s="1"/>
  <c r="N20" i="9" s="1"/>
  <c r="M11" i="9"/>
  <c r="M14" i="9" s="1"/>
  <c r="M20" i="9" s="1"/>
  <c r="M9" i="2"/>
  <c r="L11" i="2"/>
  <c r="L14" i="2" s="1"/>
  <c r="L20" i="2" s="1"/>
  <c r="Q35" i="6"/>
  <c r="AA19" i="8"/>
  <c r="AA11" i="5"/>
  <c r="AA14" i="5" s="1"/>
  <c r="O27" i="9"/>
  <c r="N29" i="9"/>
  <c r="N32" i="9" s="1"/>
  <c r="N38" i="9" s="1"/>
  <c r="AA19" i="7"/>
  <c r="M9" i="5"/>
  <c r="L11" i="5"/>
  <c r="L14" i="5" s="1"/>
  <c r="L20" i="5" s="1"/>
  <c r="M27" i="4"/>
  <c r="L29" i="4"/>
  <c r="L32" i="4" s="1"/>
  <c r="L38" i="4" s="1"/>
  <c r="AA8" i="6"/>
  <c r="Z11" i="6"/>
  <c r="Z14" i="6" s="1"/>
  <c r="Z20" i="6" s="1"/>
  <c r="Z22" i="6" s="1"/>
  <c r="N20" i="3"/>
  <c r="AA17" i="6"/>
  <c r="Z19" i="6"/>
  <c r="N27" i="5"/>
  <c r="M29" i="5"/>
  <c r="M32" i="5" s="1"/>
  <c r="M38" i="5" s="1"/>
  <c r="AA11" i="3"/>
  <c r="AA14" i="3" s="1"/>
  <c r="Z11" i="10"/>
  <c r="Z14" i="10" s="1"/>
  <c r="Z20" i="10" s="1"/>
  <c r="Z22" i="10" s="1"/>
  <c r="AA8" i="10"/>
  <c r="AA19" i="9"/>
  <c r="O27" i="6"/>
  <c r="N29" i="6"/>
  <c r="N32" i="6" s="1"/>
  <c r="N38" i="6" s="1"/>
  <c r="AA20" i="5"/>
  <c r="AA22" i="5" s="1"/>
  <c r="AA19" i="5"/>
  <c r="N9" i="8"/>
  <c r="N11" i="8" s="1"/>
  <c r="N14" i="8" s="1"/>
  <c r="N20" i="8" s="1"/>
  <c r="M11" i="8"/>
  <c r="M14" i="8" s="1"/>
  <c r="M20" i="8" s="1"/>
  <c r="O37" i="10"/>
  <c r="O27" i="10"/>
  <c r="N29" i="10"/>
  <c r="N32" i="10" s="1"/>
  <c r="N38" i="10" s="1"/>
  <c r="P35" i="3"/>
  <c r="O37" i="3"/>
  <c r="AA11" i="8"/>
  <c r="AA14" i="8" s="1"/>
  <c r="AA20" i="8" s="1"/>
  <c r="AA22" i="8" s="1"/>
  <c r="U35" i="9"/>
  <c r="Z35" i="5"/>
  <c r="M9" i="4"/>
  <c r="L11" i="4"/>
  <c r="L14" i="4" s="1"/>
  <c r="L20" i="4" s="1"/>
  <c r="O37" i="2"/>
  <c r="AA17" i="3"/>
  <c r="Z19" i="3"/>
  <c r="Z20" i="3" s="1"/>
  <c r="Z22" i="3" s="1"/>
  <c r="AA11" i="7"/>
  <c r="AA14" i="7" s="1"/>
  <c r="AA20" i="7" s="1"/>
  <c r="AA22" i="7" s="1"/>
  <c r="N27" i="3"/>
  <c r="M29" i="3"/>
  <c r="M32" i="3" s="1"/>
  <c r="M38" i="3" s="1"/>
  <c r="M9" i="6"/>
  <c r="L11" i="6"/>
  <c r="L14" i="6" s="1"/>
  <c r="L20" i="6" s="1"/>
  <c r="M27" i="2"/>
  <c r="L29" i="2"/>
  <c r="L32" i="2" s="1"/>
  <c r="L38" i="2" s="1"/>
  <c r="L40" i="2" s="1"/>
  <c r="AA11" i="2"/>
  <c r="AA14" i="2" s="1"/>
  <c r="AA17" i="2"/>
  <c r="Z19" i="2"/>
  <c r="Z20" i="2"/>
  <c r="Z22" i="2" s="1"/>
  <c r="N27" i="11"/>
  <c r="M29" i="7"/>
  <c r="M32" i="7" s="1"/>
  <c r="M38" i="7" s="1"/>
  <c r="N27" i="7"/>
  <c r="N35" i="4"/>
  <c r="Z11" i="9"/>
  <c r="Z14" i="9" s="1"/>
  <c r="Z20" i="9" s="1"/>
  <c r="Z22" i="9" s="1"/>
  <c r="AA8" i="9"/>
  <c r="N29" i="11" l="1"/>
  <c r="N32" i="11" s="1"/>
  <c r="N38" i="11" s="1"/>
  <c r="P27" i="10"/>
  <c r="O29" i="10"/>
  <c r="O32" i="10" s="1"/>
  <c r="O38" i="10" s="1"/>
  <c r="N27" i="4"/>
  <c r="M29" i="4"/>
  <c r="M32" i="4" s="1"/>
  <c r="M38" i="4" s="1"/>
  <c r="AA11" i="4"/>
  <c r="AA14" i="4" s="1"/>
  <c r="AA20" i="4" s="1"/>
  <c r="AA22" i="4" s="1"/>
  <c r="N27" i="2"/>
  <c r="M29" i="2"/>
  <c r="M32" i="2" s="1"/>
  <c r="M38" i="2" s="1"/>
  <c r="M40" i="2" s="1"/>
  <c r="N9" i="2"/>
  <c r="N11" i="2" s="1"/>
  <c r="N14" i="2" s="1"/>
  <c r="N20" i="2" s="1"/>
  <c r="M11" i="2"/>
  <c r="M14" i="2" s="1"/>
  <c r="M20" i="2" s="1"/>
  <c r="N27" i="8"/>
  <c r="M29" i="8"/>
  <c r="M32" i="8" s="1"/>
  <c r="M38" i="8" s="1"/>
  <c r="AA11" i="9"/>
  <c r="AA14" i="9" s="1"/>
  <c r="AA20" i="9" s="1"/>
  <c r="AA22" i="9" s="1"/>
  <c r="P27" i="6"/>
  <c r="O29" i="6"/>
  <c r="O32" i="6" s="1"/>
  <c r="O35" i="8"/>
  <c r="N9" i="5"/>
  <c r="N11" i="5" s="1"/>
  <c r="N14" i="5" s="1"/>
  <c r="N20" i="5" s="1"/>
  <c r="M11" i="5"/>
  <c r="M14" i="5" s="1"/>
  <c r="M20" i="5" s="1"/>
  <c r="O35" i="11"/>
  <c r="O37" i="11" s="1"/>
  <c r="AA19" i="3"/>
  <c r="AA20" i="3" s="1"/>
  <c r="AA22" i="3" s="1"/>
  <c r="V35" i="9"/>
  <c r="Z37" i="5"/>
  <c r="N29" i="5"/>
  <c r="N32" i="5" s="1"/>
  <c r="N38" i="5" s="1"/>
  <c r="O27" i="5"/>
  <c r="Q35" i="2"/>
  <c r="Q35" i="10"/>
  <c r="AA11" i="6"/>
  <c r="AA14" i="6" s="1"/>
  <c r="R35" i="6"/>
  <c r="P37" i="10"/>
  <c r="N9" i="6"/>
  <c r="N11" i="6" s="1"/>
  <c r="N14" i="6" s="1"/>
  <c r="N20" i="6" s="1"/>
  <c r="M11" i="6"/>
  <c r="M14" i="6" s="1"/>
  <c r="M20" i="6" s="1"/>
  <c r="Q35" i="3"/>
  <c r="O35" i="4"/>
  <c r="AA19" i="2"/>
  <c r="AA20" i="2"/>
  <c r="AA22" i="2" s="1"/>
  <c r="O27" i="7"/>
  <c r="N29" i="7"/>
  <c r="N32" i="7" s="1"/>
  <c r="N38" i="7" s="1"/>
  <c r="O27" i="3"/>
  <c r="N29" i="3"/>
  <c r="N32" i="3" s="1"/>
  <c r="N38" i="3" s="1"/>
  <c r="P37" i="3"/>
  <c r="AA11" i="10"/>
  <c r="AA14" i="10" s="1"/>
  <c r="AA20" i="10" s="1"/>
  <c r="AA22" i="10" s="1"/>
  <c r="P27" i="9"/>
  <c r="O29" i="9"/>
  <c r="O32" i="9" s="1"/>
  <c r="O38" i="9" s="1"/>
  <c r="Z37" i="7"/>
  <c r="P37" i="2"/>
  <c r="AA35" i="5"/>
  <c r="N9" i="4"/>
  <c r="N11" i="4" s="1"/>
  <c r="N14" i="4" s="1"/>
  <c r="N20" i="4" s="1"/>
  <c r="M11" i="4"/>
  <c r="M14" i="4" s="1"/>
  <c r="M20" i="4" s="1"/>
  <c r="AA19" i="6"/>
  <c r="AA20" i="6" s="1"/>
  <c r="AA22" i="6" s="1"/>
  <c r="AA35" i="7"/>
  <c r="AA36" i="7"/>
  <c r="O36" i="7"/>
  <c r="O37" i="7" s="1"/>
  <c r="P36" i="7"/>
  <c r="P37" i="7" s="1"/>
  <c r="Q36" i="7"/>
  <c r="Q37" i="7" s="1"/>
  <c r="R36" i="7"/>
  <c r="R37" i="7" s="1"/>
  <c r="S36" i="7"/>
  <c r="S37" i="7" s="1"/>
  <c r="T36" i="7"/>
  <c r="T37" i="7" s="1"/>
  <c r="U36" i="7"/>
  <c r="U37" i="7" s="1"/>
  <c r="V36" i="7"/>
  <c r="V37" i="7" s="1"/>
  <c r="W36" i="7"/>
  <c r="W37" i="7" s="1"/>
  <c r="X36" i="7"/>
  <c r="X37" i="7" s="1"/>
  <c r="Y36" i="7"/>
  <c r="Y37" i="7" s="1"/>
  <c r="O37" i="4" l="1"/>
  <c r="W35" i="9"/>
  <c r="P35" i="4"/>
  <c r="Q37" i="10"/>
  <c r="O27" i="8"/>
  <c r="N29" i="8"/>
  <c r="N32" i="8" s="1"/>
  <c r="N38" i="8" s="1"/>
  <c r="O27" i="4"/>
  <c r="N29" i="4"/>
  <c r="N32" i="4" s="1"/>
  <c r="N38" i="4" s="1"/>
  <c r="P27" i="3"/>
  <c r="O29" i="3"/>
  <c r="O32" i="3" s="1"/>
  <c r="O38" i="3" s="1"/>
  <c r="Q37" i="3"/>
  <c r="S35" i="6"/>
  <c r="Q37" i="2"/>
  <c r="P35" i="8"/>
  <c r="Q27" i="10"/>
  <c r="P29" i="10"/>
  <c r="P32" i="10" s="1"/>
  <c r="P38" i="10" s="1"/>
  <c r="P40" i="10" s="1"/>
  <c r="P43" i="10" s="1"/>
  <c r="P44" i="10" s="1"/>
  <c r="Q27" i="9"/>
  <c r="P29" i="9"/>
  <c r="P32" i="9" s="1"/>
  <c r="P40" i="9" s="1"/>
  <c r="P27" i="7"/>
  <c r="O29" i="7"/>
  <c r="O32" i="7" s="1"/>
  <c r="O38" i="7" s="1"/>
  <c r="R35" i="3"/>
  <c r="R35" i="2"/>
  <c r="R35" i="10"/>
  <c r="AA37" i="7"/>
  <c r="AA37" i="5"/>
  <c r="P35" i="11"/>
  <c r="P37" i="11" s="1"/>
  <c r="Q27" i="6"/>
  <c r="P29" i="6"/>
  <c r="P32" i="6" s="1"/>
  <c r="O27" i="2"/>
  <c r="N29" i="2"/>
  <c r="N32" i="2" s="1"/>
  <c r="N38" i="2" s="1"/>
  <c r="N40" i="2" s="1"/>
  <c r="O27" i="11"/>
  <c r="P27" i="5"/>
  <c r="O29" i="5"/>
  <c r="O32" i="5" s="1"/>
  <c r="O38" i="5" s="1"/>
  <c r="P27" i="8" l="1"/>
  <c r="O29" i="8"/>
  <c r="O32" i="8" s="1"/>
  <c r="Q27" i="7"/>
  <c r="P29" i="7"/>
  <c r="P32" i="7" s="1"/>
  <c r="P38" i="7" s="1"/>
  <c r="P40" i="7" s="1"/>
  <c r="P43" i="7" s="1"/>
  <c r="P44" i="7" s="1"/>
  <c r="Q27" i="5"/>
  <c r="P29" i="5"/>
  <c r="P32" i="5" s="1"/>
  <c r="P38" i="5" s="1"/>
  <c r="P40" i="5" s="1"/>
  <c r="P43" i="5" s="1"/>
  <c r="P44" i="5" s="1"/>
  <c r="S35" i="2"/>
  <c r="X35" i="9"/>
  <c r="R37" i="2"/>
  <c r="P27" i="11"/>
  <c r="O29" i="11"/>
  <c r="O32" i="11" s="1"/>
  <c r="O38" i="11" s="1"/>
  <c r="T35" i="6"/>
  <c r="Q35" i="8"/>
  <c r="Q35" i="11"/>
  <c r="Q37" i="11" s="1"/>
  <c r="Q27" i="3"/>
  <c r="P29" i="3"/>
  <c r="P32" i="3" s="1"/>
  <c r="P38" i="3" s="1"/>
  <c r="P40" i="3" s="1"/>
  <c r="P43" i="3" s="1"/>
  <c r="P44" i="3" s="1"/>
  <c r="P37" i="4"/>
  <c r="R27" i="9"/>
  <c r="Q29" i="9"/>
  <c r="Q32" i="9" s="1"/>
  <c r="Q40" i="9" s="1"/>
  <c r="S35" i="10"/>
  <c r="R37" i="3"/>
  <c r="R27" i="10"/>
  <c r="Q29" i="10"/>
  <c r="Q32" i="10" s="1"/>
  <c r="Q38" i="10" s="1"/>
  <c r="Q40" i="10" s="1"/>
  <c r="Q43" i="10" s="1"/>
  <c r="Q44" i="10" s="1"/>
  <c r="P27" i="2"/>
  <c r="O29" i="2"/>
  <c r="O32" i="2" s="1"/>
  <c r="O38" i="2" s="1"/>
  <c r="O40" i="2" s="1"/>
  <c r="R27" i="6"/>
  <c r="Q29" i="6"/>
  <c r="Q32" i="6" s="1"/>
  <c r="R37" i="10"/>
  <c r="S35" i="3"/>
  <c r="P27" i="4"/>
  <c r="O29" i="4"/>
  <c r="O32" i="4" s="1"/>
  <c r="O38" i="4" s="1"/>
  <c r="Q35" i="4"/>
  <c r="T35" i="2" l="1"/>
  <c r="R27" i="5"/>
  <c r="Q29" i="5"/>
  <c r="Q32" i="5" s="1"/>
  <c r="Q38" i="5" s="1"/>
  <c r="Q40" i="5" s="1"/>
  <c r="Q43" i="5" s="1"/>
  <c r="Q44" i="5" s="1"/>
  <c r="Q37" i="4"/>
  <c r="Y35" i="9"/>
  <c r="Q27" i="4"/>
  <c r="P29" i="4"/>
  <c r="P32" i="4" s="1"/>
  <c r="P38" i="4" s="1"/>
  <c r="P40" i="4" s="1"/>
  <c r="P43" i="4" s="1"/>
  <c r="P44" i="4" s="1"/>
  <c r="U35" i="6"/>
  <c r="R27" i="7"/>
  <c r="Q29" i="7"/>
  <c r="Q32" i="7" s="1"/>
  <c r="Q38" i="7" s="1"/>
  <c r="Q40" i="7" s="1"/>
  <c r="Q43" i="7" s="1"/>
  <c r="Q44" i="7" s="1"/>
  <c r="R35" i="4"/>
  <c r="S27" i="10"/>
  <c r="R29" i="10"/>
  <c r="R32" i="10" s="1"/>
  <c r="R38" i="10" s="1"/>
  <c r="R40" i="10" s="1"/>
  <c r="R43" i="10" s="1"/>
  <c r="R44" i="10" s="1"/>
  <c r="R35" i="11"/>
  <c r="R37" i="11" s="1"/>
  <c r="S27" i="6"/>
  <c r="R29" i="6"/>
  <c r="R32" i="6" s="1"/>
  <c r="T35" i="3"/>
  <c r="S27" i="9"/>
  <c r="R29" i="9"/>
  <c r="R32" i="9" s="1"/>
  <c r="R40" i="9" s="1"/>
  <c r="T35" i="10"/>
  <c r="R35" i="8"/>
  <c r="S37" i="10"/>
  <c r="Q27" i="11"/>
  <c r="P29" i="11"/>
  <c r="P32" i="11" s="1"/>
  <c r="P38" i="11" s="1"/>
  <c r="P40" i="11" s="1"/>
  <c r="S37" i="2"/>
  <c r="Q27" i="8"/>
  <c r="P29" i="8"/>
  <c r="P32" i="8" s="1"/>
  <c r="R27" i="3"/>
  <c r="Q29" i="3"/>
  <c r="Q32" i="3" s="1"/>
  <c r="Q38" i="3" s="1"/>
  <c r="Q40" i="3" s="1"/>
  <c r="Q43" i="3" s="1"/>
  <c r="Q44" i="3" s="1"/>
  <c r="S37" i="3"/>
  <c r="Q27" i="2"/>
  <c r="P29" i="2"/>
  <c r="P32" i="2" s="1"/>
  <c r="P38" i="2" s="1"/>
  <c r="P40" i="2" s="1"/>
  <c r="P43" i="2" s="1"/>
  <c r="P44" i="2" s="1"/>
  <c r="S35" i="8" l="1"/>
  <c r="S27" i="7"/>
  <c r="R29" i="7"/>
  <c r="R32" i="7" s="1"/>
  <c r="R38" i="7" s="1"/>
  <c r="R40" i="7" s="1"/>
  <c r="R43" i="7" s="1"/>
  <c r="R44" i="7" s="1"/>
  <c r="S27" i="5"/>
  <c r="R29" i="5"/>
  <c r="R32" i="5" s="1"/>
  <c r="R38" i="5" s="1"/>
  <c r="R40" i="5" s="1"/>
  <c r="R43" i="5" s="1"/>
  <c r="R44" i="5"/>
  <c r="S27" i="3"/>
  <c r="R29" i="3"/>
  <c r="R32" i="3" s="1"/>
  <c r="R38" i="3" s="1"/>
  <c r="R40" i="3" s="1"/>
  <c r="R43" i="3" s="1"/>
  <c r="R44" i="3" s="1"/>
  <c r="T37" i="10"/>
  <c r="U35" i="2"/>
  <c r="T27" i="6"/>
  <c r="S29" i="6"/>
  <c r="S32" i="6" s="1"/>
  <c r="S35" i="4"/>
  <c r="T27" i="10"/>
  <c r="S29" i="10"/>
  <c r="S32" i="10" s="1"/>
  <c r="S38" i="10" s="1"/>
  <c r="S40" i="10" s="1"/>
  <c r="S43" i="10" s="1"/>
  <c r="S44" i="10" s="1"/>
  <c r="T37" i="2"/>
  <c r="T37" i="3"/>
  <c r="R27" i="11"/>
  <c r="Q29" i="11"/>
  <c r="Q32" i="11" s="1"/>
  <c r="Q38" i="11" s="1"/>
  <c r="Q40" i="11" s="1"/>
  <c r="S35" i="11"/>
  <c r="S37" i="11" s="1"/>
  <c r="R27" i="2"/>
  <c r="Q29" i="2"/>
  <c r="Q32" i="2" s="1"/>
  <c r="Q38" i="2" s="1"/>
  <c r="Q40" i="2" s="1"/>
  <c r="Q43" i="2" s="1"/>
  <c r="Q44" i="2" s="1"/>
  <c r="R27" i="8"/>
  <c r="Q29" i="8"/>
  <c r="Q32" i="8" s="1"/>
  <c r="T27" i="9"/>
  <c r="S29" i="9"/>
  <c r="S32" i="9" s="1"/>
  <c r="S40" i="9" s="1"/>
  <c r="R37" i="4"/>
  <c r="R27" i="4"/>
  <c r="Q29" i="4"/>
  <c r="Q32" i="4" s="1"/>
  <c r="Q38" i="4" s="1"/>
  <c r="Q40" i="4" s="1"/>
  <c r="Q43" i="4" s="1"/>
  <c r="Q44" i="4" s="1"/>
  <c r="V35" i="6"/>
  <c r="U35" i="10"/>
  <c r="U35" i="3"/>
  <c r="Z42" i="9"/>
  <c r="Z45" i="9" s="1"/>
  <c r="Z46" i="9" s="1"/>
  <c r="Z35" i="9"/>
  <c r="Z36" i="9"/>
  <c r="Z37" i="9" s="1"/>
  <c r="S44" i="3" l="1"/>
  <c r="T27" i="3"/>
  <c r="S29" i="3"/>
  <c r="S32" i="3" s="1"/>
  <c r="S38" i="3" s="1"/>
  <c r="S40" i="3" s="1"/>
  <c r="S43" i="3" s="1"/>
  <c r="S27" i="8"/>
  <c r="R29" i="8"/>
  <c r="R32" i="8" s="1"/>
  <c r="T35" i="8"/>
  <c r="U27" i="10"/>
  <c r="T29" i="10"/>
  <c r="T32" i="10" s="1"/>
  <c r="T38" i="10" s="1"/>
  <c r="T40" i="10" s="1"/>
  <c r="T43" i="10" s="1"/>
  <c r="T44" i="10" s="1"/>
  <c r="V35" i="2"/>
  <c r="T27" i="5"/>
  <c r="S29" i="5"/>
  <c r="S32" i="5" s="1"/>
  <c r="S38" i="5" s="1"/>
  <c r="S40" i="5" s="1"/>
  <c r="S43" i="5" s="1"/>
  <c r="S44" i="5" s="1"/>
  <c r="S27" i="2"/>
  <c r="R29" i="2"/>
  <c r="R32" i="2" s="1"/>
  <c r="R38" i="2" s="1"/>
  <c r="R40" i="2" s="1"/>
  <c r="R43" i="2" s="1"/>
  <c r="R44" i="2" s="1"/>
  <c r="U37" i="10"/>
  <c r="T35" i="4"/>
  <c r="W35" i="6"/>
  <c r="U27" i="6"/>
  <c r="T29" i="6"/>
  <c r="T32" i="6" s="1"/>
  <c r="U37" i="2"/>
  <c r="S27" i="4"/>
  <c r="R29" i="4"/>
  <c r="R32" i="4" s="1"/>
  <c r="R38" i="4" s="1"/>
  <c r="R40" i="4" s="1"/>
  <c r="R43" i="4" s="1"/>
  <c r="R44" i="4" s="1"/>
  <c r="T27" i="7"/>
  <c r="S29" i="7"/>
  <c r="S32" i="7" s="1"/>
  <c r="S38" i="7" s="1"/>
  <c r="S40" i="7" s="1"/>
  <c r="S43" i="7" s="1"/>
  <c r="S44" i="7" s="1"/>
  <c r="V35" i="3"/>
  <c r="V35" i="10"/>
  <c r="S27" i="11"/>
  <c r="R29" i="11"/>
  <c r="R32" i="11" s="1"/>
  <c r="R38" i="11" s="1"/>
  <c r="R40" i="11" s="1"/>
  <c r="AA36" i="9"/>
  <c r="AA37" i="9" s="1"/>
  <c r="AA35" i="9"/>
  <c r="AA42" i="9"/>
  <c r="AA45" i="9" s="1"/>
  <c r="AA46" i="9" s="1"/>
  <c r="O36" i="9"/>
  <c r="O37" i="9" s="1"/>
  <c r="P36" i="9"/>
  <c r="P37" i="9" s="1"/>
  <c r="P42" i="9"/>
  <c r="P45" i="9" s="1"/>
  <c r="P46" i="9" s="1"/>
  <c r="P49" i="9" s="1"/>
  <c r="P50" i="9" s="1"/>
  <c r="Q42" i="9"/>
  <c r="Q45" i="9" s="1"/>
  <c r="Q46" i="9" s="1"/>
  <c r="Q49" i="9" s="1"/>
  <c r="Q36" i="9"/>
  <c r="Q37" i="9" s="1"/>
  <c r="R42" i="9"/>
  <c r="R45" i="9" s="1"/>
  <c r="R46" i="9" s="1"/>
  <c r="R49" i="9" s="1"/>
  <c r="R36" i="9"/>
  <c r="R37" i="9" s="1"/>
  <c r="S36" i="9"/>
  <c r="S37" i="9" s="1"/>
  <c r="S42" i="9"/>
  <c r="S45" i="9" s="1"/>
  <c r="S46" i="9" s="1"/>
  <c r="S49" i="9" s="1"/>
  <c r="T36" i="9"/>
  <c r="T37" i="9" s="1"/>
  <c r="T42" i="9"/>
  <c r="T45" i="9" s="1"/>
  <c r="T46" i="9" s="1"/>
  <c r="U42" i="9"/>
  <c r="U45" i="9" s="1"/>
  <c r="U46" i="9" s="1"/>
  <c r="U36" i="9"/>
  <c r="U37" i="9" s="1"/>
  <c r="V36" i="9"/>
  <c r="V37" i="9" s="1"/>
  <c r="V42" i="9"/>
  <c r="V45" i="9" s="1"/>
  <c r="V46" i="9" s="1"/>
  <c r="W42" i="9"/>
  <c r="W45" i="9" s="1"/>
  <c r="W46" i="9" s="1"/>
  <c r="W36" i="9"/>
  <c r="W37" i="9" s="1"/>
  <c r="X42" i="9"/>
  <c r="X45" i="9" s="1"/>
  <c r="X46" i="9" s="1"/>
  <c r="X36" i="9"/>
  <c r="X37" i="9" s="1"/>
  <c r="Y42" i="9"/>
  <c r="Y45" i="9" s="1"/>
  <c r="Y46" i="9" s="1"/>
  <c r="Y36" i="9"/>
  <c r="Y37" i="9" s="1"/>
  <c r="T35" i="11"/>
  <c r="T37" i="11" s="1"/>
  <c r="U37" i="3"/>
  <c r="U27" i="9"/>
  <c r="T29" i="9"/>
  <c r="T32" i="9" s="1"/>
  <c r="T40" i="9" s="1"/>
  <c r="S37" i="4"/>
  <c r="Q50" i="9" l="1"/>
  <c r="R50" i="9"/>
  <c r="S50" i="9" s="1"/>
  <c r="V37" i="3"/>
  <c r="T37" i="4"/>
  <c r="U27" i="3"/>
  <c r="T29" i="3"/>
  <c r="T32" i="3" s="1"/>
  <c r="T38" i="3" s="1"/>
  <c r="T40" i="3" s="1"/>
  <c r="T43" i="3" s="1"/>
  <c r="T44" i="3" s="1"/>
  <c r="V27" i="6"/>
  <c r="U29" i="6"/>
  <c r="U32" i="6" s="1"/>
  <c r="V37" i="2"/>
  <c r="T27" i="11"/>
  <c r="S29" i="11"/>
  <c r="S32" i="11" s="1"/>
  <c r="S38" i="11" s="1"/>
  <c r="S40" i="11" s="1"/>
  <c r="U27" i="7"/>
  <c r="T29" i="7"/>
  <c r="T32" i="7" s="1"/>
  <c r="T38" i="7" s="1"/>
  <c r="T40" i="7" s="1"/>
  <c r="T43" i="7" s="1"/>
  <c r="T44" i="7" s="1"/>
  <c r="W35" i="2"/>
  <c r="T44" i="5"/>
  <c r="T27" i="2"/>
  <c r="S29" i="2"/>
  <c r="S32" i="2" s="1"/>
  <c r="S38" i="2" s="1"/>
  <c r="S40" i="2" s="1"/>
  <c r="S43" i="2" s="1"/>
  <c r="S44" i="2" s="1"/>
  <c r="V27" i="10"/>
  <c r="U29" i="10"/>
  <c r="U32" i="10" s="1"/>
  <c r="U38" i="10" s="1"/>
  <c r="U40" i="10" s="1"/>
  <c r="U43" i="10" s="1"/>
  <c r="U44" i="10" s="1"/>
  <c r="T27" i="8"/>
  <c r="S29" i="8"/>
  <c r="S32" i="8" s="1"/>
  <c r="W35" i="10"/>
  <c r="V37" i="10"/>
  <c r="T27" i="4"/>
  <c r="S29" i="4"/>
  <c r="S32" i="4" s="1"/>
  <c r="S38" i="4" s="1"/>
  <c r="S40" i="4" s="1"/>
  <c r="S43" i="4" s="1"/>
  <c r="S44" i="4" s="1"/>
  <c r="X35" i="6"/>
  <c r="U35" i="8"/>
  <c r="U35" i="11"/>
  <c r="U37" i="11" s="1"/>
  <c r="W35" i="3"/>
  <c r="U35" i="4"/>
  <c r="T49" i="9"/>
  <c r="V27" i="9"/>
  <c r="U29" i="9"/>
  <c r="U32" i="9" s="1"/>
  <c r="U40" i="9" s="1"/>
  <c r="U49" i="9" s="1"/>
  <c r="U27" i="5"/>
  <c r="T29" i="5"/>
  <c r="T32" i="5" s="1"/>
  <c r="T38" i="5" s="1"/>
  <c r="T40" i="5" s="1"/>
  <c r="T43" i="5" s="1"/>
  <c r="U27" i="4" l="1"/>
  <c r="T29" i="4"/>
  <c r="T32" i="4" s="1"/>
  <c r="T38" i="4" s="1"/>
  <c r="T40" i="4" s="1"/>
  <c r="T43" i="4" s="1"/>
  <c r="T44" i="4" s="1"/>
  <c r="U27" i="8"/>
  <c r="T29" i="8"/>
  <c r="T32" i="8" s="1"/>
  <c r="W37" i="3"/>
  <c r="X35" i="10"/>
  <c r="X35" i="2"/>
  <c r="W27" i="6"/>
  <c r="V29" i="6"/>
  <c r="V32" i="6" s="1"/>
  <c r="W27" i="9"/>
  <c r="V29" i="9"/>
  <c r="V32" i="9" s="1"/>
  <c r="V40" i="9" s="1"/>
  <c r="V49" i="9" s="1"/>
  <c r="V35" i="11"/>
  <c r="V37" i="11" s="1"/>
  <c r="V35" i="4"/>
  <c r="W27" i="10"/>
  <c r="V29" i="10"/>
  <c r="V32" i="10" s="1"/>
  <c r="V38" i="10" s="1"/>
  <c r="V40" i="10" s="1"/>
  <c r="V43" i="10" s="1"/>
  <c r="V44" i="10" s="1"/>
  <c r="Y35" i="6"/>
  <c r="U27" i="2"/>
  <c r="T29" i="2"/>
  <c r="T32" i="2" s="1"/>
  <c r="T38" i="2" s="1"/>
  <c r="T40" i="2" s="1"/>
  <c r="T43" i="2" s="1"/>
  <c r="T44" i="2" s="1"/>
  <c r="T50" i="9"/>
  <c r="U50" i="9" s="1"/>
  <c r="W37" i="10"/>
  <c r="V27" i="7"/>
  <c r="U29" i="7"/>
  <c r="U32" i="7" s="1"/>
  <c r="U38" i="7" s="1"/>
  <c r="U40" i="7" s="1"/>
  <c r="U43" i="7" s="1"/>
  <c r="U44" i="7" s="1"/>
  <c r="V27" i="3"/>
  <c r="U29" i="3"/>
  <c r="U32" i="3" s="1"/>
  <c r="U38" i="3" s="1"/>
  <c r="U40" i="3" s="1"/>
  <c r="U43" i="3" s="1"/>
  <c r="U44" i="3" s="1"/>
  <c r="W37" i="2"/>
  <c r="U37" i="4"/>
  <c r="V27" i="5"/>
  <c r="U29" i="5"/>
  <c r="U32" i="5" s="1"/>
  <c r="U38" i="5" s="1"/>
  <c r="U40" i="5" s="1"/>
  <c r="U43" i="5" s="1"/>
  <c r="U44" i="5" s="1"/>
  <c r="X35" i="3"/>
  <c r="V35" i="8"/>
  <c r="U27" i="11"/>
  <c r="T29" i="11"/>
  <c r="T32" i="11" s="1"/>
  <c r="T38" i="11" s="1"/>
  <c r="T40" i="11" s="1"/>
  <c r="X37" i="10" l="1"/>
  <c r="V27" i="8"/>
  <c r="U29" i="8"/>
  <c r="U32" i="8" s="1"/>
  <c r="X37" i="3"/>
  <c r="V50" i="9"/>
  <c r="W35" i="4"/>
  <c r="V27" i="2"/>
  <c r="U29" i="2"/>
  <c r="U32" i="2" s="1"/>
  <c r="U38" i="2" s="1"/>
  <c r="U40" i="2" s="1"/>
  <c r="U43" i="2" s="1"/>
  <c r="U44" i="2" s="1"/>
  <c r="V27" i="4"/>
  <c r="U29" i="4"/>
  <c r="U32" i="4" s="1"/>
  <c r="U38" i="4" s="1"/>
  <c r="U40" i="4" s="1"/>
  <c r="U43" i="4" s="1"/>
  <c r="U44" i="4" s="1"/>
  <c r="X27" i="10"/>
  <c r="W29" i="10"/>
  <c r="W32" i="10" s="1"/>
  <c r="W38" i="10" s="1"/>
  <c r="W40" i="10" s="1"/>
  <c r="W43" i="10" s="1"/>
  <c r="W44" i="10" s="1"/>
  <c r="X27" i="9"/>
  <c r="W29" i="9"/>
  <c r="W32" i="9" s="1"/>
  <c r="W40" i="9" s="1"/>
  <c r="W49" i="9" s="1"/>
  <c r="W35" i="8"/>
  <c r="W27" i="5"/>
  <c r="V29" i="5"/>
  <c r="V32" i="5" s="1"/>
  <c r="V38" i="5" s="1"/>
  <c r="V40" i="5" s="1"/>
  <c r="V43" i="5" s="1"/>
  <c r="V44" i="5" s="1"/>
  <c r="V27" i="11"/>
  <c r="U29" i="11"/>
  <c r="U32" i="11" s="1"/>
  <c r="U38" i="11" s="1"/>
  <c r="U40" i="11" s="1"/>
  <c r="Y35" i="2"/>
  <c r="Y35" i="10"/>
  <c r="X27" i="6"/>
  <c r="W29" i="6"/>
  <c r="W32" i="6" s="1"/>
  <c r="Z35" i="6"/>
  <c r="Z36" i="6"/>
  <c r="Z37" i="6" s="1"/>
  <c r="W27" i="7"/>
  <c r="V29" i="7"/>
  <c r="V32" i="7" s="1"/>
  <c r="V38" i="7" s="1"/>
  <c r="V40" i="7" s="1"/>
  <c r="V43" i="7" s="1"/>
  <c r="V44" i="7" s="1"/>
  <c r="W35" i="11"/>
  <c r="W37" i="11" s="1"/>
  <c r="X37" i="2"/>
  <c r="W27" i="3"/>
  <c r="V29" i="3"/>
  <c r="V32" i="3" s="1"/>
  <c r="V38" i="3" s="1"/>
  <c r="V40" i="3" s="1"/>
  <c r="V43" i="3" s="1"/>
  <c r="V44" i="3" s="1"/>
  <c r="V37" i="4"/>
  <c r="Y35" i="3"/>
  <c r="W50" i="9" l="1"/>
  <c r="Y27" i="9"/>
  <c r="X29" i="9"/>
  <c r="X32" i="9" s="1"/>
  <c r="X40" i="9" s="1"/>
  <c r="X49" i="9" s="1"/>
  <c r="X50" i="9" s="1"/>
  <c r="X27" i="7"/>
  <c r="W29" i="7"/>
  <c r="W32" i="7" s="1"/>
  <c r="W38" i="7" s="1"/>
  <c r="W40" i="7" s="1"/>
  <c r="W43" i="7" s="1"/>
  <c r="W44" i="7" s="1"/>
  <c r="X27" i="5"/>
  <c r="W29" i="5"/>
  <c r="W32" i="5" s="1"/>
  <c r="W38" i="5" s="1"/>
  <c r="W40" i="5" s="1"/>
  <c r="W43" i="5" s="1"/>
  <c r="W44" i="5" s="1"/>
  <c r="Y37" i="10"/>
  <c r="Y37" i="2"/>
  <c r="W27" i="4"/>
  <c r="V29" i="4"/>
  <c r="V32" i="4" s="1"/>
  <c r="V38" i="4" s="1"/>
  <c r="V40" i="4" s="1"/>
  <c r="V43" i="4" s="1"/>
  <c r="V44" i="4" s="1"/>
  <c r="Z35" i="3"/>
  <c r="X35" i="4"/>
  <c r="AA36" i="6"/>
  <c r="AA35" i="6"/>
  <c r="O36" i="6"/>
  <c r="P36" i="6"/>
  <c r="Q36" i="6"/>
  <c r="R36" i="6"/>
  <c r="S36" i="6"/>
  <c r="T36" i="6"/>
  <c r="U36" i="6"/>
  <c r="V36" i="6"/>
  <c r="W36" i="6"/>
  <c r="W37" i="6" s="1"/>
  <c r="X36" i="6"/>
  <c r="X37" i="6" s="1"/>
  <c r="Y36" i="6"/>
  <c r="Y37" i="6" s="1"/>
  <c r="Z35" i="2"/>
  <c r="X35" i="8"/>
  <c r="Z35" i="10"/>
  <c r="Y27" i="10"/>
  <c r="X29" i="10"/>
  <c r="X32" i="10" s="1"/>
  <c r="X38" i="10" s="1"/>
  <c r="X40" i="10" s="1"/>
  <c r="X43" i="10" s="1"/>
  <c r="X44" i="10" s="1"/>
  <c r="X27" i="3"/>
  <c r="W29" i="3"/>
  <c r="W32" i="3" s="1"/>
  <c r="W38" i="3" s="1"/>
  <c r="W40" i="3" s="1"/>
  <c r="W43" i="3" s="1"/>
  <c r="W44" i="3" s="1"/>
  <c r="X35" i="11"/>
  <c r="X37" i="11" s="1"/>
  <c r="Y27" i="6"/>
  <c r="X29" i="6"/>
  <c r="X32" i="6" s="1"/>
  <c r="X38" i="6" s="1"/>
  <c r="X40" i="6" s="1"/>
  <c r="X43" i="6" s="1"/>
  <c r="W27" i="2"/>
  <c r="V29" i="2"/>
  <c r="V32" i="2" s="1"/>
  <c r="V38" i="2" s="1"/>
  <c r="V40" i="2" s="1"/>
  <c r="V43" i="2" s="1"/>
  <c r="V44" i="2" s="1"/>
  <c r="W27" i="8"/>
  <c r="V29" i="8"/>
  <c r="V32" i="8" s="1"/>
  <c r="Y37" i="3"/>
  <c r="W27" i="11"/>
  <c r="V29" i="11"/>
  <c r="V32" i="11" s="1"/>
  <c r="V38" i="11" s="1"/>
  <c r="V40" i="11" s="1"/>
  <c r="W37" i="4"/>
  <c r="Z27" i="10" l="1"/>
  <c r="Y29" i="10"/>
  <c r="Y32" i="10" s="1"/>
  <c r="Y38" i="10" s="1"/>
  <c r="Y40" i="10" s="1"/>
  <c r="Y43" i="10" s="1"/>
  <c r="Y44" i="10" s="1"/>
  <c r="Z27" i="9"/>
  <c r="Y29" i="9"/>
  <c r="Y32" i="9" s="1"/>
  <c r="Y40" i="9" s="1"/>
  <c r="Y49" i="9" s="1"/>
  <c r="Y50" i="9" s="1"/>
  <c r="AA35" i="2"/>
  <c r="AA37" i="6"/>
  <c r="Y27" i="5"/>
  <c r="X29" i="5"/>
  <c r="X32" i="5" s="1"/>
  <c r="X38" i="5" s="1"/>
  <c r="X40" i="5" s="1"/>
  <c r="X43" i="5" s="1"/>
  <c r="X44" i="5" s="1"/>
  <c r="Y35" i="8"/>
  <c r="AA35" i="3"/>
  <c r="O37" i="6"/>
  <c r="O38" i="6" s="1"/>
  <c r="Z27" i="6"/>
  <c r="Y29" i="6"/>
  <c r="Y32" i="6" s="1"/>
  <c r="Y38" i="6" s="1"/>
  <c r="Y40" i="6" s="1"/>
  <c r="Y43" i="6" s="1"/>
  <c r="U37" i="6"/>
  <c r="U38" i="6" s="1"/>
  <c r="U40" i="6" s="1"/>
  <c r="U43" i="6" s="1"/>
  <c r="Z37" i="10"/>
  <c r="Z37" i="2"/>
  <c r="R37" i="6"/>
  <c r="R38" i="6"/>
  <c r="R40" i="6" s="1"/>
  <c r="R43" i="6" s="1"/>
  <c r="Y27" i="7"/>
  <c r="X29" i="7"/>
  <c r="X32" i="7" s="1"/>
  <c r="X38" i="7" s="1"/>
  <c r="X40" i="7" s="1"/>
  <c r="X43" i="7" s="1"/>
  <c r="X44" i="7" s="1"/>
  <c r="V37" i="6"/>
  <c r="V38" i="6"/>
  <c r="V40" i="6" s="1"/>
  <c r="V43" i="6" s="1"/>
  <c r="AA35" i="10"/>
  <c r="X27" i="8"/>
  <c r="W29" i="8"/>
  <c r="W32" i="8" s="1"/>
  <c r="Q37" i="6"/>
  <c r="Q38" i="6"/>
  <c r="Q40" i="6" s="1"/>
  <c r="Q43" i="6" s="1"/>
  <c r="Y35" i="4"/>
  <c r="Z37" i="3"/>
  <c r="T37" i="6"/>
  <c r="T38" i="6"/>
  <c r="T40" i="6" s="1"/>
  <c r="T43" i="6" s="1"/>
  <c r="S37" i="6"/>
  <c r="S38" i="6"/>
  <c r="S40" i="6" s="1"/>
  <c r="S43" i="6" s="1"/>
  <c r="X27" i="4"/>
  <c r="W29" i="4"/>
  <c r="W32" i="4" s="1"/>
  <c r="W38" i="4" s="1"/>
  <c r="W40" i="4" s="1"/>
  <c r="W43" i="4" s="1"/>
  <c r="W44" i="4" s="1"/>
  <c r="Y35" i="11"/>
  <c r="Y37" i="11" s="1"/>
  <c r="X27" i="11"/>
  <c r="W29" i="11"/>
  <c r="W32" i="11" s="1"/>
  <c r="W38" i="11" s="1"/>
  <c r="W40" i="11" s="1"/>
  <c r="X27" i="2"/>
  <c r="W29" i="2"/>
  <c r="W32" i="2" s="1"/>
  <c r="W38" i="2" s="1"/>
  <c r="W40" i="2" s="1"/>
  <c r="W43" i="2" s="1"/>
  <c r="W44" i="2" s="1"/>
  <c r="W38" i="6"/>
  <c r="W40" i="6" s="1"/>
  <c r="W43" i="6" s="1"/>
  <c r="Y27" i="3"/>
  <c r="X29" i="3"/>
  <c r="X32" i="3" s="1"/>
  <c r="X38" i="3" s="1"/>
  <c r="X40" i="3" s="1"/>
  <c r="X43" i="3" s="1"/>
  <c r="X44" i="3" s="1"/>
  <c r="P37" i="6"/>
  <c r="P38" i="6"/>
  <c r="P40" i="6" s="1"/>
  <c r="P43" i="6" s="1"/>
  <c r="P44" i="6" s="1"/>
  <c r="Q44" i="6" s="1"/>
  <c r="X37" i="4"/>
  <c r="AA27" i="10" l="1"/>
  <c r="AA29" i="10" s="1"/>
  <c r="AA32" i="10" s="1"/>
  <c r="AA38" i="10" s="1"/>
  <c r="AA40" i="10" s="1"/>
  <c r="AA43" i="10" s="1"/>
  <c r="Z29" i="10"/>
  <c r="Z32" i="10" s="1"/>
  <c r="Z38" i="10" s="1"/>
  <c r="Z40" i="10" s="1"/>
  <c r="Z43" i="10" s="1"/>
  <c r="Z44" i="10" s="1"/>
  <c r="AA44" i="10" s="1"/>
  <c r="C17" i="1" s="1"/>
  <c r="AA37" i="2"/>
  <c r="Z27" i="7"/>
  <c r="Y29" i="7"/>
  <c r="Y32" i="7" s="1"/>
  <c r="Y38" i="7" s="1"/>
  <c r="Y40" i="7" s="1"/>
  <c r="Y43" i="7" s="1"/>
  <c r="Y44" i="7" s="1"/>
  <c r="Y27" i="8"/>
  <c r="X29" i="8"/>
  <c r="X32" i="8" s="1"/>
  <c r="Z35" i="8"/>
  <c r="Z42" i="8"/>
  <c r="Z45" i="8" s="1"/>
  <c r="Z46" i="8" s="1"/>
  <c r="Y27" i="4"/>
  <c r="X29" i="4"/>
  <c r="X32" i="4" s="1"/>
  <c r="X38" i="4" s="1"/>
  <c r="X40" i="4" s="1"/>
  <c r="X43" i="4" s="1"/>
  <c r="X44" i="4" s="1"/>
  <c r="AA37" i="10"/>
  <c r="AA27" i="6"/>
  <c r="AA29" i="6" s="1"/>
  <c r="AA32" i="6" s="1"/>
  <c r="AA38" i="6" s="1"/>
  <c r="AA40" i="6" s="1"/>
  <c r="AA43" i="6" s="1"/>
  <c r="Z29" i="6"/>
  <c r="Z32" i="6" s="1"/>
  <c r="Z38" i="6" s="1"/>
  <c r="Z40" i="6" s="1"/>
  <c r="Z43" i="6" s="1"/>
  <c r="R44" i="6"/>
  <c r="S44" i="6" s="1"/>
  <c r="T44" i="6" s="1"/>
  <c r="U44" i="6" s="1"/>
  <c r="V44" i="6" s="1"/>
  <c r="W44" i="6" s="1"/>
  <c r="X44" i="6" s="1"/>
  <c r="Y44" i="6" s="1"/>
  <c r="Z44" i="6" s="1"/>
  <c r="AA44" i="6" s="1"/>
  <c r="C13" i="1" s="1"/>
  <c r="Y37" i="4"/>
  <c r="Z35" i="4"/>
  <c r="Z35" i="11"/>
  <c r="Z37" i="11" s="1"/>
  <c r="AA27" i="9"/>
  <c r="AA29" i="9" s="1"/>
  <c r="AA32" i="9" s="1"/>
  <c r="AA40" i="9" s="1"/>
  <c r="AA49" i="9" s="1"/>
  <c r="Z29" i="9"/>
  <c r="Z32" i="9" s="1"/>
  <c r="Z40" i="9" s="1"/>
  <c r="Z49" i="9" s="1"/>
  <c r="Z50" i="9" s="1"/>
  <c r="AA50" i="9" s="1"/>
  <c r="C16" i="1" s="1"/>
  <c r="Y27" i="2"/>
  <c r="X29" i="2"/>
  <c r="X32" i="2" s="1"/>
  <c r="X38" i="2" s="1"/>
  <c r="X40" i="2" s="1"/>
  <c r="X43" i="2" s="1"/>
  <c r="X44" i="2" s="1"/>
  <c r="Y27" i="11"/>
  <c r="X29" i="11"/>
  <c r="X32" i="11" s="1"/>
  <c r="X38" i="11" s="1"/>
  <c r="X40" i="11" s="1"/>
  <c r="Z27" i="3"/>
  <c r="Y29" i="3"/>
  <c r="Y32" i="3" s="1"/>
  <c r="Y38" i="3" s="1"/>
  <c r="Y40" i="3" s="1"/>
  <c r="Y43" i="3" s="1"/>
  <c r="Y44" i="3" s="1"/>
  <c r="AA37" i="3"/>
  <c r="Z27" i="5"/>
  <c r="Y29" i="5"/>
  <c r="Y32" i="5" s="1"/>
  <c r="Y38" i="5" s="1"/>
  <c r="Y40" i="5" s="1"/>
  <c r="Y43" i="5" s="1"/>
  <c r="Y44" i="5" s="1"/>
  <c r="Y38" i="4" l="1"/>
  <c r="Y40" i="4" s="1"/>
  <c r="Y43" i="4" s="1"/>
  <c r="Y44" i="4" s="1"/>
  <c r="AA27" i="3"/>
  <c r="AA29" i="3" s="1"/>
  <c r="AA32" i="3" s="1"/>
  <c r="AA38" i="3" s="1"/>
  <c r="AA40" i="3" s="1"/>
  <c r="AA43" i="3" s="1"/>
  <c r="Z29" i="3"/>
  <c r="Z32" i="3" s="1"/>
  <c r="Z38" i="3" s="1"/>
  <c r="Z40" i="3" s="1"/>
  <c r="Z43" i="3" s="1"/>
  <c r="Z44" i="3" s="1"/>
  <c r="AA44" i="3" s="1"/>
  <c r="C10" i="1" s="1"/>
  <c r="Z27" i="8"/>
  <c r="Y29" i="8"/>
  <c r="Y32" i="8" s="1"/>
  <c r="AA27" i="7"/>
  <c r="AA29" i="7" s="1"/>
  <c r="AA32" i="7" s="1"/>
  <c r="AA38" i="7" s="1"/>
  <c r="AA40" i="7" s="1"/>
  <c r="AA43" i="7" s="1"/>
  <c r="Z29" i="7"/>
  <c r="Z32" i="7" s="1"/>
  <c r="Z38" i="7" s="1"/>
  <c r="Z40" i="7" s="1"/>
  <c r="Z43" i="7" s="1"/>
  <c r="Z44" i="7" s="1"/>
  <c r="AA44" i="7" s="1"/>
  <c r="C14" i="1" s="1"/>
  <c r="AA42" i="8"/>
  <c r="AA45" i="8" s="1"/>
  <c r="AA46" i="8" s="1"/>
  <c r="AA35" i="8"/>
  <c r="AA36" i="8"/>
  <c r="O36" i="8"/>
  <c r="P36" i="8"/>
  <c r="P42" i="8"/>
  <c r="P45" i="8" s="1"/>
  <c r="P46" i="8" s="1"/>
  <c r="Q36" i="8"/>
  <c r="Q42" i="8"/>
  <c r="Q45" i="8" s="1"/>
  <c r="Q46" i="8" s="1"/>
  <c r="R42" i="8"/>
  <c r="R45" i="8" s="1"/>
  <c r="R46" i="8" s="1"/>
  <c r="R36" i="8"/>
  <c r="S42" i="8"/>
  <c r="S45" i="8" s="1"/>
  <c r="S46" i="8" s="1"/>
  <c r="S36" i="8"/>
  <c r="T42" i="8"/>
  <c r="T45" i="8" s="1"/>
  <c r="T46" i="8" s="1"/>
  <c r="T36" i="8"/>
  <c r="U36" i="8"/>
  <c r="U42" i="8"/>
  <c r="U45" i="8" s="1"/>
  <c r="U46" i="8" s="1"/>
  <c r="V36" i="8"/>
  <c r="V42" i="8"/>
  <c r="V45" i="8" s="1"/>
  <c r="V46" i="8" s="1"/>
  <c r="W42" i="8"/>
  <c r="W45" i="8" s="1"/>
  <c r="W46" i="8" s="1"/>
  <c r="W36" i="8"/>
  <c r="X42" i="8"/>
  <c r="X45" i="8" s="1"/>
  <c r="X46" i="8" s="1"/>
  <c r="X36" i="8"/>
  <c r="X37" i="8" s="1"/>
  <c r="Y36" i="8"/>
  <c r="Y37" i="8" s="1"/>
  <c r="Y42" i="8"/>
  <c r="Y45" i="8" s="1"/>
  <c r="Y46" i="8" s="1"/>
  <c r="X49" i="11"/>
  <c r="Z27" i="11"/>
  <c r="Y29" i="11"/>
  <c r="Y32" i="11" s="1"/>
  <c r="Y38" i="11" s="1"/>
  <c r="Y40" i="11" s="1"/>
  <c r="AA27" i="5"/>
  <c r="AA29" i="5" s="1"/>
  <c r="AA32" i="5" s="1"/>
  <c r="AA38" i="5" s="1"/>
  <c r="AA40" i="5" s="1"/>
  <c r="AA43" i="5" s="1"/>
  <c r="Z29" i="5"/>
  <c r="Z32" i="5" s="1"/>
  <c r="Z38" i="5" s="1"/>
  <c r="Z40" i="5" s="1"/>
  <c r="Z43" i="5" s="1"/>
  <c r="Z44" i="5" s="1"/>
  <c r="AA44" i="5" s="1"/>
  <c r="C12" i="1" s="1"/>
  <c r="Z27" i="2"/>
  <c r="Y29" i="2"/>
  <c r="Y32" i="2" s="1"/>
  <c r="Y38" i="2" s="1"/>
  <c r="Y40" i="2" s="1"/>
  <c r="Y43" i="2" s="1"/>
  <c r="Y44" i="2" s="1"/>
  <c r="Z36" i="8"/>
  <c r="Z37" i="8" s="1"/>
  <c r="Z37" i="4"/>
  <c r="AA35" i="11"/>
  <c r="AA37" i="11" s="1"/>
  <c r="AA42" i="11"/>
  <c r="AA45" i="11" s="1"/>
  <c r="AA46" i="11" s="1"/>
  <c r="P42" i="11"/>
  <c r="P45" i="11" s="1"/>
  <c r="P46" i="11" s="1"/>
  <c r="P49" i="11" s="1"/>
  <c r="P50" i="11" s="1"/>
  <c r="Q42" i="11"/>
  <c r="Q45" i="11" s="1"/>
  <c r="Q46" i="11" s="1"/>
  <c r="Q49" i="11" s="1"/>
  <c r="R42" i="11"/>
  <c r="R45" i="11" s="1"/>
  <c r="R46" i="11" s="1"/>
  <c r="R49" i="11" s="1"/>
  <c r="S42" i="11"/>
  <c r="S45" i="11" s="1"/>
  <c r="S46" i="11" s="1"/>
  <c r="S49" i="11" s="1"/>
  <c r="T42" i="11"/>
  <c r="T45" i="11" s="1"/>
  <c r="T46" i="11" s="1"/>
  <c r="T49" i="11" s="1"/>
  <c r="U42" i="11"/>
  <c r="U45" i="11" s="1"/>
  <c r="U46" i="11" s="1"/>
  <c r="U49" i="11" s="1"/>
  <c r="V42" i="11"/>
  <c r="V45" i="11" s="1"/>
  <c r="V46" i="11" s="1"/>
  <c r="V49" i="11" s="1"/>
  <c r="W42" i="11"/>
  <c r="W45" i="11" s="1"/>
  <c r="W46" i="11" s="1"/>
  <c r="W49" i="11" s="1"/>
  <c r="X42" i="11"/>
  <c r="X45" i="11" s="1"/>
  <c r="X46" i="11" s="1"/>
  <c r="Y42" i="11"/>
  <c r="Y45" i="11" s="1"/>
  <c r="Y46" i="11" s="1"/>
  <c r="Z27" i="4"/>
  <c r="Y29" i="4"/>
  <c r="Y32" i="4" s="1"/>
  <c r="Z42" i="11"/>
  <c r="Z45" i="11" s="1"/>
  <c r="Z46" i="11" s="1"/>
  <c r="AA35" i="4"/>
  <c r="V37" i="8" l="1"/>
  <c r="V38" i="8"/>
  <c r="V40" i="8" s="1"/>
  <c r="V49" i="8" s="1"/>
  <c r="AA27" i="2"/>
  <c r="AA29" i="2" s="1"/>
  <c r="AA32" i="2" s="1"/>
  <c r="AA38" i="2" s="1"/>
  <c r="AA40" i="2" s="1"/>
  <c r="AA43" i="2" s="1"/>
  <c r="Z29" i="2"/>
  <c r="Z32" i="2" s="1"/>
  <c r="Z38" i="2" s="1"/>
  <c r="Z40" i="2" s="1"/>
  <c r="Z43" i="2" s="1"/>
  <c r="Z44" i="2" s="1"/>
  <c r="AA44" i="2" s="1"/>
  <c r="C9" i="1" s="1"/>
  <c r="T37" i="8"/>
  <c r="T38" i="8"/>
  <c r="T40" i="8" s="1"/>
  <c r="T49" i="8" s="1"/>
  <c r="X38" i="8"/>
  <c r="X40" i="8" s="1"/>
  <c r="X49" i="8" s="1"/>
  <c r="Q50" i="11"/>
  <c r="R50" i="11" s="1"/>
  <c r="S50" i="11" s="1"/>
  <c r="T50" i="11" s="1"/>
  <c r="U50" i="11" s="1"/>
  <c r="V50" i="11" s="1"/>
  <c r="W50" i="11" s="1"/>
  <c r="X50" i="11" s="1"/>
  <c r="P37" i="8"/>
  <c r="P38" i="8"/>
  <c r="P40" i="8" s="1"/>
  <c r="P49" i="8" s="1"/>
  <c r="P50" i="8" s="1"/>
  <c r="Q37" i="8"/>
  <c r="Q38" i="8"/>
  <c r="Q40" i="8" s="1"/>
  <c r="Q49" i="8" s="1"/>
  <c r="W37" i="8"/>
  <c r="W38" i="8"/>
  <c r="W40" i="8" s="1"/>
  <c r="W49" i="8" s="1"/>
  <c r="S37" i="8"/>
  <c r="S38" i="8"/>
  <c r="S40" i="8" s="1"/>
  <c r="S49" i="8" s="1"/>
  <c r="O37" i="8"/>
  <c r="O38" i="8"/>
  <c r="AA27" i="4"/>
  <c r="AA29" i="4" s="1"/>
  <c r="AA32" i="4" s="1"/>
  <c r="AA38" i="4" s="1"/>
  <c r="AA40" i="4" s="1"/>
  <c r="AA43" i="4" s="1"/>
  <c r="Z29" i="4"/>
  <c r="Z32" i="4" s="1"/>
  <c r="Z38" i="4" s="1"/>
  <c r="Z40" i="4" s="1"/>
  <c r="Z43" i="4" s="1"/>
  <c r="Z44" i="4" s="1"/>
  <c r="AA44" i="4" s="1"/>
  <c r="C11" i="1" s="1"/>
  <c r="U37" i="8"/>
  <c r="U38" i="8"/>
  <c r="U40" i="8" s="1"/>
  <c r="U49" i="8" s="1"/>
  <c r="AA37" i="4"/>
  <c r="Y49" i="11"/>
  <c r="AA37" i="8"/>
  <c r="AA38" i="8" s="1"/>
  <c r="AA40" i="8" s="1"/>
  <c r="AA49" i="8" s="1"/>
  <c r="Y38" i="8"/>
  <c r="Y40" i="8" s="1"/>
  <c r="Y49" i="8" s="1"/>
  <c r="AA27" i="11"/>
  <c r="AA29" i="11" s="1"/>
  <c r="AA32" i="11" s="1"/>
  <c r="AA38" i="11" s="1"/>
  <c r="AA40" i="11" s="1"/>
  <c r="AA49" i="11" s="1"/>
  <c r="Z29" i="11"/>
  <c r="Z32" i="11" s="1"/>
  <c r="Z38" i="11" s="1"/>
  <c r="Z40" i="11" s="1"/>
  <c r="Z49" i="11" s="1"/>
  <c r="R37" i="8"/>
  <c r="R38" i="8"/>
  <c r="R40" i="8" s="1"/>
  <c r="R49" i="8" s="1"/>
  <c r="AA27" i="8"/>
  <c r="AA29" i="8" s="1"/>
  <c r="AA32" i="8" s="1"/>
  <c r="Z29" i="8"/>
  <c r="Z32" i="8" s="1"/>
  <c r="Z38" i="8" s="1"/>
  <c r="Z40" i="8" s="1"/>
  <c r="Z49" i="8" s="1"/>
  <c r="Q50" i="8" l="1"/>
  <c r="R50" i="8" s="1"/>
  <c r="S50" i="8" s="1"/>
  <c r="T50" i="8" s="1"/>
  <c r="U50" i="8" s="1"/>
  <c r="V50" i="8" s="1"/>
  <c r="W50" i="8" s="1"/>
  <c r="X50" i="8" s="1"/>
  <c r="Y50" i="8" s="1"/>
  <c r="Z50" i="8" s="1"/>
  <c r="AA50" i="8" s="1"/>
  <c r="C15" i="1" s="1"/>
  <c r="Y50" i="11"/>
  <c r="Z50" i="11" s="1"/>
  <c r="AA50" i="11" s="1"/>
  <c r="C18" i="1" s="1"/>
  <c r="C20" i="1" l="1"/>
</calcChain>
</file>

<file path=xl/sharedStrings.xml><?xml version="1.0" encoding="utf-8"?>
<sst xmlns="http://schemas.openxmlformats.org/spreadsheetml/2006/main" count="422" uniqueCount="75">
  <si>
    <t>PacifiCorp</t>
  </si>
  <si>
    <t>Washington Limited-Issue Rate Filing</t>
  </si>
  <si>
    <t>2021 Revenues for Refund</t>
  </si>
  <si>
    <t>Wind &amp; Transmission Capital True-Up</t>
  </si>
  <si>
    <t>Revenue Subject to Refund Summary</t>
  </si>
  <si>
    <t>BR02_NOV</t>
  </si>
  <si>
    <t>SETTLEMENT</t>
  </si>
  <si>
    <t>FILED</t>
  </si>
  <si>
    <t>Category</t>
  </si>
  <si>
    <t>Project</t>
  </si>
  <si>
    <t>WA-Allocated ($)</t>
  </si>
  <si>
    <t>Transmission</t>
  </si>
  <si>
    <t>Cedar Springs</t>
  </si>
  <si>
    <t>Aelous-Bridger</t>
  </si>
  <si>
    <t>TB Flats</t>
  </si>
  <si>
    <t>Pryor Mountain</t>
  </si>
  <si>
    <t>Wind</t>
  </si>
  <si>
    <t>Ekola Flats</t>
  </si>
  <si>
    <t>Repowering</t>
  </si>
  <si>
    <t>Dunlap</t>
  </si>
  <si>
    <t>Foote Creek</t>
  </si>
  <si>
    <t>Total</t>
  </si>
  <si>
    <t>2021 Revenue for Refund</t>
  </si>
  <si>
    <t>Cedar Springs - Transmission</t>
  </si>
  <si>
    <t>Amount In-Rates</t>
  </si>
  <si>
    <t>Plant Revenue Requirement</t>
  </si>
  <si>
    <t xml:space="preserve">   Capital Investment</t>
  </si>
  <si>
    <t xml:space="preserve">   Depreciation Reserve</t>
  </si>
  <si>
    <t xml:space="preserve">   Accumulated DIT Balance</t>
  </si>
  <si>
    <t>Net Rate Base</t>
  </si>
  <si>
    <t xml:space="preserve">   Rate of Return</t>
  </si>
  <si>
    <t>Return on Rate Base</t>
  </si>
  <si>
    <t xml:space="preserve">   Depreciation Rate</t>
  </si>
  <si>
    <t xml:space="preserve">   Depreciation Expense</t>
  </si>
  <si>
    <t xml:space="preserve">   Federal Income Tax</t>
  </si>
  <si>
    <t>Total Plant Revenue Requirement</t>
  </si>
  <si>
    <t>Washington Allocated Plant Rev. Req.</t>
  </si>
  <si>
    <t>Actual In-Service</t>
  </si>
  <si>
    <t xml:space="preserve">   Pre-Tax Rate of Return</t>
  </si>
  <si>
    <t>Pre-Tax Return on Rate Base</t>
  </si>
  <si>
    <t>Deferral</t>
  </si>
  <si>
    <t>Total Monthly Collection/(Refund)</t>
  </si>
  <si>
    <t>Cumulative Collection/(Refund)</t>
  </si>
  <si>
    <t>*Approved SG Factor - UE-191024</t>
  </si>
  <si>
    <t xml:space="preserve">Total Monthly Collection/(Refund) </t>
  </si>
  <si>
    <t xml:space="preserve">   O&amp;M</t>
  </si>
  <si>
    <t>Total Monthly Collcetion/(Refund)</t>
  </si>
  <si>
    <t>Percentage of In-Service Capital</t>
  </si>
  <si>
    <t>Estimated NPC Change w/o Resource</t>
  </si>
  <si>
    <t>Washington Allocated NPC In-Service</t>
  </si>
  <si>
    <t>Washington Allocated NPC Rev. Req.</t>
  </si>
  <si>
    <t>Rate of Return</t>
  </si>
  <si>
    <t>Variables</t>
  </si>
  <si>
    <t>% of Capitalization</t>
  </si>
  <si>
    <t>Cost of Capital</t>
  </si>
  <si>
    <t>WACC</t>
  </si>
  <si>
    <t>Pre-tax WACC</t>
  </si>
  <si>
    <t>Preferred stock</t>
  </si>
  <si>
    <t>Common equity</t>
  </si>
  <si>
    <t>Merged Effective Tax Rate</t>
  </si>
  <si>
    <t>Pre-Tax Bump-up Factor</t>
  </si>
  <si>
    <t>Net to Gross Bump-up Factor</t>
  </si>
  <si>
    <t>Operating Revenue</t>
  </si>
  <si>
    <t>Operating Deductions</t>
  </si>
  <si>
    <t>Grossed-Up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</si>
  <si>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</si>
  <si>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</si>
  <si>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</si>
  <si>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</si>
  <si>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</si>
  <si>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</si>
  <si>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</si>
  <si>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</si>
  <si>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</si>
  <si>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Designated Information is Confidential Per Protective Order in UTC Docket UE-210532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</si>
</sst>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0.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quotePrefix="1" applyFont="1" applyAlignment="1">
      <alignment horizontal="center"/>
    </xf>
    <xf numFmtId="164" fontId="3" fillId="0" borderId="0" xfId="1" applyNumberFormat="1" applyFont="1" applyFill="1"/>
    <xf numFmtId="0" fontId="6" fillId="0" borderId="0" xfId="0" applyFont="1"/>
    <xf numFmtId="10" fontId="3" fillId="0" borderId="1" xfId="1" applyNumberFormat="1" applyFont="1" applyFill="1" applyBorder="1"/>
    <xf numFmtId="10" fontId="3" fillId="0" borderId="0" xfId="2" applyNumberFormat="1" applyFont="1"/>
    <xf numFmtId="10" fontId="3" fillId="0" borderId="0" xfId="2" applyNumberFormat="1" applyFont="1" applyFill="1"/>
    <xf numFmtId="164" fontId="5" fillId="3" borderId="0" xfId="0" applyNumberFormat="1" applyFont="1" applyFill="1"/>
    <xf numFmtId="164" fontId="5" fillId="0" borderId="0" xfId="0" applyNumberFormat="1" applyFont="1"/>
    <xf numFmtId="165" fontId="2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164" fontId="2" fillId="0" borderId="6" xfId="0" applyNumberFormat="1" applyFont="1" applyBorder="1"/>
    <xf numFmtId="0" fontId="7" fillId="0" borderId="0" xfId="0" applyFont="1"/>
    <xf numFmtId="166" fontId="3" fillId="0" borderId="0" xfId="2" applyNumberFormat="1" applyFont="1" applyFill="1"/>
    <xf numFmtId="0" fontId="8" fillId="0" borderId="0" xfId="0" applyFont="1"/>
    <xf numFmtId="43" fontId="3" fillId="0" borderId="0" xfId="0" applyNumberFormat="1" applyFont="1"/>
    <xf numFmtId="166" fontId="3" fillId="0" borderId="0" xfId="2" applyNumberFormat="1" applyFont="1"/>
    <xf numFmtId="9" fontId="6" fillId="0" borderId="0" xfId="2" applyFont="1"/>
    <xf numFmtId="164" fontId="3" fillId="0" borderId="0" xfId="1" applyNumberFormat="1" applyFont="1" applyFill="1" applyBorder="1"/>
    <xf numFmtId="164" fontId="5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164" fontId="3" fillId="2" borderId="0" xfId="1" applyNumberFormat="1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10" fontId="6" fillId="0" borderId="0" xfId="2" applyNumberFormat="1" applyFont="1"/>
    <xf numFmtId="164" fontId="6" fillId="3" borderId="1" xfId="0" applyNumberFormat="1" applyFont="1" applyFill="1" applyBorder="1"/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9" fontId="6" fillId="3" borderId="0" xfId="2" applyFont="1" applyFill="1"/>
    <xf numFmtId="9" fontId="6" fillId="0" borderId="0" xfId="2" applyFont="1" applyFill="1"/>
    <xf numFmtId="164" fontId="3" fillId="3" borderId="0" xfId="1" applyNumberFormat="1" applyFont="1" applyFill="1" applyBorder="1"/>
    <xf numFmtId="164" fontId="2" fillId="3" borderId="1" xfId="1" applyNumberFormat="1" applyFont="1" applyFill="1" applyBorder="1"/>
    <xf numFmtId="164" fontId="2" fillId="3" borderId="0" xfId="0" applyNumberFormat="1" applyFont="1" applyFill="1"/>
    <xf numFmtId="0" fontId="8" fillId="0" borderId="7" xfId="3" applyFont="1" applyBorder="1"/>
    <xf numFmtId="0" fontId="3" fillId="0" borderId="8" xfId="3" applyFont="1" applyBorder="1"/>
    <xf numFmtId="0" fontId="3" fillId="0" borderId="9" xfId="3" applyFont="1" applyBorder="1"/>
    <xf numFmtId="0" fontId="3" fillId="0" borderId="0" xfId="3" applyFont="1"/>
    <xf numFmtId="0" fontId="8" fillId="0" borderId="10" xfId="3" applyFont="1" applyBorder="1" applyAlignment="1">
      <alignment horizontal="left"/>
    </xf>
    <xf numFmtId="0" fontId="3" fillId="0" borderId="11" xfId="3" applyFont="1" applyBorder="1"/>
    <xf numFmtId="0" fontId="2" fillId="0" borderId="0" xfId="3" applyFont="1" applyAlignment="1">
      <alignment horizontal="centerContinuous" wrapText="1"/>
    </xf>
    <xf numFmtId="10" fontId="3" fillId="0" borderId="0" xfId="4" applyNumberFormat="1" applyFont="1" applyBorder="1"/>
    <xf numFmtId="0" fontId="8" fillId="0" borderId="10" xfId="3" applyFont="1" applyBorder="1" applyAlignment="1">
      <alignment horizontal="left" indent="1"/>
    </xf>
    <xf numFmtId="0" fontId="2" fillId="0" borderId="1" xfId="3" applyFont="1" applyBorder="1" applyAlignment="1">
      <alignment horizontal="centerContinuous" wrapText="1"/>
    </xf>
    <xf numFmtId="0" fontId="2" fillId="0" borderId="1" xfId="3" applyFont="1" applyBorder="1" applyAlignment="1">
      <alignment horizontal="center" wrapText="1"/>
    </xf>
    <xf numFmtId="166" fontId="3" fillId="0" borderId="0" xfId="4" applyNumberFormat="1" applyFont="1" applyBorder="1"/>
    <xf numFmtId="0" fontId="3" fillId="0" borderId="10" xfId="3" applyFont="1" applyBorder="1" applyAlignment="1">
      <alignment horizontal="left" indent="1"/>
    </xf>
    <xf numFmtId="0" fontId="3" fillId="0" borderId="10" xfId="3" applyFont="1" applyBorder="1"/>
    <xf numFmtId="166" fontId="3" fillId="0" borderId="12" xfId="4" applyNumberFormat="1" applyFont="1" applyBorder="1"/>
    <xf numFmtId="166" fontId="3" fillId="0" borderId="0" xfId="3" applyNumberFormat="1" applyFont="1"/>
    <xf numFmtId="9" fontId="3" fillId="0" borderId="0" xfId="4" applyFont="1" applyBorder="1"/>
    <xf numFmtId="166" fontId="3" fillId="0" borderId="12" xfId="4" applyNumberFormat="1" applyFont="1" applyFill="1" applyBorder="1"/>
    <xf numFmtId="167" fontId="3" fillId="0" borderId="11" xfId="3" applyNumberFormat="1" applyFont="1" applyBorder="1"/>
    <xf numFmtId="10" fontId="3" fillId="0" borderId="0" xfId="4" applyNumberFormat="1" applyFont="1" applyFill="1" applyBorder="1"/>
    <xf numFmtId="0" fontId="3" fillId="0" borderId="13" xfId="3" applyFont="1" applyBorder="1"/>
    <xf numFmtId="0" fontId="3" fillId="0" borderId="14" xfId="3" applyFont="1" applyBorder="1"/>
    <xf numFmtId="0" fontId="3" fillId="0" borderId="15" xfId="3" applyFont="1" applyBorder="1"/>
    <xf numFmtId="10" fontId="3" fillId="0" borderId="0" xfId="0" applyNumberFormat="1" applyFont="1"/>
    <xf numFmtId="166" fontId="3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66" fontId="6" fillId="0" borderId="0" xfId="5" applyNumberFormat="1" applyFont="1"/>
    <xf numFmtId="0" fontId="9" fillId="0" borderId="0" xfId="3" applyFont="1" applyAlignment="1">
      <alignment horizontal="center"/>
    </xf>
    <xf numFmtId="166" fontId="6" fillId="0" borderId="0" xfId="5" applyNumberFormat="1" applyFont="1" applyFill="1"/>
    <xf numFmtId="166" fontId="6" fillId="0" borderId="1" xfId="5" applyNumberFormat="1" applyFont="1" applyFill="1" applyBorder="1"/>
    <xf numFmtId="166" fontId="3" fillId="0" borderId="1" xfId="2" applyNumberFormat="1" applyFont="1" applyBorder="1"/>
    <xf numFmtId="166" fontId="6" fillId="0" borderId="0" xfId="5" quotePrefix="1" applyNumberFormat="1" applyFont="1"/>
    <xf numFmtId="166" fontId="6" fillId="0" borderId="1" xfId="5" applyNumberFormat="1" applyFont="1" applyBorder="1"/>
    <xf numFmtId="10" fontId="6" fillId="0" borderId="0" xfId="5" applyNumberFormat="1" applyFont="1"/>
    <xf numFmtId="166" fontId="6" fillId="0" borderId="16" xfId="5" quotePrefix="1" applyNumberFormat="1" applyFont="1" applyBorder="1"/>
    <xf numFmtId="164" fontId="3" fillId="0" borderId="2" xfId="1" applyNumberFormat="1" applyFont="1" applyFill="1" applyBorder="1"/>
    <xf numFmtId="49" fontId="3" fillId="0" borderId="0" xfId="0" applyNumberFormat="1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164" fontId="3" fillId="0" borderId="0" xfId="0" applyNumberFormat="1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center"/>
    </xf>
    <xf numFmtId="164" fontId="6" fillId="0" borderId="0" xfId="1" applyNumberFormat="1" applyFont="1" applyFill="1"/>
    <xf numFmtId="164" fontId="6" fillId="0" borderId="0" xfId="0" applyNumberFormat="1" applyFont="1" applyFill="1"/>
    <xf numFmtId="10" fontId="6" fillId="0" borderId="1" xfId="1" applyNumberFormat="1" applyFont="1" applyFill="1" applyBorder="1"/>
    <xf numFmtId="10" fontId="6" fillId="0" borderId="0" xfId="2" applyNumberFormat="1" applyFont="1" applyFill="1"/>
    <xf numFmtId="164" fontId="3" fillId="2" borderId="1" xfId="1" applyNumberFormat="1" applyFont="1" applyFill="1" applyBorder="1"/>
    <xf numFmtId="164" fontId="2" fillId="2" borderId="6" xfId="0" applyNumberFormat="1" applyFont="1" applyFill="1" applyBorder="1"/>
    <xf numFmtId="0" fontId="6" fillId="0" borderId="0" xfId="0" applyFont="1" applyFill="1" applyAlignment="1">
      <alignment horizontal="left" indent="1"/>
    </xf>
    <xf numFmtId="10" fontId="6" fillId="0" borderId="0" xfId="1" applyNumberFormat="1" applyFont="1" applyFill="1" applyBorder="1"/>
    <xf numFmtId="0" fontId="6" fillId="0" borderId="0" xfId="0" quotePrefix="1" applyFont="1" applyAlignment="1">
      <alignment horizontal="center"/>
    </xf>
    <xf numFmtId="164" fontId="6" fillId="2" borderId="0" xfId="0" applyNumberFormat="1" applyFont="1" applyFill="1"/>
    <xf numFmtId="0" fontId="3" fillId="0" borderId="0" xfId="0" applyFont="1" applyBorder="1"/>
    <xf numFmtId="165" fontId="2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/>
    <xf numFmtId="164" fontId="6" fillId="0" borderId="0" xfId="1" applyNumberFormat="1" applyFont="1" applyFill="1" applyBorder="1"/>
    <xf numFmtId="165" fontId="3" fillId="0" borderId="0" xfId="0" applyNumberFormat="1" applyFont="1" applyBorder="1"/>
    <xf numFmtId="43" fontId="6" fillId="0" borderId="0" xfId="0" applyNumberFormat="1" applyFont="1" applyFill="1" applyBorder="1"/>
    <xf numFmtId="164" fontId="3" fillId="0" borderId="0" xfId="0" applyNumberFormat="1" applyFont="1" applyBorder="1"/>
    <xf numFmtId="14" fontId="2" fillId="0" borderId="0" xfId="0" applyNumberFormat="1" applyFont="1" applyBorder="1" applyAlignment="1">
      <alignment horizontal="center"/>
    </xf>
    <xf numFmtId="43" fontId="6" fillId="0" borderId="0" xfId="1" applyFont="1" applyFill="1" applyBorder="1"/>
    <xf numFmtId="0" fontId="6" fillId="0" borderId="0" xfId="0" applyFont="1" applyBorder="1"/>
    <xf numFmtId="0" fontId="3" fillId="0" borderId="0" xfId="0" applyFont="1" applyFill="1" applyBorder="1"/>
    <xf numFmtId="0" fontId="2" fillId="0" borderId="0" xfId="0" applyFont="1" applyBorder="1"/>
    <xf numFmtId="164" fontId="3" fillId="4" borderId="0" xfId="1" applyNumberFormat="1" applyFont="1" applyFill="1"/>
    <xf numFmtId="164" fontId="3" fillId="4" borderId="1" xfId="1" applyNumberFormat="1" applyFont="1" applyFill="1" applyBorder="1"/>
    <xf numFmtId="164" fontId="6" fillId="5" borderId="0" xfId="1" applyNumberFormat="1" applyFont="1" applyFill="1"/>
    <xf numFmtId="164" fontId="6" fillId="5" borderId="1" xfId="1" applyNumberFormat="1" applyFont="1" applyFill="1" applyBorder="1"/>
    <xf numFmtId="164" fontId="6" fillId="5" borderId="0" xfId="0" applyNumberFormat="1" applyFont="1" applyFill="1"/>
    <xf numFmtId="164" fontId="3" fillId="5" borderId="0" xfId="0" applyNumberFormat="1" applyFont="1" applyFill="1"/>
    <xf numFmtId="164" fontId="5" fillId="5" borderId="0" xfId="0" applyNumberFormat="1" applyFont="1" applyFill="1"/>
    <xf numFmtId="164" fontId="5" fillId="0" borderId="0" xfId="0" applyNumberFormat="1" applyFont="1" applyFill="1"/>
    <xf numFmtId="164" fontId="3" fillId="5" borderId="0" xfId="1" applyNumberFormat="1" applyFont="1" applyFill="1"/>
    <xf numFmtId="164" fontId="3" fillId="5" borderId="0" xfId="1" applyNumberFormat="1" applyFont="1" applyFill="1" applyBorder="1"/>
    <xf numFmtId="164" fontId="3" fillId="5" borderId="1" xfId="1" applyNumberFormat="1" applyFont="1" applyFill="1" applyBorder="1"/>
    <xf numFmtId="164" fontId="2" fillId="5" borderId="0" xfId="0" applyNumberFormat="1" applyFont="1" applyFill="1"/>
    <xf numFmtId="10" fontId="3" fillId="5" borderId="0" xfId="2" applyNumberFormat="1" applyFont="1" applyFill="1"/>
    <xf numFmtId="164" fontId="5" fillId="5" borderId="1" xfId="0" applyNumberFormat="1" applyFont="1" applyFill="1" applyBorder="1"/>
    <xf numFmtId="165" fontId="2" fillId="5" borderId="1" xfId="0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10" xfId="3" xr:uid="{DF21A9A2-B781-4409-94BC-7AEF62D1DAE4}"/>
    <cellStyle name="Percent" xfId="2" builtinId="5"/>
    <cellStyle name="Percent 10" xfId="4" xr:uid="{3218AB1C-81C9-4511-873A-3F5B52F15C39}"/>
    <cellStyle name="Percent 2" xfId="5" xr:uid="{1671EF7D-9665-43D4-99E8-8565BED385A5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1213B-4B88-4563-90EE-D846C5380753}">
  <sheetPr>
    <pageSetUpPr fitToPage="1"/>
  </sheetPr>
  <dimension ref="A1:XFD21"/>
  <sheetViews>
    <sheetView tabSelected="1" zoomScale="80" zoomScaleNormal="80" workbookViewId="0">
      <selection activeCell="H36" sqref="H36"/>
    </sheetView>
  </sheetViews>
  <sheetFormatPr defaultColWidth="9.08984375" defaultRowHeight="12.5" x14ac:dyDescent="0.25"/>
  <cols>
    <col min="1" max="1" width="18.90625" style="2" customWidth="1"/>
    <col min="2" max="2" width="20" style="2" customWidth="1"/>
    <col min="3" max="14" width="16.90625" style="2" bestFit="1" customWidth="1"/>
    <col min="15" max="16384" width="9.08984375" style="2"/>
  </cols>
  <sheetData>
    <row r="1" spans="1:14" ht="13" x14ac:dyDescent="0.3">
      <c r="A1" s="1" t="s">
        <v>0</v>
      </c>
    </row>
    <row r="2" spans="1:14" ht="13" x14ac:dyDescent="0.3">
      <c r="A2" s="1" t="s">
        <v>1</v>
      </c>
    </row>
    <row r="3" spans="1:14" ht="13" x14ac:dyDescent="0.3">
      <c r="A3" s="1" t="s">
        <v>2</v>
      </c>
    </row>
    <row r="4" spans="1:14" ht="13" x14ac:dyDescent="0.3">
      <c r="A4" s="1" t="s">
        <v>3</v>
      </c>
    </row>
    <row r="6" spans="1:14" ht="15" customHeight="1" x14ac:dyDescent="0.3">
      <c r="A6" s="3" t="s">
        <v>4</v>
      </c>
      <c r="B6" s="4"/>
      <c r="C6" s="5" t="s">
        <v>5</v>
      </c>
      <c r="D6" s="5" t="s">
        <v>6</v>
      </c>
      <c r="E6" s="5" t="s">
        <v>7</v>
      </c>
      <c r="F6" s="6"/>
      <c r="G6" s="6"/>
      <c r="H6" s="6"/>
      <c r="I6" s="6"/>
      <c r="J6" s="6"/>
      <c r="K6" s="6"/>
      <c r="L6" s="6"/>
      <c r="M6" s="6"/>
      <c r="N6" s="6"/>
    </row>
    <row r="7" spans="1:14" ht="5.25" customHeight="1" x14ac:dyDescent="0.3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 x14ac:dyDescent="0.3">
      <c r="A8" s="7" t="s">
        <v>8</v>
      </c>
      <c r="B8" s="7" t="s">
        <v>9</v>
      </c>
      <c r="C8" s="8" t="s">
        <v>10</v>
      </c>
      <c r="D8" s="8" t="s">
        <v>10</v>
      </c>
      <c r="E8" s="8" t="s">
        <v>10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9" t="s">
        <v>11</v>
      </c>
      <c r="B9" s="9" t="s">
        <v>12</v>
      </c>
      <c r="C9" s="10">
        <f>TransCedarSpring!AA44</f>
        <v>-36545.286780657858</v>
      </c>
      <c r="D9" s="10">
        <v>-36545.286780657858</v>
      </c>
      <c r="E9" s="10">
        <v>-25611.646092634204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9" t="s">
        <v>11</v>
      </c>
      <c r="B10" s="9" t="s">
        <v>13</v>
      </c>
      <c r="C10" s="10">
        <f>'Aeolus-Bridger'!AA44</f>
        <v>-424848.58296924183</v>
      </c>
      <c r="D10" s="10">
        <v>-424848.58296924183</v>
      </c>
      <c r="E10" s="10">
        <v>-300978.04769771459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9" t="s">
        <v>11</v>
      </c>
      <c r="B11" s="9" t="s">
        <v>14</v>
      </c>
      <c r="C11" s="10">
        <f>TransTBFlats!AA44</f>
        <v>41001.510401174848</v>
      </c>
      <c r="D11" s="10">
        <v>41001.510401174848</v>
      </c>
      <c r="E11" s="10">
        <v>48969.786483781107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9" t="s">
        <v>11</v>
      </c>
      <c r="B12" s="9" t="s">
        <v>15</v>
      </c>
      <c r="C12" s="10">
        <f>TransPryorMtn!AA44</f>
        <v>-6708.5732417729851</v>
      </c>
      <c r="D12" s="10">
        <v>-6708.5732417729851</v>
      </c>
      <c r="E12" s="10">
        <v>-5035.6254672433224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9" t="s">
        <v>16</v>
      </c>
      <c r="B13" s="9" t="s">
        <v>12</v>
      </c>
      <c r="C13" s="10">
        <f>'Cedar Springs'!AA44</f>
        <v>-146805.16953676866</v>
      </c>
      <c r="D13" s="10">
        <v>-146805.16953676866</v>
      </c>
      <c r="E13" s="10">
        <v>-65555.890283797897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9" t="s">
        <v>16</v>
      </c>
      <c r="B14" s="9" t="s">
        <v>17</v>
      </c>
      <c r="C14" s="10">
        <f>'Ekola Flats'!AA44</f>
        <v>-93057.989320915949</v>
      </c>
      <c r="D14" s="10">
        <v>-93057.989320915949</v>
      </c>
      <c r="E14" s="10">
        <v>9409.0237117805518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9" t="s">
        <v>16</v>
      </c>
      <c r="B15" s="9" t="s">
        <v>15</v>
      </c>
      <c r="C15" s="10">
        <f>'Pryor Mtn'!AA50</f>
        <v>-284534.03953984979</v>
      </c>
      <c r="D15" s="95">
        <v>-284534.03953984979</v>
      </c>
      <c r="E15" s="95">
        <v>-174352.53194371122</v>
      </c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12" t="s">
        <v>16</v>
      </c>
      <c r="B16" s="12" t="s">
        <v>14</v>
      </c>
      <c r="C16" s="13">
        <f>'TB Flats'!AA50</f>
        <v>-855853.59029339883</v>
      </c>
      <c r="D16" s="95">
        <v>-864292.6435642225</v>
      </c>
      <c r="E16" s="95">
        <v>-644593.42805118544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 16384:16384" x14ac:dyDescent="0.25">
      <c r="A17" s="9" t="s">
        <v>18</v>
      </c>
      <c r="B17" s="9" t="s">
        <v>19</v>
      </c>
      <c r="C17" s="10">
        <f>Dunlap!AA44</f>
        <v>-104588.40539801765</v>
      </c>
      <c r="D17" s="95">
        <v>-104588.40539801765</v>
      </c>
      <c r="E17" s="95">
        <v>-63267.241761966216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 16384:16384" x14ac:dyDescent="0.25">
      <c r="A18" s="9" t="s">
        <v>18</v>
      </c>
      <c r="B18" s="9" t="s">
        <v>20</v>
      </c>
      <c r="C18" s="10">
        <f>FooteCreek!AA50</f>
        <v>-156923.16582435003</v>
      </c>
      <c r="D18" s="95">
        <v>-156923.16582435003</v>
      </c>
      <c r="E18" s="95">
        <v>-152208.18010610447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4 16384:16384" ht="6" customHeight="1" thickBot="1" x14ac:dyDescent="0.3"/>
    <row r="20" spans="1:14 16384:16384" ht="13.5" thickBot="1" x14ac:dyDescent="0.35">
      <c r="A20" s="14" t="s">
        <v>21</v>
      </c>
      <c r="B20" s="15"/>
      <c r="C20" s="16">
        <f>SUM(C9:C18)</f>
        <v>-2068863.2925037988</v>
      </c>
      <c r="D20" s="16">
        <v>-2077302.3457746226</v>
      </c>
      <c r="E20" s="16">
        <v>-1373223.7812087955</v>
      </c>
      <c r="F20" s="17"/>
      <c r="G20" s="17"/>
      <c r="H20" s="17"/>
      <c r="I20" s="17"/>
      <c r="J20" s="17"/>
      <c r="K20" s="17"/>
      <c r="L20" s="17"/>
      <c r="M20" s="17"/>
      <c r="N20" s="18"/>
      <c r="XFD20" s="17"/>
    </row>
    <row r="21" spans="1:14 16384:16384" x14ac:dyDescent="0.25">
      <c r="C21" s="17"/>
      <c r="D21" s="17"/>
    </row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D0B6-0907-4140-9EFC-AE72284D6620}">
  <sheetPr>
    <tabColor rgb="FFFFFF00"/>
    <pageSetUpPr fitToPage="1"/>
  </sheetPr>
  <dimension ref="A1:AC46"/>
  <sheetViews>
    <sheetView topLeftCell="B2" zoomScale="80" zoomScaleNormal="80" workbookViewId="0">
      <selection activeCell="H36" sqref="H36"/>
    </sheetView>
  </sheetViews>
  <sheetFormatPr defaultColWidth="9.08984375" defaultRowHeight="12.5" outlineLevelCol="1" x14ac:dyDescent="0.25"/>
  <cols>
    <col min="1" max="1" width="7.36328125" style="2" customWidth="1"/>
    <col min="2" max="2" width="41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.36328125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ht="13" x14ac:dyDescent="0.3">
      <c r="A6" s="4" t="s">
        <v>24</v>
      </c>
      <c r="B6" s="46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22"/>
    </row>
    <row r="7" spans="1:29" s="98" customFormat="1" ht="13" x14ac:dyDescent="0.3">
      <c r="A7" s="96"/>
      <c r="B7" s="97" t="s">
        <v>25</v>
      </c>
      <c r="AC7" s="125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134785273.45921347</v>
      </c>
      <c r="M8" s="129">
        <f t="shared" ref="M8:N8" si="0">L8</f>
        <v>134785273.45921347</v>
      </c>
      <c r="N8" s="129">
        <f t="shared" si="0"/>
        <v>134785273.45921347</v>
      </c>
      <c r="O8" s="129">
        <v>134785273.45921347</v>
      </c>
      <c r="P8" s="129">
        <f t="shared" ref="P8:AA10" si="1">O8</f>
        <v>134785273.45921347</v>
      </c>
      <c r="Q8" s="129">
        <f t="shared" si="1"/>
        <v>134785273.45921347</v>
      </c>
      <c r="R8" s="129">
        <f t="shared" si="1"/>
        <v>134785273.45921347</v>
      </c>
      <c r="S8" s="129">
        <f t="shared" si="1"/>
        <v>134785273.45921347</v>
      </c>
      <c r="T8" s="129">
        <f t="shared" si="1"/>
        <v>134785273.45921347</v>
      </c>
      <c r="U8" s="129">
        <f t="shared" si="1"/>
        <v>134785273.45921347</v>
      </c>
      <c r="V8" s="129">
        <f t="shared" si="1"/>
        <v>134785273.45921347</v>
      </c>
      <c r="W8" s="129">
        <f t="shared" si="1"/>
        <v>134785273.45921347</v>
      </c>
      <c r="X8" s="129">
        <f t="shared" si="1"/>
        <v>134785273.45921347</v>
      </c>
      <c r="Y8" s="129">
        <f t="shared" si="1"/>
        <v>134785273.45921347</v>
      </c>
      <c r="Z8" s="129">
        <f t="shared" si="1"/>
        <v>134785273.45921347</v>
      </c>
      <c r="AA8" s="129">
        <f>Z8</f>
        <v>134785273.45921347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2">C9-D17</f>
        <v>0</v>
      </c>
      <c r="E9" s="129">
        <f t="shared" si="2"/>
        <v>0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-185588.52354726987</v>
      </c>
      <c r="M9" s="129">
        <f t="shared" si="2"/>
        <v>-556765.57064180961</v>
      </c>
      <c r="N9" s="129">
        <f t="shared" si="2"/>
        <v>-927942.61773634935</v>
      </c>
      <c r="O9" s="129">
        <v>-3909505.0454970426</v>
      </c>
      <c r="P9" s="129">
        <f t="shared" si="1"/>
        <v>-3909505.0454970426</v>
      </c>
      <c r="Q9" s="129">
        <f t="shared" si="1"/>
        <v>-3909505.0454970426</v>
      </c>
      <c r="R9" s="129">
        <f t="shared" si="1"/>
        <v>-3909505.0454970426</v>
      </c>
      <c r="S9" s="129">
        <f t="shared" si="1"/>
        <v>-3909505.0454970426</v>
      </c>
      <c r="T9" s="129">
        <f t="shared" si="1"/>
        <v>-3909505.0454970426</v>
      </c>
      <c r="U9" s="129">
        <f t="shared" si="1"/>
        <v>-3909505.0454970426</v>
      </c>
      <c r="V9" s="129">
        <f t="shared" si="1"/>
        <v>-3909505.0454970426</v>
      </c>
      <c r="W9" s="129">
        <f t="shared" si="1"/>
        <v>-3909505.0454970426</v>
      </c>
      <c r="X9" s="129">
        <f t="shared" si="1"/>
        <v>-3909505.0454970426</v>
      </c>
      <c r="Y9" s="129">
        <f t="shared" si="1"/>
        <v>-3909505.0454970426</v>
      </c>
      <c r="Z9" s="129">
        <f t="shared" si="1"/>
        <v>-3909505.0454970426</v>
      </c>
      <c r="AA9" s="129">
        <f t="shared" si="1"/>
        <v>-3909505.0454970426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-1847208</v>
      </c>
      <c r="N10" s="130">
        <v>-3907855</v>
      </c>
      <c r="O10" s="130">
        <v>-5326697</v>
      </c>
      <c r="P10" s="130">
        <f t="shared" si="1"/>
        <v>-5326697</v>
      </c>
      <c r="Q10" s="130">
        <f t="shared" si="1"/>
        <v>-5326697</v>
      </c>
      <c r="R10" s="130">
        <f t="shared" si="1"/>
        <v>-5326697</v>
      </c>
      <c r="S10" s="130">
        <f t="shared" si="1"/>
        <v>-5326697</v>
      </c>
      <c r="T10" s="130">
        <f t="shared" si="1"/>
        <v>-5326697</v>
      </c>
      <c r="U10" s="130">
        <f t="shared" si="1"/>
        <v>-5326697</v>
      </c>
      <c r="V10" s="130">
        <f t="shared" si="1"/>
        <v>-5326697</v>
      </c>
      <c r="W10" s="130">
        <f t="shared" si="1"/>
        <v>-5326697</v>
      </c>
      <c r="X10" s="130">
        <f t="shared" si="1"/>
        <v>-5326697</v>
      </c>
      <c r="Y10" s="130">
        <f t="shared" si="1"/>
        <v>-5326697</v>
      </c>
      <c r="Z10" s="130">
        <f t="shared" si="1"/>
        <v>-5326697</v>
      </c>
      <c r="AA10" s="130">
        <f t="shared" si="1"/>
        <v>-5326697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3">SUM(C8:C10)</f>
        <v>0</v>
      </c>
      <c r="D11" s="129">
        <f t="shared" si="3"/>
        <v>0</v>
      </c>
      <c r="E11" s="129">
        <f t="shared" si="3"/>
        <v>0</v>
      </c>
      <c r="F11" s="129">
        <f t="shared" si="3"/>
        <v>0</v>
      </c>
      <c r="G11" s="129">
        <f t="shared" si="3"/>
        <v>0</v>
      </c>
      <c r="H11" s="129">
        <f t="shared" si="3"/>
        <v>0</v>
      </c>
      <c r="I11" s="129">
        <f t="shared" si="3"/>
        <v>0</v>
      </c>
      <c r="J11" s="129">
        <f t="shared" si="3"/>
        <v>0</v>
      </c>
      <c r="K11" s="129">
        <f t="shared" si="3"/>
        <v>0</v>
      </c>
      <c r="L11" s="129">
        <f t="shared" ref="L11:AA11" si="4">SUM(L8:L10)</f>
        <v>134599684.9356662</v>
      </c>
      <c r="M11" s="129">
        <f t="shared" si="4"/>
        <v>132381299.88857165</v>
      </c>
      <c r="N11" s="129">
        <f t="shared" si="4"/>
        <v>129949475.84147711</v>
      </c>
      <c r="O11" s="129">
        <f t="shared" si="4"/>
        <v>125549071.41371642</v>
      </c>
      <c r="P11" s="129">
        <f t="shared" si="4"/>
        <v>125549071.41371642</v>
      </c>
      <c r="Q11" s="129">
        <f t="shared" si="4"/>
        <v>125549071.41371642</v>
      </c>
      <c r="R11" s="129">
        <f t="shared" si="4"/>
        <v>125549071.41371642</v>
      </c>
      <c r="S11" s="129">
        <f t="shared" si="4"/>
        <v>125549071.41371642</v>
      </c>
      <c r="T11" s="129">
        <f t="shared" si="4"/>
        <v>125549071.41371642</v>
      </c>
      <c r="U11" s="129">
        <f t="shared" si="4"/>
        <v>125549071.41371642</v>
      </c>
      <c r="V11" s="129">
        <f t="shared" si="4"/>
        <v>125549071.41371642</v>
      </c>
      <c r="W11" s="129">
        <f t="shared" si="4"/>
        <v>125549071.41371642</v>
      </c>
      <c r="X11" s="129">
        <f t="shared" si="4"/>
        <v>125549071.41371642</v>
      </c>
      <c r="Y11" s="129">
        <f t="shared" si="4"/>
        <v>125549071.41371642</v>
      </c>
      <c r="Z11" s="129">
        <f t="shared" si="4"/>
        <v>125549071.41371642</v>
      </c>
      <c r="AA11" s="129">
        <f t="shared" si="4"/>
        <v>125549071.41371642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10" t="s">
        <v>51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5">C11*C13/12</f>
        <v>0</v>
      </c>
      <c r="D14" s="131">
        <f t="shared" si="5"/>
        <v>0</v>
      </c>
      <c r="E14" s="131">
        <f t="shared" si="5"/>
        <v>0</v>
      </c>
      <c r="F14" s="131">
        <f t="shared" si="5"/>
        <v>0</v>
      </c>
      <c r="G14" s="131">
        <f t="shared" si="5"/>
        <v>0</v>
      </c>
      <c r="H14" s="131">
        <f t="shared" si="5"/>
        <v>0</v>
      </c>
      <c r="I14" s="131">
        <f t="shared" si="5"/>
        <v>0</v>
      </c>
      <c r="J14" s="131">
        <f t="shared" si="5"/>
        <v>0</v>
      </c>
      <c r="K14" s="131">
        <f t="shared" si="5"/>
        <v>0</v>
      </c>
      <c r="L14" s="131">
        <f t="shared" si="5"/>
        <v>804137.32738149306</v>
      </c>
      <c r="M14" s="131">
        <f t="shared" si="5"/>
        <v>790884.05547579483</v>
      </c>
      <c r="N14" s="131">
        <f t="shared" si="5"/>
        <v>776355.63744251849</v>
      </c>
      <c r="O14" s="131">
        <f t="shared" si="5"/>
        <v>750066.35260779958</v>
      </c>
      <c r="P14" s="131">
        <f>P11*P13/12</f>
        <v>750066.35260779958</v>
      </c>
      <c r="Q14" s="131">
        <f t="shared" si="5"/>
        <v>750066.35260779958</v>
      </c>
      <c r="R14" s="131">
        <f t="shared" si="5"/>
        <v>750066.35260779958</v>
      </c>
      <c r="S14" s="131">
        <f t="shared" si="5"/>
        <v>750066.35260779958</v>
      </c>
      <c r="T14" s="131">
        <f t="shared" si="5"/>
        <v>750066.35260779958</v>
      </c>
      <c r="U14" s="131">
        <f t="shared" si="5"/>
        <v>750066.35260779958</v>
      </c>
      <c r="V14" s="131">
        <f t="shared" si="5"/>
        <v>750066.35260779958</v>
      </c>
      <c r="W14" s="131">
        <f t="shared" si="5"/>
        <v>750066.35260779958</v>
      </c>
      <c r="X14" s="131">
        <f t="shared" si="5"/>
        <v>750066.35260779958</v>
      </c>
      <c r="Y14" s="131">
        <f t="shared" si="5"/>
        <v>750066.35260779958</v>
      </c>
      <c r="Z14" s="131">
        <f t="shared" si="5"/>
        <v>750066.35260779958</v>
      </c>
      <c r="AA14" s="131">
        <f t="shared" si="5"/>
        <v>750066.35260779958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7">
        <v>3.3046077296287953E-2</v>
      </c>
      <c r="M16" s="107">
        <v>3.3046077296287953E-2</v>
      </c>
      <c r="N16" s="107">
        <v>3.3046077296287953E-2</v>
      </c>
      <c r="O16" s="107">
        <v>3.3046077296287953E-2</v>
      </c>
      <c r="P16" s="107">
        <v>4.8360784328803093E-2</v>
      </c>
      <c r="Q16" s="107">
        <v>4.8360784328803093E-2</v>
      </c>
      <c r="R16" s="107">
        <v>4.8360784328803093E-2</v>
      </c>
      <c r="S16" s="107">
        <v>4.8360784328803093E-2</v>
      </c>
      <c r="T16" s="107">
        <v>4.8360784328803093E-2</v>
      </c>
      <c r="U16" s="107">
        <v>4.8360784328803093E-2</v>
      </c>
      <c r="V16" s="107">
        <v>4.8360784328803093E-2</v>
      </c>
      <c r="W16" s="107">
        <v>4.8360784328803093E-2</v>
      </c>
      <c r="X16" s="107">
        <v>4.8360784328803093E-2</v>
      </c>
      <c r="Y16" s="107">
        <v>4.8360784328803093E-2</v>
      </c>
      <c r="Z16" s="107">
        <v>4.8360784328803093E-2</v>
      </c>
      <c r="AA16" s="107">
        <v>4.8360784328803093E-2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f>(((L8+K8)/2)*L16)/12</f>
        <v>185588.52354726987</v>
      </c>
      <c r="M17" s="131">
        <f t="shared" ref="M17:N17" si="6">(((M8+L8)/2)*M16)/12</f>
        <v>371177.04709453974</v>
      </c>
      <c r="N17" s="131">
        <f t="shared" si="6"/>
        <v>371177.04709453974</v>
      </c>
      <c r="O17" s="131">
        <v>543324.20218026638</v>
      </c>
      <c r="P17" s="131">
        <f t="shared" ref="P17:Z17" si="7">O17</f>
        <v>543324.20218026638</v>
      </c>
      <c r="Q17" s="131">
        <f t="shared" si="7"/>
        <v>543324.20218026638</v>
      </c>
      <c r="R17" s="131">
        <f t="shared" si="7"/>
        <v>543324.20218026638</v>
      </c>
      <c r="S17" s="131">
        <f t="shared" si="7"/>
        <v>543324.20218026638</v>
      </c>
      <c r="T17" s="131">
        <f t="shared" si="7"/>
        <v>543324.20218026638</v>
      </c>
      <c r="U17" s="131">
        <f t="shared" si="7"/>
        <v>543324.20218026638</v>
      </c>
      <c r="V17" s="131">
        <f t="shared" si="7"/>
        <v>543324.20218026638</v>
      </c>
      <c r="W17" s="131">
        <f t="shared" si="7"/>
        <v>543324.20218026638</v>
      </c>
      <c r="X17" s="131">
        <f t="shared" si="7"/>
        <v>543324.20218026638</v>
      </c>
      <c r="Y17" s="131">
        <f t="shared" si="7"/>
        <v>543324.20218026638</v>
      </c>
      <c r="Z17" s="131">
        <f t="shared" si="7"/>
        <v>543324.20218026638</v>
      </c>
      <c r="AA17" s="131">
        <f>Z17</f>
        <v>543324.20218026638</v>
      </c>
      <c r="AC17" s="116"/>
    </row>
    <row r="18" spans="1:29" s="101" customFormat="1" x14ac:dyDescent="0.25">
      <c r="A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-0.21*O17</f>
        <v>-114098.08245785594</v>
      </c>
      <c r="P19" s="131">
        <f t="shared" ref="P19:AA19" si="8">-0.21*P17</f>
        <v>-114098.08245785594</v>
      </c>
      <c r="Q19" s="131">
        <f t="shared" si="8"/>
        <v>-114098.08245785594</v>
      </c>
      <c r="R19" s="131">
        <f t="shared" si="8"/>
        <v>-114098.08245785594</v>
      </c>
      <c r="S19" s="131">
        <f t="shared" si="8"/>
        <v>-114098.08245785594</v>
      </c>
      <c r="T19" s="131">
        <f t="shared" si="8"/>
        <v>-114098.08245785594</v>
      </c>
      <c r="U19" s="131">
        <f t="shared" si="8"/>
        <v>-114098.08245785594</v>
      </c>
      <c r="V19" s="131">
        <f t="shared" si="8"/>
        <v>-114098.08245785594</v>
      </c>
      <c r="W19" s="131">
        <f t="shared" si="8"/>
        <v>-114098.08245785594</v>
      </c>
      <c r="X19" s="131">
        <f t="shared" si="8"/>
        <v>-114098.08245785594</v>
      </c>
      <c r="Y19" s="131">
        <f t="shared" si="8"/>
        <v>-114098.08245785594</v>
      </c>
      <c r="Z19" s="131">
        <f t="shared" si="8"/>
        <v>-114098.08245785594</v>
      </c>
      <c r="AA19" s="131">
        <f t="shared" si="8"/>
        <v>-114098.08245785594</v>
      </c>
      <c r="AC19" s="116"/>
    </row>
    <row r="20" spans="1:29" s="101" customFormat="1" ht="13" x14ac:dyDescent="0.3">
      <c r="A20" s="103">
        <f>MAX($A$8:A17)+1</f>
        <v>9</v>
      </c>
      <c r="B20" s="97" t="s">
        <v>35</v>
      </c>
      <c r="C20" s="129">
        <f t="shared" ref="C20:K20" si="9">C14+C17</f>
        <v>0</v>
      </c>
      <c r="D20" s="129">
        <f t="shared" si="9"/>
        <v>0</v>
      </c>
      <c r="E20" s="129">
        <f t="shared" si="9"/>
        <v>0</v>
      </c>
      <c r="F20" s="129">
        <f t="shared" si="9"/>
        <v>0</v>
      </c>
      <c r="G20" s="129">
        <f t="shared" si="9"/>
        <v>0</v>
      </c>
      <c r="H20" s="129">
        <f t="shared" si="9"/>
        <v>0</v>
      </c>
      <c r="I20" s="129">
        <f t="shared" si="9"/>
        <v>0</v>
      </c>
      <c r="J20" s="129">
        <f t="shared" si="9"/>
        <v>0</v>
      </c>
      <c r="K20" s="129">
        <f t="shared" si="9"/>
        <v>0</v>
      </c>
      <c r="L20" s="129">
        <f>(L14+L17)/Variables!$C$34</f>
        <v>1314115.1841316642</v>
      </c>
      <c r="M20" s="129">
        <f>(M14+M17)/Variables!$C$34</f>
        <v>1542934.4786169215</v>
      </c>
      <c r="N20" s="129">
        <f>(N14+N17)/Variables!$C$34</f>
        <v>1523644.2734343202</v>
      </c>
      <c r="O20" s="129">
        <f>(O14+O17+O19)/Variables!$C$34</f>
        <v>1565813.5462128527</v>
      </c>
      <c r="P20" s="129">
        <f>(P14+P17+P19)/Variables!$C$34</f>
        <v>1565813.5462128527</v>
      </c>
      <c r="Q20" s="129">
        <f>(Q14+Q17+Q19)/Variables!$C$34</f>
        <v>1565813.5462128527</v>
      </c>
      <c r="R20" s="129">
        <f>(R14+R17+R19)/Variables!$C$34</f>
        <v>1565813.5462128527</v>
      </c>
      <c r="S20" s="129">
        <f>(S14+S17+S19)/Variables!$C$34</f>
        <v>1565813.5462128527</v>
      </c>
      <c r="T20" s="129">
        <f>(T14+T17+T19)/Variables!$C$34</f>
        <v>1565813.5462128527</v>
      </c>
      <c r="U20" s="129">
        <f>(U14+U17+U19)/Variables!$C$34</f>
        <v>1565813.5462128527</v>
      </c>
      <c r="V20" s="129">
        <f>(V14+V17+V19)/Variables!$C$34</f>
        <v>1565813.5462128527</v>
      </c>
      <c r="W20" s="129">
        <f>(W14+W17+W19)/Variables!$C$34</f>
        <v>1565813.5462128527</v>
      </c>
      <c r="X20" s="129">
        <f>(X14+X17+X19)/Variables!$C$34</f>
        <v>1565813.5462128527</v>
      </c>
      <c r="Y20" s="129">
        <f>(Y14+Y17+Y19)/Variables!$C$34</f>
        <v>1565813.5462128527</v>
      </c>
      <c r="Z20" s="129">
        <f>(Z14+Z17+Z19)/Variables!$C$34</f>
        <v>1565813.5462128527</v>
      </c>
      <c r="AA20" s="129">
        <f>(AA14+AA17+AA19)/Variables!$C$34</f>
        <v>1565813.5462128527</v>
      </c>
      <c r="AC20" s="116"/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1"/>
      <c r="M22" s="31"/>
      <c r="N22" s="31"/>
      <c r="O22" s="31"/>
      <c r="P22" s="133">
        <f t="shared" ref="P22:AA22" si="10">P20*$P$46</f>
        <v>122307.32673246643</v>
      </c>
      <c r="Q22" s="133">
        <f t="shared" si="10"/>
        <v>122307.32673246643</v>
      </c>
      <c r="R22" s="133">
        <f t="shared" si="10"/>
        <v>122307.32673246643</v>
      </c>
      <c r="S22" s="133">
        <f t="shared" si="10"/>
        <v>122307.32673246643</v>
      </c>
      <c r="T22" s="133">
        <f t="shared" si="10"/>
        <v>122307.32673246643</v>
      </c>
      <c r="U22" s="133">
        <f t="shared" si="10"/>
        <v>122307.32673246643</v>
      </c>
      <c r="V22" s="133">
        <f t="shared" si="10"/>
        <v>122307.32673246643</v>
      </c>
      <c r="W22" s="133">
        <f t="shared" si="10"/>
        <v>122307.32673246643</v>
      </c>
      <c r="X22" s="133">
        <f t="shared" si="10"/>
        <v>122307.32673246643</v>
      </c>
      <c r="Y22" s="133">
        <f t="shared" si="10"/>
        <v>122307.32673246643</v>
      </c>
      <c r="Z22" s="133">
        <f t="shared" si="10"/>
        <v>122307.32673246643</v>
      </c>
      <c r="AA22" s="32">
        <f t="shared" si="10"/>
        <v>122307.32673246643</v>
      </c>
    </row>
    <row r="23" spans="1:29" ht="13" x14ac:dyDescent="0.3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9" ht="13" x14ac:dyDescent="0.3">
      <c r="A24" s="4" t="s">
        <v>37</v>
      </c>
      <c r="B24" s="46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22"/>
    </row>
    <row r="25" spans="1:29" s="98" customFormat="1" ht="13" x14ac:dyDescent="0.3">
      <c r="A25" s="96"/>
      <c r="B25" s="97" t="s">
        <v>25</v>
      </c>
      <c r="AC25" s="125"/>
    </row>
    <row r="26" spans="1:29" s="98" customFormat="1" x14ac:dyDescent="0.25">
      <c r="A26" s="99">
        <f>MAX($A$8:A25)+1</f>
        <v>11</v>
      </c>
      <c r="B26" s="98" t="s">
        <v>26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128705714.14000008</v>
      </c>
      <c r="M26" s="135">
        <v>131439543.37000008</v>
      </c>
      <c r="N26" s="135">
        <v>129507984.37000008</v>
      </c>
      <c r="O26" s="135">
        <v>129345841.33000007</v>
      </c>
      <c r="P26" s="135">
        <v>129332362.05000007</v>
      </c>
      <c r="Q26" s="135">
        <v>129334056.20000008</v>
      </c>
      <c r="R26" s="135">
        <v>129334992.58000007</v>
      </c>
      <c r="S26" s="135">
        <v>129344113.58000007</v>
      </c>
      <c r="T26" s="135">
        <v>129344609.58000007</v>
      </c>
      <c r="U26" s="135">
        <v>129344609.58000007</v>
      </c>
      <c r="V26" s="135">
        <v>129344609.58000007</v>
      </c>
      <c r="W26" s="135">
        <v>129344609.58000007</v>
      </c>
      <c r="X26" s="135">
        <v>129344609.58000007</v>
      </c>
      <c r="Y26" s="135">
        <v>129344609.58000007</v>
      </c>
      <c r="Z26" s="135">
        <v>129344609.58000007</v>
      </c>
      <c r="AA26" s="135">
        <v>129344609.58000007</v>
      </c>
      <c r="AC26" s="43"/>
    </row>
    <row r="27" spans="1:29" s="98" customFormat="1" x14ac:dyDescent="0.25">
      <c r="A27" s="99">
        <f>MAX($A26:A$26)+1</f>
        <v>12</v>
      </c>
      <c r="B27" s="98" t="s">
        <v>27</v>
      </c>
      <c r="C27" s="135">
        <f>-C35</f>
        <v>0</v>
      </c>
      <c r="D27" s="135">
        <f t="shared" ref="D27:O27" si="11">C27-D35</f>
        <v>0</v>
      </c>
      <c r="E27" s="135">
        <f t="shared" si="11"/>
        <v>0</v>
      </c>
      <c r="F27" s="135">
        <f t="shared" si="11"/>
        <v>0</v>
      </c>
      <c r="G27" s="135">
        <f t="shared" si="11"/>
        <v>0</v>
      </c>
      <c r="H27" s="135">
        <f t="shared" si="11"/>
        <v>0</v>
      </c>
      <c r="I27" s="135">
        <f t="shared" si="11"/>
        <v>0</v>
      </c>
      <c r="J27" s="135">
        <f t="shared" si="11"/>
        <v>0</v>
      </c>
      <c r="K27" s="135">
        <f t="shared" si="11"/>
        <v>0</v>
      </c>
      <c r="L27" s="135">
        <f t="shared" si="11"/>
        <v>-177217.45741434931</v>
      </c>
      <c r="M27" s="135">
        <f t="shared" si="11"/>
        <v>-535416.63607844105</v>
      </c>
      <c r="N27" s="135">
        <f t="shared" si="11"/>
        <v>-894720.4765772447</v>
      </c>
      <c r="O27" s="135">
        <f t="shared" si="11"/>
        <v>-1251141.457098997</v>
      </c>
      <c r="P27" s="135">
        <f>O27-P35</f>
        <v>-1772386.4906082656</v>
      </c>
      <c r="Q27" s="135">
        <f t="shared" ref="Q27:AA27" si="12">P27-Q35</f>
        <v>-2293607.7766954419</v>
      </c>
      <c r="R27" s="135">
        <f t="shared" si="12"/>
        <v>-2814834.3633865351</v>
      </c>
      <c r="S27" s="135">
        <f t="shared" si="12"/>
        <v>-3336081.216027007</v>
      </c>
      <c r="T27" s="135">
        <f t="shared" si="12"/>
        <v>-3857347.4472367661</v>
      </c>
      <c r="U27" s="135">
        <f t="shared" si="12"/>
        <v>-4378614.6779027348</v>
      </c>
      <c r="V27" s="135">
        <f t="shared" si="12"/>
        <v>-4899881.9085687036</v>
      </c>
      <c r="W27" s="135">
        <f t="shared" si="12"/>
        <v>-5421149.1392346723</v>
      </c>
      <c r="X27" s="135">
        <f>W27-X35</f>
        <v>-5942416.369900641</v>
      </c>
      <c r="Y27" s="135">
        <f t="shared" si="12"/>
        <v>-6463683.6005666098</v>
      </c>
      <c r="Z27" s="135">
        <f t="shared" si="12"/>
        <v>-6984950.8312325785</v>
      </c>
      <c r="AA27" s="135">
        <f t="shared" si="12"/>
        <v>-7506218.0618985472</v>
      </c>
      <c r="AC27" s="125"/>
    </row>
    <row r="28" spans="1:29" s="98" customFormat="1" x14ac:dyDescent="0.25">
      <c r="A28" s="99">
        <f>MAX($A$26:A27)+1</f>
        <v>13</v>
      </c>
      <c r="B28" s="98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-3023105</v>
      </c>
      <c r="M28" s="137">
        <v>-3789108</v>
      </c>
      <c r="N28" s="137">
        <v>-4555111</v>
      </c>
      <c r="O28" s="137">
        <v>-5321114</v>
      </c>
      <c r="P28" s="137">
        <v>-6087389</v>
      </c>
      <c r="Q28" s="137">
        <v>-6853664</v>
      </c>
      <c r="R28" s="137">
        <v>-7619939</v>
      </c>
      <c r="S28" s="137">
        <v>-8386214</v>
      </c>
      <c r="T28" s="137">
        <v>-9152489</v>
      </c>
      <c r="U28" s="137">
        <v>-9918764</v>
      </c>
      <c r="V28" s="137">
        <v>-10685039</v>
      </c>
      <c r="W28" s="137">
        <v>-11451314</v>
      </c>
      <c r="X28" s="137">
        <v>-12217589</v>
      </c>
      <c r="Y28" s="137">
        <v>-12983864</v>
      </c>
      <c r="Z28" s="137">
        <v>-13750139</v>
      </c>
      <c r="AA28" s="137">
        <v>-14516414</v>
      </c>
      <c r="AC28" s="125"/>
    </row>
    <row r="29" spans="1:29" s="98" customFormat="1" x14ac:dyDescent="0.25">
      <c r="A29" s="99">
        <f>MAX($A$26:A28)+1</f>
        <v>14</v>
      </c>
      <c r="B29" s="101" t="s">
        <v>29</v>
      </c>
      <c r="C29" s="135">
        <f t="shared" ref="C29:K29" si="13">SUM(C26:C28)</f>
        <v>0</v>
      </c>
      <c r="D29" s="135">
        <f t="shared" si="13"/>
        <v>0</v>
      </c>
      <c r="E29" s="135">
        <f t="shared" si="13"/>
        <v>0</v>
      </c>
      <c r="F29" s="135">
        <f t="shared" si="13"/>
        <v>0</v>
      </c>
      <c r="G29" s="135">
        <f t="shared" si="13"/>
        <v>0</v>
      </c>
      <c r="H29" s="135">
        <f t="shared" si="13"/>
        <v>0</v>
      </c>
      <c r="I29" s="135">
        <f t="shared" si="13"/>
        <v>0</v>
      </c>
      <c r="J29" s="135">
        <f t="shared" si="13"/>
        <v>0</v>
      </c>
      <c r="K29" s="135">
        <f t="shared" si="13"/>
        <v>0</v>
      </c>
      <c r="L29" s="135">
        <f t="shared" ref="L29:O29" si="14">SUM(L26:L28)</f>
        <v>125505391.68258573</v>
      </c>
      <c r="M29" s="135">
        <f t="shared" si="14"/>
        <v>127115018.73392163</v>
      </c>
      <c r="N29" s="135">
        <f t="shared" si="14"/>
        <v>124058152.89342284</v>
      </c>
      <c r="O29" s="135">
        <f t="shared" si="14"/>
        <v>122773585.87290108</v>
      </c>
      <c r="P29" s="135">
        <f>SUM(P26:P28)</f>
        <v>121472586.55939181</v>
      </c>
      <c r="Q29" s="135">
        <f t="shared" ref="Q29:AA29" si="15">SUM(Q26:Q28)</f>
        <v>120186784.42330463</v>
      </c>
      <c r="R29" s="135">
        <f t="shared" si="15"/>
        <v>118900219.21661353</v>
      </c>
      <c r="S29" s="135">
        <f t="shared" si="15"/>
        <v>117621818.36397307</v>
      </c>
      <c r="T29" s="135">
        <f t="shared" si="15"/>
        <v>116334773.13276331</v>
      </c>
      <c r="U29" s="135">
        <f t="shared" si="15"/>
        <v>115047230.90209734</v>
      </c>
      <c r="V29" s="135">
        <f t="shared" si="15"/>
        <v>113759688.67143136</v>
      </c>
      <c r="W29" s="135">
        <f t="shared" si="15"/>
        <v>112472146.4407654</v>
      </c>
      <c r="X29" s="135">
        <f t="shared" si="15"/>
        <v>111184604.21009943</v>
      </c>
      <c r="Y29" s="135">
        <f t="shared" si="15"/>
        <v>109897061.97943346</v>
      </c>
      <c r="Z29" s="135">
        <f t="shared" si="15"/>
        <v>108609519.7487675</v>
      </c>
      <c r="AA29" s="135">
        <f t="shared" si="15"/>
        <v>107321977.51810153</v>
      </c>
      <c r="AC29" s="125"/>
    </row>
    <row r="30" spans="1:29" s="98" customFormat="1" x14ac:dyDescent="0.25">
      <c r="A30" s="99"/>
      <c r="AC30" s="125"/>
    </row>
    <row r="31" spans="1:29" s="98" customFormat="1" x14ac:dyDescent="0.25">
      <c r="A31" s="99">
        <f>MAX($A$26:A30)+1</f>
        <v>15</v>
      </c>
      <c r="B31" s="98" t="s">
        <v>30</v>
      </c>
      <c r="C31" s="28">
        <f>Variables!$D$9</f>
        <v>7.1691459999999999E-2</v>
      </c>
      <c r="D31" s="28">
        <f>Variables!$D$9</f>
        <v>7.1691459999999999E-2</v>
      </c>
      <c r="E31" s="28">
        <f>Variables!$D$9</f>
        <v>7.1691459999999999E-2</v>
      </c>
      <c r="F31" s="28">
        <f>Variables!$D$9</f>
        <v>7.1691459999999999E-2</v>
      </c>
      <c r="G31" s="28">
        <f>Variables!$D$9</f>
        <v>7.1691459999999999E-2</v>
      </c>
      <c r="H31" s="28">
        <f>Variables!$D$9</f>
        <v>7.1691459999999999E-2</v>
      </c>
      <c r="I31" s="28">
        <f>Variables!$D$9</f>
        <v>7.1691459999999999E-2</v>
      </c>
      <c r="J31" s="28">
        <f>Variables!$D$9</f>
        <v>7.1691459999999999E-2</v>
      </c>
      <c r="K31" s="28">
        <f>Variables!$D$9</f>
        <v>7.1691459999999999E-2</v>
      </c>
      <c r="L31" s="28">
        <f>Variables!$D$9</f>
        <v>7.1691459999999999E-2</v>
      </c>
      <c r="M31" s="28">
        <f>Variables!$D$9</f>
        <v>7.1691459999999999E-2</v>
      </c>
      <c r="N31" s="28">
        <f>Variables!$D$9</f>
        <v>7.1691459999999999E-2</v>
      </c>
      <c r="O31" s="28">
        <f>Variables!$D$9</f>
        <v>7.1691459999999999E-2</v>
      </c>
      <c r="P31" s="28">
        <f>Variables!$D$9</f>
        <v>7.1691459999999999E-2</v>
      </c>
      <c r="Q31" s="28">
        <f>Variables!$D$9</f>
        <v>7.1691459999999999E-2</v>
      </c>
      <c r="R31" s="28">
        <f>Variables!$D$9</f>
        <v>7.1691459999999999E-2</v>
      </c>
      <c r="S31" s="28">
        <f>Variables!$D$9</f>
        <v>7.1691459999999999E-2</v>
      </c>
      <c r="T31" s="28">
        <f>Variables!$D$9</f>
        <v>7.1691459999999999E-2</v>
      </c>
      <c r="U31" s="28">
        <f>Variables!$D$9</f>
        <v>7.1691459999999999E-2</v>
      </c>
      <c r="V31" s="28">
        <f>Variables!$D$9</f>
        <v>7.1691459999999999E-2</v>
      </c>
      <c r="W31" s="28">
        <f>Variables!$D$9</f>
        <v>7.1691459999999999E-2</v>
      </c>
      <c r="X31" s="28">
        <f>Variables!$D$9</f>
        <v>7.1691459999999999E-2</v>
      </c>
      <c r="Y31" s="28">
        <f>Variables!$D$9</f>
        <v>7.1691459999999999E-2</v>
      </c>
      <c r="Z31" s="28">
        <f>Variables!$D$9</f>
        <v>7.1691459999999999E-2</v>
      </c>
      <c r="AA31" s="28">
        <f>Variables!$D$9</f>
        <v>7.1691459999999999E-2</v>
      </c>
      <c r="AC31" s="125"/>
    </row>
    <row r="32" spans="1:29" s="98" customFormat="1" x14ac:dyDescent="0.25">
      <c r="A32" s="99">
        <f>MAX($A$26:A31)+1</f>
        <v>16</v>
      </c>
      <c r="B32" s="98" t="s">
        <v>31</v>
      </c>
      <c r="C32" s="132">
        <f t="shared" ref="C32:N32" si="16">C29*C31/12</f>
        <v>0</v>
      </c>
      <c r="D32" s="132">
        <f t="shared" si="16"/>
        <v>0</v>
      </c>
      <c r="E32" s="132">
        <f t="shared" si="16"/>
        <v>0</v>
      </c>
      <c r="F32" s="132">
        <f t="shared" si="16"/>
        <v>0</v>
      </c>
      <c r="G32" s="132">
        <f t="shared" si="16"/>
        <v>0</v>
      </c>
      <c r="H32" s="132">
        <f t="shared" si="16"/>
        <v>0</v>
      </c>
      <c r="I32" s="132">
        <f t="shared" si="16"/>
        <v>0</v>
      </c>
      <c r="J32" s="132">
        <f t="shared" si="16"/>
        <v>0</v>
      </c>
      <c r="K32" s="132">
        <f t="shared" si="16"/>
        <v>0</v>
      </c>
      <c r="L32" s="132">
        <f t="shared" si="16"/>
        <v>749805.39729970228</v>
      </c>
      <c r="M32" s="132">
        <f t="shared" si="16"/>
        <v>759421.77341351612</v>
      </c>
      <c r="N32" s="132">
        <f t="shared" si="16"/>
        <v>741159.17548605893</v>
      </c>
      <c r="O32" s="132">
        <f>O29*O31/12</f>
        <v>733484.80172197102</v>
      </c>
      <c r="P32" s="132">
        <f>P29*P31/12</f>
        <v>725712.25670159794</v>
      </c>
      <c r="Q32" s="132">
        <f t="shared" ref="Q32:AA32" si="17">Q29*Q31/12</f>
        <v>718030.50400099717</v>
      </c>
      <c r="R32" s="132">
        <f t="shared" si="17"/>
        <v>710344.19249658997</v>
      </c>
      <c r="S32" s="132">
        <f t="shared" si="17"/>
        <v>702706.65719733667</v>
      </c>
      <c r="T32" s="132">
        <f t="shared" si="17"/>
        <v>695017.47788804793</v>
      </c>
      <c r="U32" s="132">
        <f t="shared" si="17"/>
        <v>687325.32936070627</v>
      </c>
      <c r="V32" s="132">
        <f t="shared" si="17"/>
        <v>679633.18083336449</v>
      </c>
      <c r="W32" s="132">
        <f t="shared" si="17"/>
        <v>671941.03230602283</v>
      </c>
      <c r="X32" s="132">
        <f t="shared" si="17"/>
        <v>664248.88377868116</v>
      </c>
      <c r="Y32" s="132">
        <f t="shared" si="17"/>
        <v>656556.7352513395</v>
      </c>
      <c r="Z32" s="132">
        <f t="shared" si="17"/>
        <v>648864.58672399784</v>
      </c>
      <c r="AA32" s="132">
        <f t="shared" si="17"/>
        <v>641172.43819665618</v>
      </c>
      <c r="AC32" s="125"/>
    </row>
    <row r="33" spans="1:29" s="98" customFormat="1" x14ac:dyDescent="0.25">
      <c r="A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C33" s="125"/>
    </row>
    <row r="34" spans="1:29" s="98" customFormat="1" x14ac:dyDescent="0.25">
      <c r="A34" s="99">
        <f>MAX($A$8:A33)+1</f>
        <v>17</v>
      </c>
      <c r="B34" s="98" t="s">
        <v>32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39">
        <f>L16</f>
        <v>3.3046077296287953E-2</v>
      </c>
      <c r="M34" s="139">
        <f t="shared" ref="M34:AA34" si="18">M16</f>
        <v>3.3046077296287953E-2</v>
      </c>
      <c r="N34" s="139">
        <f t="shared" si="18"/>
        <v>3.3046077296287953E-2</v>
      </c>
      <c r="O34" s="139">
        <f t="shared" si="18"/>
        <v>3.3046077296287953E-2</v>
      </c>
      <c r="P34" s="30">
        <f t="shared" si="18"/>
        <v>4.8360784328803093E-2</v>
      </c>
      <c r="Q34" s="30">
        <f t="shared" si="18"/>
        <v>4.8360784328803093E-2</v>
      </c>
      <c r="R34" s="30">
        <f t="shared" si="18"/>
        <v>4.8360784328803093E-2</v>
      </c>
      <c r="S34" s="30">
        <f t="shared" si="18"/>
        <v>4.8360784328803093E-2</v>
      </c>
      <c r="T34" s="30">
        <f t="shared" si="18"/>
        <v>4.8360784328803093E-2</v>
      </c>
      <c r="U34" s="30">
        <f t="shared" si="18"/>
        <v>4.8360784328803093E-2</v>
      </c>
      <c r="V34" s="30">
        <f t="shared" si="18"/>
        <v>4.8360784328803093E-2</v>
      </c>
      <c r="W34" s="30">
        <f t="shared" si="18"/>
        <v>4.8360784328803093E-2</v>
      </c>
      <c r="X34" s="30">
        <f t="shared" si="18"/>
        <v>4.8360784328803093E-2</v>
      </c>
      <c r="Y34" s="30">
        <f t="shared" si="18"/>
        <v>4.8360784328803093E-2</v>
      </c>
      <c r="Z34" s="30">
        <f t="shared" si="18"/>
        <v>4.8360784328803093E-2</v>
      </c>
      <c r="AA34" s="30">
        <f t="shared" si="18"/>
        <v>4.8360784328803093E-2</v>
      </c>
      <c r="AC34" s="125"/>
    </row>
    <row r="35" spans="1:29" s="98" customFormat="1" x14ac:dyDescent="0.25">
      <c r="A35" s="99">
        <f>MAX($A$26:A31)+1</f>
        <v>16</v>
      </c>
      <c r="B35" s="98" t="s">
        <v>33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f>(((L26+K26)/2)*L34)/12</f>
        <v>177217.45741434931</v>
      </c>
      <c r="M35" s="132">
        <f t="shared" ref="M35:AA35" si="19">(((M26+L26)/2)*M34)/12</f>
        <v>358199.17866409168</v>
      </c>
      <c r="N35" s="132">
        <f t="shared" si="19"/>
        <v>359303.84049880371</v>
      </c>
      <c r="O35" s="132">
        <f t="shared" si="19"/>
        <v>356420.98052175227</v>
      </c>
      <c r="P35" s="132">
        <f t="shared" si="19"/>
        <v>521245.03350926872</v>
      </c>
      <c r="Q35" s="132">
        <f t="shared" si="19"/>
        <v>521221.28608717636</v>
      </c>
      <c r="R35" s="132">
        <f t="shared" si="19"/>
        <v>521226.58669109311</v>
      </c>
      <c r="S35" s="132">
        <f t="shared" si="19"/>
        <v>521246.85264047195</v>
      </c>
      <c r="T35" s="132">
        <f t="shared" si="19"/>
        <v>521266.23120975908</v>
      </c>
      <c r="U35" s="132">
        <f t="shared" si="19"/>
        <v>521267.2306659685</v>
      </c>
      <c r="V35" s="132">
        <f t="shared" si="19"/>
        <v>521267.2306659685</v>
      </c>
      <c r="W35" s="132">
        <f t="shared" si="19"/>
        <v>521267.2306659685</v>
      </c>
      <c r="X35" s="132">
        <f t="shared" si="19"/>
        <v>521267.2306659685</v>
      </c>
      <c r="Y35" s="132">
        <f t="shared" si="19"/>
        <v>521267.2306659685</v>
      </c>
      <c r="Z35" s="132">
        <f t="shared" si="19"/>
        <v>521267.2306659685</v>
      </c>
      <c r="AA35" s="132">
        <f t="shared" si="19"/>
        <v>521267.2306659685</v>
      </c>
      <c r="AC35" s="125"/>
    </row>
    <row r="36" spans="1:29" s="98" customFormat="1" x14ac:dyDescent="0.25">
      <c r="A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C36" s="125"/>
    </row>
    <row r="37" spans="1:29" s="101" customFormat="1" x14ac:dyDescent="0.25">
      <c r="A37" s="103"/>
      <c r="B37" s="101" t="s">
        <v>34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31">
        <f>-0.21*O35</f>
        <v>-74848.40590956797</v>
      </c>
      <c r="P37" s="131">
        <f t="shared" ref="P37:AA37" si="20">-0.21*P35</f>
        <v>-109461.45703694642</v>
      </c>
      <c r="Q37" s="131">
        <f t="shared" si="20"/>
        <v>-109456.47007830703</v>
      </c>
      <c r="R37" s="131">
        <f t="shared" si="20"/>
        <v>-109457.58320512954</v>
      </c>
      <c r="S37" s="131">
        <f t="shared" si="20"/>
        <v>-109461.8390544991</v>
      </c>
      <c r="T37" s="131">
        <f t="shared" si="20"/>
        <v>-109465.9085540494</v>
      </c>
      <c r="U37" s="131">
        <f t="shared" si="20"/>
        <v>-109466.11843985338</v>
      </c>
      <c r="V37" s="131">
        <f t="shared" si="20"/>
        <v>-109466.11843985338</v>
      </c>
      <c r="W37" s="131">
        <f t="shared" si="20"/>
        <v>-109466.11843985338</v>
      </c>
      <c r="X37" s="131">
        <f t="shared" si="20"/>
        <v>-109466.11843985338</v>
      </c>
      <c r="Y37" s="131">
        <f t="shared" si="20"/>
        <v>-109466.11843985338</v>
      </c>
      <c r="Z37" s="131">
        <f t="shared" si="20"/>
        <v>-109466.11843985338</v>
      </c>
      <c r="AA37" s="131">
        <f t="shared" si="20"/>
        <v>-109466.11843985338</v>
      </c>
      <c r="AC37" s="116"/>
    </row>
    <row r="38" spans="1:29" x14ac:dyDescent="0.25">
      <c r="A38" s="25">
        <f>MAX($A$26:A35)+1</f>
        <v>18</v>
      </c>
      <c r="B38" s="27" t="s">
        <v>35</v>
      </c>
      <c r="C38" s="135">
        <f t="shared" ref="C38:K38" si="21">C35+C32</f>
        <v>0</v>
      </c>
      <c r="D38" s="135">
        <f t="shared" si="21"/>
        <v>0</v>
      </c>
      <c r="E38" s="135">
        <f t="shared" si="21"/>
        <v>0</v>
      </c>
      <c r="F38" s="135">
        <f t="shared" si="21"/>
        <v>0</v>
      </c>
      <c r="G38" s="135">
        <f t="shared" si="21"/>
        <v>0</v>
      </c>
      <c r="H38" s="135">
        <f t="shared" si="21"/>
        <v>0</v>
      </c>
      <c r="I38" s="135">
        <f t="shared" si="21"/>
        <v>0</v>
      </c>
      <c r="J38" s="135">
        <f t="shared" si="21"/>
        <v>0</v>
      </c>
      <c r="K38" s="135">
        <f t="shared" si="21"/>
        <v>0</v>
      </c>
      <c r="L38" s="135">
        <f>(L35+L32)/Variables!$C$34</f>
        <v>1230860.8573511939</v>
      </c>
      <c r="M38" s="135">
        <f>(M35+M32)/Variables!$C$34</f>
        <v>1483928.7686086542</v>
      </c>
      <c r="N38" s="135">
        <f>(N35+N32)/Variables!$C$34</f>
        <v>1461147.2030602968</v>
      </c>
      <c r="O38" s="135">
        <f>(O35+O32+O37)/Variables!$C$34</f>
        <v>1347749.2881021779</v>
      </c>
      <c r="P38" s="135">
        <f>(P35+P32+P37)/Variables!$C$34</f>
        <v>1510317.776238359</v>
      </c>
      <c r="Q38" s="135">
        <f>(Q35+Q32+Q37)/Variables!$C$34</f>
        <v>1500093.3678681094</v>
      </c>
      <c r="R38" s="135">
        <f>(R35+R32+R37)/Variables!$C$34</f>
        <v>1489893.3757983849</v>
      </c>
      <c r="S38" s="135">
        <f>(S35+S32+S37)/Variables!$C$34</f>
        <v>1479773.8442319718</v>
      </c>
      <c r="T38" s="135">
        <f>(T35+T32+T37)/Variables!$C$34</f>
        <v>1469584.811184701</v>
      </c>
      <c r="U38" s="135">
        <f>(U35+U32+U37)/Variables!$C$34</f>
        <v>1459372.5573747877</v>
      </c>
      <c r="V38" s="135">
        <f>(V35+V32+V37)/Variables!$C$34</f>
        <v>1449159.255207435</v>
      </c>
      <c r="W38" s="135">
        <f>(W35+W32+W37)/Variables!$C$34</f>
        <v>1438945.953040082</v>
      </c>
      <c r="X38" s="135">
        <f>(X35+X32+X37)/Variables!$C$34</f>
        <v>1428732.6508727297</v>
      </c>
      <c r="Y38" s="135">
        <f>(Y35+Y32+Y37)/Variables!$C$34</f>
        <v>1418519.3487053767</v>
      </c>
      <c r="Z38" s="135">
        <f>(Z35+Z32+Z37)/Variables!$C$34</f>
        <v>1408306.0465380244</v>
      </c>
      <c r="AA38" s="135">
        <f>(AA35+AA32+AA37)/Variables!$C$34</f>
        <v>1398092.7443706715</v>
      </c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19</v>
      </c>
      <c r="B40" s="24" t="s">
        <v>36</v>
      </c>
      <c r="C40" s="32"/>
      <c r="D40" s="32"/>
      <c r="E40" s="32"/>
      <c r="F40" s="32"/>
      <c r="G40" s="32"/>
      <c r="H40" s="32"/>
      <c r="I40" s="32"/>
      <c r="J40" s="32"/>
      <c r="K40" s="32"/>
      <c r="L40" s="31"/>
      <c r="M40" s="31"/>
      <c r="N40" s="31"/>
      <c r="O40" s="31"/>
      <c r="P40" s="133">
        <f t="shared" ref="P40:AA40" si="22">P38*$P$46</f>
        <v>117972.49434647971</v>
      </c>
      <c r="Q40" s="133">
        <f t="shared" si="22"/>
        <v>117173.85516098356</v>
      </c>
      <c r="R40" s="133">
        <f t="shared" si="22"/>
        <v>116377.12315814853</v>
      </c>
      <c r="S40" s="133">
        <f t="shared" si="22"/>
        <v>115586.67600901872</v>
      </c>
      <c r="T40" s="133">
        <f t="shared" si="22"/>
        <v>114790.8000268403</v>
      </c>
      <c r="U40" s="133">
        <f t="shared" si="22"/>
        <v>113993.11024670977</v>
      </c>
      <c r="V40" s="133">
        <f t="shared" si="22"/>
        <v>113195.33857828788</v>
      </c>
      <c r="W40" s="133">
        <f t="shared" si="22"/>
        <v>112397.56690986597</v>
      </c>
      <c r="X40" s="133">
        <f t="shared" si="22"/>
        <v>111599.79524144411</v>
      </c>
      <c r="Y40" s="133">
        <f t="shared" si="22"/>
        <v>110802.0235730222</v>
      </c>
      <c r="Z40" s="133">
        <f t="shared" si="22"/>
        <v>110004.25190460036</v>
      </c>
      <c r="AA40" s="133">
        <f t="shared" si="22"/>
        <v>109206.48023617845</v>
      </c>
    </row>
    <row r="41" spans="1:29" x14ac:dyDescent="0.25">
      <c r="A41" s="2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9" s="22" customFormat="1" ht="13" x14ac:dyDescent="0.3">
      <c r="A42" s="19" t="s">
        <v>40</v>
      </c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s="22" customFormat="1" ht="13.5" thickBot="1" x14ac:dyDescent="0.35">
      <c r="A43" s="25">
        <f>MAX($A$8:A42)+1</f>
        <v>20</v>
      </c>
      <c r="B43" s="2" t="s">
        <v>41</v>
      </c>
      <c r="C43" s="53"/>
      <c r="D43" s="53"/>
      <c r="E43" s="53"/>
      <c r="F43" s="53"/>
      <c r="G43" s="53"/>
      <c r="H43" s="53"/>
      <c r="I43" s="53"/>
      <c r="J43" s="53"/>
      <c r="K43" s="53"/>
      <c r="L43" s="52"/>
      <c r="M43" s="52"/>
      <c r="N43" s="52"/>
      <c r="O43" s="52"/>
      <c r="P43" s="132">
        <f t="shared" ref="P43:AA43" si="23">P40-P22</f>
        <v>-4334.8323859867232</v>
      </c>
      <c r="Q43" s="132">
        <f t="shared" si="23"/>
        <v>-5133.4715714828781</v>
      </c>
      <c r="R43" s="132">
        <f t="shared" si="23"/>
        <v>-5930.2035743179003</v>
      </c>
      <c r="S43" s="132">
        <f t="shared" si="23"/>
        <v>-6720.6507234477176</v>
      </c>
      <c r="T43" s="132">
        <f t="shared" si="23"/>
        <v>-7516.5267056261364</v>
      </c>
      <c r="U43" s="132">
        <f t="shared" si="23"/>
        <v>-8314.2164857566677</v>
      </c>
      <c r="V43" s="132">
        <f t="shared" si="23"/>
        <v>-9111.988154178558</v>
      </c>
      <c r="W43" s="132">
        <f t="shared" si="23"/>
        <v>-9909.7598226004629</v>
      </c>
      <c r="X43" s="132">
        <f t="shared" si="23"/>
        <v>-10707.531491022324</v>
      </c>
      <c r="Y43" s="132">
        <f t="shared" si="23"/>
        <v>-11505.303159444229</v>
      </c>
      <c r="Z43" s="132">
        <f t="shared" si="23"/>
        <v>-12303.074827866076</v>
      </c>
      <c r="AA43" s="132">
        <f t="shared" si="23"/>
        <v>-13100.846496287981</v>
      </c>
      <c r="AC43" s="119"/>
    </row>
    <row r="44" spans="1:29" ht="13.5" thickBot="1" x14ac:dyDescent="0.35">
      <c r="A44" s="25">
        <f>MAX($A$8:A43)+1</f>
        <v>21</v>
      </c>
      <c r="B44" s="2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35"/>
      <c r="M44" s="35"/>
      <c r="N44" s="35"/>
      <c r="O44" s="35"/>
      <c r="P44" s="132">
        <f>O44+P43</f>
        <v>-4334.8323859867232</v>
      </c>
      <c r="Q44" s="132">
        <f t="shared" ref="Q44:AA44" si="24">P44+Q43</f>
        <v>-9468.3039574696013</v>
      </c>
      <c r="R44" s="132">
        <f t="shared" si="24"/>
        <v>-15398.507531787502</v>
      </c>
      <c r="S44" s="132">
        <f t="shared" si="24"/>
        <v>-22119.158255235219</v>
      </c>
      <c r="T44" s="132">
        <f t="shared" si="24"/>
        <v>-29635.684960861356</v>
      </c>
      <c r="U44" s="132">
        <f t="shared" si="24"/>
        <v>-37949.901446618023</v>
      </c>
      <c r="V44" s="132">
        <f t="shared" si="24"/>
        <v>-47061.889600796581</v>
      </c>
      <c r="W44" s="132">
        <f t="shared" si="24"/>
        <v>-56971.649423397044</v>
      </c>
      <c r="X44" s="132">
        <f t="shared" si="24"/>
        <v>-67679.180914419368</v>
      </c>
      <c r="Y44" s="132">
        <f t="shared" si="24"/>
        <v>-79184.484073863598</v>
      </c>
      <c r="Z44" s="132">
        <f t="shared" si="24"/>
        <v>-91487.558901729673</v>
      </c>
      <c r="AA44" s="36">
        <f t="shared" si="24"/>
        <v>-104588.40539801765</v>
      </c>
    </row>
    <row r="46" spans="1:29" ht="13" x14ac:dyDescent="0.3">
      <c r="B46" s="37" t="s">
        <v>43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FEDFC-81B4-4B39-9B3F-005A1A895F47}">
  <sheetPr>
    <tabColor rgb="FFFFFF00"/>
    <pageSetUpPr fitToPage="1"/>
  </sheetPr>
  <dimension ref="A1:AC54"/>
  <sheetViews>
    <sheetView zoomScale="70" zoomScaleNormal="70" workbookViewId="0">
      <pane xSplit="2" ySplit="6" topLeftCell="P20" activePane="bottomRight" state="frozen"/>
      <selection activeCell="H36" sqref="H36"/>
      <selection pane="topRight" activeCell="H36" sqref="H36"/>
      <selection pane="bottomLeft" activeCell="H36" sqref="H36"/>
      <selection pane="bottomRight" activeCell="H36" sqref="H36"/>
    </sheetView>
  </sheetViews>
  <sheetFormatPr defaultColWidth="9.08984375" defaultRowHeight="12.5" outlineLevelCol="1" x14ac:dyDescent="0.25"/>
  <cols>
    <col min="1" max="1" width="6.453125" style="2" customWidth="1"/>
    <col min="2" max="2" width="40.453125" style="2" customWidth="1"/>
    <col min="3" max="15" width="15.36328125" style="2" hidden="1" customWidth="1" outlineLevel="1"/>
    <col min="16" max="16" width="16.5429687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11.6328125" style="2" bestFit="1" customWidth="1"/>
    <col min="29" max="29" width="12.36328125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ht="13" x14ac:dyDescent="0.3">
      <c r="A6" s="4" t="s">
        <v>24</v>
      </c>
      <c r="B6" s="46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22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78074045.164706558</v>
      </c>
      <c r="N8" s="129">
        <f t="shared" ref="N8" si="0">M8</f>
        <v>78074045.164706558</v>
      </c>
      <c r="O8" s="129">
        <v>78074045.164706558</v>
      </c>
      <c r="P8" s="129">
        <f t="shared" ref="P8:AA10" si="1">O8</f>
        <v>78074045.164706558</v>
      </c>
      <c r="Q8" s="129">
        <f t="shared" si="1"/>
        <v>78074045.164706558</v>
      </c>
      <c r="R8" s="129">
        <f t="shared" si="1"/>
        <v>78074045.164706558</v>
      </c>
      <c r="S8" s="129">
        <f t="shared" si="1"/>
        <v>78074045.164706558</v>
      </c>
      <c r="T8" s="129">
        <f t="shared" si="1"/>
        <v>78074045.164706558</v>
      </c>
      <c r="U8" s="129">
        <f t="shared" si="1"/>
        <v>78074045.164706558</v>
      </c>
      <c r="V8" s="129">
        <f t="shared" si="1"/>
        <v>78074045.164706558</v>
      </c>
      <c r="W8" s="129">
        <f t="shared" si="1"/>
        <v>78074045.164706558</v>
      </c>
      <c r="X8" s="129">
        <f t="shared" si="1"/>
        <v>78074045.164706558</v>
      </c>
      <c r="Y8" s="129">
        <f t="shared" si="1"/>
        <v>78074045.164706558</v>
      </c>
      <c r="Z8" s="129">
        <f t="shared" si="1"/>
        <v>78074045.164706558</v>
      </c>
      <c r="AA8" s="129">
        <f>Z8</f>
        <v>78074045.164706558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2">C9-D17</f>
        <v>0</v>
      </c>
      <c r="E9" s="129">
        <f t="shared" si="2"/>
        <v>0</v>
      </c>
      <c r="F9" s="129">
        <f t="shared" si="2"/>
        <v>0</v>
      </c>
      <c r="G9" s="129">
        <f t="shared" si="2"/>
        <v>0</v>
      </c>
      <c r="H9" s="129">
        <f t="shared" si="2"/>
        <v>0</v>
      </c>
      <c r="I9" s="129">
        <f t="shared" si="2"/>
        <v>0</v>
      </c>
      <c r="J9" s="129">
        <f t="shared" si="2"/>
        <v>0</v>
      </c>
      <c r="K9" s="129">
        <f t="shared" si="2"/>
        <v>0</v>
      </c>
      <c r="L9" s="129">
        <f t="shared" si="2"/>
        <v>0</v>
      </c>
      <c r="M9" s="129">
        <f t="shared" si="2"/>
        <v>-107501.70547278207</v>
      </c>
      <c r="N9" s="129">
        <f t="shared" si="2"/>
        <v>-322505.11641834618</v>
      </c>
      <c r="O9" s="129">
        <v>-2157069.6802591197</v>
      </c>
      <c r="P9" s="129">
        <f t="shared" si="1"/>
        <v>-2157069.6802591197</v>
      </c>
      <c r="Q9" s="129">
        <f t="shared" si="1"/>
        <v>-2157069.6802591197</v>
      </c>
      <c r="R9" s="129">
        <f t="shared" si="1"/>
        <v>-2157069.6802591197</v>
      </c>
      <c r="S9" s="129">
        <f t="shared" si="1"/>
        <v>-2157069.6802591197</v>
      </c>
      <c r="T9" s="129">
        <f t="shared" si="1"/>
        <v>-2157069.6802591197</v>
      </c>
      <c r="U9" s="129">
        <f t="shared" si="1"/>
        <v>-2157069.6802591197</v>
      </c>
      <c r="V9" s="129">
        <f t="shared" si="1"/>
        <v>-2157069.6802591197</v>
      </c>
      <c r="W9" s="129">
        <f t="shared" si="1"/>
        <v>-2157069.6802591197</v>
      </c>
      <c r="X9" s="129">
        <f t="shared" si="1"/>
        <v>-2157069.6802591197</v>
      </c>
      <c r="Y9" s="129">
        <f t="shared" si="1"/>
        <v>-2157069.6802591197</v>
      </c>
      <c r="Z9" s="129">
        <f t="shared" si="1"/>
        <v>-2157069.6802591197</v>
      </c>
      <c r="AA9" s="129">
        <f t="shared" si="1"/>
        <v>-2157069.6802591197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-1144084</v>
      </c>
      <c r="N10" s="130">
        <v>-2351142</v>
      </c>
      <c r="O10" s="130">
        <v>-3160005</v>
      </c>
      <c r="P10" s="130">
        <f t="shared" si="1"/>
        <v>-3160005</v>
      </c>
      <c r="Q10" s="130">
        <f t="shared" si="1"/>
        <v>-3160005</v>
      </c>
      <c r="R10" s="130">
        <f t="shared" si="1"/>
        <v>-3160005</v>
      </c>
      <c r="S10" s="130">
        <f t="shared" si="1"/>
        <v>-3160005</v>
      </c>
      <c r="T10" s="130">
        <f t="shared" si="1"/>
        <v>-3160005</v>
      </c>
      <c r="U10" s="130">
        <f t="shared" si="1"/>
        <v>-3160005</v>
      </c>
      <c r="V10" s="130">
        <f t="shared" si="1"/>
        <v>-3160005</v>
      </c>
      <c r="W10" s="130">
        <f t="shared" si="1"/>
        <v>-3160005</v>
      </c>
      <c r="X10" s="130">
        <f t="shared" si="1"/>
        <v>-3160005</v>
      </c>
      <c r="Y10" s="130">
        <f t="shared" si="1"/>
        <v>-3160005</v>
      </c>
      <c r="Z10" s="130">
        <f t="shared" si="1"/>
        <v>-3160005</v>
      </c>
      <c r="AA10" s="130">
        <f t="shared" si="1"/>
        <v>-3160005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3">SUM(C8:C10)</f>
        <v>0</v>
      </c>
      <c r="D11" s="129">
        <f t="shared" si="3"/>
        <v>0</v>
      </c>
      <c r="E11" s="129">
        <f t="shared" si="3"/>
        <v>0</v>
      </c>
      <c r="F11" s="129">
        <f t="shared" si="3"/>
        <v>0</v>
      </c>
      <c r="G11" s="129">
        <f t="shared" si="3"/>
        <v>0</v>
      </c>
      <c r="H11" s="129">
        <f t="shared" si="3"/>
        <v>0</v>
      </c>
      <c r="I11" s="129">
        <f t="shared" si="3"/>
        <v>0</v>
      </c>
      <c r="J11" s="129">
        <f t="shared" si="3"/>
        <v>0</v>
      </c>
      <c r="K11" s="129">
        <f t="shared" si="3"/>
        <v>0</v>
      </c>
      <c r="L11" s="129">
        <f t="shared" ref="L11:AA11" si="4">SUM(L8:L10)</f>
        <v>0</v>
      </c>
      <c r="M11" s="129">
        <f t="shared" si="4"/>
        <v>76822459.459233776</v>
      </c>
      <c r="N11" s="129">
        <f t="shared" si="4"/>
        <v>75400398.048288211</v>
      </c>
      <c r="O11" s="129">
        <f t="shared" si="4"/>
        <v>72756970.484447435</v>
      </c>
      <c r="P11" s="129">
        <f t="shared" si="4"/>
        <v>72756970.484447435</v>
      </c>
      <c r="Q11" s="129">
        <f t="shared" si="4"/>
        <v>72756970.484447435</v>
      </c>
      <c r="R11" s="129">
        <f t="shared" si="4"/>
        <v>72756970.484447435</v>
      </c>
      <c r="S11" s="129">
        <f t="shared" si="4"/>
        <v>72756970.484447435</v>
      </c>
      <c r="T11" s="129">
        <f t="shared" si="4"/>
        <v>72756970.484447435</v>
      </c>
      <c r="U11" s="129">
        <f t="shared" si="4"/>
        <v>72756970.484447435</v>
      </c>
      <c r="V11" s="129">
        <f t="shared" si="4"/>
        <v>72756970.484447435</v>
      </c>
      <c r="W11" s="129">
        <f t="shared" si="4"/>
        <v>72756970.484447435</v>
      </c>
      <c r="X11" s="129">
        <f t="shared" si="4"/>
        <v>72756970.484447435</v>
      </c>
      <c r="Y11" s="129">
        <f t="shared" si="4"/>
        <v>72756970.484447435</v>
      </c>
      <c r="Z11" s="129">
        <f t="shared" si="4"/>
        <v>72756970.484447435</v>
      </c>
      <c r="AA11" s="129">
        <f t="shared" si="4"/>
        <v>72756970.484447435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5">C11*C13/12</f>
        <v>0</v>
      </c>
      <c r="D14" s="131">
        <f t="shared" si="5"/>
        <v>0</v>
      </c>
      <c r="E14" s="131">
        <f t="shared" si="5"/>
        <v>0</v>
      </c>
      <c r="F14" s="131">
        <f t="shared" si="5"/>
        <v>0</v>
      </c>
      <c r="G14" s="131">
        <f t="shared" si="5"/>
        <v>0</v>
      </c>
      <c r="H14" s="131">
        <f t="shared" si="5"/>
        <v>0</v>
      </c>
      <c r="I14" s="131">
        <f t="shared" si="5"/>
        <v>0</v>
      </c>
      <c r="J14" s="131">
        <f t="shared" si="5"/>
        <v>0</v>
      </c>
      <c r="K14" s="131">
        <f t="shared" si="5"/>
        <v>0</v>
      </c>
      <c r="L14" s="131">
        <f t="shared" si="5"/>
        <v>0</v>
      </c>
      <c r="M14" s="131">
        <f t="shared" si="5"/>
        <v>458959.52328527329</v>
      </c>
      <c r="N14" s="131">
        <f t="shared" si="5"/>
        <v>450463.71838857769</v>
      </c>
      <c r="O14" s="131">
        <f t="shared" si="5"/>
        <v>434671.11993391201</v>
      </c>
      <c r="P14" s="131">
        <f>P11*P13/12</f>
        <v>434671.11993391201</v>
      </c>
      <c r="Q14" s="131">
        <f t="shared" si="5"/>
        <v>434671.11993391201</v>
      </c>
      <c r="R14" s="131">
        <f t="shared" si="5"/>
        <v>434671.11993391201</v>
      </c>
      <c r="S14" s="131">
        <f t="shared" si="5"/>
        <v>434671.11993391201</v>
      </c>
      <c r="T14" s="131">
        <f t="shared" si="5"/>
        <v>434671.11993391201</v>
      </c>
      <c r="U14" s="131">
        <f t="shared" si="5"/>
        <v>434671.11993391201</v>
      </c>
      <c r="V14" s="131">
        <f t="shared" si="5"/>
        <v>434671.11993391201</v>
      </c>
      <c r="W14" s="131">
        <f t="shared" si="5"/>
        <v>434671.11993391201</v>
      </c>
      <c r="X14" s="131">
        <f t="shared" si="5"/>
        <v>434671.11993391201</v>
      </c>
      <c r="Y14" s="131">
        <f t="shared" si="5"/>
        <v>434671.11993391201</v>
      </c>
      <c r="Z14" s="131">
        <f t="shared" si="5"/>
        <v>434671.11993391201</v>
      </c>
      <c r="AA14" s="131">
        <f t="shared" si="5"/>
        <v>434671.11993391201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11">
        <v>3.3046077296287953E-2</v>
      </c>
      <c r="N16" s="111">
        <v>3.3046077296287953E-2</v>
      </c>
      <c r="O16" s="111">
        <v>3.3046077296287953E-2</v>
      </c>
      <c r="P16" s="111">
        <v>4.8360784328803093E-2</v>
      </c>
      <c r="Q16" s="111">
        <v>4.8360784328803093E-2</v>
      </c>
      <c r="R16" s="111">
        <v>4.8360784328803093E-2</v>
      </c>
      <c r="S16" s="111">
        <v>4.8360784328803093E-2</v>
      </c>
      <c r="T16" s="111">
        <v>4.8360784328803093E-2</v>
      </c>
      <c r="U16" s="111">
        <v>4.8360784328803093E-2</v>
      </c>
      <c r="V16" s="111">
        <v>4.8360784328803093E-2</v>
      </c>
      <c r="W16" s="111">
        <v>4.8360784328803093E-2</v>
      </c>
      <c r="X16" s="111">
        <v>4.8360784328803093E-2</v>
      </c>
      <c r="Y16" s="111">
        <v>4.8360784328803093E-2</v>
      </c>
      <c r="Z16" s="111">
        <v>4.8360784328803093E-2</v>
      </c>
      <c r="AA16" s="111">
        <v>4.8360784328803093E-2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f>(((M8+L8)/2)*M16)/12</f>
        <v>107501.70547278207</v>
      </c>
      <c r="N17" s="131">
        <f t="shared" ref="N17" si="6">(((N8+M8)/2)*N16)/12</f>
        <v>215003.41094556413</v>
      </c>
      <c r="O17" s="131">
        <v>314719.23609619401</v>
      </c>
      <c r="P17" s="131">
        <f t="shared" ref="P17:Z17" si="7">O17</f>
        <v>314719.23609619401</v>
      </c>
      <c r="Q17" s="131">
        <f t="shared" si="7"/>
        <v>314719.23609619401</v>
      </c>
      <c r="R17" s="131">
        <f t="shared" si="7"/>
        <v>314719.23609619401</v>
      </c>
      <c r="S17" s="131">
        <f t="shared" si="7"/>
        <v>314719.23609619401</v>
      </c>
      <c r="T17" s="131">
        <f t="shared" si="7"/>
        <v>314719.23609619401</v>
      </c>
      <c r="U17" s="131">
        <f t="shared" si="7"/>
        <v>314719.23609619401</v>
      </c>
      <c r="V17" s="131">
        <f t="shared" si="7"/>
        <v>314719.23609619401</v>
      </c>
      <c r="W17" s="131">
        <f t="shared" si="7"/>
        <v>314719.23609619401</v>
      </c>
      <c r="X17" s="131">
        <f t="shared" si="7"/>
        <v>314719.23609619401</v>
      </c>
      <c r="Y17" s="131">
        <f t="shared" si="7"/>
        <v>314719.23609619401</v>
      </c>
      <c r="Z17" s="131">
        <f t="shared" si="7"/>
        <v>314719.23609619401</v>
      </c>
      <c r="AA17" s="131">
        <f>Z17</f>
        <v>314719.23609619401</v>
      </c>
      <c r="AC17" s="116"/>
    </row>
    <row r="18" spans="1:29" s="101" customFormat="1" x14ac:dyDescent="0.25">
      <c r="A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-0.21*O17</f>
        <v>-66091.039580200741</v>
      </c>
      <c r="P19" s="131">
        <f t="shared" ref="P19:AA19" si="8">-0.21*P17</f>
        <v>-66091.039580200741</v>
      </c>
      <c r="Q19" s="131">
        <f t="shared" si="8"/>
        <v>-66091.039580200741</v>
      </c>
      <c r="R19" s="131">
        <f t="shared" si="8"/>
        <v>-66091.039580200741</v>
      </c>
      <c r="S19" s="131">
        <f t="shared" si="8"/>
        <v>-66091.039580200741</v>
      </c>
      <c r="T19" s="131">
        <f t="shared" si="8"/>
        <v>-66091.039580200741</v>
      </c>
      <c r="U19" s="131">
        <f t="shared" si="8"/>
        <v>-66091.039580200741</v>
      </c>
      <c r="V19" s="131">
        <f t="shared" si="8"/>
        <v>-66091.039580200741</v>
      </c>
      <c r="W19" s="131">
        <f t="shared" si="8"/>
        <v>-66091.039580200741</v>
      </c>
      <c r="X19" s="131">
        <f t="shared" si="8"/>
        <v>-66091.039580200741</v>
      </c>
      <c r="Y19" s="131">
        <f t="shared" si="8"/>
        <v>-66091.039580200741</v>
      </c>
      <c r="Z19" s="131">
        <f t="shared" si="8"/>
        <v>-66091.039580200741</v>
      </c>
      <c r="AA19" s="131">
        <f t="shared" si="8"/>
        <v>-66091.039580200741</v>
      </c>
      <c r="AC19" s="116"/>
    </row>
    <row r="20" spans="1:29" x14ac:dyDescent="0.25">
      <c r="A20" s="25">
        <f>MAX($A$8:A17)+1</f>
        <v>9</v>
      </c>
      <c r="B20" s="27" t="s">
        <v>35</v>
      </c>
      <c r="C20" s="135">
        <f t="shared" ref="C20:L20" si="9">C17+C14</f>
        <v>0</v>
      </c>
      <c r="D20" s="135">
        <f t="shared" si="9"/>
        <v>0</v>
      </c>
      <c r="E20" s="135">
        <f t="shared" si="9"/>
        <v>0</v>
      </c>
      <c r="F20" s="135">
        <f t="shared" si="9"/>
        <v>0</v>
      </c>
      <c r="G20" s="135">
        <f t="shared" si="9"/>
        <v>0</v>
      </c>
      <c r="H20" s="135">
        <f t="shared" si="9"/>
        <v>0</v>
      </c>
      <c r="I20" s="135">
        <f t="shared" si="9"/>
        <v>0</v>
      </c>
      <c r="J20" s="135">
        <f t="shared" si="9"/>
        <v>0</v>
      </c>
      <c r="K20" s="135">
        <f t="shared" si="9"/>
        <v>0</v>
      </c>
      <c r="L20" s="135">
        <f t="shared" si="9"/>
        <v>0</v>
      </c>
      <c r="M20" s="135">
        <f>(M14+M17)/Variables!$C$34</f>
        <v>752122.72290786088</v>
      </c>
      <c r="N20" s="135">
        <f>(N14+N17)/Variables!$C$34</f>
        <v>883578.47617890441</v>
      </c>
      <c r="O20" s="135">
        <f>(O14+O17+O19)/Variables!$C$34</f>
        <v>907255.28307761438</v>
      </c>
      <c r="P20" s="135">
        <f>(P14+P17+P19)/Variables!$C$34</f>
        <v>907255.28307761438</v>
      </c>
      <c r="Q20" s="135">
        <f>(Q14+Q17+Q19)/Variables!$C$34</f>
        <v>907255.28307761438</v>
      </c>
      <c r="R20" s="135">
        <f>(R14+R17+R19)/Variables!$C$34</f>
        <v>907255.28307761438</v>
      </c>
      <c r="S20" s="135">
        <f>(S14+S17+S19)/Variables!$C$34</f>
        <v>907255.28307761438</v>
      </c>
      <c r="T20" s="135">
        <f>(T14+T17+T19)/Variables!$C$34</f>
        <v>907255.28307761438</v>
      </c>
      <c r="U20" s="135">
        <f>(U14+U17+U19)/Variables!$C$34</f>
        <v>907255.28307761438</v>
      </c>
      <c r="V20" s="135">
        <f>(V14+V17+V19)/Variables!$C$34</f>
        <v>907255.28307761438</v>
      </c>
      <c r="W20" s="135">
        <f>(W14+W17+W19)/Variables!$C$34</f>
        <v>907255.28307761438</v>
      </c>
      <c r="X20" s="135">
        <f>(X14+X17+X19)/Variables!$C$34</f>
        <v>907255.28307761438</v>
      </c>
      <c r="Y20" s="135">
        <f>(Y14+Y17+Y19)/Variables!$C$34</f>
        <v>907255.28307761438</v>
      </c>
      <c r="Z20" s="135">
        <f>(Z14+Z17+Z19)/Variables!$C$34</f>
        <v>907255.28307761438</v>
      </c>
      <c r="AA20" s="135">
        <f>(AA14+AA17+AA19)/Variables!$C$34</f>
        <v>907255.28307761438</v>
      </c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1"/>
      <c r="O22" s="31"/>
      <c r="P22" s="133">
        <f t="shared" ref="P22:AA22" si="10">P20*$P$52</f>
        <v>70866.654976585545</v>
      </c>
      <c r="Q22" s="133">
        <f t="shared" si="10"/>
        <v>70866.654976585545</v>
      </c>
      <c r="R22" s="133">
        <f t="shared" si="10"/>
        <v>70866.654976585545</v>
      </c>
      <c r="S22" s="133">
        <f t="shared" si="10"/>
        <v>70866.654976585545</v>
      </c>
      <c r="T22" s="133">
        <f t="shared" si="10"/>
        <v>70866.654976585545</v>
      </c>
      <c r="U22" s="133">
        <f t="shared" si="10"/>
        <v>70866.654976585545</v>
      </c>
      <c r="V22" s="133">
        <f t="shared" si="10"/>
        <v>70866.654976585545</v>
      </c>
      <c r="W22" s="133">
        <f t="shared" si="10"/>
        <v>70866.654976585545</v>
      </c>
      <c r="X22" s="133">
        <f t="shared" si="10"/>
        <v>70866.654976585545</v>
      </c>
      <c r="Y22" s="133">
        <f t="shared" si="10"/>
        <v>70866.654976585545</v>
      </c>
      <c r="Z22" s="133">
        <f t="shared" si="10"/>
        <v>70866.654976585545</v>
      </c>
      <c r="AA22" s="133">
        <f t="shared" si="10"/>
        <v>70866.654976585545</v>
      </c>
    </row>
    <row r="23" spans="1:29" ht="13" x14ac:dyDescent="0.3">
      <c r="A23" s="25"/>
      <c r="B23" s="2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9" ht="13" x14ac:dyDescent="0.3">
      <c r="A24" s="4" t="s">
        <v>37</v>
      </c>
      <c r="B24" s="46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22"/>
    </row>
    <row r="25" spans="1:29" s="101" customFormat="1" ht="13" x14ac:dyDescent="0.3">
      <c r="A25" s="102"/>
      <c r="B25" s="97" t="s">
        <v>25</v>
      </c>
      <c r="AC25" s="116"/>
    </row>
    <row r="26" spans="1:29" s="101" customFormat="1" x14ac:dyDescent="0.25">
      <c r="A26" s="103">
        <f>MAX($A$8:A25)+1</f>
        <v>11</v>
      </c>
      <c r="B26" s="101" t="s">
        <v>26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136831.5</v>
      </c>
      <c r="P26" s="129">
        <v>129331.5</v>
      </c>
      <c r="Q26" s="129">
        <v>129331.5</v>
      </c>
      <c r="R26" s="129">
        <v>70701262.180000007</v>
      </c>
      <c r="S26" s="129">
        <v>71633020.700000003</v>
      </c>
      <c r="T26" s="129">
        <v>72235247.189999998</v>
      </c>
      <c r="U26" s="129">
        <v>72235247.189999998</v>
      </c>
      <c r="V26" s="129">
        <v>72235247.189999998</v>
      </c>
      <c r="W26" s="129">
        <v>72235247.189999998</v>
      </c>
      <c r="X26" s="129">
        <v>72235247.189999998</v>
      </c>
      <c r="Y26" s="129">
        <v>72235247.189999998</v>
      </c>
      <c r="Z26" s="129">
        <v>72235247.189999998</v>
      </c>
      <c r="AA26" s="129">
        <v>72235247.189999998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0</v>
      </c>
      <c r="D27" s="129">
        <f t="shared" ref="D27:O27" si="11">C27-D35</f>
        <v>0</v>
      </c>
      <c r="E27" s="129">
        <f t="shared" si="11"/>
        <v>0</v>
      </c>
      <c r="F27" s="129">
        <f t="shared" si="11"/>
        <v>0</v>
      </c>
      <c r="G27" s="129">
        <f t="shared" si="11"/>
        <v>0</v>
      </c>
      <c r="H27" s="129">
        <f t="shared" si="11"/>
        <v>0</v>
      </c>
      <c r="I27" s="129">
        <f t="shared" si="11"/>
        <v>0</v>
      </c>
      <c r="J27" s="129">
        <f t="shared" si="11"/>
        <v>0</v>
      </c>
      <c r="K27" s="129">
        <f t="shared" si="11"/>
        <v>0</v>
      </c>
      <c r="L27" s="129">
        <f t="shared" si="11"/>
        <v>0</v>
      </c>
      <c r="M27" s="129">
        <f t="shared" si="11"/>
        <v>0</v>
      </c>
      <c r="N27" s="129">
        <f t="shared" si="11"/>
        <v>0</v>
      </c>
      <c r="O27" s="129">
        <f t="shared" si="11"/>
        <v>-188.40601356529271</v>
      </c>
      <c r="P27" s="129">
        <f>O27-P35</f>
        <v>-724.73315686976014</v>
      </c>
      <c r="Q27" s="129">
        <f t="shared" ref="Q27:AA27" si="12">P27-Q35</f>
        <v>-1245.9475550714765</v>
      </c>
      <c r="R27" s="129">
        <f t="shared" si="12"/>
        <v>-143971.9085900533</v>
      </c>
      <c r="S27" s="129">
        <f t="shared" si="12"/>
        <v>-430780.14012982533</v>
      </c>
      <c r="T27" s="129">
        <f t="shared" si="12"/>
        <v>-720679.40159594011</v>
      </c>
      <c r="U27" s="129">
        <f t="shared" si="12"/>
        <v>-1011792.1691203876</v>
      </c>
      <c r="V27" s="129">
        <f t="shared" si="12"/>
        <v>-1302904.9366448352</v>
      </c>
      <c r="W27" s="129">
        <f t="shared" si="12"/>
        <v>-1594017.7041692827</v>
      </c>
      <c r="X27" s="129">
        <f>W27-X35</f>
        <v>-1885130.4716937302</v>
      </c>
      <c r="Y27" s="129">
        <f t="shared" si="12"/>
        <v>-2176243.2392181777</v>
      </c>
      <c r="Z27" s="129">
        <f t="shared" si="12"/>
        <v>-2467356.006742625</v>
      </c>
      <c r="AA27" s="129">
        <f t="shared" si="12"/>
        <v>-2758468.7742670723</v>
      </c>
      <c r="AB27" s="105"/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69309</v>
      </c>
      <c r="Q28" s="130">
        <v>138618</v>
      </c>
      <c r="R28" s="130">
        <v>-479104</v>
      </c>
      <c r="S28" s="130">
        <v>-699458</v>
      </c>
      <c r="T28" s="130">
        <v>-919812</v>
      </c>
      <c r="U28" s="130">
        <v>-1140166</v>
      </c>
      <c r="V28" s="130">
        <v>-1360520</v>
      </c>
      <c r="W28" s="130">
        <v>-1580874</v>
      </c>
      <c r="X28" s="130">
        <v>-1801229</v>
      </c>
      <c r="Y28" s="130">
        <v>-2021584</v>
      </c>
      <c r="Z28" s="130">
        <v>-2241939</v>
      </c>
      <c r="AA28" s="130">
        <v>-2462294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3">SUM(C26:C28)</f>
        <v>0</v>
      </c>
      <c r="D29" s="129">
        <f t="shared" si="13"/>
        <v>0</v>
      </c>
      <c r="E29" s="129">
        <f t="shared" si="13"/>
        <v>0</v>
      </c>
      <c r="F29" s="129">
        <f t="shared" si="13"/>
        <v>0</v>
      </c>
      <c r="G29" s="129">
        <f t="shared" si="13"/>
        <v>0</v>
      </c>
      <c r="H29" s="129">
        <f t="shared" si="13"/>
        <v>0</v>
      </c>
      <c r="I29" s="129">
        <f t="shared" si="13"/>
        <v>0</v>
      </c>
      <c r="J29" s="129">
        <f t="shared" si="13"/>
        <v>0</v>
      </c>
      <c r="K29" s="129">
        <f t="shared" si="13"/>
        <v>0</v>
      </c>
      <c r="L29" s="129">
        <f t="shared" ref="L29:O29" si="14">SUM(L26:L28)</f>
        <v>0</v>
      </c>
      <c r="M29" s="129">
        <f t="shared" si="14"/>
        <v>0</v>
      </c>
      <c r="N29" s="129">
        <f t="shared" si="14"/>
        <v>0</v>
      </c>
      <c r="O29" s="129">
        <f t="shared" si="14"/>
        <v>136643.09398643472</v>
      </c>
      <c r="P29" s="129">
        <f>SUM(P26:P28)</f>
        <v>197915.76684313023</v>
      </c>
      <c r="Q29" s="129">
        <f t="shared" ref="Q29:AA29" si="15">SUM(Q26:Q28)</f>
        <v>266703.55244492856</v>
      </c>
      <c r="R29" s="129">
        <f t="shared" si="15"/>
        <v>70078186.271409959</v>
      </c>
      <c r="S29" s="129">
        <f t="shared" si="15"/>
        <v>70502782.559870183</v>
      </c>
      <c r="T29" s="129">
        <f t="shared" si="15"/>
        <v>70594755.788404062</v>
      </c>
      <c r="U29" s="129">
        <f t="shared" si="15"/>
        <v>70083289.020879611</v>
      </c>
      <c r="V29" s="129">
        <f t="shared" si="15"/>
        <v>69571822.25335516</v>
      </c>
      <c r="W29" s="129">
        <f t="shared" si="15"/>
        <v>69060355.485830709</v>
      </c>
      <c r="X29" s="129">
        <f t="shared" si="15"/>
        <v>68548887.718306273</v>
      </c>
      <c r="Y29" s="129">
        <f t="shared" si="15"/>
        <v>68037419.950781822</v>
      </c>
      <c r="Z29" s="129">
        <f t="shared" si="15"/>
        <v>67525952.183257371</v>
      </c>
      <c r="AA29" s="129">
        <f t="shared" si="15"/>
        <v>67014484.41573292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MAX($A$8:A30)+1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MAX($A$8:A31)+1</f>
        <v>16</v>
      </c>
      <c r="B32" s="101" t="s">
        <v>31</v>
      </c>
      <c r="C32" s="131">
        <f t="shared" ref="C32:N32" si="16">C29*C31/12</f>
        <v>0</v>
      </c>
      <c r="D32" s="131">
        <f t="shared" si="16"/>
        <v>0</v>
      </c>
      <c r="E32" s="131">
        <f t="shared" si="16"/>
        <v>0</v>
      </c>
      <c r="F32" s="131">
        <f t="shared" si="16"/>
        <v>0</v>
      </c>
      <c r="G32" s="131">
        <f t="shared" si="16"/>
        <v>0</v>
      </c>
      <c r="H32" s="131">
        <f t="shared" si="16"/>
        <v>0</v>
      </c>
      <c r="I32" s="131">
        <f t="shared" si="16"/>
        <v>0</v>
      </c>
      <c r="J32" s="131">
        <f t="shared" si="16"/>
        <v>0</v>
      </c>
      <c r="K32" s="131">
        <f t="shared" si="16"/>
        <v>0</v>
      </c>
      <c r="L32" s="131">
        <f t="shared" si="16"/>
        <v>0</v>
      </c>
      <c r="M32" s="131">
        <f t="shared" si="16"/>
        <v>0</v>
      </c>
      <c r="N32" s="131">
        <f t="shared" si="16"/>
        <v>0</v>
      </c>
      <c r="O32" s="131">
        <f>O29*O31/12</f>
        <v>816.34524223372716</v>
      </c>
      <c r="P32" s="131">
        <f>P29*P31/12</f>
        <v>1182.4058568336329</v>
      </c>
      <c r="Q32" s="131">
        <f t="shared" ref="Q32:AA32" si="17">Q29*Q31/12</f>
        <v>1593.3639218302915</v>
      </c>
      <c r="R32" s="131">
        <f t="shared" si="17"/>
        <v>418667.29066244466</v>
      </c>
      <c r="S32" s="131">
        <f t="shared" si="17"/>
        <v>421203.95131496922</v>
      </c>
      <c r="T32" s="131">
        <f t="shared" si="17"/>
        <v>421753.42590117821</v>
      </c>
      <c r="U32" s="131">
        <f t="shared" si="17"/>
        <v>418697.77595906914</v>
      </c>
      <c r="V32" s="131">
        <f t="shared" si="17"/>
        <v>415642.12601696007</v>
      </c>
      <c r="W32" s="131">
        <f t="shared" si="17"/>
        <v>412586.47607485106</v>
      </c>
      <c r="X32" s="131">
        <f t="shared" si="17"/>
        <v>409530.82015845383</v>
      </c>
      <c r="Y32" s="131">
        <f t="shared" si="17"/>
        <v>406475.16424205643</v>
      </c>
      <c r="Z32" s="131">
        <f t="shared" si="17"/>
        <v>403419.50832565903</v>
      </c>
      <c r="AA32" s="131">
        <f t="shared" si="17"/>
        <v>400363.85240926169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1" t="s">
        <v>32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7">
        <f>O16</f>
        <v>3.3046077296287953E-2</v>
      </c>
      <c r="P34" s="107">
        <f t="shared" ref="P34:AA34" si="18">P16</f>
        <v>4.8360784328803093E-2</v>
      </c>
      <c r="Q34" s="107">
        <f t="shared" si="18"/>
        <v>4.8360784328803093E-2</v>
      </c>
      <c r="R34" s="107">
        <f t="shared" si="18"/>
        <v>4.8360784328803093E-2</v>
      </c>
      <c r="S34" s="107">
        <f t="shared" si="18"/>
        <v>4.8360784328803093E-2</v>
      </c>
      <c r="T34" s="107">
        <f t="shared" si="18"/>
        <v>4.8360784328803093E-2</v>
      </c>
      <c r="U34" s="107">
        <f t="shared" si="18"/>
        <v>4.8360784328803093E-2</v>
      </c>
      <c r="V34" s="107">
        <f t="shared" si="18"/>
        <v>4.8360784328803093E-2</v>
      </c>
      <c r="W34" s="107">
        <f t="shared" si="18"/>
        <v>4.8360784328803093E-2</v>
      </c>
      <c r="X34" s="107">
        <f t="shared" si="18"/>
        <v>4.8360784328803093E-2</v>
      </c>
      <c r="Y34" s="107">
        <f t="shared" si="18"/>
        <v>4.8360784328803093E-2</v>
      </c>
      <c r="Z34" s="107">
        <f t="shared" si="18"/>
        <v>4.8360784328803093E-2</v>
      </c>
      <c r="AA34" s="107">
        <f t="shared" si="18"/>
        <v>4.8360784328803093E-2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f>(((O26+N26)/2)*O34)/12</f>
        <v>188.40601356529271</v>
      </c>
      <c r="P35" s="131">
        <f t="shared" ref="P35:AA35" si="19">(((P26+O26)/2)*P34)/12</f>
        <v>536.32714330446743</v>
      </c>
      <c r="Q35" s="131">
        <f t="shared" si="19"/>
        <v>521.21439820171645</v>
      </c>
      <c r="R35" s="131">
        <f t="shared" si="19"/>
        <v>142725.96103498182</v>
      </c>
      <c r="S35" s="131">
        <f t="shared" si="19"/>
        <v>286808.23153977207</v>
      </c>
      <c r="T35" s="131">
        <f t="shared" si="19"/>
        <v>289899.26146611484</v>
      </c>
      <c r="U35" s="131">
        <f t="shared" si="19"/>
        <v>291112.76752444747</v>
      </c>
      <c r="V35" s="131">
        <f t="shared" si="19"/>
        <v>291112.76752444747</v>
      </c>
      <c r="W35" s="131">
        <f t="shared" si="19"/>
        <v>291112.76752444747</v>
      </c>
      <c r="X35" s="131">
        <f t="shared" si="19"/>
        <v>291112.76752444747</v>
      </c>
      <c r="Y35" s="131">
        <f t="shared" si="19"/>
        <v>291112.76752444747</v>
      </c>
      <c r="Z35" s="131">
        <f t="shared" si="19"/>
        <v>291112.76752444747</v>
      </c>
      <c r="AA35" s="131">
        <f t="shared" si="19"/>
        <v>291112.76752444747</v>
      </c>
      <c r="AC35" s="116"/>
    </row>
    <row r="36" spans="1:29" s="101" customFormat="1" x14ac:dyDescent="0.25">
      <c r="A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6"/>
    </row>
    <row r="37" spans="1:29" s="101" customFormat="1" x14ac:dyDescent="0.25">
      <c r="A37" s="103"/>
      <c r="B37" s="101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f>-0.21*O35</f>
        <v>-39.56526284871147</v>
      </c>
      <c r="P37" s="131">
        <f t="shared" ref="P37:AA37" si="20">-0.21*P35</f>
        <v>-112.62870009393815</v>
      </c>
      <c r="Q37" s="131">
        <f t="shared" si="20"/>
        <v>-109.45502362236046</v>
      </c>
      <c r="R37" s="131">
        <f t="shared" si="20"/>
        <v>-29972.451817346184</v>
      </c>
      <c r="S37" s="131">
        <f t="shared" si="20"/>
        <v>-60229.72862335213</v>
      </c>
      <c r="T37" s="131">
        <f t="shared" si="20"/>
        <v>-60878.844907884115</v>
      </c>
      <c r="U37" s="131">
        <f t="shared" si="20"/>
        <v>-61133.681180133965</v>
      </c>
      <c r="V37" s="131">
        <f t="shared" si="20"/>
        <v>-61133.681180133965</v>
      </c>
      <c r="W37" s="131">
        <f t="shared" si="20"/>
        <v>-61133.681180133965</v>
      </c>
      <c r="X37" s="131">
        <f t="shared" si="20"/>
        <v>-61133.681180133965</v>
      </c>
      <c r="Y37" s="131">
        <f t="shared" si="20"/>
        <v>-61133.681180133965</v>
      </c>
      <c r="Z37" s="131">
        <f t="shared" si="20"/>
        <v>-61133.681180133965</v>
      </c>
      <c r="AA37" s="131">
        <f t="shared" si="20"/>
        <v>-61133.681180133965</v>
      </c>
      <c r="AC37" s="116"/>
    </row>
    <row r="38" spans="1:29" x14ac:dyDescent="0.25">
      <c r="A38" s="25">
        <f>MAX($A$8:A35)+1</f>
        <v>19</v>
      </c>
      <c r="B38" s="27" t="s">
        <v>35</v>
      </c>
      <c r="C38" s="135">
        <f t="shared" ref="C38:N38" si="21">C32+C35</f>
        <v>0</v>
      </c>
      <c r="D38" s="135">
        <f t="shared" si="21"/>
        <v>0</v>
      </c>
      <c r="E38" s="135">
        <f t="shared" si="21"/>
        <v>0</v>
      </c>
      <c r="F38" s="135">
        <f t="shared" si="21"/>
        <v>0</v>
      </c>
      <c r="G38" s="135">
        <f t="shared" si="21"/>
        <v>0</v>
      </c>
      <c r="H38" s="135">
        <f t="shared" si="21"/>
        <v>0</v>
      </c>
      <c r="I38" s="135">
        <f t="shared" si="21"/>
        <v>0</v>
      </c>
      <c r="J38" s="135">
        <f t="shared" si="21"/>
        <v>0</v>
      </c>
      <c r="K38" s="135">
        <f t="shared" si="21"/>
        <v>0</v>
      </c>
      <c r="L38" s="135">
        <f t="shared" si="21"/>
        <v>0</v>
      </c>
      <c r="M38" s="135">
        <f t="shared" si="21"/>
        <v>0</v>
      </c>
      <c r="N38" s="135">
        <f t="shared" si="21"/>
        <v>0</v>
      </c>
      <c r="O38" s="135">
        <f>(O32+O35+O37)/Variables!$C$34</f>
        <v>1281.5322219349512</v>
      </c>
      <c r="P38" s="135">
        <f>(P32+P35+P37)/Variables!$C$34</f>
        <v>2132.5158335579399</v>
      </c>
      <c r="Q38" s="135">
        <f>(Q32+Q35+Q37)/Variables!$C$34</f>
        <v>2662.3160013405663</v>
      </c>
      <c r="R38" s="135">
        <f>(R32+R35+R37)/Variables!$C$34</f>
        <v>705597.55676834669</v>
      </c>
      <c r="S38" s="135">
        <f>(S32+S35+S37)/Variables!$C$34</f>
        <v>860097.52935190767</v>
      </c>
      <c r="T38" s="135">
        <f>(T32+T35+T37)/Variables!$C$34</f>
        <v>864069.36527837603</v>
      </c>
      <c r="U38" s="135">
        <f>(U32+U35+U37)/Variables!$C$34</f>
        <v>861285.08571119001</v>
      </c>
      <c r="V38" s="135">
        <f>(V32+V35+V37)/Variables!$C$34</f>
        <v>857227.92585975386</v>
      </c>
      <c r="W38" s="135">
        <f>(W32+W35+W37)/Variables!$C$34</f>
        <v>853170.76600831782</v>
      </c>
      <c r="X38" s="135">
        <f>(X32+X35+X37)/Variables!$C$34</f>
        <v>849113.59822448029</v>
      </c>
      <c r="Y38" s="135">
        <f>(Y32+Y35+Y37)/Variables!$C$34</f>
        <v>845056.43044064264</v>
      </c>
      <c r="Z38" s="135">
        <f>(Z32+Z35+Z37)/Variables!$C$34</f>
        <v>840999.26265680487</v>
      </c>
      <c r="AA38" s="135">
        <f>(AA32+AA35+AA37)/Variables!$C$34</f>
        <v>836942.09487296711</v>
      </c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31"/>
      <c r="N40" s="31"/>
      <c r="O40" s="31"/>
      <c r="P40" s="133">
        <f t="shared" ref="P40:AA40" si="22">P38*$P$52</f>
        <v>166.57303256059163</v>
      </c>
      <c r="Q40" s="133">
        <f t="shared" si="22"/>
        <v>207.95627539983624</v>
      </c>
      <c r="R40" s="133">
        <f t="shared" si="22"/>
        <v>55114.95996826997</v>
      </c>
      <c r="S40" s="133">
        <f t="shared" si="22"/>
        <v>67183.113722999304</v>
      </c>
      <c r="T40" s="133">
        <f t="shared" si="22"/>
        <v>67493.357963484552</v>
      </c>
      <c r="U40" s="133">
        <f t="shared" si="22"/>
        <v>67275.874986943702</v>
      </c>
      <c r="V40" s="133">
        <f t="shared" si="22"/>
        <v>66958.96600582292</v>
      </c>
      <c r="W40" s="133">
        <f t="shared" si="22"/>
        <v>66642.057024702139</v>
      </c>
      <c r="X40" s="133">
        <f t="shared" si="22"/>
        <v>66325.147423973205</v>
      </c>
      <c r="Y40" s="133">
        <f t="shared" si="22"/>
        <v>66008.237823244272</v>
      </c>
      <c r="Z40" s="133">
        <f t="shared" si="22"/>
        <v>65691.328222515338</v>
      </c>
      <c r="AA40" s="133">
        <f t="shared" si="22"/>
        <v>65374.418621786397</v>
      </c>
    </row>
    <row r="41" spans="1:29" ht="13" x14ac:dyDescent="0.3">
      <c r="A41" s="25"/>
      <c r="B41" s="2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9" ht="13" x14ac:dyDescent="0.3">
      <c r="A42" s="25">
        <f>MAX($A$8:A41)+1</f>
        <v>21</v>
      </c>
      <c r="B42" s="27" t="s">
        <v>47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1"/>
      <c r="N42" s="31"/>
      <c r="O42" s="54"/>
      <c r="P42" s="55">
        <f>P26/$AA$26</f>
        <v>1.7904209514202952E-3</v>
      </c>
      <c r="Q42" s="55">
        <f t="shared" ref="Q42:AA42" si="23">Q26/$AA$26</f>
        <v>1.7904209514202952E-3</v>
      </c>
      <c r="R42" s="55">
        <f t="shared" si="23"/>
        <v>0.97876403736855555</v>
      </c>
      <c r="S42" s="55">
        <f t="shared" si="23"/>
        <v>0.99166298291447719</v>
      </c>
      <c r="T42" s="55">
        <f t="shared" si="23"/>
        <v>1</v>
      </c>
      <c r="U42" s="55">
        <f t="shared" si="23"/>
        <v>1</v>
      </c>
      <c r="V42" s="55">
        <f t="shared" si="23"/>
        <v>1</v>
      </c>
      <c r="W42" s="55">
        <f t="shared" si="23"/>
        <v>1</v>
      </c>
      <c r="X42" s="55">
        <f t="shared" si="23"/>
        <v>1</v>
      </c>
      <c r="Y42" s="55">
        <f t="shared" si="23"/>
        <v>1</v>
      </c>
      <c r="Z42" s="55">
        <f t="shared" si="23"/>
        <v>1</v>
      </c>
      <c r="AA42" s="55">
        <f t="shared" si="23"/>
        <v>1</v>
      </c>
    </row>
    <row r="43" spans="1:29" ht="13" x14ac:dyDescent="0.3">
      <c r="A43" s="25"/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2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9" ht="13" x14ac:dyDescent="0.3">
      <c r="A44" s="25">
        <f>MAX($A$8:A43)+1</f>
        <v>22</v>
      </c>
      <c r="B44" s="27" t="s">
        <v>48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31"/>
      <c r="N44" s="31"/>
      <c r="O44" s="56"/>
      <c r="P44" s="136">
        <v>14510.908449448427</v>
      </c>
      <c r="Q44" s="136">
        <f>P44</f>
        <v>14510.908449448427</v>
      </c>
      <c r="R44" s="136">
        <f t="shared" ref="R44:AA44" si="24">Q44</f>
        <v>14510.908449448427</v>
      </c>
      <c r="S44" s="136">
        <f t="shared" si="24"/>
        <v>14510.908449448427</v>
      </c>
      <c r="T44" s="136">
        <f t="shared" si="24"/>
        <v>14510.908449448427</v>
      </c>
      <c r="U44" s="136">
        <f t="shared" si="24"/>
        <v>14510.908449448427</v>
      </c>
      <c r="V44" s="136">
        <f t="shared" si="24"/>
        <v>14510.908449448427</v>
      </c>
      <c r="W44" s="136">
        <f t="shared" si="24"/>
        <v>14510.908449448427</v>
      </c>
      <c r="X44" s="136">
        <f t="shared" si="24"/>
        <v>14510.908449448427</v>
      </c>
      <c r="Y44" s="136">
        <f t="shared" si="24"/>
        <v>14510.908449448427</v>
      </c>
      <c r="Z44" s="136">
        <f t="shared" si="24"/>
        <v>14510.908449448427</v>
      </c>
      <c r="AA44" s="136">
        <f t="shared" si="24"/>
        <v>14510.908449448427</v>
      </c>
    </row>
    <row r="45" spans="1:29" ht="13" x14ac:dyDescent="0.3">
      <c r="A45" s="25">
        <f>MAX($A$8:A44)+1</f>
        <v>23</v>
      </c>
      <c r="B45" s="27" t="s">
        <v>49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44"/>
      <c r="N45" s="44"/>
      <c r="O45" s="57"/>
      <c r="P45" s="137">
        <f>P44*(1-P42)</f>
        <v>14484.927814936393</v>
      </c>
      <c r="Q45" s="137">
        <f t="shared" ref="Q45:AA45" si="25">Q44*(1-Q42)</f>
        <v>14484.927814936393</v>
      </c>
      <c r="R45" s="137">
        <f t="shared" si="25"/>
        <v>308.15310958079829</v>
      </c>
      <c r="S45" s="137">
        <f t="shared" si="25"/>
        <v>120.97769166950889</v>
      </c>
      <c r="T45" s="137">
        <f t="shared" si="25"/>
        <v>0</v>
      </c>
      <c r="U45" s="137">
        <f t="shared" si="25"/>
        <v>0</v>
      </c>
      <c r="V45" s="137">
        <f t="shared" si="25"/>
        <v>0</v>
      </c>
      <c r="W45" s="137">
        <f t="shared" si="25"/>
        <v>0</v>
      </c>
      <c r="X45" s="137">
        <f t="shared" si="25"/>
        <v>0</v>
      </c>
      <c r="Y45" s="137">
        <f t="shared" si="25"/>
        <v>0</v>
      </c>
      <c r="Z45" s="137">
        <f t="shared" si="25"/>
        <v>0</v>
      </c>
      <c r="AA45" s="137">
        <f t="shared" si="25"/>
        <v>0</v>
      </c>
    </row>
    <row r="46" spans="1:29" s="1" customFormat="1" ht="13" x14ac:dyDescent="0.3">
      <c r="A46" s="25">
        <f>MAX($A$8:A45)+1</f>
        <v>24</v>
      </c>
      <c r="B46" s="1" t="s">
        <v>50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58"/>
      <c r="N46" s="58"/>
      <c r="O46" s="58"/>
      <c r="P46" s="138">
        <f>P45/Variables!$C$34</f>
        <v>19232.460751425868</v>
      </c>
      <c r="Q46" s="138">
        <f>Q45/Variables!$C$34</f>
        <v>19232.460751425868</v>
      </c>
      <c r="R46" s="138">
        <f>R45/Variables!$C$34</f>
        <v>409.15237280860157</v>
      </c>
      <c r="S46" s="138">
        <f>S45/Variables!$C$34</f>
        <v>160.62894731395988</v>
      </c>
      <c r="T46" s="138">
        <f>T45/Variables!$C$34</f>
        <v>0</v>
      </c>
      <c r="U46" s="138">
        <f>U45/Variables!$C$34</f>
        <v>0</v>
      </c>
      <c r="V46" s="138">
        <f>V45/Variables!$C$34</f>
        <v>0</v>
      </c>
      <c r="W46" s="138">
        <f>W45/Variables!$C$34</f>
        <v>0</v>
      </c>
      <c r="X46" s="138">
        <f>X45/Variables!$C$34</f>
        <v>0</v>
      </c>
      <c r="Y46" s="138">
        <f>Y45/Variables!$C$34</f>
        <v>0</v>
      </c>
      <c r="Z46" s="138">
        <f>Z45/Variables!$C$34</f>
        <v>0</v>
      </c>
      <c r="AA46" s="138">
        <f>AA45/Variables!$C$34</f>
        <v>0</v>
      </c>
      <c r="AC46" s="126"/>
    </row>
    <row r="47" spans="1:29" x14ac:dyDescent="0.25">
      <c r="A47" s="2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9" s="22" customFormat="1" ht="13" x14ac:dyDescent="0.3">
      <c r="A48" s="19" t="s">
        <v>40</v>
      </c>
      <c r="B48" s="2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33"/>
      <c r="N48" s="33"/>
      <c r="O48" s="33"/>
      <c r="P48" s="21">
        <v>44197</v>
      </c>
      <c r="Q48" s="21">
        <v>44228</v>
      </c>
      <c r="R48" s="21">
        <v>44256</v>
      </c>
      <c r="S48" s="21">
        <v>44287</v>
      </c>
      <c r="T48" s="21">
        <v>44317</v>
      </c>
      <c r="U48" s="21">
        <v>44348</v>
      </c>
      <c r="V48" s="21">
        <v>44378</v>
      </c>
      <c r="W48" s="21">
        <v>44409</v>
      </c>
      <c r="X48" s="21">
        <v>44440</v>
      </c>
      <c r="Y48" s="21">
        <v>44470</v>
      </c>
      <c r="Z48" s="21">
        <v>44501</v>
      </c>
      <c r="AA48" s="21">
        <v>44531</v>
      </c>
      <c r="AC48" s="119"/>
    </row>
    <row r="49" spans="1:27" ht="13" thickBot="1" x14ac:dyDescent="0.3">
      <c r="A49" s="25">
        <f>MAX($A$8:A48)+1</f>
        <v>25</v>
      </c>
      <c r="B49" s="2" t="s">
        <v>41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35"/>
      <c r="N49" s="35"/>
      <c r="O49" s="35"/>
      <c r="P49" s="132">
        <f>(P40-P22)+P46</f>
        <v>-51467.621192599079</v>
      </c>
      <c r="Q49" s="132">
        <f t="shared" ref="Q49:AA49" si="26">(Q40-Q22)+Q46</f>
        <v>-51426.237949759845</v>
      </c>
      <c r="R49" s="132">
        <f t="shared" si="26"/>
        <v>-15342.542635506974</v>
      </c>
      <c r="S49" s="132">
        <f t="shared" si="26"/>
        <v>-3522.9123062722815</v>
      </c>
      <c r="T49" s="132">
        <f t="shared" si="26"/>
        <v>-3373.2970131009934</v>
      </c>
      <c r="U49" s="132">
        <f t="shared" si="26"/>
        <v>-3590.7799896418437</v>
      </c>
      <c r="V49" s="132">
        <f t="shared" si="26"/>
        <v>-3907.6889707626251</v>
      </c>
      <c r="W49" s="132">
        <f t="shared" si="26"/>
        <v>-4224.5979518834065</v>
      </c>
      <c r="X49" s="132">
        <f t="shared" si="26"/>
        <v>-4541.5075526123401</v>
      </c>
      <c r="Y49" s="132">
        <f t="shared" si="26"/>
        <v>-4858.4171533412737</v>
      </c>
      <c r="Z49" s="132">
        <f t="shared" si="26"/>
        <v>-5175.3267540702072</v>
      </c>
      <c r="AA49" s="132">
        <f t="shared" si="26"/>
        <v>-5492.2363547991481</v>
      </c>
    </row>
    <row r="50" spans="1:27" ht="13.5" thickBot="1" x14ac:dyDescent="0.35">
      <c r="A50" s="25">
        <f>MAX($A$8:A49)+1</f>
        <v>26</v>
      </c>
      <c r="B50" s="2" t="s">
        <v>42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35"/>
      <c r="N50" s="35"/>
      <c r="O50" s="35"/>
      <c r="P50" s="132">
        <f>O50+P49</f>
        <v>-51467.621192599079</v>
      </c>
      <c r="Q50" s="132">
        <f t="shared" ref="Q50:AA50" si="27">P50+Q49</f>
        <v>-102893.85914235892</v>
      </c>
      <c r="R50" s="132">
        <f t="shared" si="27"/>
        <v>-118236.4017778659</v>
      </c>
      <c r="S50" s="132">
        <f t="shared" si="27"/>
        <v>-121759.31408413818</v>
      </c>
      <c r="T50" s="132">
        <f t="shared" si="27"/>
        <v>-125132.61109723918</v>
      </c>
      <c r="U50" s="132">
        <f t="shared" si="27"/>
        <v>-128723.39108688102</v>
      </c>
      <c r="V50" s="132">
        <f t="shared" si="27"/>
        <v>-132631.08005764364</v>
      </c>
      <c r="W50" s="132">
        <f t="shared" si="27"/>
        <v>-136855.67800952704</v>
      </c>
      <c r="X50" s="132">
        <f t="shared" si="27"/>
        <v>-141397.18556213938</v>
      </c>
      <c r="Y50" s="132">
        <f t="shared" si="27"/>
        <v>-146255.60271548067</v>
      </c>
      <c r="Z50" s="132">
        <f t="shared" si="27"/>
        <v>-151430.92946955087</v>
      </c>
      <c r="AA50" s="36">
        <f t="shared" si="27"/>
        <v>-156923.16582435003</v>
      </c>
    </row>
    <row r="52" spans="1:27" ht="13" x14ac:dyDescent="0.3">
      <c r="B52" s="37" t="s">
        <v>43</v>
      </c>
      <c r="P52" s="38">
        <v>7.8111041399714837E-2</v>
      </c>
    </row>
    <row r="54" spans="1:27" x14ac:dyDescent="0.25">
      <c r="Q54" s="40"/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FB5F-0819-4B4B-BDB3-9A63841C7BD7}">
  <sheetPr>
    <pageSetUpPr fitToPage="1"/>
  </sheetPr>
  <dimension ref="A1:H35"/>
  <sheetViews>
    <sheetView zoomScale="80" zoomScaleNormal="80" workbookViewId="0">
      <selection activeCell="H36" sqref="H36"/>
    </sheetView>
  </sheetViews>
  <sheetFormatPr defaultColWidth="9.08984375" defaultRowHeight="12.5" x14ac:dyDescent="0.25"/>
  <cols>
    <col min="1" max="1" width="26" style="62" customWidth="1"/>
    <col min="2" max="4" width="13.6328125" style="62" customWidth="1"/>
    <col min="5" max="5" width="3.08984375" style="62" customWidth="1"/>
    <col min="6" max="6" width="13.6328125" style="62" customWidth="1"/>
    <col min="7" max="7" width="4.453125" style="62" customWidth="1"/>
    <col min="8" max="8" width="10.54296875" style="62" customWidth="1"/>
    <col min="9" max="13" width="14.36328125" style="62" customWidth="1"/>
    <col min="14" max="16384" width="9.08984375" style="62"/>
  </cols>
  <sheetData>
    <row r="1" spans="1:8" ht="13" x14ac:dyDescent="0.3">
      <c r="A1" s="59" t="s">
        <v>0</v>
      </c>
      <c r="B1" s="60"/>
      <c r="C1" s="60"/>
      <c r="D1" s="60"/>
      <c r="E1" s="60"/>
      <c r="F1" s="60"/>
      <c r="G1" s="61"/>
    </row>
    <row r="2" spans="1:8" ht="13" x14ac:dyDescent="0.3">
      <c r="A2" s="63" t="s">
        <v>1</v>
      </c>
      <c r="G2" s="64"/>
      <c r="H2" s="65"/>
    </row>
    <row r="3" spans="1:8" ht="13" x14ac:dyDescent="0.3">
      <c r="A3" s="63" t="s">
        <v>22</v>
      </c>
      <c r="G3" s="64"/>
      <c r="H3" s="66"/>
    </row>
    <row r="4" spans="1:8" ht="13" x14ac:dyDescent="0.3">
      <c r="A4" s="63" t="s">
        <v>52</v>
      </c>
      <c r="G4" s="64"/>
      <c r="H4" s="66"/>
    </row>
    <row r="5" spans="1:8" ht="26" x14ac:dyDescent="0.3">
      <c r="A5" s="67"/>
      <c r="B5" s="68" t="s">
        <v>53</v>
      </c>
      <c r="C5" s="69" t="s">
        <v>54</v>
      </c>
      <c r="D5" s="69" t="s">
        <v>55</v>
      </c>
      <c r="E5" s="65"/>
      <c r="F5" s="68" t="s">
        <v>56</v>
      </c>
      <c r="G5" s="64"/>
      <c r="H5" s="66"/>
    </row>
    <row r="6" spans="1:8" ht="13" x14ac:dyDescent="0.3">
      <c r="A6" s="67"/>
      <c r="B6" s="66">
        <v>0.50880000000000003</v>
      </c>
      <c r="C6" s="66">
        <v>4.9200000000000001E-2</v>
      </c>
      <c r="D6" s="66">
        <f>B6*C6</f>
        <v>2.5032960000000003E-2</v>
      </c>
      <c r="E6" s="66"/>
      <c r="F6" s="70">
        <f>D6</f>
        <v>2.5032960000000003E-2</v>
      </c>
      <c r="G6" s="64"/>
      <c r="H6" s="66"/>
    </row>
    <row r="7" spans="1:8" x14ac:dyDescent="0.25">
      <c r="A7" s="71" t="s">
        <v>57</v>
      </c>
      <c r="B7" s="66">
        <v>2.0000000000000001E-4</v>
      </c>
      <c r="C7" s="66">
        <v>6.7500000000000004E-2</v>
      </c>
      <c r="D7" s="66">
        <f t="shared" ref="D7:D8" si="0">B7*C7</f>
        <v>1.3500000000000001E-5</v>
      </c>
      <c r="E7" s="66"/>
      <c r="F7" s="70">
        <f>D7*$F$13</f>
        <v>1.7088607594936708E-5</v>
      </c>
      <c r="G7" s="64"/>
      <c r="H7" s="66"/>
    </row>
    <row r="8" spans="1:8" x14ac:dyDescent="0.25">
      <c r="A8" s="71" t="s">
        <v>58</v>
      </c>
      <c r="B8" s="66">
        <v>0.49099999999999999</v>
      </c>
      <c r="C8" s="66">
        <v>9.5000000000000001E-2</v>
      </c>
      <c r="D8" s="66">
        <f t="shared" si="0"/>
        <v>4.6644999999999999E-2</v>
      </c>
      <c r="E8" s="66"/>
      <c r="F8" s="70">
        <f>D8*$F$13</f>
        <v>5.9044303797468348E-2</v>
      </c>
      <c r="G8" s="64"/>
      <c r="H8" s="66"/>
    </row>
    <row r="9" spans="1:8" ht="13" thickBot="1" x14ac:dyDescent="0.3">
      <c r="A9" s="72"/>
      <c r="B9" s="73">
        <f>SUM(B6:B8)</f>
        <v>1</v>
      </c>
      <c r="C9" s="74"/>
      <c r="D9" s="73">
        <f>SUM(D6:D8)</f>
        <v>7.1691459999999999E-2</v>
      </c>
      <c r="E9" s="75"/>
      <c r="F9" s="76">
        <f>SUM(F6:F8)</f>
        <v>8.4094352405063286E-2</v>
      </c>
      <c r="G9" s="77"/>
      <c r="H9" s="78"/>
    </row>
    <row r="10" spans="1:8" ht="13" thickBot="1" x14ac:dyDescent="0.3">
      <c r="A10" s="79"/>
      <c r="B10" s="80"/>
      <c r="C10" s="80"/>
      <c r="D10" s="80"/>
      <c r="E10" s="80"/>
      <c r="F10" s="80"/>
      <c r="G10" s="81"/>
    </row>
    <row r="12" spans="1:8" x14ac:dyDescent="0.25">
      <c r="A12" s="2" t="s">
        <v>59</v>
      </c>
      <c r="B12" s="2"/>
      <c r="C12" s="2"/>
      <c r="D12" s="2"/>
      <c r="E12" s="82"/>
      <c r="F12" s="83">
        <v>0.21</v>
      </c>
      <c r="G12" s="2"/>
    </row>
    <row r="13" spans="1:8" x14ac:dyDescent="0.25">
      <c r="A13" s="2" t="s">
        <v>60</v>
      </c>
      <c r="B13" s="82"/>
      <c r="C13" s="2"/>
      <c r="D13" s="2"/>
      <c r="E13" s="82"/>
      <c r="F13" s="82">
        <f>1/(1-F12)</f>
        <v>1.2658227848101264</v>
      </c>
      <c r="G13" s="2"/>
    </row>
    <row r="14" spans="1:8" x14ac:dyDescent="0.25">
      <c r="A14" s="2" t="s">
        <v>61</v>
      </c>
      <c r="B14" s="82"/>
      <c r="C14" s="2"/>
      <c r="D14" s="2"/>
      <c r="E14" s="82"/>
      <c r="F14" s="82">
        <f>1/C34</f>
        <v>1.3277567549624909</v>
      </c>
      <c r="G14" s="2"/>
    </row>
    <row r="16" spans="1:8" ht="13" x14ac:dyDescent="0.3">
      <c r="A16" s="84" t="s">
        <v>61</v>
      </c>
      <c r="B16" s="85"/>
      <c r="C16" s="27"/>
    </row>
    <row r="17" spans="1:4" x14ac:dyDescent="0.25">
      <c r="A17" s="27" t="s">
        <v>62</v>
      </c>
      <c r="B17" s="27"/>
      <c r="C17" s="86">
        <v>1</v>
      </c>
    </row>
    <row r="18" spans="1:4" x14ac:dyDescent="0.25">
      <c r="A18" s="27"/>
      <c r="B18" s="27"/>
      <c r="C18" s="86"/>
    </row>
    <row r="19" spans="1:4" x14ac:dyDescent="0.25">
      <c r="A19" s="27" t="s">
        <v>63</v>
      </c>
      <c r="B19" s="27"/>
      <c r="C19" s="86"/>
      <c r="D19" s="87" t="s">
        <v>64</v>
      </c>
    </row>
    <row r="20" spans="1:4" x14ac:dyDescent="0.25">
      <c r="A20" s="27" t="s">
        <v>65</v>
      </c>
      <c r="B20" s="27"/>
      <c r="C20" s="88">
        <v>5.1435834186224598E-3</v>
      </c>
      <c r="D20" s="41">
        <f>C20*1/(1-(SUM($C$20:$C$24)))</f>
        <v>5.3952365864035796E-3</v>
      </c>
    </row>
    <row r="21" spans="1:4" x14ac:dyDescent="0.25">
      <c r="A21" s="27" t="s">
        <v>66</v>
      </c>
      <c r="B21" s="27"/>
      <c r="C21" s="88">
        <v>2E-3</v>
      </c>
      <c r="D21" s="41">
        <f t="shared" ref="D21:D24" si="1">C21*1/(1-(SUM($C$20:$C$24)))</f>
        <v>2.0978513022147181E-3</v>
      </c>
    </row>
    <row r="22" spans="1:4" x14ac:dyDescent="0.25">
      <c r="A22" s="27" t="s">
        <v>67</v>
      </c>
      <c r="B22" s="27"/>
      <c r="C22" s="88">
        <v>3.95E-2</v>
      </c>
      <c r="D22" s="41">
        <f t="shared" si="1"/>
        <v>4.1432563218740684E-2</v>
      </c>
    </row>
    <row r="23" spans="1:4" x14ac:dyDescent="0.25">
      <c r="A23" s="27" t="s">
        <v>68</v>
      </c>
      <c r="B23" s="27"/>
      <c r="C23" s="88">
        <v>0</v>
      </c>
      <c r="D23" s="41">
        <f t="shared" si="1"/>
        <v>0</v>
      </c>
    </row>
    <row r="24" spans="1:4" x14ac:dyDescent="0.25">
      <c r="A24" s="27" t="s">
        <v>69</v>
      </c>
      <c r="B24" s="27"/>
      <c r="C24" s="89">
        <v>0</v>
      </c>
      <c r="D24" s="90">
        <f t="shared" si="1"/>
        <v>0</v>
      </c>
    </row>
    <row r="25" spans="1:4" x14ac:dyDescent="0.25">
      <c r="A25" s="27"/>
      <c r="B25" s="27"/>
      <c r="C25" s="86"/>
    </row>
    <row r="26" spans="1:4" x14ac:dyDescent="0.25">
      <c r="A26" s="27" t="s">
        <v>70</v>
      </c>
      <c r="B26" s="27"/>
      <c r="C26" s="91">
        <f>C17-SUM(C19:C24)</f>
        <v>0.95335641658137749</v>
      </c>
      <c r="D26" s="91">
        <f>C17-SUM(D19:D24)</f>
        <v>0.95107434889264097</v>
      </c>
    </row>
    <row r="27" spans="1:4" x14ac:dyDescent="0.25">
      <c r="A27" s="27"/>
      <c r="B27" s="27"/>
      <c r="C27" s="86"/>
    </row>
    <row r="28" spans="1:4" x14ac:dyDescent="0.25">
      <c r="A28" s="27" t="s">
        <v>71</v>
      </c>
      <c r="B28" s="27"/>
      <c r="C28" s="92">
        <v>0</v>
      </c>
      <c r="D28" s="92">
        <v>0</v>
      </c>
    </row>
    <row r="29" spans="1:4" x14ac:dyDescent="0.25">
      <c r="A29" s="27"/>
      <c r="B29" s="27"/>
      <c r="C29" s="86"/>
    </row>
    <row r="30" spans="1:4" x14ac:dyDescent="0.25">
      <c r="A30" s="27" t="s">
        <v>70</v>
      </c>
      <c r="B30" s="27"/>
      <c r="C30" s="91">
        <f>C26-C28</f>
        <v>0.95335641658137749</v>
      </c>
      <c r="D30" s="91">
        <f>D26-D28</f>
        <v>0.95107434889264097</v>
      </c>
    </row>
    <row r="31" spans="1:4" x14ac:dyDescent="0.25">
      <c r="A31" s="27"/>
      <c r="B31" s="27"/>
      <c r="C31" s="86"/>
    </row>
    <row r="32" spans="1:4" x14ac:dyDescent="0.25">
      <c r="A32" s="27" t="s">
        <v>72</v>
      </c>
      <c r="B32" s="27"/>
      <c r="C32" s="92">
        <f>C30*0.21</f>
        <v>0.20020484748208928</v>
      </c>
      <c r="D32" s="92">
        <f>D30*0.21</f>
        <v>0.19972561326745461</v>
      </c>
    </row>
    <row r="33" spans="1:4" x14ac:dyDescent="0.25">
      <c r="A33" s="27"/>
      <c r="B33" s="27"/>
      <c r="C33" s="93"/>
    </row>
    <row r="34" spans="1:4" ht="13" thickBot="1" x14ac:dyDescent="0.3">
      <c r="A34" s="27" t="s">
        <v>73</v>
      </c>
      <c r="B34" s="27"/>
      <c r="C34" s="94">
        <f>ROUND(C30-C32,5)</f>
        <v>0.75314999999999999</v>
      </c>
      <c r="D34" s="94">
        <f>ROUND(D30-D32,5)</f>
        <v>0.75134999999999996</v>
      </c>
    </row>
    <row r="35" spans="1:4" ht="13" thickTop="1" x14ac:dyDescent="0.25"/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870F-942A-4FA3-AC0D-5AE5FB0C30DF}">
  <sheetPr>
    <tabColor rgb="FFFFC000"/>
    <pageSetUpPr fitToPage="1"/>
  </sheetPr>
  <dimension ref="A1:AC46"/>
  <sheetViews>
    <sheetView zoomScale="60" zoomScaleNormal="60" workbookViewId="0">
      <pane xSplit="2" ySplit="6" topLeftCell="J7" activePane="bottomRight" state="frozen"/>
      <selection activeCell="H36" sqref="H36"/>
      <selection pane="topRight" activeCell="H36" sqref="H36"/>
      <selection pane="bottomLeft" activeCell="H36" sqref="H36"/>
      <selection pane="bottomRight" activeCell="H36" sqref="H36"/>
    </sheetView>
  </sheetViews>
  <sheetFormatPr defaultColWidth="9.08984375" defaultRowHeight="12.5" outlineLevelCol="1" x14ac:dyDescent="0.25"/>
  <cols>
    <col min="1" max="1" width="9.54296875" style="2" customWidth="1"/>
    <col min="2" max="2" width="42.36328125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" style="114" bestFit="1" customWidth="1"/>
    <col min="30" max="16384" width="9.08984375" style="2"/>
  </cols>
  <sheetData>
    <row r="1" spans="1:29" ht="13" x14ac:dyDescent="0.3">
      <c r="A1" s="1" t="s">
        <v>0</v>
      </c>
      <c r="Q1" s="2" t="s">
        <v>74</v>
      </c>
    </row>
    <row r="2" spans="1:29" ht="13" x14ac:dyDescent="0.3">
      <c r="A2" s="1" t="s">
        <v>1</v>
      </c>
    </row>
    <row r="3" spans="1:29" ht="13" x14ac:dyDescent="0.3">
      <c r="A3" s="1" t="s">
        <v>22</v>
      </c>
    </row>
    <row r="4" spans="1:29" ht="13" x14ac:dyDescent="0.3">
      <c r="A4" s="1" t="s">
        <v>23</v>
      </c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61658168</v>
      </c>
      <c r="P8" s="129">
        <f t="shared" ref="P8:AA10" si="0">O8</f>
        <v>61658168</v>
      </c>
      <c r="Q8" s="129">
        <f t="shared" si="0"/>
        <v>61658168</v>
      </c>
      <c r="R8" s="129">
        <f t="shared" si="0"/>
        <v>61658168</v>
      </c>
      <c r="S8" s="129">
        <f t="shared" si="0"/>
        <v>61658168</v>
      </c>
      <c r="T8" s="129">
        <f t="shared" si="0"/>
        <v>61658168</v>
      </c>
      <c r="U8" s="129">
        <f t="shared" si="0"/>
        <v>61658168</v>
      </c>
      <c r="V8" s="129">
        <f t="shared" si="0"/>
        <v>61658168</v>
      </c>
      <c r="W8" s="129">
        <f t="shared" si="0"/>
        <v>61658168</v>
      </c>
      <c r="X8" s="129">
        <f t="shared" si="0"/>
        <v>61658168</v>
      </c>
      <c r="Y8" s="129">
        <f t="shared" si="0"/>
        <v>61658168</v>
      </c>
      <c r="Z8" s="129">
        <f t="shared" si="0"/>
        <v>61658168</v>
      </c>
      <c r="AA8" s="129">
        <f t="shared" si="0"/>
        <v>61658168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0</v>
      </c>
      <c r="E9" s="129">
        <f t="shared" si="1"/>
        <v>0</v>
      </c>
      <c r="F9" s="129">
        <f t="shared" si="1"/>
        <v>0</v>
      </c>
      <c r="G9" s="129">
        <f t="shared" si="1"/>
        <v>0</v>
      </c>
      <c r="H9" s="129">
        <f t="shared" si="1"/>
        <v>0</v>
      </c>
      <c r="I9" s="129">
        <f t="shared" si="1"/>
        <v>0</v>
      </c>
      <c r="J9" s="129">
        <f t="shared" si="1"/>
        <v>0</v>
      </c>
      <c r="K9" s="129">
        <f t="shared" si="1"/>
        <v>0</v>
      </c>
      <c r="L9" s="129">
        <f t="shared" si="1"/>
        <v>0</v>
      </c>
      <c r="M9" s="129">
        <f t="shared" si="1"/>
        <v>0</v>
      </c>
      <c r="N9" s="129">
        <f t="shared" si="1"/>
        <v>0</v>
      </c>
      <c r="O9" s="129">
        <v>-591972.37231549656</v>
      </c>
      <c r="P9" s="129">
        <f t="shared" si="0"/>
        <v>-591972.37231549656</v>
      </c>
      <c r="Q9" s="129">
        <f t="shared" si="0"/>
        <v>-591972.37231549656</v>
      </c>
      <c r="R9" s="129">
        <f t="shared" si="0"/>
        <v>-591972.37231549656</v>
      </c>
      <c r="S9" s="129">
        <f t="shared" si="0"/>
        <v>-591972.37231549656</v>
      </c>
      <c r="T9" s="129">
        <f t="shared" si="0"/>
        <v>-591972.37231549656</v>
      </c>
      <c r="U9" s="129">
        <f t="shared" si="0"/>
        <v>-591972.37231549656</v>
      </c>
      <c r="V9" s="129">
        <f t="shared" si="0"/>
        <v>-591972.37231549656</v>
      </c>
      <c r="W9" s="129">
        <f t="shared" si="0"/>
        <v>-591972.37231549656</v>
      </c>
      <c r="X9" s="129">
        <f t="shared" si="0"/>
        <v>-591972.37231549656</v>
      </c>
      <c r="Y9" s="129">
        <f t="shared" si="0"/>
        <v>-591972.37231549656</v>
      </c>
      <c r="Z9" s="129">
        <f t="shared" si="0"/>
        <v>-591972.37231549656</v>
      </c>
      <c r="AA9" s="129">
        <f t="shared" si="0"/>
        <v>-591972.37231549656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-612437</v>
      </c>
      <c r="P10" s="130">
        <f>O10</f>
        <v>-612437</v>
      </c>
      <c r="Q10" s="130">
        <f t="shared" si="0"/>
        <v>-612437</v>
      </c>
      <c r="R10" s="130">
        <f t="shared" si="0"/>
        <v>-612437</v>
      </c>
      <c r="S10" s="130">
        <f t="shared" si="0"/>
        <v>-612437</v>
      </c>
      <c r="T10" s="130">
        <f t="shared" si="0"/>
        <v>-612437</v>
      </c>
      <c r="U10" s="130">
        <f t="shared" si="0"/>
        <v>-612437</v>
      </c>
      <c r="V10" s="130">
        <f t="shared" si="0"/>
        <v>-612437</v>
      </c>
      <c r="W10" s="130">
        <f t="shared" si="0"/>
        <v>-612437</v>
      </c>
      <c r="X10" s="130">
        <f t="shared" si="0"/>
        <v>-612437</v>
      </c>
      <c r="Y10" s="130">
        <f t="shared" si="0"/>
        <v>-612437</v>
      </c>
      <c r="Z10" s="130">
        <f t="shared" si="0"/>
        <v>-612437</v>
      </c>
      <c r="AA10" s="130">
        <f t="shared" si="0"/>
        <v>-612437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0</v>
      </c>
      <c r="E11" s="129">
        <f t="shared" si="2"/>
        <v>0</v>
      </c>
      <c r="F11" s="129">
        <f t="shared" si="2"/>
        <v>0</v>
      </c>
      <c r="G11" s="129">
        <f t="shared" si="2"/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29">
        <f t="shared" si="2"/>
        <v>0</v>
      </c>
      <c r="L11" s="129">
        <f t="shared" ref="L11:AA11" si="3">SUM(L8:L10)</f>
        <v>0</v>
      </c>
      <c r="M11" s="129">
        <f t="shared" si="3"/>
        <v>0</v>
      </c>
      <c r="N11" s="129">
        <f t="shared" si="3"/>
        <v>0</v>
      </c>
      <c r="O11" s="129">
        <f t="shared" si="3"/>
        <v>60453758.627684504</v>
      </c>
      <c r="P11" s="129">
        <f t="shared" si="3"/>
        <v>60453758.627684504</v>
      </c>
      <c r="Q11" s="129">
        <f t="shared" si="3"/>
        <v>60453758.627684504</v>
      </c>
      <c r="R11" s="129">
        <f t="shared" si="3"/>
        <v>60453758.627684504</v>
      </c>
      <c r="S11" s="129">
        <f t="shared" si="3"/>
        <v>60453758.627684504</v>
      </c>
      <c r="T11" s="129">
        <f t="shared" si="3"/>
        <v>60453758.627684504</v>
      </c>
      <c r="U11" s="129">
        <f t="shared" si="3"/>
        <v>60453758.627684504</v>
      </c>
      <c r="V11" s="129">
        <f t="shared" si="3"/>
        <v>60453758.627684504</v>
      </c>
      <c r="W11" s="129">
        <f t="shared" si="3"/>
        <v>60453758.627684504</v>
      </c>
      <c r="X11" s="129">
        <f t="shared" si="3"/>
        <v>60453758.627684504</v>
      </c>
      <c r="Y11" s="129">
        <f t="shared" si="3"/>
        <v>60453758.627684504</v>
      </c>
      <c r="Z11" s="129">
        <f t="shared" si="3"/>
        <v>60453758.627684504</v>
      </c>
      <c r="AA11" s="129">
        <f t="shared" si="3"/>
        <v>60453758.627684504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05">
        <f t="shared" ref="C14:AA14" si="4">C11*C13/12</f>
        <v>0</v>
      </c>
      <c r="D14" s="105">
        <f t="shared" si="4"/>
        <v>0</v>
      </c>
      <c r="E14" s="105">
        <f t="shared" si="4"/>
        <v>0</v>
      </c>
      <c r="F14" s="105">
        <f t="shared" si="4"/>
        <v>0</v>
      </c>
      <c r="G14" s="105">
        <f t="shared" si="4"/>
        <v>0</v>
      </c>
      <c r="H14" s="105">
        <f t="shared" si="4"/>
        <v>0</v>
      </c>
      <c r="I14" s="131">
        <f t="shared" si="4"/>
        <v>0</v>
      </c>
      <c r="J14" s="131">
        <f t="shared" si="4"/>
        <v>0</v>
      </c>
      <c r="K14" s="131">
        <f t="shared" si="4"/>
        <v>0</v>
      </c>
      <c r="L14" s="131">
        <f t="shared" si="4"/>
        <v>0</v>
      </c>
      <c r="M14" s="131">
        <f t="shared" si="4"/>
        <v>0</v>
      </c>
      <c r="N14" s="131">
        <f t="shared" si="4"/>
        <v>0</v>
      </c>
      <c r="O14" s="131">
        <f t="shared" si="4"/>
        <v>361168.18487552484</v>
      </c>
      <c r="P14" s="131">
        <f>P11*P13/12</f>
        <v>361168.18487552484</v>
      </c>
      <c r="Q14" s="131">
        <f t="shared" si="4"/>
        <v>361168.18487552484</v>
      </c>
      <c r="R14" s="131">
        <f t="shared" si="4"/>
        <v>361168.18487552484</v>
      </c>
      <c r="S14" s="131">
        <f t="shared" si="4"/>
        <v>361168.18487552484</v>
      </c>
      <c r="T14" s="131">
        <f t="shared" si="4"/>
        <v>361168.18487552484</v>
      </c>
      <c r="U14" s="131">
        <f t="shared" si="4"/>
        <v>361168.18487552484</v>
      </c>
      <c r="V14" s="131">
        <f t="shared" si="4"/>
        <v>361168.18487552484</v>
      </c>
      <c r="W14" s="131">
        <f t="shared" si="4"/>
        <v>361168.18487552484</v>
      </c>
      <c r="X14" s="131">
        <f t="shared" si="4"/>
        <v>361168.18487552484</v>
      </c>
      <c r="Y14" s="131">
        <f t="shared" si="4"/>
        <v>361168.18487552484</v>
      </c>
      <c r="Z14" s="131">
        <f t="shared" si="4"/>
        <v>361168.18487552484</v>
      </c>
      <c r="AA14" s="131">
        <f t="shared" si="4"/>
        <v>361168.18487552484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7">
        <v>1.7471090080963977E-2</v>
      </c>
      <c r="D16" s="107">
        <v>1.7471090080963977E-2</v>
      </c>
      <c r="E16" s="107">
        <v>1.7471090080963977E-2</v>
      </c>
      <c r="F16" s="107">
        <v>1.7471090080963977E-2</v>
      </c>
      <c r="G16" s="107">
        <v>1.7471090080963977E-2</v>
      </c>
      <c r="H16" s="107">
        <v>1.7471090080963977E-2</v>
      </c>
      <c r="I16" s="107">
        <v>1.7471090080963977E-2</v>
      </c>
      <c r="J16" s="107">
        <v>1.7471090080963977E-2</v>
      </c>
      <c r="K16" s="107">
        <v>1.7471090080963977E-2</v>
      </c>
      <c r="L16" s="107">
        <v>1.7471090080963977E-2</v>
      </c>
      <c r="M16" s="107">
        <v>1.7471090080963977E-2</v>
      </c>
      <c r="N16" s="107">
        <v>1.7471090080963977E-2</v>
      </c>
      <c r="O16" s="107">
        <v>1.7471090080963977E-2</v>
      </c>
      <c r="P16" s="107">
        <v>1.7132074209012617E-2</v>
      </c>
      <c r="Q16" s="107">
        <v>1.7132074209012617E-2</v>
      </c>
      <c r="R16" s="107">
        <v>1.7132074209012617E-2</v>
      </c>
      <c r="S16" s="107">
        <v>1.7132074209012617E-2</v>
      </c>
      <c r="T16" s="107">
        <v>1.7132074209012617E-2</v>
      </c>
      <c r="U16" s="107">
        <v>1.7132074209012617E-2</v>
      </c>
      <c r="V16" s="107">
        <v>1.7132074209012617E-2</v>
      </c>
      <c r="W16" s="107">
        <v>1.7132074209012617E-2</v>
      </c>
      <c r="X16" s="107">
        <v>1.7132074209012617E-2</v>
      </c>
      <c r="Y16" s="107">
        <v>1.7132074209012617E-2</v>
      </c>
      <c r="Z16" s="107">
        <v>1.7132074209012617E-2</v>
      </c>
      <c r="AA16" s="107">
        <v>1.7132074209012617E-2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f>(((C8)/2)*C16)/12</f>
        <v>0</v>
      </c>
      <c r="D17" s="131">
        <f>(((D8+C8)/2)*D16)/12</f>
        <v>0</v>
      </c>
      <c r="E17" s="131">
        <f t="shared" ref="E17:N17" si="5">(((E8+D8)/2)*E16)/12</f>
        <v>0</v>
      </c>
      <c r="F17" s="131">
        <f t="shared" si="5"/>
        <v>0</v>
      </c>
      <c r="G17" s="131">
        <f t="shared" si="5"/>
        <v>0</v>
      </c>
      <c r="H17" s="131">
        <f t="shared" si="5"/>
        <v>0</v>
      </c>
      <c r="I17" s="131">
        <f t="shared" si="5"/>
        <v>0</v>
      </c>
      <c r="J17" s="131">
        <f t="shared" si="5"/>
        <v>0</v>
      </c>
      <c r="K17" s="131">
        <f t="shared" si="5"/>
        <v>0</v>
      </c>
      <c r="L17" s="131">
        <f t="shared" si="5"/>
        <v>0</v>
      </c>
      <c r="M17" s="131">
        <f t="shared" si="5"/>
        <v>0</v>
      </c>
      <c r="N17" s="131">
        <f t="shared" si="5"/>
        <v>0</v>
      </c>
      <c r="O17" s="131">
        <v>94921.661332599368</v>
      </c>
      <c r="P17" s="131">
        <f>O17</f>
        <v>94921.661332599368</v>
      </c>
      <c r="Q17" s="131">
        <f t="shared" ref="Q17:AA17" si="6">P17</f>
        <v>94921.661332599368</v>
      </c>
      <c r="R17" s="131">
        <f t="shared" si="6"/>
        <v>94921.661332599368</v>
      </c>
      <c r="S17" s="131">
        <f t="shared" si="6"/>
        <v>94921.661332599368</v>
      </c>
      <c r="T17" s="131">
        <f t="shared" si="6"/>
        <v>94921.661332599368</v>
      </c>
      <c r="U17" s="131">
        <f t="shared" si="6"/>
        <v>94921.661332599368</v>
      </c>
      <c r="V17" s="131">
        <f t="shared" si="6"/>
        <v>94921.661332599368</v>
      </c>
      <c r="W17" s="131">
        <f t="shared" si="6"/>
        <v>94921.661332599368</v>
      </c>
      <c r="X17" s="131">
        <f t="shared" si="6"/>
        <v>94921.661332599368</v>
      </c>
      <c r="Y17" s="131">
        <f t="shared" si="6"/>
        <v>94921.661332599368</v>
      </c>
      <c r="Z17" s="131">
        <f t="shared" si="6"/>
        <v>94921.661332599368</v>
      </c>
      <c r="AA17" s="131">
        <f t="shared" si="6"/>
        <v>94921.661332599368</v>
      </c>
      <c r="AC17" s="116"/>
    </row>
    <row r="18" spans="1:29" s="101" customFormat="1" x14ac:dyDescent="0.25">
      <c r="A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116"/>
    </row>
    <row r="19" spans="1:29" s="101" customFormat="1" x14ac:dyDescent="0.25">
      <c r="A19" s="103"/>
      <c r="B19" s="101" t="s">
        <v>34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31">
        <f>-0.21*O17</f>
        <v>-19933.548879845868</v>
      </c>
      <c r="P19" s="131">
        <f t="shared" ref="P19:AA19" si="7">-0.21*P17</f>
        <v>-19933.548879845868</v>
      </c>
      <c r="Q19" s="131">
        <f t="shared" si="7"/>
        <v>-19933.548879845868</v>
      </c>
      <c r="R19" s="131">
        <f t="shared" si="7"/>
        <v>-19933.548879845868</v>
      </c>
      <c r="S19" s="131">
        <f t="shared" si="7"/>
        <v>-19933.548879845868</v>
      </c>
      <c r="T19" s="131">
        <f t="shared" si="7"/>
        <v>-19933.548879845868</v>
      </c>
      <c r="U19" s="131">
        <f t="shared" si="7"/>
        <v>-19933.548879845868</v>
      </c>
      <c r="V19" s="131">
        <f t="shared" si="7"/>
        <v>-19933.548879845868</v>
      </c>
      <c r="W19" s="131">
        <f t="shared" si="7"/>
        <v>-19933.548879845868</v>
      </c>
      <c r="X19" s="131">
        <f t="shared" si="7"/>
        <v>-19933.548879845868</v>
      </c>
      <c r="Y19" s="131">
        <f t="shared" si="7"/>
        <v>-19933.548879845868</v>
      </c>
      <c r="Z19" s="131">
        <f t="shared" si="7"/>
        <v>-19933.548879845868</v>
      </c>
      <c r="AA19" s="131">
        <f t="shared" si="7"/>
        <v>-19933.548879845868</v>
      </c>
      <c r="AC19" s="116"/>
    </row>
    <row r="20" spans="1:29" s="101" customFormat="1" x14ac:dyDescent="0.25">
      <c r="A20" s="103">
        <f>MAX($A$8:A17)+1</f>
        <v>9</v>
      </c>
      <c r="B20" s="101" t="s">
        <v>35</v>
      </c>
      <c r="C20" s="104">
        <f>(C17+C14)/Variables!$C$34</f>
        <v>0</v>
      </c>
      <c r="D20" s="104">
        <f>(D17+D14)/Variables!$C$34</f>
        <v>0</v>
      </c>
      <c r="E20" s="104">
        <f>(E17+E14)/Variables!$C$34</f>
        <v>0</v>
      </c>
      <c r="F20" s="104">
        <f>(F17+F14)/Variables!$C$34</f>
        <v>0</v>
      </c>
      <c r="G20" s="104">
        <f>(G17+G14)/Variables!$C$34</f>
        <v>0</v>
      </c>
      <c r="H20" s="104">
        <f>(H17+H14)/Variables!$C$34</f>
        <v>0</v>
      </c>
      <c r="I20" s="104">
        <f>(I17+I14)/Variables!$C$34</f>
        <v>0</v>
      </c>
      <c r="J20" s="104">
        <f>(J17+J14)/Variables!$C$34</f>
        <v>0</v>
      </c>
      <c r="K20" s="104">
        <f>(K17+K14)/Variables!$C$34</f>
        <v>0</v>
      </c>
      <c r="L20" s="104">
        <f>(L17+L14)/Variables!$C$34</f>
        <v>0</v>
      </c>
      <c r="M20" s="104">
        <f>(M17+M14)/Variables!$C$34</f>
        <v>0</v>
      </c>
      <c r="N20" s="104">
        <f>(N17+N14)/Variables!$C$34</f>
        <v>0</v>
      </c>
      <c r="O20" s="129">
        <f>(O17+O14+O19)/Variables!$C$34</f>
        <v>579109.46999705012</v>
      </c>
      <c r="P20" s="129">
        <f>(P17+P14+P19)/Variables!$C$34</f>
        <v>579109.46999705012</v>
      </c>
      <c r="Q20" s="129">
        <f>(Q17+Q14+Q19)/Variables!$C$34</f>
        <v>579109.46999705012</v>
      </c>
      <c r="R20" s="129">
        <f>(R17+R14+R19)/Variables!$C$34</f>
        <v>579109.46999705012</v>
      </c>
      <c r="S20" s="129">
        <f>(S17+S14+S19)/Variables!$C$34</f>
        <v>579109.46999705012</v>
      </c>
      <c r="T20" s="129">
        <f>(T17+T14+T19)/Variables!$C$34</f>
        <v>579109.46999705012</v>
      </c>
      <c r="U20" s="129">
        <f>(U17+U14+U19)/Variables!$C$34</f>
        <v>579109.46999705012</v>
      </c>
      <c r="V20" s="129">
        <f>(V17+V14+V19)/Variables!$C$34</f>
        <v>579109.46999705012</v>
      </c>
      <c r="W20" s="129">
        <f>(W17+W14+W19)/Variables!$C$34</f>
        <v>579109.46999705012</v>
      </c>
      <c r="X20" s="129">
        <f>(X17+X14+X19)/Variables!$C$34</f>
        <v>579109.46999705012</v>
      </c>
      <c r="Y20" s="129">
        <f>(Y17+Y14+Y19)/Variables!$C$34</f>
        <v>579109.46999705012</v>
      </c>
      <c r="Z20" s="129">
        <f>(Z17+Z14+Z19)/Variables!$C$34</f>
        <v>579109.46999705012</v>
      </c>
      <c r="AA20" s="129">
        <f>(AA17+AA14+AA19)/Variables!$C$34</f>
        <v>579109.46999705012</v>
      </c>
      <c r="AC20" s="116"/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8">P20*$P$46</f>
        <v>45234.843785906502</v>
      </c>
      <c r="Q22" s="133">
        <f t="shared" si="8"/>
        <v>45234.843785906502</v>
      </c>
      <c r="R22" s="133">
        <f t="shared" si="8"/>
        <v>45234.843785906502</v>
      </c>
      <c r="S22" s="133">
        <f t="shared" si="8"/>
        <v>45234.843785906502</v>
      </c>
      <c r="T22" s="133">
        <f t="shared" si="8"/>
        <v>45234.843785906502</v>
      </c>
      <c r="U22" s="133">
        <f t="shared" si="8"/>
        <v>45234.843785906502</v>
      </c>
      <c r="V22" s="133">
        <f t="shared" si="8"/>
        <v>45234.843785906502</v>
      </c>
      <c r="W22" s="133">
        <f t="shared" si="8"/>
        <v>45234.843785906502</v>
      </c>
      <c r="X22" s="133">
        <f t="shared" si="8"/>
        <v>45234.843785906502</v>
      </c>
      <c r="Y22" s="133">
        <f t="shared" si="8"/>
        <v>45234.843785906502</v>
      </c>
      <c r="Z22" s="133">
        <f t="shared" si="8"/>
        <v>45234.843785906502</v>
      </c>
      <c r="AA22" s="133">
        <f t="shared" si="8"/>
        <v>45234.843785906502</v>
      </c>
    </row>
    <row r="23" spans="1:29" ht="13" x14ac:dyDescent="0.3">
      <c r="A23" s="25"/>
      <c r="B23" s="2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s="101" customFormat="1" ht="13" x14ac:dyDescent="0.3">
      <c r="A25" s="102"/>
      <c r="B25" s="97" t="s">
        <v>25</v>
      </c>
      <c r="AC25" s="116"/>
    </row>
    <row r="26" spans="1:29" s="101" customFormat="1" x14ac:dyDescent="0.25">
      <c r="A26" s="103">
        <f>MAX($A$8:A25)+1</f>
        <v>11</v>
      </c>
      <c r="B26" s="101" t="s">
        <v>26</v>
      </c>
      <c r="C26" s="129">
        <v>3292372.34</v>
      </c>
      <c r="D26" s="129">
        <v>3391678.1</v>
      </c>
      <c r="E26" s="129">
        <v>3406672.43</v>
      </c>
      <c r="F26" s="129">
        <v>3582754.91</v>
      </c>
      <c r="G26" s="129">
        <v>3747589.79</v>
      </c>
      <c r="H26" s="129">
        <v>3771451.72</v>
      </c>
      <c r="I26" s="129">
        <v>6402170.5099999998</v>
      </c>
      <c r="J26" s="129">
        <v>6526602.2400000002</v>
      </c>
      <c r="K26" s="129">
        <v>6737157.6600000001</v>
      </c>
      <c r="L26" s="129">
        <v>6630759.5200000005</v>
      </c>
      <c r="M26" s="129">
        <v>31323042.449999999</v>
      </c>
      <c r="N26" s="129">
        <v>57392050.209999993</v>
      </c>
      <c r="O26" s="129">
        <v>58378374.339999996</v>
      </c>
      <c r="P26" s="129">
        <v>58349978.849999994</v>
      </c>
      <c r="Q26" s="129">
        <v>58364226.729999997</v>
      </c>
      <c r="R26" s="129">
        <v>58309752.539999999</v>
      </c>
      <c r="S26" s="129">
        <v>58083882.530000001</v>
      </c>
      <c r="T26" s="129">
        <v>58511594.799999997</v>
      </c>
      <c r="U26" s="129">
        <v>58511594.799999997</v>
      </c>
      <c r="V26" s="129">
        <v>58511594.799999997</v>
      </c>
      <c r="W26" s="129">
        <v>58511594.799999997</v>
      </c>
      <c r="X26" s="129">
        <v>58511594.799999997</v>
      </c>
      <c r="Y26" s="129">
        <v>58511594.799999997</v>
      </c>
      <c r="Z26" s="129">
        <v>58511594.799999997</v>
      </c>
      <c r="AA26" s="129">
        <v>58511594.799999997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-2396.7222388422565</v>
      </c>
      <c r="D27" s="129">
        <f t="shared" ref="D27:O27" si="9">C27-D35</f>
        <v>-7262.4575447983771</v>
      </c>
      <c r="E27" s="129">
        <f t="shared" si="9"/>
        <v>-12211.398982781677</v>
      </c>
      <c r="F27" s="129">
        <f t="shared" si="9"/>
        <v>-17299.437094093861</v>
      </c>
      <c r="G27" s="129">
        <f t="shared" si="9"/>
        <v>-22635.65011818623</v>
      </c>
      <c r="H27" s="129">
        <f t="shared" si="9"/>
        <v>-28109.22726584112</v>
      </c>
      <c r="I27" s="129">
        <f t="shared" si="9"/>
        <v>-35515.238533758937</v>
      </c>
      <c r="J27" s="129">
        <f t="shared" si="9"/>
        <v>-44926.894923407366</v>
      </c>
      <c r="K27" s="129">
        <f t="shared" si="9"/>
        <v>-54582.409257789775</v>
      </c>
      <c r="L27" s="129">
        <f t="shared" si="9"/>
        <v>-64313.746143066688</v>
      </c>
      <c r="M27" s="129">
        <f t="shared" si="9"/>
        <v>-91942.675023605771</v>
      </c>
      <c r="N27" s="129">
        <f t="shared" si="9"/>
        <v>-156523.89899876935</v>
      </c>
      <c r="O27" s="129">
        <f t="shared" si="9"/>
        <v>-240800.37883312325</v>
      </c>
      <c r="P27" s="129">
        <f>O27-P35</f>
        <v>-324125.32921424467</v>
      </c>
      <c r="Q27" s="129">
        <f t="shared" ref="Q27:AA27" si="10">P27-Q35</f>
        <v>-407440.18051601609</v>
      </c>
      <c r="R27" s="129">
        <f t="shared" si="10"/>
        <v>-490726.31681245106</v>
      </c>
      <c r="S27" s="129">
        <f t="shared" si="10"/>
        <v>-573812.33320728329</v>
      </c>
      <c r="T27" s="129">
        <f t="shared" si="10"/>
        <v>-657042.43195948366</v>
      </c>
      <c r="U27" s="129">
        <f t="shared" si="10"/>
        <v>-740577.84730959008</v>
      </c>
      <c r="V27" s="129">
        <f t="shared" si="10"/>
        <v>-824113.26265969651</v>
      </c>
      <c r="W27" s="129">
        <f t="shared" si="10"/>
        <v>-907648.67800980294</v>
      </c>
      <c r="X27" s="129">
        <f>W27-X35</f>
        <v>-991184.09335990937</v>
      </c>
      <c r="Y27" s="129">
        <f t="shared" si="10"/>
        <v>-1074719.5087100158</v>
      </c>
      <c r="Z27" s="129">
        <f t="shared" si="10"/>
        <v>-1158254.9240601221</v>
      </c>
      <c r="AA27" s="129">
        <f t="shared" si="10"/>
        <v>-1241790.3394102284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29377</v>
      </c>
      <c r="P28" s="130">
        <v>-66013</v>
      </c>
      <c r="Q28" s="130">
        <v>-161403</v>
      </c>
      <c r="R28" s="130">
        <v>-256793</v>
      </c>
      <c r="S28" s="130">
        <v>-352183</v>
      </c>
      <c r="T28" s="130">
        <v>-447573</v>
      </c>
      <c r="U28" s="130">
        <v>-542963</v>
      </c>
      <c r="V28" s="130">
        <v>-638353</v>
      </c>
      <c r="W28" s="130">
        <v>-733743</v>
      </c>
      <c r="X28" s="130">
        <v>-829133</v>
      </c>
      <c r="Y28" s="130">
        <v>-924523</v>
      </c>
      <c r="Z28" s="130">
        <v>-1019913</v>
      </c>
      <c r="AA28" s="130">
        <v>-1115303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1">SUM(C26:C28)</f>
        <v>3289975.6177611575</v>
      </c>
      <c r="D29" s="129">
        <f t="shared" si="11"/>
        <v>3384415.6424552016</v>
      </c>
      <c r="E29" s="129">
        <f t="shared" si="11"/>
        <v>3394461.0310172187</v>
      </c>
      <c r="F29" s="129">
        <f t="shared" si="11"/>
        <v>3565455.4729059064</v>
      </c>
      <c r="G29" s="129">
        <f t="shared" si="11"/>
        <v>3724954.1398818139</v>
      </c>
      <c r="H29" s="129">
        <f t="shared" si="11"/>
        <v>3743342.4927341589</v>
      </c>
      <c r="I29" s="129">
        <f t="shared" si="11"/>
        <v>6366655.2714662412</v>
      </c>
      <c r="J29" s="129">
        <f t="shared" si="11"/>
        <v>6481675.3450765926</v>
      </c>
      <c r="K29" s="129">
        <f t="shared" si="11"/>
        <v>6682575.2507422101</v>
      </c>
      <c r="L29" s="129">
        <f t="shared" ref="L29:O29" si="12">SUM(L26:L28)</f>
        <v>6566445.7738569342</v>
      </c>
      <c r="M29" s="129">
        <f t="shared" si="12"/>
        <v>31231099.774976395</v>
      </c>
      <c r="N29" s="129">
        <f t="shared" si="12"/>
        <v>57235526.311001226</v>
      </c>
      <c r="O29" s="129">
        <f t="shared" si="12"/>
        <v>58166950.961166874</v>
      </c>
      <c r="P29" s="129">
        <f>SUM(P26:P28)</f>
        <v>57959840.520785749</v>
      </c>
      <c r="Q29" s="129">
        <f t="shared" ref="Q29:AA29" si="13">SUM(Q26:Q28)</f>
        <v>57795383.549483977</v>
      </c>
      <c r="R29" s="129">
        <f t="shared" si="13"/>
        <v>57562233.223187551</v>
      </c>
      <c r="S29" s="129">
        <f t="shared" si="13"/>
        <v>57157887.196792714</v>
      </c>
      <c r="T29" s="129">
        <f t="shared" si="13"/>
        <v>57406979.368040517</v>
      </c>
      <c r="U29" s="129">
        <f t="shared" si="13"/>
        <v>57228053.952690408</v>
      </c>
      <c r="V29" s="129">
        <f t="shared" si="13"/>
        <v>57049128.537340298</v>
      </c>
      <c r="W29" s="129">
        <f t="shared" si="13"/>
        <v>56870203.121990196</v>
      </c>
      <c r="X29" s="129">
        <f t="shared" si="13"/>
        <v>56691277.706640087</v>
      </c>
      <c r="Y29" s="129">
        <f t="shared" si="13"/>
        <v>56512352.291289978</v>
      </c>
      <c r="Z29" s="129">
        <f t="shared" si="13"/>
        <v>56333426.875939876</v>
      </c>
      <c r="AA29" s="129">
        <f t="shared" si="13"/>
        <v>56154501.460589767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MAX($A$26:A30)+1</f>
        <v>15</v>
      </c>
      <c r="B31" s="101" t="s">
        <v>38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MAX($A$26:A31)+1</f>
        <v>16</v>
      </c>
      <c r="B32" s="101" t="s">
        <v>39</v>
      </c>
      <c r="C32" s="131">
        <f t="shared" ref="C32:N32" si="14">C29*C31/12</f>
        <v>19655.262950141609</v>
      </c>
      <c r="D32" s="131">
        <f t="shared" si="14"/>
        <v>20219.474887870947</v>
      </c>
      <c r="E32" s="131">
        <f t="shared" si="14"/>
        <v>20279.488935560807</v>
      </c>
      <c r="F32" s="131">
        <f t="shared" si="14"/>
        <v>21301.059034801237</v>
      </c>
      <c r="G32" s="131">
        <f t="shared" si="14"/>
        <v>22253.950060097621</v>
      </c>
      <c r="H32" s="131">
        <f t="shared" si="14"/>
        <v>22363.807382012601</v>
      </c>
      <c r="I32" s="131">
        <f t="shared" si="14"/>
        <v>38036.234310675929</v>
      </c>
      <c r="J32" s="131">
        <f t="shared" si="14"/>
        <v>38723.397394545398</v>
      </c>
      <c r="K32" s="131">
        <f t="shared" si="14"/>
        <v>39923.631357131257</v>
      </c>
      <c r="L32" s="131">
        <f t="shared" si="14"/>
        <v>39229.840378219451</v>
      </c>
      <c r="M32" s="131">
        <f t="shared" si="14"/>
        <v>186583.59502281077</v>
      </c>
      <c r="N32" s="131">
        <f t="shared" si="14"/>
        <v>341941.53709200764</v>
      </c>
      <c r="O32" s="131">
        <f>O29*O31/12</f>
        <v>347506.13651287137</v>
      </c>
      <c r="P32" s="131">
        <f>P29*P31/12</f>
        <v>346268.79902519088</v>
      </c>
      <c r="Q32" s="131">
        <f t="shared" ref="Q32:AA32" si="15">Q29*Q31/12</f>
        <v>345286.28566020739</v>
      </c>
      <c r="R32" s="131">
        <f t="shared" si="15"/>
        <v>343893.37838590174</v>
      </c>
      <c r="S32" s="131">
        <f t="shared" si="15"/>
        <v>341477.69863778137</v>
      </c>
      <c r="T32" s="131">
        <f t="shared" si="15"/>
        <v>342965.84709039185</v>
      </c>
      <c r="U32" s="131">
        <f t="shared" si="15"/>
        <v>341896.89506892883</v>
      </c>
      <c r="V32" s="131">
        <f t="shared" si="15"/>
        <v>340827.94304746587</v>
      </c>
      <c r="W32" s="131">
        <f t="shared" si="15"/>
        <v>339758.99102600297</v>
      </c>
      <c r="X32" s="131">
        <f t="shared" si="15"/>
        <v>338690.03900453995</v>
      </c>
      <c r="Y32" s="131">
        <f t="shared" si="15"/>
        <v>337621.08698307694</v>
      </c>
      <c r="Z32" s="131">
        <f t="shared" si="15"/>
        <v>336552.13496161404</v>
      </c>
      <c r="AA32" s="131">
        <f t="shared" si="15"/>
        <v>335483.18294015108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MAX($A$26:A33)+1</f>
        <v>17</v>
      </c>
      <c r="B34" s="101" t="s">
        <v>32</v>
      </c>
      <c r="C34" s="107">
        <f t="shared" ref="C34:AA34" si="16">C16</f>
        <v>1.7471090080963977E-2</v>
      </c>
      <c r="D34" s="107">
        <f t="shared" si="16"/>
        <v>1.7471090080963977E-2</v>
      </c>
      <c r="E34" s="107">
        <f t="shared" si="16"/>
        <v>1.7471090080963977E-2</v>
      </c>
      <c r="F34" s="107">
        <f t="shared" si="16"/>
        <v>1.7471090080963977E-2</v>
      </c>
      <c r="G34" s="107">
        <f t="shared" si="16"/>
        <v>1.7471090080963977E-2</v>
      </c>
      <c r="H34" s="107">
        <f t="shared" si="16"/>
        <v>1.7471090080963977E-2</v>
      </c>
      <c r="I34" s="107">
        <f t="shared" si="16"/>
        <v>1.7471090080963977E-2</v>
      </c>
      <c r="J34" s="107">
        <f t="shared" si="16"/>
        <v>1.7471090080963977E-2</v>
      </c>
      <c r="K34" s="107">
        <f t="shared" si="16"/>
        <v>1.7471090080963977E-2</v>
      </c>
      <c r="L34" s="107">
        <f t="shared" si="16"/>
        <v>1.7471090080963977E-2</v>
      </c>
      <c r="M34" s="107">
        <f t="shared" si="16"/>
        <v>1.7471090080963977E-2</v>
      </c>
      <c r="N34" s="107">
        <f t="shared" si="16"/>
        <v>1.7471090080963977E-2</v>
      </c>
      <c r="O34" s="107">
        <f t="shared" si="16"/>
        <v>1.7471090080963977E-2</v>
      </c>
      <c r="P34" s="107">
        <f t="shared" si="16"/>
        <v>1.7132074209012617E-2</v>
      </c>
      <c r="Q34" s="107">
        <f t="shared" si="16"/>
        <v>1.7132074209012617E-2</v>
      </c>
      <c r="R34" s="107">
        <f t="shared" si="16"/>
        <v>1.7132074209012617E-2</v>
      </c>
      <c r="S34" s="107">
        <f t="shared" si="16"/>
        <v>1.7132074209012617E-2</v>
      </c>
      <c r="T34" s="107">
        <f t="shared" si="16"/>
        <v>1.7132074209012617E-2</v>
      </c>
      <c r="U34" s="107">
        <f t="shared" si="16"/>
        <v>1.7132074209012617E-2</v>
      </c>
      <c r="V34" s="107">
        <f t="shared" si="16"/>
        <v>1.7132074209012617E-2</v>
      </c>
      <c r="W34" s="107">
        <f t="shared" si="16"/>
        <v>1.7132074209012617E-2</v>
      </c>
      <c r="X34" s="107">
        <f t="shared" si="16"/>
        <v>1.7132074209012617E-2</v>
      </c>
      <c r="Y34" s="107">
        <f t="shared" si="16"/>
        <v>1.7132074209012617E-2</v>
      </c>
      <c r="Z34" s="107">
        <f t="shared" si="16"/>
        <v>1.7132074209012617E-2</v>
      </c>
      <c r="AA34" s="107">
        <f t="shared" si="16"/>
        <v>1.7132074209012617E-2</v>
      </c>
      <c r="AC34" s="116"/>
    </row>
    <row r="35" spans="1:29" s="101" customFormat="1" x14ac:dyDescent="0.25">
      <c r="A35" s="103">
        <f>MAX($A$26:A34)+1</f>
        <v>18</v>
      </c>
      <c r="B35" s="101" t="s">
        <v>33</v>
      </c>
      <c r="C35" s="131">
        <f>(((C26)/2)*C34)/12</f>
        <v>2396.7222388422565</v>
      </c>
      <c r="D35" s="131">
        <f>(((D26+C26)/2)*D34)/12</f>
        <v>4865.7353059561201</v>
      </c>
      <c r="E35" s="131">
        <f t="shared" ref="E35:AA35" si="17">(((E26+D26)/2)*E34)/12</f>
        <v>4948.9414379832997</v>
      </c>
      <c r="F35" s="131">
        <f t="shared" si="17"/>
        <v>5088.0381113121848</v>
      </c>
      <c r="G35" s="131">
        <f t="shared" si="17"/>
        <v>5336.2130240923698</v>
      </c>
      <c r="H35" s="131">
        <f t="shared" si="17"/>
        <v>5473.5771476548916</v>
      </c>
      <c r="I35" s="131">
        <f t="shared" si="17"/>
        <v>7406.0112679178173</v>
      </c>
      <c r="J35" s="131">
        <f t="shared" si="17"/>
        <v>9411.6563896484313</v>
      </c>
      <c r="K35" s="131">
        <f t="shared" si="17"/>
        <v>9655.5143343824075</v>
      </c>
      <c r="L35" s="131">
        <f t="shared" si="17"/>
        <v>9731.3368852769145</v>
      </c>
      <c r="M35" s="131">
        <f t="shared" si="17"/>
        <v>27628.928880539082</v>
      </c>
      <c r="N35" s="131">
        <f t="shared" si="17"/>
        <v>64581.223975163586</v>
      </c>
      <c r="O35" s="131">
        <f t="shared" si="17"/>
        <v>84276.479834353886</v>
      </c>
      <c r="P35" s="131">
        <f t="shared" si="17"/>
        <v>83324.950381121438</v>
      </c>
      <c r="Q35" s="131">
        <f t="shared" si="17"/>
        <v>83314.851301771429</v>
      </c>
      <c r="R35" s="131">
        <f t="shared" si="17"/>
        <v>83286.136296434983</v>
      </c>
      <c r="S35" s="131">
        <f t="shared" si="17"/>
        <v>83086.016394832215</v>
      </c>
      <c r="T35" s="131">
        <f t="shared" si="17"/>
        <v>83230.098752200342</v>
      </c>
      <c r="U35" s="131">
        <f t="shared" si="17"/>
        <v>83535.415350106385</v>
      </c>
      <c r="V35" s="131">
        <f t="shared" si="17"/>
        <v>83535.415350106385</v>
      </c>
      <c r="W35" s="131">
        <f t="shared" si="17"/>
        <v>83535.415350106385</v>
      </c>
      <c r="X35" s="131">
        <f t="shared" si="17"/>
        <v>83535.415350106385</v>
      </c>
      <c r="Y35" s="131">
        <f t="shared" si="17"/>
        <v>83535.415350106385</v>
      </c>
      <c r="Z35" s="131">
        <f t="shared" si="17"/>
        <v>83535.415350106385</v>
      </c>
      <c r="AA35" s="131">
        <f t="shared" si="17"/>
        <v>83535.415350106385</v>
      </c>
      <c r="AC35" s="116"/>
    </row>
    <row r="36" spans="1:29" s="101" customFormat="1" x14ac:dyDescent="0.25">
      <c r="A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6"/>
    </row>
    <row r="37" spans="1:29" s="101" customFormat="1" x14ac:dyDescent="0.25">
      <c r="A37" s="103"/>
      <c r="B37" s="101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f>-0.21*O35</f>
        <v>-17698.060765214315</v>
      </c>
      <c r="P37" s="131">
        <f t="shared" ref="P37:AA37" si="18">-0.21*P35</f>
        <v>-17498.239580035501</v>
      </c>
      <c r="Q37" s="131">
        <f t="shared" si="18"/>
        <v>-17496.118773372</v>
      </c>
      <c r="R37" s="131">
        <f t="shared" si="18"/>
        <v>-17490.088622251347</v>
      </c>
      <c r="S37" s="131">
        <f t="shared" si="18"/>
        <v>-17448.063442914765</v>
      </c>
      <c r="T37" s="131">
        <f t="shared" si="18"/>
        <v>-17478.320737962073</v>
      </c>
      <c r="U37" s="131">
        <f t="shared" si="18"/>
        <v>-17542.437223522342</v>
      </c>
      <c r="V37" s="131">
        <f t="shared" si="18"/>
        <v>-17542.437223522342</v>
      </c>
      <c r="W37" s="131">
        <f t="shared" si="18"/>
        <v>-17542.437223522342</v>
      </c>
      <c r="X37" s="131">
        <f t="shared" si="18"/>
        <v>-17542.437223522342</v>
      </c>
      <c r="Y37" s="131">
        <f t="shared" si="18"/>
        <v>-17542.437223522342</v>
      </c>
      <c r="Z37" s="131">
        <f t="shared" si="18"/>
        <v>-17542.437223522342</v>
      </c>
      <c r="AA37" s="131">
        <f t="shared" si="18"/>
        <v>-17542.437223522342</v>
      </c>
      <c r="AC37" s="116"/>
    </row>
    <row r="38" spans="1:29" s="101" customFormat="1" x14ac:dyDescent="0.25">
      <c r="A38" s="103">
        <f>MAX($A$26:A35)+1</f>
        <v>19</v>
      </c>
      <c r="B38" s="101" t="s">
        <v>35</v>
      </c>
      <c r="C38" s="129">
        <f>(C35+C32)/Variables!$C$34</f>
        <v>29279.672295006127</v>
      </c>
      <c r="D38" s="129">
        <f>(D35+D32)/Variables!$C$34</f>
        <v>33307.057284507828</v>
      </c>
      <c r="E38" s="129">
        <f>(E35+E32)/Variables!$C$34</f>
        <v>33497.218845574062</v>
      </c>
      <c r="F38" s="129">
        <f>(F35+F32)/Variables!$C$34</f>
        <v>35038.301993113484</v>
      </c>
      <c r="G38" s="129">
        <f>(G35+G32)/Variables!$C$34</f>
        <v>36633.025405550012</v>
      </c>
      <c r="H38" s="129">
        <f>(H35+H32)/Variables!$C$34</f>
        <v>36961.275349754353</v>
      </c>
      <c r="I38" s="129">
        <f>(I35+I32)/Variables!$C$34</f>
        <v>60336.248527642238</v>
      </c>
      <c r="J38" s="129">
        <f>(J35+J32)/Variables!$C$34</f>
        <v>63911.642812446167</v>
      </c>
      <c r="K38" s="129">
        <f>(K35+K32)/Variables!$C$34</f>
        <v>65829.045597176751</v>
      </c>
      <c r="L38" s="129">
        <f>(L35+L32)/Variables!$C$34</f>
        <v>65008.533842523218</v>
      </c>
      <c r="M38" s="129">
        <f>(M35+M32)/Variables!$C$34</f>
        <v>284422.12561023684</v>
      </c>
      <c r="N38" s="129">
        <f>(N35+N32)/Variables!$C$34</f>
        <v>539763.34205293935</v>
      </c>
      <c r="O38" s="129">
        <f>(O35+O32+O37)/Variables!$C$34</f>
        <v>549803.56579965609</v>
      </c>
      <c r="P38" s="129">
        <f>(P35+P32+P37)/Variables!$C$34</f>
        <v>547162.59686155058</v>
      </c>
      <c r="Q38" s="129">
        <f>(Q35+Q32+Q37)/Variables!$C$34</f>
        <v>545847.46489890036</v>
      </c>
      <c r="R38" s="129">
        <f>(R35+R32+R37)/Variables!$C$34</f>
        <v>543967.9028879843</v>
      </c>
      <c r="S38" s="129">
        <f>(S35+S32+S37)/Variables!$C$34</f>
        <v>540550.55644917861</v>
      </c>
      <c r="T38" s="129">
        <f>(T35+T32+T37)/Variables!$C$34</f>
        <v>542677.58760489954</v>
      </c>
      <c r="U38" s="129">
        <f>(U35+U32+U37)/Variables!$C$34</f>
        <v>541578.5344161361</v>
      </c>
      <c r="V38" s="129">
        <f>(V35+V32+V37)/Variables!$C$34</f>
        <v>540159.22614890779</v>
      </c>
      <c r="W38" s="129">
        <f>(W35+W32+W37)/Variables!$C$34</f>
        <v>538739.9178816796</v>
      </c>
      <c r="X38" s="129">
        <f>(X35+X32+X37)/Variables!$C$34</f>
        <v>537320.6096144513</v>
      </c>
      <c r="Y38" s="129">
        <f>(Y35+Y32+Y37)/Variables!$C$34</f>
        <v>535901.30134722299</v>
      </c>
      <c r="Z38" s="129">
        <f>(Z35+Z32+Z37)/Variables!$C$34</f>
        <v>534481.99307999481</v>
      </c>
      <c r="AA38" s="129">
        <f>(AA35+AA32+AA37)/Variables!$C$34</f>
        <v>533062.6848127665</v>
      </c>
      <c r="AC38" s="116"/>
    </row>
    <row r="39" spans="1:29" s="101" customFormat="1" ht="13" x14ac:dyDescent="0.3">
      <c r="A39" s="103"/>
      <c r="B39" s="9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C39" s="116"/>
    </row>
    <row r="40" spans="1:29" ht="13" x14ac:dyDescent="0.3">
      <c r="A40" s="25">
        <f>MAX($A$8:A39)+1</f>
        <v>20</v>
      </c>
      <c r="B40" s="24" t="s">
        <v>36</v>
      </c>
      <c r="C40" s="133">
        <f t="shared" ref="C40:AA40" si="19">C38*$P$46</f>
        <v>2287.065694805307</v>
      </c>
      <c r="D40" s="133">
        <f t="shared" si="19"/>
        <v>2601.6489304528645</v>
      </c>
      <c r="E40" s="133">
        <f t="shared" si="19"/>
        <v>2616.5026480219435</v>
      </c>
      <c r="F40" s="133">
        <f t="shared" si="19"/>
        <v>2736.8782575597984</v>
      </c>
      <c r="G40" s="133">
        <f t="shared" si="19"/>
        <v>2861.4437640497222</v>
      </c>
      <c r="H40" s="133">
        <f t="shared" si="19"/>
        <v>2887.0837090309219</v>
      </c>
      <c r="I40" s="133">
        <f t="shared" si="19"/>
        <v>4712.9272066461463</v>
      </c>
      <c r="J40" s="133">
        <f t="shared" si="19"/>
        <v>4992.2049776467702</v>
      </c>
      <c r="K40" s="133">
        <f t="shared" si="19"/>
        <v>5141.9753059447885</v>
      </c>
      <c r="L40" s="133">
        <f t="shared" si="19"/>
        <v>5077.8842783080945</v>
      </c>
      <c r="M40" s="133">
        <f t="shared" si="19"/>
        <v>22216.508428536104</v>
      </c>
      <c r="N40" s="133">
        <f t="shared" si="19"/>
        <v>42161.476757145589</v>
      </c>
      <c r="O40" s="133">
        <f t="shared" si="19"/>
        <v>42945.729089887776</v>
      </c>
      <c r="P40" s="133">
        <f t="shared" si="19"/>
        <v>42739.440255828056</v>
      </c>
      <c r="Q40" s="133">
        <f t="shared" si="19"/>
        <v>42636.713928647398</v>
      </c>
      <c r="R40" s="133">
        <f t="shared" si="19"/>
        <v>42489.899382599404</v>
      </c>
      <c r="S40" s="133">
        <f t="shared" si="19"/>
        <v>42222.96689344068</v>
      </c>
      <c r="T40" s="133">
        <f t="shared" si="19"/>
        <v>42389.111512103686</v>
      </c>
      <c r="U40" s="133">
        <f t="shared" si="19"/>
        <v>42303.26332297569</v>
      </c>
      <c r="V40" s="133">
        <f t="shared" si="19"/>
        <v>42192.399676155263</v>
      </c>
      <c r="W40" s="133">
        <f t="shared" si="19"/>
        <v>42081.536029334849</v>
      </c>
      <c r="X40" s="133">
        <f t="shared" si="19"/>
        <v>41970.672382514422</v>
      </c>
      <c r="Y40" s="133">
        <f t="shared" si="19"/>
        <v>41859.808735693994</v>
      </c>
      <c r="Z40" s="133">
        <f t="shared" si="19"/>
        <v>41748.945088873574</v>
      </c>
      <c r="AA40" s="133">
        <f t="shared" si="19"/>
        <v>41638.081442053146</v>
      </c>
    </row>
    <row r="41" spans="1:29" ht="13" x14ac:dyDescent="0.3">
      <c r="A41" s="25"/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9" s="22" customFormat="1" ht="13" x14ac:dyDescent="0.3">
      <c r="A42" s="19" t="s">
        <v>40</v>
      </c>
      <c r="B42" s="2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ht="13" thickBot="1" x14ac:dyDescent="0.3">
      <c r="A43" s="25">
        <f>MAX($A$8:A42)+1</f>
        <v>21</v>
      </c>
      <c r="B43" s="2" t="s">
        <v>41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32">
        <f>P40-P22</f>
        <v>-2495.4035300784453</v>
      </c>
      <c r="Q43" s="132">
        <f t="shared" ref="Q43:AA43" si="20">Q40-Q22</f>
        <v>-2598.129857259104</v>
      </c>
      <c r="R43" s="132">
        <f t="shared" si="20"/>
        <v>-2744.9444033070977</v>
      </c>
      <c r="S43" s="132">
        <f t="shared" si="20"/>
        <v>-3011.8768924658216</v>
      </c>
      <c r="T43" s="132">
        <f t="shared" si="20"/>
        <v>-2845.7322738028161</v>
      </c>
      <c r="U43" s="132">
        <f t="shared" si="20"/>
        <v>-2931.5804629308113</v>
      </c>
      <c r="V43" s="132">
        <f t="shared" si="20"/>
        <v>-3042.444109751239</v>
      </c>
      <c r="W43" s="132">
        <f t="shared" si="20"/>
        <v>-3153.3077565716521</v>
      </c>
      <c r="X43" s="132">
        <f t="shared" si="20"/>
        <v>-3264.1714033920798</v>
      </c>
      <c r="Y43" s="132">
        <f t="shared" si="20"/>
        <v>-3375.0350502125075</v>
      </c>
      <c r="Z43" s="132">
        <f t="shared" si="20"/>
        <v>-3485.8986970329279</v>
      </c>
      <c r="AA43" s="132">
        <f t="shared" si="20"/>
        <v>-3596.7623438533556</v>
      </c>
    </row>
    <row r="44" spans="1:29" ht="13.5" thickBot="1" x14ac:dyDescent="0.35">
      <c r="A44" s="25">
        <f>MAX($A$8:A43)+1</f>
        <v>22</v>
      </c>
      <c r="B44" s="2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32">
        <f>O44+P43</f>
        <v>-2495.4035300784453</v>
      </c>
      <c r="Q44" s="132">
        <f t="shared" ref="Q44:AA44" si="21">P44+Q43</f>
        <v>-5093.5333873375494</v>
      </c>
      <c r="R44" s="132">
        <f t="shared" si="21"/>
        <v>-7838.477790644647</v>
      </c>
      <c r="S44" s="132">
        <f t="shared" si="21"/>
        <v>-10850.354683110469</v>
      </c>
      <c r="T44" s="132">
        <f t="shared" si="21"/>
        <v>-13696.086956913285</v>
      </c>
      <c r="U44" s="132">
        <f t="shared" si="21"/>
        <v>-16627.667419844096</v>
      </c>
      <c r="V44" s="132">
        <f t="shared" si="21"/>
        <v>-19670.111529595335</v>
      </c>
      <c r="W44" s="132">
        <f t="shared" si="21"/>
        <v>-22823.419286166987</v>
      </c>
      <c r="X44" s="132">
        <f t="shared" si="21"/>
        <v>-26087.590689559067</v>
      </c>
      <c r="Y44" s="132">
        <f t="shared" si="21"/>
        <v>-29462.625739771574</v>
      </c>
      <c r="Z44" s="132">
        <f t="shared" si="21"/>
        <v>-32948.524436804502</v>
      </c>
      <c r="AA44" s="36">
        <f t="shared" si="21"/>
        <v>-36545.286780657858</v>
      </c>
    </row>
    <row r="46" spans="1:29" ht="13" x14ac:dyDescent="0.3">
      <c r="B46" s="37" t="s">
        <v>43</v>
      </c>
      <c r="P46" s="38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68D6-0B6B-40E4-9A3E-C6B6CB52BFAF}">
  <sheetPr>
    <tabColor rgb="FFFFC000"/>
    <pageSetUpPr fitToPage="1"/>
  </sheetPr>
  <dimension ref="A1:AC46"/>
  <sheetViews>
    <sheetView topLeftCell="P1" zoomScale="60" zoomScaleNormal="60" workbookViewId="0">
      <selection activeCell="V52" sqref="V52"/>
    </sheetView>
  </sheetViews>
  <sheetFormatPr defaultColWidth="9.08984375" defaultRowHeight="12.5" outlineLevelCol="1" x14ac:dyDescent="0.25"/>
  <cols>
    <col min="1" max="1" width="7.90625" style="2" customWidth="1"/>
    <col min="2" max="2" width="39.453125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10.90625" style="2" bestFit="1" customWidth="1"/>
    <col min="29" max="29" width="12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11129529</v>
      </c>
      <c r="D8" s="129">
        <v>11129529</v>
      </c>
      <c r="E8" s="129">
        <v>11129529</v>
      </c>
      <c r="F8" s="129">
        <v>11129529</v>
      </c>
      <c r="G8" s="129">
        <v>11129529</v>
      </c>
      <c r="H8" s="129">
        <v>11129529</v>
      </c>
      <c r="I8" s="129">
        <v>11129529</v>
      </c>
      <c r="J8" s="129">
        <v>11129529</v>
      </c>
      <c r="K8" s="129">
        <v>11129529</v>
      </c>
      <c r="L8" s="129">
        <v>11129529</v>
      </c>
      <c r="M8" s="129">
        <v>11129529</v>
      </c>
      <c r="N8" s="129">
        <v>11129529</v>
      </c>
      <c r="O8" s="129">
        <v>675069260</v>
      </c>
      <c r="P8" s="129">
        <f t="shared" ref="P8:Z10" si="0">O8</f>
        <v>675069260</v>
      </c>
      <c r="Q8" s="129">
        <f t="shared" si="0"/>
        <v>675069260</v>
      </c>
      <c r="R8" s="129">
        <f t="shared" si="0"/>
        <v>675069260</v>
      </c>
      <c r="S8" s="129">
        <f t="shared" si="0"/>
        <v>675069260</v>
      </c>
      <c r="T8" s="129">
        <f t="shared" si="0"/>
        <v>675069260</v>
      </c>
      <c r="U8" s="129">
        <f t="shared" si="0"/>
        <v>675069260</v>
      </c>
      <c r="V8" s="129">
        <f t="shared" si="0"/>
        <v>675069260</v>
      </c>
      <c r="W8" s="129">
        <f t="shared" si="0"/>
        <v>675069260</v>
      </c>
      <c r="X8" s="129">
        <f t="shared" si="0"/>
        <v>675069260</v>
      </c>
      <c r="Y8" s="129">
        <f t="shared" si="0"/>
        <v>675069260</v>
      </c>
      <c r="Z8" s="129">
        <f t="shared" si="0"/>
        <v>675069260</v>
      </c>
      <c r="AA8" s="129">
        <f>Z8</f>
        <v>675069260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-8101.8751549042054</v>
      </c>
      <c r="D9" s="129">
        <f t="shared" ref="D9:N9" si="1">C9-D17</f>
        <v>-24305.625464712615</v>
      </c>
      <c r="E9" s="129">
        <f t="shared" si="1"/>
        <v>-40509.375774521024</v>
      </c>
      <c r="F9" s="129">
        <f t="shared" si="1"/>
        <v>-56713.126084329437</v>
      </c>
      <c r="G9" s="129">
        <f t="shared" si="1"/>
        <v>-72916.876394137842</v>
      </c>
      <c r="H9" s="129">
        <f t="shared" si="1"/>
        <v>-89120.626703946255</v>
      </c>
      <c r="I9" s="129">
        <f t="shared" si="1"/>
        <v>-105324.37701375467</v>
      </c>
      <c r="J9" s="129">
        <f t="shared" si="1"/>
        <v>-121528.12732356308</v>
      </c>
      <c r="K9" s="129">
        <f t="shared" si="1"/>
        <v>-137731.87763337148</v>
      </c>
      <c r="L9" s="129">
        <f t="shared" si="1"/>
        <v>-153935.62794317989</v>
      </c>
      <c r="M9" s="129">
        <f t="shared" si="1"/>
        <v>-170139.3782529883</v>
      </c>
      <c r="N9" s="129">
        <f t="shared" si="1"/>
        <v>-186343.12856279672</v>
      </c>
      <c r="O9" s="129">
        <v>-6675700.6796804825</v>
      </c>
      <c r="P9" s="129">
        <f t="shared" si="0"/>
        <v>-6675700.6796804825</v>
      </c>
      <c r="Q9" s="129">
        <f t="shared" si="0"/>
        <v>-6675700.6796804825</v>
      </c>
      <c r="R9" s="129">
        <f t="shared" si="0"/>
        <v>-6675700.6796804825</v>
      </c>
      <c r="S9" s="129">
        <f t="shared" si="0"/>
        <v>-6675700.6796804825</v>
      </c>
      <c r="T9" s="129">
        <f t="shared" si="0"/>
        <v>-6675700.6796804825</v>
      </c>
      <c r="U9" s="129">
        <f t="shared" si="0"/>
        <v>-6675700.6796804825</v>
      </c>
      <c r="V9" s="129">
        <f t="shared" si="0"/>
        <v>-6675700.6796804825</v>
      </c>
      <c r="W9" s="129">
        <f t="shared" si="0"/>
        <v>-6675700.6796804825</v>
      </c>
      <c r="X9" s="129">
        <f t="shared" si="0"/>
        <v>-6675700.6796804825</v>
      </c>
      <c r="Y9" s="129">
        <f t="shared" si="0"/>
        <v>-6675700.6796804825</v>
      </c>
      <c r="Z9" s="129">
        <f t="shared" si="0"/>
        <v>-6675700.6796804825</v>
      </c>
      <c r="AA9" s="129">
        <f>Z9</f>
        <v>-6675700.6796804825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-105793</v>
      </c>
      <c r="D10" s="130">
        <v>-122943</v>
      </c>
      <c r="E10" s="130">
        <v>-140093</v>
      </c>
      <c r="F10" s="130">
        <v>-157243</v>
      </c>
      <c r="G10" s="130">
        <v>-174393</v>
      </c>
      <c r="H10" s="130">
        <v>-191543</v>
      </c>
      <c r="I10" s="130">
        <v>-208693</v>
      </c>
      <c r="J10" s="130">
        <v>-225843</v>
      </c>
      <c r="K10" s="130">
        <v>-242993</v>
      </c>
      <c r="L10" s="130">
        <v>-260143</v>
      </c>
      <c r="M10" s="130">
        <v>-277293</v>
      </c>
      <c r="N10" s="130">
        <v>-294443</v>
      </c>
      <c r="O10" s="130">
        <v>-3733637</v>
      </c>
      <c r="P10" s="130">
        <f t="shared" si="0"/>
        <v>-3733637</v>
      </c>
      <c r="Q10" s="130">
        <f t="shared" si="0"/>
        <v>-3733637</v>
      </c>
      <c r="R10" s="130">
        <f t="shared" si="0"/>
        <v>-3733637</v>
      </c>
      <c r="S10" s="130">
        <f t="shared" si="0"/>
        <v>-3733637</v>
      </c>
      <c r="T10" s="130">
        <f t="shared" si="0"/>
        <v>-3733637</v>
      </c>
      <c r="U10" s="130">
        <f t="shared" si="0"/>
        <v>-3733637</v>
      </c>
      <c r="V10" s="130">
        <f t="shared" si="0"/>
        <v>-3733637</v>
      </c>
      <c r="W10" s="130">
        <f t="shared" si="0"/>
        <v>-3733637</v>
      </c>
      <c r="X10" s="130">
        <f t="shared" si="0"/>
        <v>-3733637</v>
      </c>
      <c r="Y10" s="130">
        <f t="shared" si="0"/>
        <v>-3733637</v>
      </c>
      <c r="Z10" s="130">
        <f t="shared" si="0"/>
        <v>-3733637</v>
      </c>
      <c r="AA10" s="130">
        <f>Z10</f>
        <v>-3733637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11015634.124845095</v>
      </c>
      <c r="D11" s="129">
        <f t="shared" si="2"/>
        <v>10982280.374535287</v>
      </c>
      <c r="E11" s="129">
        <f t="shared" si="2"/>
        <v>10948926.624225479</v>
      </c>
      <c r="F11" s="129">
        <f t="shared" si="2"/>
        <v>10915572.87391567</v>
      </c>
      <c r="G11" s="129">
        <f t="shared" si="2"/>
        <v>10882219.123605862</v>
      </c>
      <c r="H11" s="129">
        <f t="shared" si="2"/>
        <v>10848865.373296054</v>
      </c>
      <c r="I11" s="129">
        <f t="shared" si="2"/>
        <v>10815511.622986246</v>
      </c>
      <c r="J11" s="129">
        <f t="shared" si="2"/>
        <v>10782157.872676438</v>
      </c>
      <c r="K11" s="129">
        <f t="shared" si="2"/>
        <v>10748804.122366628</v>
      </c>
      <c r="L11" s="129">
        <f t="shared" ref="L11:AA11" si="3">SUM(L8:L10)</f>
        <v>10715450.372056819</v>
      </c>
      <c r="M11" s="129">
        <f t="shared" si="3"/>
        <v>10682096.621747011</v>
      </c>
      <c r="N11" s="129">
        <f t="shared" si="3"/>
        <v>10648742.871437203</v>
      </c>
      <c r="O11" s="129">
        <f t="shared" si="3"/>
        <v>664659922.32031953</v>
      </c>
      <c r="P11" s="129">
        <f t="shared" si="3"/>
        <v>664659922.32031953</v>
      </c>
      <c r="Q11" s="129">
        <f t="shared" si="3"/>
        <v>664659922.32031953</v>
      </c>
      <c r="R11" s="129">
        <f t="shared" si="3"/>
        <v>664659922.32031953</v>
      </c>
      <c r="S11" s="129">
        <f t="shared" si="3"/>
        <v>664659922.32031953</v>
      </c>
      <c r="T11" s="129">
        <f t="shared" si="3"/>
        <v>664659922.32031953</v>
      </c>
      <c r="U11" s="129">
        <f t="shared" si="3"/>
        <v>664659922.32031953</v>
      </c>
      <c r="V11" s="129">
        <f t="shared" si="3"/>
        <v>664659922.32031953</v>
      </c>
      <c r="W11" s="129">
        <f t="shared" si="3"/>
        <v>664659922.32031953</v>
      </c>
      <c r="X11" s="129">
        <f t="shared" si="3"/>
        <v>664659922.32031953</v>
      </c>
      <c r="Y11" s="129">
        <f t="shared" si="3"/>
        <v>664659922.32031953</v>
      </c>
      <c r="Z11" s="129">
        <f t="shared" si="3"/>
        <v>664659922.32031953</v>
      </c>
      <c r="AA11" s="129">
        <f t="shared" si="3"/>
        <v>664659922.32031953</v>
      </c>
      <c r="AC11" s="118"/>
    </row>
    <row r="12" spans="1:29" s="101" customFormat="1" x14ac:dyDescent="0.25">
      <c r="A12" s="103"/>
      <c r="AC12" s="120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7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65810.5744363306</v>
      </c>
      <c r="D14" s="131">
        <f t="shared" si="4"/>
        <v>65611.309514981796</v>
      </c>
      <c r="E14" s="131">
        <f t="shared" si="4"/>
        <v>65412.044593633</v>
      </c>
      <c r="F14" s="131">
        <f t="shared" si="4"/>
        <v>65212.779672284196</v>
      </c>
      <c r="G14" s="131">
        <f t="shared" si="4"/>
        <v>65013.514750935392</v>
      </c>
      <c r="H14" s="131">
        <f t="shared" si="4"/>
        <v>64814.249829586595</v>
      </c>
      <c r="I14" s="131">
        <f t="shared" si="4"/>
        <v>64614.984908237791</v>
      </c>
      <c r="J14" s="131">
        <f t="shared" si="4"/>
        <v>64415.719986888995</v>
      </c>
      <c r="K14" s="131">
        <f t="shared" si="4"/>
        <v>64216.455065540184</v>
      </c>
      <c r="L14" s="131">
        <f t="shared" si="4"/>
        <v>64017.19014419138</v>
      </c>
      <c r="M14" s="131">
        <f t="shared" si="4"/>
        <v>63817.925222842583</v>
      </c>
      <c r="N14" s="131">
        <f t="shared" si="4"/>
        <v>63618.660301493779</v>
      </c>
      <c r="O14" s="131">
        <f t="shared" si="4"/>
        <v>3970870.0195525247</v>
      </c>
      <c r="P14" s="131">
        <f>P11*P13/12</f>
        <v>3970870.0195525247</v>
      </c>
      <c r="Q14" s="131">
        <f t="shared" si="4"/>
        <v>3970870.0195525247</v>
      </c>
      <c r="R14" s="131">
        <f t="shared" si="4"/>
        <v>3970870.0195525247</v>
      </c>
      <c r="S14" s="131">
        <f t="shared" si="4"/>
        <v>3970870.0195525247</v>
      </c>
      <c r="T14" s="131">
        <f t="shared" si="4"/>
        <v>3970870.0195525247</v>
      </c>
      <c r="U14" s="131">
        <f t="shared" si="4"/>
        <v>3970870.0195525247</v>
      </c>
      <c r="V14" s="131">
        <f t="shared" si="4"/>
        <v>3970870.0195525247</v>
      </c>
      <c r="W14" s="131">
        <f t="shared" si="4"/>
        <v>3970870.0195525247</v>
      </c>
      <c r="X14" s="131">
        <f t="shared" si="4"/>
        <v>3970870.0195525247</v>
      </c>
      <c r="Y14" s="131">
        <f t="shared" si="4"/>
        <v>3970870.0195525247</v>
      </c>
      <c r="Z14" s="131">
        <f t="shared" si="4"/>
        <v>3970870.0195525247</v>
      </c>
      <c r="AA14" s="131">
        <f t="shared" si="4"/>
        <v>3970870.0195525247</v>
      </c>
      <c r="AC14" s="117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7">
        <v>1.7471090080963977E-2</v>
      </c>
      <c r="D16" s="107">
        <v>1.7471090080963977E-2</v>
      </c>
      <c r="E16" s="107">
        <v>1.7471090080963977E-2</v>
      </c>
      <c r="F16" s="107">
        <v>1.7471090080963977E-2</v>
      </c>
      <c r="G16" s="107">
        <v>1.7471090080963977E-2</v>
      </c>
      <c r="H16" s="107">
        <v>1.7471090080963977E-2</v>
      </c>
      <c r="I16" s="107">
        <v>1.7471090080963977E-2</v>
      </c>
      <c r="J16" s="107">
        <v>1.7471090080963977E-2</v>
      </c>
      <c r="K16" s="107">
        <v>1.7471090080963977E-2</v>
      </c>
      <c r="L16" s="107">
        <v>1.7471090080963977E-2</v>
      </c>
      <c r="M16" s="107">
        <v>1.7471090080963977E-2</v>
      </c>
      <c r="N16" s="107">
        <v>1.7471090080963977E-2</v>
      </c>
      <c r="O16" s="107">
        <v>1.7471090080963977E-2</v>
      </c>
      <c r="P16" s="107">
        <v>1.7132074209012617E-2</v>
      </c>
      <c r="Q16" s="107">
        <v>1.7132074209012617E-2</v>
      </c>
      <c r="R16" s="107">
        <v>1.7132074209012617E-2</v>
      </c>
      <c r="S16" s="107">
        <v>1.7132074209012617E-2</v>
      </c>
      <c r="T16" s="107">
        <v>1.7132074209012617E-2</v>
      </c>
      <c r="U16" s="107">
        <v>1.7132074209012617E-2</v>
      </c>
      <c r="V16" s="107">
        <v>1.7132074209012617E-2</v>
      </c>
      <c r="W16" s="107">
        <v>1.7132074209012617E-2</v>
      </c>
      <c r="X16" s="107">
        <v>1.7132074209012617E-2</v>
      </c>
      <c r="Y16" s="107">
        <v>1.7132074209012617E-2</v>
      </c>
      <c r="Z16" s="107">
        <v>1.7132074209012617E-2</v>
      </c>
      <c r="AA16" s="107">
        <v>1.7132074209012617E-2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f>(((C8)/2)*C16)/12</f>
        <v>8101.8751549042054</v>
      </c>
      <c r="D17" s="131">
        <f>(((D8+C8)/2)*D16)/12</f>
        <v>16203.750309808411</v>
      </c>
      <c r="E17" s="131">
        <f t="shared" ref="E17:N17" si="5">(((E8+D8)/2)*E16)/12</f>
        <v>16203.750309808411</v>
      </c>
      <c r="F17" s="131">
        <f t="shared" si="5"/>
        <v>16203.750309808411</v>
      </c>
      <c r="G17" s="131">
        <f t="shared" si="5"/>
        <v>16203.750309808411</v>
      </c>
      <c r="H17" s="131">
        <f t="shared" si="5"/>
        <v>16203.750309808411</v>
      </c>
      <c r="I17" s="131">
        <f t="shared" si="5"/>
        <v>16203.750309808411</v>
      </c>
      <c r="J17" s="131">
        <f t="shared" si="5"/>
        <v>16203.750309808411</v>
      </c>
      <c r="K17" s="131">
        <f t="shared" si="5"/>
        <v>16203.750309808411</v>
      </c>
      <c r="L17" s="131">
        <f t="shared" si="5"/>
        <v>16203.750309808411</v>
      </c>
      <c r="M17" s="131">
        <f t="shared" si="5"/>
        <v>16203.750309808411</v>
      </c>
      <c r="N17" s="131">
        <f t="shared" si="5"/>
        <v>16203.750309808411</v>
      </c>
      <c r="O17" s="131">
        <v>1054785.8044422602</v>
      </c>
      <c r="P17" s="131">
        <f t="shared" ref="P17:Z17" si="6">O17</f>
        <v>1054785.8044422602</v>
      </c>
      <c r="Q17" s="131">
        <f t="shared" si="6"/>
        <v>1054785.8044422602</v>
      </c>
      <c r="R17" s="131">
        <f t="shared" si="6"/>
        <v>1054785.8044422602</v>
      </c>
      <c r="S17" s="131">
        <f t="shared" si="6"/>
        <v>1054785.8044422602</v>
      </c>
      <c r="T17" s="131">
        <f t="shared" si="6"/>
        <v>1054785.8044422602</v>
      </c>
      <c r="U17" s="131">
        <f t="shared" si="6"/>
        <v>1054785.8044422602</v>
      </c>
      <c r="V17" s="131">
        <f t="shared" si="6"/>
        <v>1054785.8044422602</v>
      </c>
      <c r="W17" s="131">
        <f t="shared" si="6"/>
        <v>1054785.8044422602</v>
      </c>
      <c r="X17" s="131">
        <f t="shared" si="6"/>
        <v>1054785.8044422602</v>
      </c>
      <c r="Y17" s="131">
        <f t="shared" si="6"/>
        <v>1054785.8044422602</v>
      </c>
      <c r="Z17" s="131">
        <f t="shared" si="6"/>
        <v>1054785.8044422602</v>
      </c>
      <c r="AA17" s="131">
        <f>Z17</f>
        <v>1054785.8044422602</v>
      </c>
      <c r="AC17" s="116"/>
    </row>
    <row r="18" spans="1:29" s="101" customFormat="1" x14ac:dyDescent="0.25">
      <c r="A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-0.21*O17</f>
        <v>-221505.01893287463</v>
      </c>
      <c r="P19" s="131">
        <f t="shared" ref="P19:AA19" si="7">-0.21*P17</f>
        <v>-221505.01893287463</v>
      </c>
      <c r="Q19" s="131">
        <f t="shared" si="7"/>
        <v>-221505.01893287463</v>
      </c>
      <c r="R19" s="131">
        <f t="shared" si="7"/>
        <v>-221505.01893287463</v>
      </c>
      <c r="S19" s="131">
        <f t="shared" si="7"/>
        <v>-221505.01893287463</v>
      </c>
      <c r="T19" s="131">
        <f t="shared" si="7"/>
        <v>-221505.01893287463</v>
      </c>
      <c r="U19" s="131">
        <f t="shared" si="7"/>
        <v>-221505.01893287463</v>
      </c>
      <c r="V19" s="131">
        <f t="shared" si="7"/>
        <v>-221505.01893287463</v>
      </c>
      <c r="W19" s="131">
        <f t="shared" si="7"/>
        <v>-221505.01893287463</v>
      </c>
      <c r="X19" s="131">
        <f t="shared" si="7"/>
        <v>-221505.01893287463</v>
      </c>
      <c r="Y19" s="131">
        <f t="shared" si="7"/>
        <v>-221505.01893287463</v>
      </c>
      <c r="Z19" s="131">
        <f t="shared" si="7"/>
        <v>-221505.01893287463</v>
      </c>
      <c r="AA19" s="131">
        <f t="shared" si="7"/>
        <v>-221505.01893287463</v>
      </c>
      <c r="AC19" s="116"/>
    </row>
    <row r="20" spans="1:29" s="101" customFormat="1" x14ac:dyDescent="0.25">
      <c r="A20" s="103">
        <f>MAX($A$8:A17)+1</f>
        <v>9</v>
      </c>
      <c r="B20" s="101" t="s">
        <v>35</v>
      </c>
      <c r="C20" s="129">
        <f>(C17+C14)/Variables!$C$34</f>
        <v>98137.754220586619</v>
      </c>
      <c r="D20" s="129">
        <f>(D17+D14)/Variables!$C$34</f>
        <v>108630.4983400255</v>
      </c>
      <c r="E20" s="129">
        <f>(E17+E14)/Variables!$C$34</f>
        <v>108365.92299467756</v>
      </c>
      <c r="F20" s="129">
        <f>(F17+F14)/Variables!$C$34</f>
        <v>108101.34764932962</v>
      </c>
      <c r="G20" s="129">
        <f>(G17+G14)/Variables!$C$34</f>
        <v>107836.77230398168</v>
      </c>
      <c r="H20" s="129">
        <f>(H17+H14)/Variables!$C$34</f>
        <v>107572.19695863375</v>
      </c>
      <c r="I20" s="129">
        <f>(I17+I14)/Variables!$C$34</f>
        <v>107307.62161328581</v>
      </c>
      <c r="J20" s="129">
        <f>(J17+J14)/Variables!$C$34</f>
        <v>107043.04626793787</v>
      </c>
      <c r="K20" s="129">
        <f>(K17+K14)/Variables!$C$34</f>
        <v>106778.47092258991</v>
      </c>
      <c r="L20" s="129">
        <f>(L17+L14)/Variables!$C$34</f>
        <v>106513.89557724197</v>
      </c>
      <c r="M20" s="129">
        <f>(M17+M14)/Variables!$C$34</f>
        <v>106249.32023189403</v>
      </c>
      <c r="N20" s="129">
        <f>(N17+N14)/Variables!$C$34</f>
        <v>105984.74488654609</v>
      </c>
      <c r="O20" s="129">
        <f>(O17+O14+O19)/Variables!$C$34</f>
        <v>6378743.6832794398</v>
      </c>
      <c r="P20" s="129">
        <f>(P17+P14+P19)/Variables!$C$34</f>
        <v>6378743.6832794398</v>
      </c>
      <c r="Q20" s="129">
        <f>(Q17+Q14+Q19)/Variables!$C$34</f>
        <v>6378743.6832794398</v>
      </c>
      <c r="R20" s="129">
        <f>(R17+R14+R19)/Variables!$C$34</f>
        <v>6378743.6832794398</v>
      </c>
      <c r="S20" s="129">
        <f>(S17+S14+S19)/Variables!$C$34</f>
        <v>6378743.6832794398</v>
      </c>
      <c r="T20" s="129">
        <f>(T17+T14+T19)/Variables!$C$34</f>
        <v>6378743.6832794398</v>
      </c>
      <c r="U20" s="129">
        <f>(U17+U14+U19)/Variables!$C$34</f>
        <v>6378743.6832794398</v>
      </c>
      <c r="V20" s="129">
        <f>(V17+V14+V19)/Variables!$C$34</f>
        <v>6378743.6832794398</v>
      </c>
      <c r="W20" s="129">
        <f>(W17+W14+W19)/Variables!$C$34</f>
        <v>6378743.6832794398</v>
      </c>
      <c r="X20" s="129">
        <f>(X17+X14+X19)/Variables!$C$34</f>
        <v>6378743.6832794398</v>
      </c>
      <c r="Y20" s="129">
        <f>(Y17+Y14+Y19)/Variables!$C$34</f>
        <v>6378743.6832794398</v>
      </c>
      <c r="Z20" s="129">
        <f>(Z17+Z14+Z19)/Variables!$C$34</f>
        <v>6378743.6832794398</v>
      </c>
      <c r="AA20" s="129">
        <f>(AA17+AA14+AA19)/Variables!$C$34</f>
        <v>6378743.6832794398</v>
      </c>
      <c r="AB20" s="105"/>
      <c r="AC20" s="116"/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3">
        <f t="shared" ref="P22:AA22" si="8">P20*$P$46</f>
        <v>498250.31192280981</v>
      </c>
      <c r="Q22" s="133">
        <f t="shared" si="8"/>
        <v>498250.31192280981</v>
      </c>
      <c r="R22" s="133">
        <f t="shared" si="8"/>
        <v>498250.31192280981</v>
      </c>
      <c r="S22" s="133">
        <f t="shared" si="8"/>
        <v>498250.31192280981</v>
      </c>
      <c r="T22" s="133">
        <f t="shared" si="8"/>
        <v>498250.31192280981</v>
      </c>
      <c r="U22" s="133">
        <f t="shared" si="8"/>
        <v>498250.31192280981</v>
      </c>
      <c r="V22" s="133">
        <f t="shared" si="8"/>
        <v>498250.31192280981</v>
      </c>
      <c r="W22" s="133">
        <f t="shared" si="8"/>
        <v>498250.31192280981</v>
      </c>
      <c r="X22" s="133">
        <f t="shared" si="8"/>
        <v>498250.31192280981</v>
      </c>
      <c r="Y22" s="133">
        <f t="shared" si="8"/>
        <v>498250.31192280981</v>
      </c>
      <c r="Z22" s="133">
        <f t="shared" si="8"/>
        <v>498250.31192280981</v>
      </c>
      <c r="AA22" s="133">
        <f t="shared" si="8"/>
        <v>498250.31192280981</v>
      </c>
      <c r="AB22" s="40"/>
    </row>
    <row r="23" spans="1:29" ht="13" x14ac:dyDescent="0.3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s="101" customFormat="1" ht="13" x14ac:dyDescent="0.3">
      <c r="A25" s="102"/>
      <c r="B25" s="97" t="s">
        <v>25</v>
      </c>
      <c r="AC25" s="116"/>
    </row>
    <row r="26" spans="1:29" s="101" customFormat="1" x14ac:dyDescent="0.25">
      <c r="A26" s="103">
        <f>MAX($A$8:A25)+1</f>
        <v>11</v>
      </c>
      <c r="B26" s="101" t="s">
        <v>26</v>
      </c>
      <c r="C26" s="129">
        <v>50227.91</v>
      </c>
      <c r="D26" s="129">
        <v>12714792.879999999</v>
      </c>
      <c r="E26" s="129">
        <v>12821760.26</v>
      </c>
      <c r="F26" s="129">
        <v>13056509.630000001</v>
      </c>
      <c r="G26" s="129">
        <v>13607877.880000001</v>
      </c>
      <c r="H26" s="129">
        <v>13341170.950000001</v>
      </c>
      <c r="I26" s="129">
        <v>13909969.380000001</v>
      </c>
      <c r="J26" s="129">
        <v>13976636.380000001</v>
      </c>
      <c r="K26" s="129">
        <v>14008605.99</v>
      </c>
      <c r="L26" s="129">
        <v>14778777.76</v>
      </c>
      <c r="M26" s="129">
        <v>14214469.85</v>
      </c>
      <c r="N26" s="129">
        <v>620992239.85000002</v>
      </c>
      <c r="O26" s="129">
        <v>636087730.42999995</v>
      </c>
      <c r="P26" s="129">
        <v>636976177.05999994</v>
      </c>
      <c r="Q26" s="129">
        <v>637215845.11999989</v>
      </c>
      <c r="R26" s="129">
        <v>637811312.8499999</v>
      </c>
      <c r="S26" s="129">
        <v>637634324.53999996</v>
      </c>
      <c r="T26" s="129">
        <v>639392130.79999995</v>
      </c>
      <c r="U26" s="129">
        <v>639392130.79999995</v>
      </c>
      <c r="V26" s="129">
        <v>639392130.79999995</v>
      </c>
      <c r="W26" s="129">
        <v>639392130.79999995</v>
      </c>
      <c r="X26" s="129">
        <v>639392130.79999995</v>
      </c>
      <c r="Y26" s="129">
        <v>639392130.79999995</v>
      </c>
      <c r="Z26" s="129">
        <v>639392130.79999995</v>
      </c>
      <c r="AA26" s="129">
        <v>639392130.79999995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-36.564014174522974</v>
      </c>
      <c r="D27" s="129">
        <f t="shared" ref="D27:O27" si="9">C27-D35</f>
        <v>-9329.01518531902</v>
      </c>
      <c r="E27" s="129">
        <f t="shared" si="9"/>
        <v>-27918.657696413335</v>
      </c>
      <c r="F27" s="129">
        <f t="shared" si="9"/>
        <v>-46757.057045900321</v>
      </c>
      <c r="G27" s="129">
        <f t="shared" si="9"/>
        <v>-66167.720218439528</v>
      </c>
      <c r="H27" s="129">
        <f t="shared" si="9"/>
        <v>-85785.606039490653</v>
      </c>
      <c r="I27" s="129">
        <f t="shared" si="9"/>
        <v>-105623.40301925817</v>
      </c>
      <c r="J27" s="129">
        <f t="shared" si="9"/>
        <v>-125923.79473947854</v>
      </c>
      <c r="K27" s="129">
        <f t="shared" si="9"/>
        <v>-146295.99017214021</v>
      </c>
      <c r="L27" s="129">
        <f t="shared" si="9"/>
        <v>-167252.11411762057</v>
      </c>
      <c r="M27" s="129">
        <f t="shared" si="9"/>
        <v>-188358.09914820406</v>
      </c>
      <c r="N27" s="129">
        <f t="shared" si="9"/>
        <v>-650764.50103159714</v>
      </c>
      <c r="O27" s="129">
        <f t="shared" si="9"/>
        <v>-1565871.0593539886</v>
      </c>
      <c r="P27" s="129">
        <f>O27-P35</f>
        <v>-2474630.4483512491</v>
      </c>
      <c r="Q27" s="129">
        <f t="shared" ref="Q27:AA27" si="10">P27-Q35</f>
        <v>-3384195.1267062328</v>
      </c>
      <c r="R27" s="129">
        <f t="shared" si="10"/>
        <v>-4294355.9554082528</v>
      </c>
      <c r="S27" s="129">
        <f t="shared" si="10"/>
        <v>-5204815.5099635394</v>
      </c>
      <c r="T27" s="129">
        <f t="shared" si="10"/>
        <v>-6116403.5099534234</v>
      </c>
      <c r="U27" s="129">
        <f t="shared" si="10"/>
        <v>-7029246.2960804487</v>
      </c>
      <c r="V27" s="129">
        <f t="shared" si="10"/>
        <v>-7942089.0822074739</v>
      </c>
      <c r="W27" s="129">
        <f t="shared" si="10"/>
        <v>-8854931.8683344983</v>
      </c>
      <c r="X27" s="129">
        <f>W27-X35</f>
        <v>-9767774.6544615235</v>
      </c>
      <c r="Y27" s="129">
        <f t="shared" si="10"/>
        <v>-10680617.440588549</v>
      </c>
      <c r="Z27" s="129">
        <f t="shared" si="10"/>
        <v>-11593460.226715574</v>
      </c>
      <c r="AA27" s="129">
        <f t="shared" si="10"/>
        <v>-12506303.012842599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2672045</v>
      </c>
      <c r="O28" s="130">
        <v>1847492</v>
      </c>
      <c r="P28" s="130">
        <v>823167</v>
      </c>
      <c r="Q28" s="130">
        <v>-199272</v>
      </c>
      <c r="R28" s="130">
        <v>-1222296</v>
      </c>
      <c r="S28" s="130">
        <v>-2245338</v>
      </c>
      <c r="T28" s="130">
        <v>-3268075</v>
      </c>
      <c r="U28" s="130">
        <v>-4291188</v>
      </c>
      <c r="V28" s="130">
        <v>-5314301</v>
      </c>
      <c r="W28" s="130">
        <v>-6337414</v>
      </c>
      <c r="X28" s="130">
        <v>-7360527</v>
      </c>
      <c r="Y28" s="130">
        <v>-8383640</v>
      </c>
      <c r="Z28" s="130">
        <v>-9406753</v>
      </c>
      <c r="AA28" s="130">
        <v>-10429865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1">SUM(C26:C28)</f>
        <v>50191.345985825479</v>
      </c>
      <c r="D29" s="129">
        <f t="shared" si="11"/>
        <v>12705463.86481468</v>
      </c>
      <c r="E29" s="129">
        <f t="shared" si="11"/>
        <v>12793841.602303587</v>
      </c>
      <c r="F29" s="129">
        <f t="shared" si="11"/>
        <v>13009752.5729541</v>
      </c>
      <c r="G29" s="129">
        <f t="shared" si="11"/>
        <v>13541710.159781562</v>
      </c>
      <c r="H29" s="129">
        <f t="shared" si="11"/>
        <v>13255385.343960511</v>
      </c>
      <c r="I29" s="129">
        <f t="shared" si="11"/>
        <v>13804345.976980742</v>
      </c>
      <c r="J29" s="129">
        <f t="shared" si="11"/>
        <v>13850712.585260522</v>
      </c>
      <c r="K29" s="129">
        <f t="shared" si="11"/>
        <v>13862309.99982786</v>
      </c>
      <c r="L29" s="129">
        <f t="shared" ref="L29:O29" si="12">SUM(L26:L28)</f>
        <v>14611525.645882379</v>
      </c>
      <c r="M29" s="129">
        <f t="shared" si="12"/>
        <v>14026111.750851795</v>
      </c>
      <c r="N29" s="129">
        <f t="shared" si="12"/>
        <v>623013520.34896839</v>
      </c>
      <c r="O29" s="129">
        <f t="shared" si="12"/>
        <v>636369351.370646</v>
      </c>
      <c r="P29" s="129">
        <f>SUM(P26:P28)</f>
        <v>635324713.61164868</v>
      </c>
      <c r="Q29" s="129">
        <f t="shared" ref="Q29:AA29" si="13">SUM(Q26:Q28)</f>
        <v>633632377.99329364</v>
      </c>
      <c r="R29" s="129">
        <f t="shared" si="13"/>
        <v>632294660.89459169</v>
      </c>
      <c r="S29" s="129">
        <f t="shared" si="13"/>
        <v>630184171.03003645</v>
      </c>
      <c r="T29" s="129">
        <f t="shared" si="13"/>
        <v>630007652.29004657</v>
      </c>
      <c r="U29" s="129">
        <f t="shared" si="13"/>
        <v>628071696.50391948</v>
      </c>
      <c r="V29" s="129">
        <f t="shared" si="13"/>
        <v>626135740.71779251</v>
      </c>
      <c r="W29" s="129">
        <f t="shared" si="13"/>
        <v>624199784.93166542</v>
      </c>
      <c r="X29" s="129">
        <f t="shared" si="13"/>
        <v>622263829.14553845</v>
      </c>
      <c r="Y29" s="129">
        <f t="shared" si="13"/>
        <v>620327873.35941136</v>
      </c>
      <c r="Z29" s="129">
        <f t="shared" si="13"/>
        <v>618391917.57328439</v>
      </c>
      <c r="AA29" s="129">
        <f t="shared" si="13"/>
        <v>616455962.7871573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MAX($A$26:A31)+1</f>
        <v>16</v>
      </c>
      <c r="B32" s="101" t="s">
        <v>31</v>
      </c>
      <c r="C32" s="131">
        <f t="shared" ref="C32:N32" si="14">C29*C31/12</f>
        <v>299.857572757414</v>
      </c>
      <c r="D32" s="131">
        <f t="shared" si="14"/>
        <v>75906.10453715059</v>
      </c>
      <c r="E32" s="131">
        <f t="shared" si="14"/>
        <v>76434.098623156955</v>
      </c>
      <c r="F32" s="131">
        <f t="shared" si="14"/>
        <v>77724.013016152996</v>
      </c>
      <c r="G32" s="131">
        <f t="shared" si="14"/>
        <v>80902.081020964455</v>
      </c>
      <c r="H32" s="131">
        <f t="shared" si="14"/>
        <v>79191.494014260927</v>
      </c>
      <c r="I32" s="131">
        <f t="shared" si="14"/>
        <v>82471.143119572982</v>
      </c>
      <c r="J32" s="131">
        <f t="shared" si="14"/>
        <v>82748.150606475101</v>
      </c>
      <c r="K32" s="131">
        <f t="shared" si="14"/>
        <v>82817.43690502159</v>
      </c>
      <c r="L32" s="131">
        <f t="shared" si="14"/>
        <v>87293.467198395898</v>
      </c>
      <c r="M32" s="131">
        <f t="shared" si="14"/>
        <v>83796.035795143442</v>
      </c>
      <c r="N32" s="131">
        <f t="shared" si="14"/>
        <v>3722062.4061297714</v>
      </c>
      <c r="O32" s="131">
        <f>O29*O31/12</f>
        <v>3801853.9915845511</v>
      </c>
      <c r="P32" s="131">
        <f>P29*P31/12</f>
        <v>3795613.0244084136</v>
      </c>
      <c r="Q32" s="131">
        <f t="shared" ref="Q32:AA32" si="15">Q29*Q31/12</f>
        <v>3785502.523467591</v>
      </c>
      <c r="R32" s="131">
        <f t="shared" si="15"/>
        <v>3777510.6158115151</v>
      </c>
      <c r="S32" s="131">
        <f t="shared" si="15"/>
        <v>3764901.9408360845</v>
      </c>
      <c r="T32" s="131">
        <f t="shared" si="15"/>
        <v>3763847.3669871483</v>
      </c>
      <c r="U32" s="131">
        <f t="shared" si="15"/>
        <v>3752281.4089202401</v>
      </c>
      <c r="V32" s="131">
        <f t="shared" si="15"/>
        <v>3740715.4508533329</v>
      </c>
      <c r="W32" s="131">
        <f t="shared" si="15"/>
        <v>3729149.4927864242</v>
      </c>
      <c r="X32" s="131">
        <f t="shared" si="15"/>
        <v>3717583.534719517</v>
      </c>
      <c r="Y32" s="131">
        <f t="shared" si="15"/>
        <v>3706017.5766526088</v>
      </c>
      <c r="Z32" s="131">
        <f t="shared" si="15"/>
        <v>3694451.6185857016</v>
      </c>
      <c r="AA32" s="131">
        <f t="shared" si="15"/>
        <v>3682885.666493081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1" t="s">
        <v>32</v>
      </c>
      <c r="C34" s="107">
        <f t="shared" ref="C34:Z34" si="16">C16</f>
        <v>1.7471090080963977E-2</v>
      </c>
      <c r="D34" s="107">
        <f t="shared" si="16"/>
        <v>1.7471090080963977E-2</v>
      </c>
      <c r="E34" s="107">
        <f t="shared" si="16"/>
        <v>1.7471090080963977E-2</v>
      </c>
      <c r="F34" s="107">
        <f t="shared" si="16"/>
        <v>1.7471090080963977E-2</v>
      </c>
      <c r="G34" s="107">
        <f t="shared" si="16"/>
        <v>1.7471090080963977E-2</v>
      </c>
      <c r="H34" s="107">
        <f t="shared" si="16"/>
        <v>1.7471090080963977E-2</v>
      </c>
      <c r="I34" s="107">
        <f t="shared" si="16"/>
        <v>1.7471090080963977E-2</v>
      </c>
      <c r="J34" s="107">
        <f t="shared" si="16"/>
        <v>1.7471090080963977E-2</v>
      </c>
      <c r="K34" s="107">
        <f t="shared" si="16"/>
        <v>1.7471090080963977E-2</v>
      </c>
      <c r="L34" s="107">
        <f t="shared" si="16"/>
        <v>1.7471090080963977E-2</v>
      </c>
      <c r="M34" s="107">
        <f t="shared" si="16"/>
        <v>1.7471090080963977E-2</v>
      </c>
      <c r="N34" s="107">
        <f t="shared" si="16"/>
        <v>1.7471090080963977E-2</v>
      </c>
      <c r="O34" s="107">
        <f t="shared" si="16"/>
        <v>1.7471090080963977E-2</v>
      </c>
      <c r="P34" s="107">
        <f t="shared" si="16"/>
        <v>1.7132074209012617E-2</v>
      </c>
      <c r="Q34" s="107">
        <f t="shared" si="16"/>
        <v>1.7132074209012617E-2</v>
      </c>
      <c r="R34" s="107">
        <f t="shared" si="16"/>
        <v>1.7132074209012617E-2</v>
      </c>
      <c r="S34" s="107">
        <f t="shared" si="16"/>
        <v>1.7132074209012617E-2</v>
      </c>
      <c r="T34" s="107">
        <f t="shared" si="16"/>
        <v>1.7132074209012617E-2</v>
      </c>
      <c r="U34" s="107">
        <f t="shared" si="16"/>
        <v>1.7132074209012617E-2</v>
      </c>
      <c r="V34" s="107">
        <f t="shared" si="16"/>
        <v>1.7132074209012617E-2</v>
      </c>
      <c r="W34" s="107">
        <f t="shared" si="16"/>
        <v>1.7132074209012617E-2</v>
      </c>
      <c r="X34" s="107">
        <f t="shared" si="16"/>
        <v>1.7132074209012617E-2</v>
      </c>
      <c r="Y34" s="107">
        <f t="shared" si="16"/>
        <v>1.7132074209012617E-2</v>
      </c>
      <c r="Z34" s="107">
        <f t="shared" si="16"/>
        <v>1.7132074209012617E-2</v>
      </c>
      <c r="AA34" s="107">
        <f>AA16</f>
        <v>1.7132074209012617E-2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f>(((C26)/2)*C34)/12</f>
        <v>36.564014174522974</v>
      </c>
      <c r="D35" s="131">
        <f t="shared" ref="D35:Z35" si="17">(((D26+C26)/2)*D34)/12</f>
        <v>9292.4511711444975</v>
      </c>
      <c r="E35" s="131">
        <f t="shared" si="17"/>
        <v>18589.642511094313</v>
      </c>
      <c r="F35" s="131">
        <f t="shared" si="17"/>
        <v>18838.39934948699</v>
      </c>
      <c r="G35" s="131">
        <f t="shared" si="17"/>
        <v>19410.6631725392</v>
      </c>
      <c r="H35" s="131">
        <f t="shared" si="17"/>
        <v>19617.885821051121</v>
      </c>
      <c r="I35" s="131">
        <f t="shared" si="17"/>
        <v>19837.796979767518</v>
      </c>
      <c r="J35" s="131">
        <f t="shared" si="17"/>
        <v>20300.39172022037</v>
      </c>
      <c r="K35" s="131">
        <f t="shared" si="17"/>
        <v>20372.195432661658</v>
      </c>
      <c r="L35" s="131">
        <f t="shared" si="17"/>
        <v>20956.123945480358</v>
      </c>
      <c r="M35" s="131">
        <f t="shared" si="17"/>
        <v>21105.985030583481</v>
      </c>
      <c r="N35" s="131">
        <f t="shared" si="17"/>
        <v>462406.40188339312</v>
      </c>
      <c r="O35" s="131">
        <f t="shared" si="17"/>
        <v>915106.55832239159</v>
      </c>
      <c r="P35" s="131">
        <f t="shared" si="17"/>
        <v>908759.38899726036</v>
      </c>
      <c r="Q35" s="131">
        <f t="shared" si="17"/>
        <v>909564.67835498368</v>
      </c>
      <c r="R35" s="131">
        <f t="shared" si="17"/>
        <v>910160.82870202034</v>
      </c>
      <c r="S35" s="131">
        <f t="shared" si="17"/>
        <v>910459.55455528654</v>
      </c>
      <c r="T35" s="131">
        <f t="shared" si="17"/>
        <v>911587.99998988397</v>
      </c>
      <c r="U35" s="131">
        <f t="shared" si="17"/>
        <v>912842.78612702515</v>
      </c>
      <c r="V35" s="131">
        <f t="shared" si="17"/>
        <v>912842.78612702515</v>
      </c>
      <c r="W35" s="131">
        <f t="shared" si="17"/>
        <v>912842.78612702515</v>
      </c>
      <c r="X35" s="131">
        <f t="shared" si="17"/>
        <v>912842.78612702515</v>
      </c>
      <c r="Y35" s="131">
        <f t="shared" si="17"/>
        <v>912842.78612702515</v>
      </c>
      <c r="Z35" s="131">
        <f t="shared" si="17"/>
        <v>912842.78612702515</v>
      </c>
      <c r="AA35" s="131">
        <f>(((AA26+Z26)/2)*AA34)/12</f>
        <v>912842.78612702515</v>
      </c>
      <c r="AC35" s="116"/>
    </row>
    <row r="36" spans="1:29" s="101" customFormat="1" x14ac:dyDescent="0.25">
      <c r="A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6"/>
    </row>
    <row r="37" spans="1:29" s="101" customFormat="1" x14ac:dyDescent="0.25">
      <c r="A37" s="103"/>
      <c r="B37" s="101" t="s">
        <v>34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31">
        <f>-0.21*O35</f>
        <v>-192172.37724770221</v>
      </c>
      <c r="P37" s="131">
        <f t="shared" ref="P37:AA37" si="18">-0.21*P35</f>
        <v>-190839.47168942468</v>
      </c>
      <c r="Q37" s="131">
        <f t="shared" si="18"/>
        <v>-191008.58245454656</v>
      </c>
      <c r="R37" s="131">
        <f t="shared" si="18"/>
        <v>-191133.77402742425</v>
      </c>
      <c r="S37" s="131">
        <f t="shared" si="18"/>
        <v>-191196.50645661016</v>
      </c>
      <c r="T37" s="131">
        <f t="shared" si="18"/>
        <v>-191433.47999787563</v>
      </c>
      <c r="U37" s="131">
        <f t="shared" si="18"/>
        <v>-191696.98508667527</v>
      </c>
      <c r="V37" s="131">
        <f t="shared" si="18"/>
        <v>-191696.98508667527</v>
      </c>
      <c r="W37" s="131">
        <f t="shared" si="18"/>
        <v>-191696.98508667527</v>
      </c>
      <c r="X37" s="131">
        <f t="shared" si="18"/>
        <v>-191696.98508667527</v>
      </c>
      <c r="Y37" s="131">
        <f t="shared" si="18"/>
        <v>-191696.98508667527</v>
      </c>
      <c r="Z37" s="131">
        <f t="shared" si="18"/>
        <v>-191696.98508667527</v>
      </c>
      <c r="AA37" s="131">
        <f t="shared" si="18"/>
        <v>-191696.98508667527</v>
      </c>
      <c r="AC37" s="116"/>
    </row>
    <row r="38" spans="1:29" s="101" customFormat="1" x14ac:dyDescent="0.25">
      <c r="A38" s="103">
        <f>MAX($A$8:A35)+1</f>
        <v>19</v>
      </c>
      <c r="B38" s="101" t="s">
        <v>35</v>
      </c>
      <c r="C38" s="129">
        <f>(C35+C32)/Variables!$C$34</f>
        <v>446.68603456408016</v>
      </c>
      <c r="D38" s="129">
        <f>(D35+D32)/Variables!$C$34</f>
        <v>113122.95785473689</v>
      </c>
      <c r="E38" s="129">
        <f>(E35+E32)/Variables!$C$34</f>
        <v>126168.41417280922</v>
      </c>
      <c r="F38" s="129">
        <f>(F35+F32)/Variables!$C$34</f>
        <v>128211.39529395205</v>
      </c>
      <c r="G38" s="129">
        <f>(G35+G32)/Variables!$C$34</f>
        <v>133190.92371174888</v>
      </c>
      <c r="H38" s="129">
        <f>(H35+H32)/Variables!$C$34</f>
        <v>131194.82152999012</v>
      </c>
      <c r="I38" s="129">
        <f>(I35+I32)/Variables!$C$34</f>
        <v>135841.38630995221</v>
      </c>
      <c r="J38" s="129">
        <f>(J35+J32)/Variables!$C$34</f>
        <v>136823.39816330807</v>
      </c>
      <c r="K38" s="129">
        <f>(K35+K32)/Variables!$C$34</f>
        <v>137010.73137845483</v>
      </c>
      <c r="L38" s="129">
        <f>(L35+L32)/Variables!$C$34</f>
        <v>143729.12586320954</v>
      </c>
      <c r="M38" s="129">
        <f>(M35+M32)/Variables!$C$34</f>
        <v>139284.36676057483</v>
      </c>
      <c r="N38" s="129">
        <f>(N35+N32)/Variables!$C$34</f>
        <v>5555956.7257693214</v>
      </c>
      <c r="O38" s="129">
        <f>(O35+O32+O37)/Variables!$C$34</f>
        <v>6007818.0610226924</v>
      </c>
      <c r="P38" s="129">
        <f>(P35+P32+P37)/Variables!$C$34</f>
        <v>5992873.8521094723</v>
      </c>
      <c r="Q38" s="129">
        <f>(Q35+Q32+Q37)/Variables!$C$34</f>
        <v>5980294.2566129304</v>
      </c>
      <c r="R38" s="129">
        <f>(R35+R32+R37)/Variables!$C$34</f>
        <v>5970308.2659312375</v>
      </c>
      <c r="S38" s="129">
        <f>(S35+S32+S37)/Variables!$C$34</f>
        <v>5953880.3544244319</v>
      </c>
      <c r="T38" s="129">
        <f>(T35+T32+T37)/Variables!$C$34</f>
        <v>5953663.7947011311</v>
      </c>
      <c r="U38" s="129">
        <f>(U35+U32+U37)/Variables!$C$34</f>
        <v>5939623.1958581815</v>
      </c>
      <c r="V38" s="129">
        <f>(V35+V32+V37)/Variables!$C$34</f>
        <v>5924266.4169072332</v>
      </c>
      <c r="W38" s="129">
        <f>(W35+W32+W37)/Variables!$C$34</f>
        <v>5908909.6379562821</v>
      </c>
      <c r="X38" s="129">
        <f>(X35+X32+X37)/Variables!$C$34</f>
        <v>5893552.8590053339</v>
      </c>
      <c r="Y38" s="129">
        <f>(Y35+Y32+Y37)/Variables!$C$34</f>
        <v>5878196.0800543828</v>
      </c>
      <c r="Z38" s="129">
        <f>(Z35+Z32+Z37)/Variables!$C$34</f>
        <v>5862839.3011034345</v>
      </c>
      <c r="AA38" s="129">
        <f>(AA35+AA32+AA37)/Variables!$C$34</f>
        <v>5847482.5300848838</v>
      </c>
      <c r="AC38" s="116"/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19">P38*$P$46</f>
        <v>468109.61756539153</v>
      </c>
      <c r="Q40" s="133">
        <f t="shared" si="19"/>
        <v>467127.01226076949</v>
      </c>
      <c r="R40" s="133">
        <f t="shared" si="19"/>
        <v>466346.99612921459</v>
      </c>
      <c r="S40" s="133">
        <f t="shared" si="19"/>
        <v>465063.79485339567</v>
      </c>
      <c r="T40" s="133">
        <f t="shared" si="19"/>
        <v>465046.87914788339</v>
      </c>
      <c r="U40" s="133">
        <f t="shared" si="19"/>
        <v>463950.15335038496</v>
      </c>
      <c r="V40" s="133">
        <f t="shared" si="19"/>
        <v>462750.61935398116</v>
      </c>
      <c r="W40" s="133">
        <f t="shared" si="19"/>
        <v>461551.08535757713</v>
      </c>
      <c r="X40" s="133">
        <f t="shared" si="19"/>
        <v>460351.55136117339</v>
      </c>
      <c r="Y40" s="133">
        <f t="shared" si="19"/>
        <v>459152.01736476936</v>
      </c>
      <c r="Z40" s="133">
        <f t="shared" si="19"/>
        <v>457952.48336836556</v>
      </c>
      <c r="AA40" s="32">
        <f t="shared" si="19"/>
        <v>456752.94999156962</v>
      </c>
    </row>
    <row r="41" spans="1:29" ht="13" x14ac:dyDescent="0.3">
      <c r="A41" s="25"/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9" s="22" customFormat="1" ht="13" x14ac:dyDescent="0.3">
      <c r="A42" s="19" t="s">
        <v>40</v>
      </c>
      <c r="B42" s="2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ht="13" thickBot="1" x14ac:dyDescent="0.3">
      <c r="A43" s="25">
        <f>MAX($A$8:A42)+1</f>
        <v>21</v>
      </c>
      <c r="B43" s="2" t="s">
        <v>41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32">
        <f t="shared" ref="P43:AA43" si="20">P40-P22</f>
        <v>-30140.694357418281</v>
      </c>
      <c r="Q43" s="132">
        <f t="shared" si="20"/>
        <v>-31123.299662040314</v>
      </c>
      <c r="R43" s="132">
        <f t="shared" si="20"/>
        <v>-31903.315793595219</v>
      </c>
      <c r="S43" s="132">
        <f t="shared" si="20"/>
        <v>-33186.517069414142</v>
      </c>
      <c r="T43" s="132">
        <f t="shared" si="20"/>
        <v>-33203.432774926419</v>
      </c>
      <c r="U43" s="132">
        <f t="shared" si="20"/>
        <v>-34300.158572424843</v>
      </c>
      <c r="V43" s="132">
        <f t="shared" si="20"/>
        <v>-35499.692568828643</v>
      </c>
      <c r="W43" s="132">
        <f t="shared" si="20"/>
        <v>-36699.226565232675</v>
      </c>
      <c r="X43" s="132">
        <f t="shared" si="20"/>
        <v>-37898.760561636416</v>
      </c>
      <c r="Y43" s="132">
        <f t="shared" si="20"/>
        <v>-39098.294558040448</v>
      </c>
      <c r="Z43" s="132">
        <f t="shared" si="20"/>
        <v>-40297.828554444248</v>
      </c>
      <c r="AA43" s="132">
        <f t="shared" si="20"/>
        <v>-41497.361931240186</v>
      </c>
    </row>
    <row r="44" spans="1:29" ht="13.5" thickBot="1" x14ac:dyDescent="0.35">
      <c r="A44" s="25">
        <f>MAX($A$8:A43)+1</f>
        <v>22</v>
      </c>
      <c r="B44" s="2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32">
        <f>O44+P43</f>
        <v>-30140.694357418281</v>
      </c>
      <c r="Q44" s="132">
        <f t="shared" ref="Q44:AA44" si="21">P44+Q43</f>
        <v>-61263.994019458594</v>
      </c>
      <c r="R44" s="132">
        <f t="shared" si="21"/>
        <v>-93167.309813053813</v>
      </c>
      <c r="S44" s="132">
        <f t="shared" si="21"/>
        <v>-126353.82688246795</v>
      </c>
      <c r="T44" s="132">
        <f t="shared" si="21"/>
        <v>-159557.25965739437</v>
      </c>
      <c r="U44" s="132">
        <f t="shared" si="21"/>
        <v>-193857.41822981922</v>
      </c>
      <c r="V44" s="132">
        <f t="shared" si="21"/>
        <v>-229357.11079864786</v>
      </c>
      <c r="W44" s="132">
        <f t="shared" si="21"/>
        <v>-266056.33736388054</v>
      </c>
      <c r="X44" s="132">
        <f t="shared" si="21"/>
        <v>-303955.09792551695</v>
      </c>
      <c r="Y44" s="132">
        <f t="shared" si="21"/>
        <v>-343053.3924835574</v>
      </c>
      <c r="Z44" s="132">
        <f t="shared" si="21"/>
        <v>-383351.22103800165</v>
      </c>
      <c r="AA44" s="36">
        <f t="shared" si="21"/>
        <v>-424848.58296924183</v>
      </c>
    </row>
    <row r="46" spans="1:29" ht="13" x14ac:dyDescent="0.3">
      <c r="B46" s="37" t="s">
        <v>43</v>
      </c>
      <c r="P46" s="38">
        <v>7.8111041399714837E-2</v>
      </c>
    </row>
  </sheetData>
  <pageMargins left="0.7" right="0.7" top="0.75" bottom="0.75" header="0.3" footer="0.3"/>
  <pageSetup scale="53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E3B5-4A13-4EEA-975C-6EC006DDD3F0}">
  <sheetPr>
    <tabColor rgb="FFFFC000"/>
    <pageSetUpPr fitToPage="1"/>
  </sheetPr>
  <dimension ref="A1:AC46"/>
  <sheetViews>
    <sheetView zoomScale="60" zoomScaleNormal="60" workbookViewId="0">
      <selection activeCell="H36" sqref="H36"/>
    </sheetView>
  </sheetViews>
  <sheetFormatPr defaultColWidth="9.08984375" defaultRowHeight="12.5" outlineLevelCol="1" x14ac:dyDescent="0.25"/>
  <cols>
    <col min="1" max="1" width="9.36328125" style="2" customWidth="1"/>
    <col min="2" max="2" width="41.6328125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30574023</v>
      </c>
      <c r="P8" s="129">
        <f t="shared" ref="P8:AA10" si="0">O8</f>
        <v>30574023</v>
      </c>
      <c r="Q8" s="129">
        <f t="shared" si="0"/>
        <v>30574023</v>
      </c>
      <c r="R8" s="129">
        <f t="shared" si="0"/>
        <v>30574023</v>
      </c>
      <c r="S8" s="129">
        <f t="shared" si="0"/>
        <v>30574023</v>
      </c>
      <c r="T8" s="129">
        <f t="shared" si="0"/>
        <v>30574023</v>
      </c>
      <c r="U8" s="129">
        <f t="shared" si="0"/>
        <v>30574023</v>
      </c>
      <c r="V8" s="129">
        <f t="shared" si="0"/>
        <v>30574023</v>
      </c>
      <c r="W8" s="129">
        <f t="shared" si="0"/>
        <v>30574023</v>
      </c>
      <c r="X8" s="129">
        <f t="shared" si="0"/>
        <v>30574023</v>
      </c>
      <c r="Y8" s="129">
        <f t="shared" si="0"/>
        <v>30574023</v>
      </c>
      <c r="Z8" s="129">
        <f t="shared" si="0"/>
        <v>30574023</v>
      </c>
      <c r="AA8" s="129">
        <f>Z8</f>
        <v>30574023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0</v>
      </c>
      <c r="E9" s="129">
        <f t="shared" si="1"/>
        <v>0</v>
      </c>
      <c r="F9" s="129">
        <f t="shared" si="1"/>
        <v>0</v>
      </c>
      <c r="G9" s="129">
        <f t="shared" si="1"/>
        <v>0</v>
      </c>
      <c r="H9" s="129">
        <f t="shared" si="1"/>
        <v>0</v>
      </c>
      <c r="I9" s="129">
        <f t="shared" si="1"/>
        <v>0</v>
      </c>
      <c r="J9" s="129">
        <f t="shared" si="1"/>
        <v>0</v>
      </c>
      <c r="K9" s="129">
        <f t="shared" si="1"/>
        <v>0</v>
      </c>
      <c r="L9" s="129">
        <f t="shared" si="1"/>
        <v>0</v>
      </c>
      <c r="M9" s="129">
        <f t="shared" si="1"/>
        <v>0</v>
      </c>
      <c r="N9" s="129">
        <f t="shared" si="1"/>
        <v>0</v>
      </c>
      <c r="O9" s="129">
        <v>-293537.37734372116</v>
      </c>
      <c r="P9" s="129">
        <f t="shared" si="0"/>
        <v>-293537.37734372116</v>
      </c>
      <c r="Q9" s="129">
        <f t="shared" si="0"/>
        <v>-293537.37734372116</v>
      </c>
      <c r="R9" s="129">
        <f t="shared" si="0"/>
        <v>-293537.37734372116</v>
      </c>
      <c r="S9" s="129">
        <f t="shared" si="0"/>
        <v>-293537.37734372116</v>
      </c>
      <c r="T9" s="129">
        <f t="shared" si="0"/>
        <v>-293537.37734372116</v>
      </c>
      <c r="U9" s="129">
        <f t="shared" si="0"/>
        <v>-293537.37734372116</v>
      </c>
      <c r="V9" s="129">
        <f t="shared" si="0"/>
        <v>-293537.37734372116</v>
      </c>
      <c r="W9" s="129">
        <f t="shared" si="0"/>
        <v>-293537.37734372116</v>
      </c>
      <c r="X9" s="129">
        <f t="shared" si="0"/>
        <v>-293537.37734372116</v>
      </c>
      <c r="Y9" s="129">
        <f t="shared" si="0"/>
        <v>-293537.37734372116</v>
      </c>
      <c r="Z9" s="129">
        <f t="shared" si="0"/>
        <v>-293537.37734372116</v>
      </c>
      <c r="AA9" s="129">
        <f t="shared" si="0"/>
        <v>-293537.37734372116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-303684</v>
      </c>
      <c r="P10" s="130">
        <f t="shared" si="0"/>
        <v>-303684</v>
      </c>
      <c r="Q10" s="130">
        <f t="shared" si="0"/>
        <v>-303684</v>
      </c>
      <c r="R10" s="130">
        <f t="shared" si="0"/>
        <v>-303684</v>
      </c>
      <c r="S10" s="130">
        <f t="shared" si="0"/>
        <v>-303684</v>
      </c>
      <c r="T10" s="130">
        <f t="shared" si="0"/>
        <v>-303684</v>
      </c>
      <c r="U10" s="130">
        <f t="shared" si="0"/>
        <v>-303684</v>
      </c>
      <c r="V10" s="130">
        <f t="shared" si="0"/>
        <v>-303684</v>
      </c>
      <c r="W10" s="130">
        <f t="shared" si="0"/>
        <v>-303684</v>
      </c>
      <c r="X10" s="130">
        <f t="shared" si="0"/>
        <v>-303684</v>
      </c>
      <c r="Y10" s="130">
        <f t="shared" si="0"/>
        <v>-303684</v>
      </c>
      <c r="Z10" s="130">
        <f t="shared" si="0"/>
        <v>-303684</v>
      </c>
      <c r="AA10" s="130">
        <f t="shared" si="0"/>
        <v>-303684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0</v>
      </c>
      <c r="E11" s="129">
        <f t="shared" si="2"/>
        <v>0</v>
      </c>
      <c r="F11" s="129">
        <f t="shared" si="2"/>
        <v>0</v>
      </c>
      <c r="G11" s="129">
        <f t="shared" si="2"/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29">
        <f t="shared" si="2"/>
        <v>0</v>
      </c>
      <c r="L11" s="129">
        <f t="shared" ref="L11:AA11" si="3">SUM(L8:L10)</f>
        <v>0</v>
      </c>
      <c r="M11" s="129">
        <f t="shared" si="3"/>
        <v>0</v>
      </c>
      <c r="N11" s="129">
        <f t="shared" si="3"/>
        <v>0</v>
      </c>
      <c r="O11" s="129">
        <f t="shared" si="3"/>
        <v>29976801.622656278</v>
      </c>
      <c r="P11" s="129">
        <f t="shared" si="3"/>
        <v>29976801.622656278</v>
      </c>
      <c r="Q11" s="129">
        <f t="shared" si="3"/>
        <v>29976801.622656278</v>
      </c>
      <c r="R11" s="129">
        <f t="shared" si="3"/>
        <v>29976801.622656278</v>
      </c>
      <c r="S11" s="129">
        <f t="shared" si="3"/>
        <v>29976801.622656278</v>
      </c>
      <c r="T11" s="129">
        <f t="shared" si="3"/>
        <v>29976801.622656278</v>
      </c>
      <c r="U11" s="129">
        <f t="shared" si="3"/>
        <v>29976801.622656278</v>
      </c>
      <c r="V11" s="129">
        <f t="shared" si="3"/>
        <v>29976801.622656278</v>
      </c>
      <c r="W11" s="129">
        <f t="shared" si="3"/>
        <v>29976801.622656278</v>
      </c>
      <c r="X11" s="129">
        <f t="shared" si="3"/>
        <v>29976801.622656278</v>
      </c>
      <c r="Y11" s="129">
        <f t="shared" si="3"/>
        <v>29976801.622656278</v>
      </c>
      <c r="Z11" s="129">
        <f t="shared" si="3"/>
        <v>29976801.622656278</v>
      </c>
      <c r="AA11" s="129">
        <f t="shared" si="3"/>
        <v>29976801.622656278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0</v>
      </c>
      <c r="D14" s="131">
        <f t="shared" si="4"/>
        <v>0</v>
      </c>
      <c r="E14" s="131">
        <f t="shared" si="4"/>
        <v>0</v>
      </c>
      <c r="F14" s="131">
        <f t="shared" si="4"/>
        <v>0</v>
      </c>
      <c r="G14" s="131">
        <f t="shared" si="4"/>
        <v>0</v>
      </c>
      <c r="H14" s="131">
        <f t="shared" si="4"/>
        <v>0</v>
      </c>
      <c r="I14" s="131">
        <f t="shared" si="4"/>
        <v>0</v>
      </c>
      <c r="J14" s="131">
        <f t="shared" si="4"/>
        <v>0</v>
      </c>
      <c r="K14" s="131">
        <f t="shared" si="4"/>
        <v>0</v>
      </c>
      <c r="L14" s="131">
        <f t="shared" si="4"/>
        <v>0</v>
      </c>
      <c r="M14" s="131">
        <f t="shared" si="4"/>
        <v>0</v>
      </c>
      <c r="N14" s="131">
        <f t="shared" si="4"/>
        <v>0</v>
      </c>
      <c r="O14" s="131">
        <f t="shared" si="4"/>
        <v>179090.05620488315</v>
      </c>
      <c r="P14" s="131">
        <f t="shared" si="4"/>
        <v>179090.05620488315</v>
      </c>
      <c r="Q14" s="131">
        <f t="shared" si="4"/>
        <v>179090.05620488315</v>
      </c>
      <c r="R14" s="131">
        <f t="shared" si="4"/>
        <v>179090.05620488315</v>
      </c>
      <c r="S14" s="131">
        <f t="shared" si="4"/>
        <v>179090.05620488315</v>
      </c>
      <c r="T14" s="131">
        <f t="shared" si="4"/>
        <v>179090.05620488315</v>
      </c>
      <c r="U14" s="131">
        <f t="shared" si="4"/>
        <v>179090.05620488315</v>
      </c>
      <c r="V14" s="131">
        <f t="shared" si="4"/>
        <v>179090.05620488315</v>
      </c>
      <c r="W14" s="131">
        <f t="shared" si="4"/>
        <v>179090.05620488315</v>
      </c>
      <c r="X14" s="131">
        <f t="shared" si="4"/>
        <v>179090.05620488315</v>
      </c>
      <c r="Y14" s="131">
        <f t="shared" si="4"/>
        <v>179090.05620488315</v>
      </c>
      <c r="Z14" s="131">
        <f t="shared" si="4"/>
        <v>179090.05620488315</v>
      </c>
      <c r="AA14" s="131">
        <f t="shared" si="4"/>
        <v>179090.05620488315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7">
        <v>1.7471090080963977E-2</v>
      </c>
      <c r="D16" s="107">
        <v>1.7471090080963977E-2</v>
      </c>
      <c r="E16" s="107">
        <v>1.7471090080963977E-2</v>
      </c>
      <c r="F16" s="107">
        <v>1.7471090080963977E-2</v>
      </c>
      <c r="G16" s="107">
        <v>1.7471090080963977E-2</v>
      </c>
      <c r="H16" s="107">
        <v>1.7471090080963977E-2</v>
      </c>
      <c r="I16" s="107">
        <v>1.7471090080963977E-2</v>
      </c>
      <c r="J16" s="107">
        <v>1.7471090080963977E-2</v>
      </c>
      <c r="K16" s="107">
        <v>1.7471090080963977E-2</v>
      </c>
      <c r="L16" s="107">
        <v>1.7471090080963977E-2</v>
      </c>
      <c r="M16" s="107">
        <v>1.7471090080963977E-2</v>
      </c>
      <c r="N16" s="107">
        <v>1.7471090080963977E-2</v>
      </c>
      <c r="O16" s="107">
        <v>1.7471090080963977E-2</v>
      </c>
      <c r="P16" s="107">
        <v>1.7132074209012617E-2</v>
      </c>
      <c r="Q16" s="107">
        <v>1.7132074209012617E-2</v>
      </c>
      <c r="R16" s="107">
        <v>1.7132074209012617E-2</v>
      </c>
      <c r="S16" s="107">
        <v>1.7132074209012617E-2</v>
      </c>
      <c r="T16" s="107">
        <v>1.7132074209012617E-2</v>
      </c>
      <c r="U16" s="107">
        <v>1.7132074209012617E-2</v>
      </c>
      <c r="V16" s="107">
        <v>1.7132074209012617E-2</v>
      </c>
      <c r="W16" s="107">
        <v>1.7132074209012617E-2</v>
      </c>
      <c r="X16" s="107">
        <v>1.7132074209012617E-2</v>
      </c>
      <c r="Y16" s="107">
        <v>1.7132074209012617E-2</v>
      </c>
      <c r="Z16" s="107">
        <v>1.7132074209012617E-2</v>
      </c>
      <c r="AA16" s="107">
        <v>1.7132074209012617E-2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f>(((C8)/2)*C16)/12</f>
        <v>0</v>
      </c>
      <c r="D17" s="131">
        <f>(((D8+C8)/2)*D16)/12</f>
        <v>0</v>
      </c>
      <c r="E17" s="131">
        <f t="shared" ref="E17:N17" si="5">(((E8+D8)/2)*E16)/12</f>
        <v>0</v>
      </c>
      <c r="F17" s="131">
        <f t="shared" si="5"/>
        <v>0</v>
      </c>
      <c r="G17" s="131">
        <f t="shared" si="5"/>
        <v>0</v>
      </c>
      <c r="H17" s="131">
        <f t="shared" si="5"/>
        <v>0</v>
      </c>
      <c r="I17" s="131">
        <f t="shared" si="5"/>
        <v>0</v>
      </c>
      <c r="J17" s="131">
        <f t="shared" si="5"/>
        <v>0</v>
      </c>
      <c r="K17" s="131">
        <f t="shared" si="5"/>
        <v>0</v>
      </c>
      <c r="L17" s="131">
        <f t="shared" si="5"/>
        <v>0</v>
      </c>
      <c r="M17" s="131">
        <f t="shared" si="5"/>
        <v>0</v>
      </c>
      <c r="N17" s="131">
        <f t="shared" si="5"/>
        <v>0</v>
      </c>
      <c r="O17" s="131">
        <v>47068.168758778309</v>
      </c>
      <c r="P17" s="131">
        <f t="shared" ref="P17:Z17" si="6">O17</f>
        <v>47068.168758778309</v>
      </c>
      <c r="Q17" s="131">
        <f t="shared" si="6"/>
        <v>47068.168758778309</v>
      </c>
      <c r="R17" s="131">
        <f t="shared" si="6"/>
        <v>47068.168758778309</v>
      </c>
      <c r="S17" s="131">
        <f t="shared" si="6"/>
        <v>47068.168758778309</v>
      </c>
      <c r="T17" s="131">
        <f t="shared" si="6"/>
        <v>47068.168758778309</v>
      </c>
      <c r="U17" s="131">
        <f t="shared" si="6"/>
        <v>47068.168758778309</v>
      </c>
      <c r="V17" s="131">
        <f t="shared" si="6"/>
        <v>47068.168758778309</v>
      </c>
      <c r="W17" s="131">
        <f t="shared" si="6"/>
        <v>47068.168758778309</v>
      </c>
      <c r="X17" s="131">
        <f t="shared" si="6"/>
        <v>47068.168758778309</v>
      </c>
      <c r="Y17" s="131">
        <f t="shared" si="6"/>
        <v>47068.168758778309</v>
      </c>
      <c r="Z17" s="131">
        <f t="shared" si="6"/>
        <v>47068.168758778309</v>
      </c>
      <c r="AA17" s="131">
        <f>Z17</f>
        <v>47068.168758778309</v>
      </c>
      <c r="AC17" s="116"/>
    </row>
    <row r="18" spans="1:29" s="101" customFormat="1" x14ac:dyDescent="0.25">
      <c r="A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-0.21*O17</f>
        <v>-9884.3154393434452</v>
      </c>
      <c r="P19" s="131">
        <f t="shared" ref="P19:AA19" si="7">-0.21*P17</f>
        <v>-9884.3154393434452</v>
      </c>
      <c r="Q19" s="131">
        <f t="shared" si="7"/>
        <v>-9884.3154393434452</v>
      </c>
      <c r="R19" s="131">
        <f t="shared" si="7"/>
        <v>-9884.3154393434452</v>
      </c>
      <c r="S19" s="131">
        <f t="shared" si="7"/>
        <v>-9884.3154393434452</v>
      </c>
      <c r="T19" s="131">
        <f t="shared" si="7"/>
        <v>-9884.3154393434452</v>
      </c>
      <c r="U19" s="131">
        <f t="shared" si="7"/>
        <v>-9884.3154393434452</v>
      </c>
      <c r="V19" s="131">
        <f t="shared" si="7"/>
        <v>-9884.3154393434452</v>
      </c>
      <c r="W19" s="131">
        <f t="shared" si="7"/>
        <v>-9884.3154393434452</v>
      </c>
      <c r="X19" s="131">
        <f t="shared" si="7"/>
        <v>-9884.3154393434452</v>
      </c>
      <c r="Y19" s="131">
        <f t="shared" si="7"/>
        <v>-9884.3154393434452</v>
      </c>
      <c r="Z19" s="131">
        <f t="shared" si="7"/>
        <v>-9884.3154393434452</v>
      </c>
      <c r="AA19" s="131">
        <f t="shared" si="7"/>
        <v>-9884.3154393434452</v>
      </c>
      <c r="AC19" s="116"/>
    </row>
    <row r="20" spans="1:29" s="101" customFormat="1" x14ac:dyDescent="0.25">
      <c r="A20" s="103">
        <f>MAX($A$8:A17)+1</f>
        <v>9</v>
      </c>
      <c r="B20" s="101" t="s">
        <v>35</v>
      </c>
      <c r="C20" s="129">
        <f>(C17+C14)/Variables!$C$34</f>
        <v>0</v>
      </c>
      <c r="D20" s="129">
        <f>(D17+D14)/Variables!$C$34</f>
        <v>0</v>
      </c>
      <c r="E20" s="129">
        <f>(E17+E14)/Variables!$C$34</f>
        <v>0</v>
      </c>
      <c r="F20" s="129">
        <f>(F17+F14)/Variables!$C$34</f>
        <v>0</v>
      </c>
      <c r="G20" s="129">
        <f>(G17+G14)/Variables!$C$34</f>
        <v>0</v>
      </c>
      <c r="H20" s="129">
        <f>(H17+H14)/Variables!$C$34</f>
        <v>0</v>
      </c>
      <c r="I20" s="129">
        <f>(I17+I14)/Variables!$C$34</f>
        <v>0</v>
      </c>
      <c r="J20" s="129">
        <f>(J17+J14)/Variables!$C$34</f>
        <v>0</v>
      </c>
      <c r="K20" s="129">
        <f>(K17+K14)/Variables!$C$34</f>
        <v>0</v>
      </c>
      <c r="L20" s="129">
        <f>(L17+L14)/Variables!$C$34</f>
        <v>0</v>
      </c>
      <c r="M20" s="129">
        <f>(M17+M14)/Variables!$C$34</f>
        <v>0</v>
      </c>
      <c r="N20" s="129">
        <f>(N17+N14)/Variables!$C$34</f>
        <v>0</v>
      </c>
      <c r="O20" s="129">
        <f>(O17+O14+O19)/Variables!$C$34</f>
        <v>287159.14429305983</v>
      </c>
      <c r="P20" s="129">
        <f>(P17+P14+P19)/Variables!$C$34</f>
        <v>287159.14429305983</v>
      </c>
      <c r="Q20" s="129">
        <f>(Q17+Q14+Q19)/Variables!$C$34</f>
        <v>287159.14429305983</v>
      </c>
      <c r="R20" s="129">
        <f>(R17+R14+R19)/Variables!$C$34</f>
        <v>287159.14429305983</v>
      </c>
      <c r="S20" s="129">
        <f>(S17+S14+S19)/Variables!$C$34</f>
        <v>287159.14429305983</v>
      </c>
      <c r="T20" s="129">
        <f>(T17+T14+T19)/Variables!$C$34</f>
        <v>287159.14429305983</v>
      </c>
      <c r="U20" s="129">
        <f>(U17+U14+U19)/Variables!$C$34</f>
        <v>287159.14429305983</v>
      </c>
      <c r="V20" s="129">
        <f>(V17+V14+V19)/Variables!$C$34</f>
        <v>287159.14429305983</v>
      </c>
      <c r="W20" s="129">
        <f>(W17+W14+W19)/Variables!$C$34</f>
        <v>287159.14429305983</v>
      </c>
      <c r="X20" s="129">
        <f>(X17+X14+X19)/Variables!$C$34</f>
        <v>287159.14429305983</v>
      </c>
      <c r="Y20" s="129">
        <f>(Y17+Y14+Y19)/Variables!$C$34</f>
        <v>287159.14429305983</v>
      </c>
      <c r="Z20" s="129">
        <f>(Z17+Z14+Z19)/Variables!$C$34</f>
        <v>287159.14429305983</v>
      </c>
      <c r="AA20" s="129">
        <f>(AA17+AA14+AA19)/Variables!$C$34</f>
        <v>287159.14429305983</v>
      </c>
      <c r="AC20" s="116"/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8">P20*$P$46</f>
        <v>22430.299808181884</v>
      </c>
      <c r="Q22" s="133">
        <f t="shared" si="8"/>
        <v>22430.299808181884</v>
      </c>
      <c r="R22" s="133">
        <f t="shared" si="8"/>
        <v>22430.299808181884</v>
      </c>
      <c r="S22" s="133">
        <f t="shared" si="8"/>
        <v>22430.299808181884</v>
      </c>
      <c r="T22" s="133">
        <f t="shared" si="8"/>
        <v>22430.299808181884</v>
      </c>
      <c r="U22" s="133">
        <f t="shared" si="8"/>
        <v>22430.299808181884</v>
      </c>
      <c r="V22" s="133">
        <f t="shared" si="8"/>
        <v>22430.299808181884</v>
      </c>
      <c r="W22" s="133">
        <f t="shared" si="8"/>
        <v>22430.299808181884</v>
      </c>
      <c r="X22" s="133">
        <f t="shared" si="8"/>
        <v>22430.299808181884</v>
      </c>
      <c r="Y22" s="133">
        <f t="shared" si="8"/>
        <v>22430.299808181884</v>
      </c>
      <c r="Z22" s="133">
        <f t="shared" si="8"/>
        <v>22430.299808181884</v>
      </c>
      <c r="AA22" s="133">
        <f t="shared" si="8"/>
        <v>22430.299808181884</v>
      </c>
    </row>
    <row r="23" spans="1:29" ht="13" x14ac:dyDescent="0.3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s="101" customFormat="1" ht="13" x14ac:dyDescent="0.3">
      <c r="A25" s="102"/>
      <c r="B25" s="97" t="s">
        <v>25</v>
      </c>
      <c r="AC25" s="116"/>
    </row>
    <row r="26" spans="1:29" s="101" customFormat="1" x14ac:dyDescent="0.25">
      <c r="A26" s="103">
        <f>MAX($A$8:A25)+1</f>
        <v>11</v>
      </c>
      <c r="B26" s="101" t="s">
        <v>26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7480754.3700000001</v>
      </c>
      <c r="J26" s="129">
        <v>7601705.5999999996</v>
      </c>
      <c r="K26" s="129">
        <v>7960017.21</v>
      </c>
      <c r="L26" s="129">
        <v>34018148.109999999</v>
      </c>
      <c r="M26" s="129">
        <v>35191106.859999999</v>
      </c>
      <c r="N26" s="129">
        <v>35589058.07</v>
      </c>
      <c r="O26" s="129">
        <v>35652108.729999997</v>
      </c>
      <c r="P26" s="129">
        <v>35739020.560000002</v>
      </c>
      <c r="Q26" s="129">
        <v>35754267.479999997</v>
      </c>
      <c r="R26" s="129">
        <v>35818355.159999996</v>
      </c>
      <c r="S26" s="129">
        <v>35671064.479999997</v>
      </c>
      <c r="T26" s="129">
        <v>35834984.649999999</v>
      </c>
      <c r="U26" s="129">
        <v>35834984.649999999</v>
      </c>
      <c r="V26" s="129">
        <v>35834984.649999999</v>
      </c>
      <c r="W26" s="129">
        <v>35834984.649999999</v>
      </c>
      <c r="X26" s="129">
        <v>35834984.649999999</v>
      </c>
      <c r="Y26" s="129">
        <v>35834984.649999999</v>
      </c>
      <c r="Z26" s="129">
        <v>35834984.649999999</v>
      </c>
      <c r="AA26" s="129">
        <v>35834984.649999999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0</v>
      </c>
      <c r="D27" s="129">
        <f t="shared" ref="D27:O27" si="9">C27-D35</f>
        <v>0</v>
      </c>
      <c r="E27" s="129">
        <f t="shared" si="9"/>
        <v>0</v>
      </c>
      <c r="F27" s="129">
        <f t="shared" si="9"/>
        <v>0</v>
      </c>
      <c r="G27" s="129">
        <f t="shared" si="9"/>
        <v>0</v>
      </c>
      <c r="H27" s="129">
        <f t="shared" si="9"/>
        <v>0</v>
      </c>
      <c r="I27" s="129">
        <f t="shared" si="9"/>
        <v>-5445.7055613264556</v>
      </c>
      <c r="J27" s="129">
        <f t="shared" si="9"/>
        <v>-16425.164593759921</v>
      </c>
      <c r="K27" s="129">
        <f t="shared" si="9"/>
        <v>-27753.508803280831</v>
      </c>
      <c r="L27" s="129">
        <f t="shared" si="9"/>
        <v>-58312.021625752415</v>
      </c>
      <c r="M27" s="129">
        <f t="shared" si="9"/>
        <v>-108693.73529313883</v>
      </c>
      <c r="N27" s="129">
        <f t="shared" si="9"/>
        <v>-160219.01185303539</v>
      </c>
      <c r="O27" s="129">
        <f t="shared" si="9"/>
        <v>-212079.88029619289</v>
      </c>
      <c r="P27" s="129">
        <f>O27-P35</f>
        <v>-263041.46883208846</v>
      </c>
      <c r="Q27" s="129">
        <f t="shared" ref="Q27:AA27" si="10">P27-Q35</f>
        <v>-314075.98200490489</v>
      </c>
      <c r="R27" s="129">
        <f t="shared" si="10"/>
        <v>-365167.12710499391</v>
      </c>
      <c r="S27" s="129">
        <f t="shared" si="10"/>
        <v>-416198.8788729824</v>
      </c>
      <c r="T27" s="129">
        <f t="shared" si="10"/>
        <v>-467242.50137666834</v>
      </c>
      <c r="U27" s="129">
        <f t="shared" si="10"/>
        <v>-518403.13606855401</v>
      </c>
      <c r="V27" s="129">
        <f t="shared" si="10"/>
        <v>-569563.77076043969</v>
      </c>
      <c r="W27" s="129">
        <f t="shared" si="10"/>
        <v>-620724.40545232536</v>
      </c>
      <c r="X27" s="129">
        <f>W27-X35</f>
        <v>-671885.04014421103</v>
      </c>
      <c r="Y27" s="129">
        <f t="shared" si="10"/>
        <v>-723045.6748360967</v>
      </c>
      <c r="Z27" s="129">
        <f t="shared" si="10"/>
        <v>-774206.30952798238</v>
      </c>
      <c r="AA27" s="129">
        <f t="shared" si="10"/>
        <v>-825366.94421986805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64136</v>
      </c>
      <c r="M28" s="130">
        <v>67464</v>
      </c>
      <c r="N28" s="130">
        <v>70792</v>
      </c>
      <c r="O28" s="130">
        <v>74120</v>
      </c>
      <c r="P28" s="130">
        <v>15948</v>
      </c>
      <c r="Q28" s="130">
        <v>-42224</v>
      </c>
      <c r="R28" s="130">
        <v>-100396</v>
      </c>
      <c r="S28" s="130">
        <v>-158568</v>
      </c>
      <c r="T28" s="130">
        <v>-216740</v>
      </c>
      <c r="U28" s="130">
        <v>-274912</v>
      </c>
      <c r="V28" s="130">
        <v>-333084</v>
      </c>
      <c r="W28" s="130">
        <v>-391256</v>
      </c>
      <c r="X28" s="130">
        <v>-449428</v>
      </c>
      <c r="Y28" s="130">
        <v>-507600</v>
      </c>
      <c r="Z28" s="130">
        <v>-565772</v>
      </c>
      <c r="AA28" s="130">
        <v>-623944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1">SUM(C26:C28)</f>
        <v>0</v>
      </c>
      <c r="D29" s="129">
        <f t="shared" si="11"/>
        <v>0</v>
      </c>
      <c r="E29" s="129">
        <f t="shared" si="11"/>
        <v>0</v>
      </c>
      <c r="F29" s="129">
        <f t="shared" si="11"/>
        <v>0</v>
      </c>
      <c r="G29" s="129">
        <f t="shared" si="11"/>
        <v>0</v>
      </c>
      <c r="H29" s="129">
        <f t="shared" si="11"/>
        <v>0</v>
      </c>
      <c r="I29" s="129">
        <f t="shared" si="11"/>
        <v>7475308.6644386733</v>
      </c>
      <c r="J29" s="129">
        <f t="shared" si="11"/>
        <v>7585280.4354062397</v>
      </c>
      <c r="K29" s="129">
        <f t="shared" si="11"/>
        <v>7932263.701196719</v>
      </c>
      <c r="L29" s="129">
        <f t="shared" ref="L29:O29" si="12">SUM(L26:L28)</f>
        <v>34023972.08837425</v>
      </c>
      <c r="M29" s="129">
        <f t="shared" si="12"/>
        <v>35149877.124706857</v>
      </c>
      <c r="N29" s="129">
        <f t="shared" si="12"/>
        <v>35499631.058146968</v>
      </c>
      <c r="O29" s="129">
        <f t="shared" si="12"/>
        <v>35514148.849703804</v>
      </c>
      <c r="P29" s="129">
        <f>SUM(P26:P28)</f>
        <v>35491927.091167912</v>
      </c>
      <c r="Q29" s="129">
        <f t="shared" ref="Q29:AA29" si="13">SUM(Q26:Q28)</f>
        <v>35397967.497995093</v>
      </c>
      <c r="R29" s="129">
        <f t="shared" si="13"/>
        <v>35352792.032894999</v>
      </c>
      <c r="S29" s="129">
        <f t="shared" si="13"/>
        <v>35096297.601127014</v>
      </c>
      <c r="T29" s="129">
        <f t="shared" si="13"/>
        <v>35151002.148623332</v>
      </c>
      <c r="U29" s="129">
        <f t="shared" si="13"/>
        <v>35041669.513931446</v>
      </c>
      <c r="V29" s="129">
        <f t="shared" si="13"/>
        <v>34932336.879239559</v>
      </c>
      <c r="W29" s="129">
        <f t="shared" si="13"/>
        <v>34823004.244547673</v>
      </c>
      <c r="X29" s="129">
        <f t="shared" si="13"/>
        <v>34713671.609855786</v>
      </c>
      <c r="Y29" s="129">
        <f t="shared" si="13"/>
        <v>34604338.975163899</v>
      </c>
      <c r="Z29" s="129">
        <f t="shared" si="13"/>
        <v>34495006.340472013</v>
      </c>
      <c r="AA29" s="129">
        <f t="shared" si="13"/>
        <v>34385673.705780134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MAX($A$8:A30)+1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MAX($A$8:A31)+1</f>
        <v>16</v>
      </c>
      <c r="B32" s="101" t="s">
        <v>31</v>
      </c>
      <c r="C32" s="131">
        <f t="shared" ref="C32:N32" si="14">C29*C31/12</f>
        <v>0</v>
      </c>
      <c r="D32" s="131">
        <f t="shared" si="14"/>
        <v>0</v>
      </c>
      <c r="E32" s="131">
        <f t="shared" si="14"/>
        <v>0</v>
      </c>
      <c r="F32" s="131">
        <f t="shared" si="14"/>
        <v>0</v>
      </c>
      <c r="G32" s="131">
        <f t="shared" si="14"/>
        <v>0</v>
      </c>
      <c r="H32" s="131">
        <f t="shared" si="14"/>
        <v>0</v>
      </c>
      <c r="I32" s="131">
        <f t="shared" si="14"/>
        <v>44659.649342021548</v>
      </c>
      <c r="J32" s="131">
        <f t="shared" si="14"/>
        <v>45316.652410309085</v>
      </c>
      <c r="K32" s="131">
        <f t="shared" si="14"/>
        <v>47389.630486983042</v>
      </c>
      <c r="L32" s="131">
        <f t="shared" si="14"/>
        <v>203269.01950123324</v>
      </c>
      <c r="M32" s="131">
        <f t="shared" si="14"/>
        <v>209995.5008242364</v>
      </c>
      <c r="N32" s="131">
        <f t="shared" si="14"/>
        <v>212085.03166832507</v>
      </c>
      <c r="O32" s="131">
        <f>O29*O31/12</f>
        <v>212171.76514104885</v>
      </c>
      <c r="P32" s="131">
        <f>P29*P31/12</f>
        <v>212039.00594828173</v>
      </c>
      <c r="Q32" s="131">
        <f t="shared" ref="Q32:AA32" si="15">Q29*Q31/12</f>
        <v>211477.66424698461</v>
      </c>
      <c r="R32" s="131">
        <f t="shared" si="15"/>
        <v>211207.77299288419</v>
      </c>
      <c r="S32" s="131">
        <f t="shared" si="15"/>
        <v>209675.40130160775</v>
      </c>
      <c r="T32" s="131">
        <f t="shared" si="15"/>
        <v>210002.22204149529</v>
      </c>
      <c r="U32" s="131">
        <f t="shared" si="15"/>
        <v>209349.03735760297</v>
      </c>
      <c r="V32" s="131">
        <f t="shared" si="15"/>
        <v>208695.85267371064</v>
      </c>
      <c r="W32" s="131">
        <f t="shared" si="15"/>
        <v>208042.66798981829</v>
      </c>
      <c r="X32" s="131">
        <f t="shared" si="15"/>
        <v>207389.48330592597</v>
      </c>
      <c r="Y32" s="131">
        <f t="shared" si="15"/>
        <v>206736.29862203365</v>
      </c>
      <c r="Z32" s="131">
        <f t="shared" si="15"/>
        <v>206083.11393814129</v>
      </c>
      <c r="AA32" s="131">
        <f t="shared" si="15"/>
        <v>205429.929254249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1" t="s">
        <v>32</v>
      </c>
      <c r="C34" s="107">
        <f>C16</f>
        <v>1.7471090080963977E-2</v>
      </c>
      <c r="D34" s="107">
        <f t="shared" ref="D34:AA34" si="16">D16</f>
        <v>1.7471090080963977E-2</v>
      </c>
      <c r="E34" s="107">
        <f t="shared" si="16"/>
        <v>1.7471090080963977E-2</v>
      </c>
      <c r="F34" s="107">
        <f t="shared" si="16"/>
        <v>1.7471090080963977E-2</v>
      </c>
      <c r="G34" s="107">
        <f t="shared" si="16"/>
        <v>1.7471090080963977E-2</v>
      </c>
      <c r="H34" s="107">
        <f t="shared" si="16"/>
        <v>1.7471090080963977E-2</v>
      </c>
      <c r="I34" s="107">
        <f t="shared" si="16"/>
        <v>1.7471090080963977E-2</v>
      </c>
      <c r="J34" s="107">
        <f t="shared" si="16"/>
        <v>1.7471090080963977E-2</v>
      </c>
      <c r="K34" s="107">
        <f t="shared" si="16"/>
        <v>1.7471090080963977E-2</v>
      </c>
      <c r="L34" s="107">
        <f t="shared" si="16"/>
        <v>1.7471090080963977E-2</v>
      </c>
      <c r="M34" s="107">
        <f t="shared" si="16"/>
        <v>1.7471090080963977E-2</v>
      </c>
      <c r="N34" s="107">
        <f t="shared" si="16"/>
        <v>1.7471090080963977E-2</v>
      </c>
      <c r="O34" s="107">
        <f t="shared" si="16"/>
        <v>1.7471090080963977E-2</v>
      </c>
      <c r="P34" s="107">
        <f t="shared" si="16"/>
        <v>1.7132074209012617E-2</v>
      </c>
      <c r="Q34" s="107">
        <f t="shared" si="16"/>
        <v>1.7132074209012617E-2</v>
      </c>
      <c r="R34" s="107">
        <f t="shared" si="16"/>
        <v>1.7132074209012617E-2</v>
      </c>
      <c r="S34" s="107">
        <f t="shared" si="16"/>
        <v>1.7132074209012617E-2</v>
      </c>
      <c r="T34" s="107">
        <f t="shared" si="16"/>
        <v>1.7132074209012617E-2</v>
      </c>
      <c r="U34" s="107">
        <f t="shared" si="16"/>
        <v>1.7132074209012617E-2</v>
      </c>
      <c r="V34" s="107">
        <f t="shared" si="16"/>
        <v>1.7132074209012617E-2</v>
      </c>
      <c r="W34" s="107">
        <f t="shared" si="16"/>
        <v>1.7132074209012617E-2</v>
      </c>
      <c r="X34" s="107">
        <f t="shared" si="16"/>
        <v>1.7132074209012617E-2</v>
      </c>
      <c r="Y34" s="107">
        <f t="shared" si="16"/>
        <v>1.7132074209012617E-2</v>
      </c>
      <c r="Z34" s="107">
        <f t="shared" si="16"/>
        <v>1.7132074209012617E-2</v>
      </c>
      <c r="AA34" s="107">
        <f t="shared" si="16"/>
        <v>1.7132074209012617E-2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f>(((C26)/2)*C34)/12</f>
        <v>0</v>
      </c>
      <c r="D35" s="131">
        <f t="shared" ref="D35:Z35" si="17">(((D26+C26)/2)*D34)/12</f>
        <v>0</v>
      </c>
      <c r="E35" s="131">
        <f t="shared" si="17"/>
        <v>0</v>
      </c>
      <c r="F35" s="131">
        <f t="shared" si="17"/>
        <v>0</v>
      </c>
      <c r="G35" s="131">
        <f t="shared" si="17"/>
        <v>0</v>
      </c>
      <c r="H35" s="131">
        <f t="shared" si="17"/>
        <v>0</v>
      </c>
      <c r="I35" s="131">
        <f t="shared" si="17"/>
        <v>5445.7055613264556</v>
      </c>
      <c r="J35" s="131">
        <f t="shared" si="17"/>
        <v>10979.459032433466</v>
      </c>
      <c r="K35" s="131">
        <f t="shared" si="17"/>
        <v>11328.34420952091</v>
      </c>
      <c r="L35" s="131">
        <f t="shared" si="17"/>
        <v>30558.512822471585</v>
      </c>
      <c r="M35" s="131">
        <f t="shared" si="17"/>
        <v>50381.713667386408</v>
      </c>
      <c r="N35" s="131">
        <f t="shared" si="17"/>
        <v>51525.276559896563</v>
      </c>
      <c r="O35" s="131">
        <f t="shared" si="17"/>
        <v>51860.868443157502</v>
      </c>
      <c r="P35" s="131">
        <f t="shared" si="17"/>
        <v>50961.588535895593</v>
      </c>
      <c r="Q35" s="131">
        <f t="shared" si="17"/>
        <v>51034.51317281642</v>
      </c>
      <c r="R35" s="131">
        <f t="shared" si="17"/>
        <v>51091.145100089016</v>
      </c>
      <c r="S35" s="131">
        <f t="shared" si="17"/>
        <v>51031.751767988491</v>
      </c>
      <c r="T35" s="131">
        <f t="shared" si="17"/>
        <v>51043.622503685918</v>
      </c>
      <c r="U35" s="131">
        <f t="shared" si="17"/>
        <v>51160.634691885665</v>
      </c>
      <c r="V35" s="131">
        <f t="shared" si="17"/>
        <v>51160.634691885665</v>
      </c>
      <c r="W35" s="131">
        <f t="shared" si="17"/>
        <v>51160.634691885665</v>
      </c>
      <c r="X35" s="131">
        <f t="shared" si="17"/>
        <v>51160.634691885665</v>
      </c>
      <c r="Y35" s="131">
        <f t="shared" si="17"/>
        <v>51160.634691885665</v>
      </c>
      <c r="Z35" s="131">
        <f t="shared" si="17"/>
        <v>51160.634691885665</v>
      </c>
      <c r="AA35" s="131">
        <f>(((AA26+Z26)/2)*AA34)/12</f>
        <v>51160.634691885665</v>
      </c>
      <c r="AC35" s="116"/>
    </row>
    <row r="36" spans="1:29" s="101" customFormat="1" x14ac:dyDescent="0.25">
      <c r="A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6"/>
    </row>
    <row r="37" spans="1:29" s="101" customFormat="1" x14ac:dyDescent="0.25">
      <c r="A37" s="103"/>
      <c r="B37" s="101" t="s">
        <v>34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31">
        <f>-0.21*O35</f>
        <v>-10890.782373063075</v>
      </c>
      <c r="P37" s="131">
        <f t="shared" ref="P37:AA37" si="18">-0.21*P35</f>
        <v>-10701.933592538075</v>
      </c>
      <c r="Q37" s="131">
        <f t="shared" si="18"/>
        <v>-10717.247766291448</v>
      </c>
      <c r="R37" s="131">
        <f t="shared" si="18"/>
        <v>-10729.140471018693</v>
      </c>
      <c r="S37" s="131">
        <f t="shared" si="18"/>
        <v>-10716.667871277583</v>
      </c>
      <c r="T37" s="131">
        <f t="shared" si="18"/>
        <v>-10719.160725774042</v>
      </c>
      <c r="U37" s="131">
        <f t="shared" si="18"/>
        <v>-10743.73328529599</v>
      </c>
      <c r="V37" s="131">
        <f t="shared" si="18"/>
        <v>-10743.73328529599</v>
      </c>
      <c r="W37" s="131">
        <f t="shared" si="18"/>
        <v>-10743.73328529599</v>
      </c>
      <c r="X37" s="131">
        <f t="shared" si="18"/>
        <v>-10743.73328529599</v>
      </c>
      <c r="Y37" s="131">
        <f t="shared" si="18"/>
        <v>-10743.73328529599</v>
      </c>
      <c r="Z37" s="131">
        <f t="shared" si="18"/>
        <v>-10743.73328529599</v>
      </c>
      <c r="AA37" s="131">
        <f t="shared" si="18"/>
        <v>-10743.73328529599</v>
      </c>
      <c r="AC37" s="116"/>
    </row>
    <row r="38" spans="1:29" s="101" customFormat="1" x14ac:dyDescent="0.25">
      <c r="A38" s="103">
        <f>MAX($A$8:A35)+1</f>
        <v>19</v>
      </c>
      <c r="B38" s="101" t="s">
        <v>35</v>
      </c>
      <c r="C38" s="129">
        <f>(C35+C32)/Variables!$C$34</f>
        <v>0</v>
      </c>
      <c r="D38" s="129">
        <f>(D35+D32)/Variables!$C$34</f>
        <v>0</v>
      </c>
      <c r="E38" s="129">
        <f>(E35+E32)/Variables!$C$34</f>
        <v>0</v>
      </c>
      <c r="F38" s="129">
        <f>(F35+F32)/Variables!$C$34</f>
        <v>0</v>
      </c>
      <c r="G38" s="129">
        <f>(G35+G32)/Variables!$C$34</f>
        <v>0</v>
      </c>
      <c r="H38" s="129">
        <f>(H35+H32)/Variables!$C$34</f>
        <v>0</v>
      </c>
      <c r="I38" s="129">
        <f>(I35+I32)/Variables!$C$34</f>
        <v>66527.723432713276</v>
      </c>
      <c r="J38" s="129">
        <f>(J35+J32)/Variables!$C$34</f>
        <v>74747.542246222598</v>
      </c>
      <c r="K38" s="129">
        <f>(K35+K32)/Variables!$C$34</f>
        <v>77963.187540999745</v>
      </c>
      <c r="L38" s="129">
        <f>(L35+L32)/Variables!$C$34</f>
        <v>310466.08553900925</v>
      </c>
      <c r="M38" s="129">
        <f>(M35+M32)/Variables!$C$34</f>
        <v>345717.60537956958</v>
      </c>
      <c r="N38" s="129">
        <f>(N35+N32)/Variables!$C$34</f>
        <v>350010.36742776551</v>
      </c>
      <c r="O38" s="129">
        <f>(O35+O37+O32)/Variables!$C$34</f>
        <v>336110.80290930532</v>
      </c>
      <c r="P38" s="129">
        <f>(P35+P37+P32)/Variables!$C$34</f>
        <v>334991.25126686483</v>
      </c>
      <c r="Q38" s="129">
        <f>(Q35+Q37+Q32)/Variables!$C$34</f>
        <v>334322.41871275252</v>
      </c>
      <c r="R38" s="129">
        <f>(R35+R37+R32)/Variables!$C$34</f>
        <v>334023.47158196178</v>
      </c>
      <c r="S38" s="129">
        <f>(S35+S37+S32)/Variables!$C$34</f>
        <v>331926.55539841822</v>
      </c>
      <c r="T38" s="129">
        <f>(T35+T37+T32)/Variables!$C$34</f>
        <v>332372.94538857753</v>
      </c>
      <c r="U38" s="129">
        <f>(U35+U37+U32)/Variables!$C$34</f>
        <v>331628.41235370463</v>
      </c>
      <c r="V38" s="129">
        <f>(V35+V37+V32)/Variables!$C$34</f>
        <v>330761.14197742858</v>
      </c>
      <c r="W38" s="129">
        <f>(W35+W37+W32)/Variables!$C$34</f>
        <v>329893.87160115247</v>
      </c>
      <c r="X38" s="129">
        <f>(X35+X37+X32)/Variables!$C$34</f>
        <v>329026.60122487636</v>
      </c>
      <c r="Y38" s="129">
        <f>(Y35+Y37+Y32)/Variables!$C$34</f>
        <v>328159.33084860031</v>
      </c>
      <c r="Z38" s="129">
        <f>(Z35+Z37+Z32)/Variables!$C$34</f>
        <v>327292.0604723242</v>
      </c>
      <c r="AA38" s="129">
        <f>(AA35+AA37+AA32)/Variables!$C$34</f>
        <v>326424.79009604821</v>
      </c>
      <c r="AC38" s="116"/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19">P38*$P$46</f>
        <v>26166.515496248354</v>
      </c>
      <c r="Q40" s="133">
        <f t="shared" si="19"/>
        <v>26114.272288924611</v>
      </c>
      <c r="R40" s="133">
        <f t="shared" si="19"/>
        <v>26090.921217215091</v>
      </c>
      <c r="S40" s="133">
        <f t="shared" si="19"/>
        <v>25927.128910390587</v>
      </c>
      <c r="T40" s="133">
        <f t="shared" si="19"/>
        <v>25961.996897392339</v>
      </c>
      <c r="U40" s="133">
        <f t="shared" si="19"/>
        <v>25903.840646681925</v>
      </c>
      <c r="V40" s="133">
        <f t="shared" si="19"/>
        <v>25836.097254415879</v>
      </c>
      <c r="W40" s="133">
        <f t="shared" si="19"/>
        <v>25768.35386214983</v>
      </c>
      <c r="X40" s="133">
        <f t="shared" si="19"/>
        <v>25700.610469883781</v>
      </c>
      <c r="Y40" s="133">
        <f t="shared" si="19"/>
        <v>25632.867077617735</v>
      </c>
      <c r="Z40" s="133">
        <f t="shared" si="19"/>
        <v>25565.123685351686</v>
      </c>
      <c r="AA40" s="133">
        <f t="shared" si="19"/>
        <v>25497.380293085647</v>
      </c>
    </row>
    <row r="41" spans="1:29" ht="13" x14ac:dyDescent="0.3">
      <c r="A41" s="25"/>
      <c r="B41" s="2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9" s="22" customFormat="1" ht="13" x14ac:dyDescent="0.3">
      <c r="A42" s="19" t="s">
        <v>40</v>
      </c>
      <c r="B42" s="2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ht="13" thickBot="1" x14ac:dyDescent="0.3">
      <c r="A43" s="25">
        <f>MAX($A$8:A42)+1</f>
        <v>21</v>
      </c>
      <c r="B43" s="2" t="s">
        <v>41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32">
        <f>P40-P22</f>
        <v>3736.2156880664697</v>
      </c>
      <c r="Q43" s="132">
        <f t="shared" ref="Q43:AA43" si="20">Q40-Q22</f>
        <v>3683.9724807427265</v>
      </c>
      <c r="R43" s="132">
        <f t="shared" si="20"/>
        <v>3660.6214090332069</v>
      </c>
      <c r="S43" s="132">
        <f t="shared" si="20"/>
        <v>3496.8291022087033</v>
      </c>
      <c r="T43" s="132">
        <f t="shared" si="20"/>
        <v>3531.6970892104546</v>
      </c>
      <c r="U43" s="132">
        <f t="shared" si="20"/>
        <v>3473.540838500041</v>
      </c>
      <c r="V43" s="132">
        <f t="shared" si="20"/>
        <v>3405.7974462339953</v>
      </c>
      <c r="W43" s="132">
        <f t="shared" si="20"/>
        <v>3338.0540539679459</v>
      </c>
      <c r="X43" s="132">
        <f t="shared" si="20"/>
        <v>3270.3106617018966</v>
      </c>
      <c r="Y43" s="132">
        <f t="shared" si="20"/>
        <v>3202.5672694358509</v>
      </c>
      <c r="Z43" s="132">
        <f t="shared" si="20"/>
        <v>3134.8238771698016</v>
      </c>
      <c r="AA43" s="132">
        <f t="shared" si="20"/>
        <v>3067.0804849037631</v>
      </c>
    </row>
    <row r="44" spans="1:29" ht="13.5" thickBot="1" x14ac:dyDescent="0.35">
      <c r="A44" s="25">
        <f>MAX($A$8:A43)+1</f>
        <v>22</v>
      </c>
      <c r="B44" s="2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32">
        <f>O44+P43</f>
        <v>3736.2156880664697</v>
      </c>
      <c r="Q44" s="132">
        <f t="shared" ref="Q44:AA44" si="21">P44+Q43</f>
        <v>7420.1881688091962</v>
      </c>
      <c r="R44" s="132">
        <f t="shared" si="21"/>
        <v>11080.809577842403</v>
      </c>
      <c r="S44" s="132">
        <f t="shared" si="21"/>
        <v>14577.638680051106</v>
      </c>
      <c r="T44" s="132">
        <f t="shared" si="21"/>
        <v>18109.335769261561</v>
      </c>
      <c r="U44" s="132">
        <f t="shared" si="21"/>
        <v>21582.876607761602</v>
      </c>
      <c r="V44" s="132">
        <f t="shared" si="21"/>
        <v>24988.674053995597</v>
      </c>
      <c r="W44" s="132">
        <f t="shared" si="21"/>
        <v>28326.728107963543</v>
      </c>
      <c r="X44" s="132">
        <f t="shared" si="21"/>
        <v>31597.03876966544</v>
      </c>
      <c r="Y44" s="132">
        <f t="shared" si="21"/>
        <v>34799.606039101287</v>
      </c>
      <c r="Z44" s="132">
        <f t="shared" si="21"/>
        <v>37934.429916271089</v>
      </c>
      <c r="AA44" s="36">
        <f t="shared" si="21"/>
        <v>41001.510401174848</v>
      </c>
    </row>
    <row r="46" spans="1:29" ht="13" x14ac:dyDescent="0.3">
      <c r="B46" s="37" t="s">
        <v>43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05564-B27B-4DCD-A2B9-443B30CFFAB0}">
  <sheetPr>
    <tabColor rgb="FFFFC000"/>
    <pageSetUpPr fitToPage="1"/>
  </sheetPr>
  <dimension ref="A1:AC46"/>
  <sheetViews>
    <sheetView zoomScale="70" zoomScaleNormal="70" workbookViewId="0">
      <selection activeCell="H36" sqref="H36"/>
    </sheetView>
  </sheetViews>
  <sheetFormatPr defaultColWidth="9.08984375" defaultRowHeight="12.5" outlineLevelCol="1" x14ac:dyDescent="0.25"/>
  <cols>
    <col min="1" max="1" width="8.54296875" style="2" customWidth="1"/>
    <col min="2" max="2" width="40.453125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13989932</v>
      </c>
      <c r="P8" s="129">
        <f t="shared" ref="P8:AA10" si="0">O8</f>
        <v>13989932</v>
      </c>
      <c r="Q8" s="129">
        <f t="shared" si="0"/>
        <v>13989932</v>
      </c>
      <c r="R8" s="129">
        <f t="shared" si="0"/>
        <v>13989932</v>
      </c>
      <c r="S8" s="129">
        <f t="shared" si="0"/>
        <v>13989932</v>
      </c>
      <c r="T8" s="129">
        <f t="shared" si="0"/>
        <v>13989932</v>
      </c>
      <c r="U8" s="129">
        <f t="shared" si="0"/>
        <v>13989932</v>
      </c>
      <c r="V8" s="129">
        <f t="shared" si="0"/>
        <v>13989932</v>
      </c>
      <c r="W8" s="129">
        <f t="shared" si="0"/>
        <v>13989932</v>
      </c>
      <c r="X8" s="129">
        <f t="shared" si="0"/>
        <v>13989932</v>
      </c>
      <c r="Y8" s="129">
        <f t="shared" si="0"/>
        <v>13989932</v>
      </c>
      <c r="Z8" s="129">
        <f t="shared" si="0"/>
        <v>13989932</v>
      </c>
      <c r="AA8" s="129">
        <f>Z8</f>
        <v>13989932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0</v>
      </c>
      <c r="E9" s="129">
        <f t="shared" si="1"/>
        <v>0</v>
      </c>
      <c r="F9" s="129">
        <f t="shared" si="1"/>
        <v>0</v>
      </c>
      <c r="G9" s="129">
        <f t="shared" si="1"/>
        <v>0</v>
      </c>
      <c r="H9" s="129">
        <f t="shared" si="1"/>
        <v>0</v>
      </c>
      <c r="I9" s="129">
        <f t="shared" si="1"/>
        <v>0</v>
      </c>
      <c r="J9" s="129">
        <f t="shared" si="1"/>
        <v>0</v>
      </c>
      <c r="K9" s="129">
        <f t="shared" si="1"/>
        <v>0</v>
      </c>
      <c r="L9" s="129">
        <f t="shared" si="1"/>
        <v>0</v>
      </c>
      <c r="M9" s="129">
        <f t="shared" si="1"/>
        <v>0</v>
      </c>
      <c r="N9" s="129">
        <f t="shared" si="1"/>
        <v>0</v>
      </c>
      <c r="O9" s="129">
        <v>-134315.59034599407</v>
      </c>
      <c r="P9" s="129">
        <f t="shared" si="0"/>
        <v>-134315.59034599407</v>
      </c>
      <c r="Q9" s="129">
        <f t="shared" si="0"/>
        <v>-134315.59034599407</v>
      </c>
      <c r="R9" s="129">
        <f t="shared" si="0"/>
        <v>-134315.59034599407</v>
      </c>
      <c r="S9" s="129">
        <f t="shared" si="0"/>
        <v>-134315.59034599407</v>
      </c>
      <c r="T9" s="129">
        <f t="shared" si="0"/>
        <v>-134315.59034599407</v>
      </c>
      <c r="U9" s="129">
        <f t="shared" si="0"/>
        <v>-134315.59034599407</v>
      </c>
      <c r="V9" s="129">
        <f t="shared" si="0"/>
        <v>-134315.59034599407</v>
      </c>
      <c r="W9" s="129">
        <f t="shared" si="0"/>
        <v>-134315.59034599407</v>
      </c>
      <c r="X9" s="129">
        <f t="shared" si="0"/>
        <v>-134315.59034599407</v>
      </c>
      <c r="Y9" s="129">
        <f t="shared" si="0"/>
        <v>-134315.59034599407</v>
      </c>
      <c r="Z9" s="129">
        <f t="shared" si="0"/>
        <v>-134315.59034599407</v>
      </c>
      <c r="AA9" s="129">
        <f t="shared" si="0"/>
        <v>-134315.59034599407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-138959</v>
      </c>
      <c r="P10" s="130">
        <f t="shared" si="0"/>
        <v>-138959</v>
      </c>
      <c r="Q10" s="130">
        <f t="shared" si="0"/>
        <v>-138959</v>
      </c>
      <c r="R10" s="130">
        <f t="shared" si="0"/>
        <v>-138959</v>
      </c>
      <c r="S10" s="130">
        <f t="shared" si="0"/>
        <v>-138959</v>
      </c>
      <c r="T10" s="130">
        <f t="shared" si="0"/>
        <v>-138959</v>
      </c>
      <c r="U10" s="130">
        <f t="shared" si="0"/>
        <v>-138959</v>
      </c>
      <c r="V10" s="130">
        <f t="shared" si="0"/>
        <v>-138959</v>
      </c>
      <c r="W10" s="130">
        <f t="shared" si="0"/>
        <v>-138959</v>
      </c>
      <c r="X10" s="130">
        <f t="shared" si="0"/>
        <v>-138959</v>
      </c>
      <c r="Y10" s="130">
        <f t="shared" si="0"/>
        <v>-138959</v>
      </c>
      <c r="Z10" s="130">
        <f t="shared" si="0"/>
        <v>-138959</v>
      </c>
      <c r="AA10" s="130">
        <f t="shared" si="0"/>
        <v>-138959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0</v>
      </c>
      <c r="E11" s="129">
        <f t="shared" si="2"/>
        <v>0</v>
      </c>
      <c r="F11" s="129">
        <f t="shared" si="2"/>
        <v>0</v>
      </c>
      <c r="G11" s="129">
        <f t="shared" si="2"/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29">
        <f t="shared" si="2"/>
        <v>0</v>
      </c>
      <c r="L11" s="129">
        <f t="shared" ref="L11:AA11" si="3">SUM(L8:L10)</f>
        <v>0</v>
      </c>
      <c r="M11" s="129">
        <f t="shared" si="3"/>
        <v>0</v>
      </c>
      <c r="N11" s="129">
        <f t="shared" si="3"/>
        <v>0</v>
      </c>
      <c r="O11" s="129">
        <f t="shared" si="3"/>
        <v>13716657.409654006</v>
      </c>
      <c r="P11" s="129">
        <f t="shared" si="3"/>
        <v>13716657.409654006</v>
      </c>
      <c r="Q11" s="129">
        <f t="shared" si="3"/>
        <v>13716657.409654006</v>
      </c>
      <c r="R11" s="129">
        <f t="shared" si="3"/>
        <v>13716657.409654006</v>
      </c>
      <c r="S11" s="129">
        <f t="shared" si="3"/>
        <v>13716657.409654006</v>
      </c>
      <c r="T11" s="129">
        <f t="shared" si="3"/>
        <v>13716657.409654006</v>
      </c>
      <c r="U11" s="129">
        <f t="shared" si="3"/>
        <v>13716657.409654006</v>
      </c>
      <c r="V11" s="129">
        <f t="shared" si="3"/>
        <v>13716657.409654006</v>
      </c>
      <c r="W11" s="129">
        <f t="shared" si="3"/>
        <v>13716657.409654006</v>
      </c>
      <c r="X11" s="129">
        <f t="shared" si="3"/>
        <v>13716657.409654006</v>
      </c>
      <c r="Y11" s="129">
        <f t="shared" si="3"/>
        <v>13716657.409654006</v>
      </c>
      <c r="Z11" s="129">
        <f t="shared" si="3"/>
        <v>13716657.409654006</v>
      </c>
      <c r="AA11" s="129">
        <f t="shared" si="3"/>
        <v>13716657.409654006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0</v>
      </c>
      <c r="D14" s="131">
        <f t="shared" si="4"/>
        <v>0</v>
      </c>
      <c r="E14" s="131">
        <f t="shared" si="4"/>
        <v>0</v>
      </c>
      <c r="F14" s="131">
        <f t="shared" si="4"/>
        <v>0</v>
      </c>
      <c r="G14" s="131">
        <f t="shared" si="4"/>
        <v>0</v>
      </c>
      <c r="H14" s="131">
        <f t="shared" si="4"/>
        <v>0</v>
      </c>
      <c r="I14" s="131">
        <f t="shared" si="4"/>
        <v>0</v>
      </c>
      <c r="J14" s="131">
        <f t="shared" si="4"/>
        <v>0</v>
      </c>
      <c r="K14" s="131">
        <f t="shared" si="4"/>
        <v>0</v>
      </c>
      <c r="L14" s="131">
        <f t="shared" si="4"/>
        <v>0</v>
      </c>
      <c r="M14" s="131">
        <f t="shared" si="4"/>
        <v>0</v>
      </c>
      <c r="N14" s="131">
        <f t="shared" si="4"/>
        <v>0</v>
      </c>
      <c r="O14" s="131">
        <f t="shared" si="4"/>
        <v>81947.266334826141</v>
      </c>
      <c r="P14" s="131">
        <f>P11*P13/12</f>
        <v>81947.266334826141</v>
      </c>
      <c r="Q14" s="131">
        <f t="shared" si="4"/>
        <v>81947.266334826141</v>
      </c>
      <c r="R14" s="131">
        <f t="shared" si="4"/>
        <v>81947.266334826141</v>
      </c>
      <c r="S14" s="131">
        <f t="shared" si="4"/>
        <v>81947.266334826141</v>
      </c>
      <c r="T14" s="131">
        <f t="shared" si="4"/>
        <v>81947.266334826141</v>
      </c>
      <c r="U14" s="131">
        <f t="shared" si="4"/>
        <v>81947.266334826141</v>
      </c>
      <c r="V14" s="131">
        <f t="shared" si="4"/>
        <v>81947.266334826141</v>
      </c>
      <c r="W14" s="131">
        <f t="shared" si="4"/>
        <v>81947.266334826141</v>
      </c>
      <c r="X14" s="131">
        <f t="shared" si="4"/>
        <v>81947.266334826141</v>
      </c>
      <c r="Y14" s="131">
        <f t="shared" si="4"/>
        <v>81947.266334826141</v>
      </c>
      <c r="Z14" s="131">
        <f t="shared" si="4"/>
        <v>81947.266334826141</v>
      </c>
      <c r="AA14" s="131">
        <f t="shared" si="4"/>
        <v>81947.266334826141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7">
        <v>1.7471090080963977E-2</v>
      </c>
      <c r="D16" s="107">
        <v>1.7471090080963977E-2</v>
      </c>
      <c r="E16" s="107">
        <v>1.7471090080963977E-2</v>
      </c>
      <c r="F16" s="107">
        <v>1.7471090080963977E-2</v>
      </c>
      <c r="G16" s="107">
        <v>1.7471090080963977E-2</v>
      </c>
      <c r="H16" s="107">
        <v>1.7471090080963977E-2</v>
      </c>
      <c r="I16" s="107">
        <v>1.7471090080963977E-2</v>
      </c>
      <c r="J16" s="107">
        <v>1.7471090080963977E-2</v>
      </c>
      <c r="K16" s="107">
        <v>1.7471090080963977E-2</v>
      </c>
      <c r="L16" s="107">
        <v>1.7471090080963977E-2</v>
      </c>
      <c r="M16" s="107">
        <v>1.7471090080963977E-2</v>
      </c>
      <c r="N16" s="107">
        <v>1.7471090080963977E-2</v>
      </c>
      <c r="O16" s="107">
        <v>1.7471090080963977E-2</v>
      </c>
      <c r="P16" s="107">
        <v>1.7132074209012617E-2</v>
      </c>
      <c r="Q16" s="107">
        <v>1.7132074209012617E-2</v>
      </c>
      <c r="R16" s="107">
        <v>1.7132074209012617E-2</v>
      </c>
      <c r="S16" s="107">
        <v>1.7132074209012617E-2</v>
      </c>
      <c r="T16" s="107">
        <v>1.7132074209012617E-2</v>
      </c>
      <c r="U16" s="107">
        <v>1.7132074209012617E-2</v>
      </c>
      <c r="V16" s="107">
        <v>1.7132074209012617E-2</v>
      </c>
      <c r="W16" s="107">
        <v>1.7132074209012617E-2</v>
      </c>
      <c r="X16" s="107">
        <v>1.7132074209012617E-2</v>
      </c>
      <c r="Y16" s="107">
        <v>1.7132074209012617E-2</v>
      </c>
      <c r="Z16" s="107">
        <v>1.7132074209012617E-2</v>
      </c>
      <c r="AA16" s="107">
        <v>1.7132074209012617E-2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f>(((C8)/2)*C16)/12</f>
        <v>0</v>
      </c>
      <c r="D17" s="131">
        <f t="shared" ref="D17:N17" si="5">(((D8+C8)/2)*D16)/12</f>
        <v>0</v>
      </c>
      <c r="E17" s="131">
        <f t="shared" si="5"/>
        <v>0</v>
      </c>
      <c r="F17" s="131">
        <f t="shared" si="5"/>
        <v>0</v>
      </c>
      <c r="G17" s="131">
        <f t="shared" si="5"/>
        <v>0</v>
      </c>
      <c r="H17" s="131">
        <f t="shared" si="5"/>
        <v>0</v>
      </c>
      <c r="I17" s="131">
        <f t="shared" si="5"/>
        <v>0</v>
      </c>
      <c r="J17" s="131">
        <f t="shared" si="5"/>
        <v>0</v>
      </c>
      <c r="K17" s="131">
        <f t="shared" si="5"/>
        <v>0</v>
      </c>
      <c r="L17" s="131">
        <f t="shared" si="5"/>
        <v>0</v>
      </c>
      <c r="M17" s="131">
        <f t="shared" si="5"/>
        <v>0</v>
      </c>
      <c r="N17" s="131">
        <f t="shared" si="5"/>
        <v>0</v>
      </c>
      <c r="O17" s="131">
        <v>20688.575042397893</v>
      </c>
      <c r="P17" s="131">
        <f t="shared" ref="P17:Z17" si="6">O17</f>
        <v>20688.575042397893</v>
      </c>
      <c r="Q17" s="131">
        <f t="shared" si="6"/>
        <v>20688.575042397893</v>
      </c>
      <c r="R17" s="131">
        <f t="shared" si="6"/>
        <v>20688.575042397893</v>
      </c>
      <c r="S17" s="131">
        <f t="shared" si="6"/>
        <v>20688.575042397893</v>
      </c>
      <c r="T17" s="131">
        <f t="shared" si="6"/>
        <v>20688.575042397893</v>
      </c>
      <c r="U17" s="131">
        <f t="shared" si="6"/>
        <v>20688.575042397893</v>
      </c>
      <c r="V17" s="131">
        <f t="shared" si="6"/>
        <v>20688.575042397893</v>
      </c>
      <c r="W17" s="131">
        <f t="shared" si="6"/>
        <v>20688.575042397893</v>
      </c>
      <c r="X17" s="131">
        <f t="shared" si="6"/>
        <v>20688.575042397893</v>
      </c>
      <c r="Y17" s="131">
        <f t="shared" si="6"/>
        <v>20688.575042397893</v>
      </c>
      <c r="Z17" s="131">
        <f t="shared" si="6"/>
        <v>20688.575042397893</v>
      </c>
      <c r="AA17" s="131">
        <f>Z17</f>
        <v>20688.575042397893</v>
      </c>
      <c r="AC17" s="116"/>
    </row>
    <row r="18" spans="1:29" s="101" customFormat="1" x14ac:dyDescent="0.25">
      <c r="A18" s="10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-0.21*O17</f>
        <v>-4344.6007589035571</v>
      </c>
      <c r="P19" s="131">
        <f t="shared" ref="P19:AA19" si="7">-0.21*P17</f>
        <v>-4344.6007589035571</v>
      </c>
      <c r="Q19" s="131">
        <f t="shared" si="7"/>
        <v>-4344.6007589035571</v>
      </c>
      <c r="R19" s="131">
        <f t="shared" si="7"/>
        <v>-4344.6007589035571</v>
      </c>
      <c r="S19" s="131">
        <f t="shared" si="7"/>
        <v>-4344.6007589035571</v>
      </c>
      <c r="T19" s="131">
        <f t="shared" si="7"/>
        <v>-4344.6007589035571</v>
      </c>
      <c r="U19" s="131">
        <f t="shared" si="7"/>
        <v>-4344.6007589035571</v>
      </c>
      <c r="V19" s="131">
        <f t="shared" si="7"/>
        <v>-4344.6007589035571</v>
      </c>
      <c r="W19" s="131">
        <f t="shared" si="7"/>
        <v>-4344.6007589035571</v>
      </c>
      <c r="X19" s="131">
        <f t="shared" si="7"/>
        <v>-4344.6007589035571</v>
      </c>
      <c r="Y19" s="131">
        <f t="shared" si="7"/>
        <v>-4344.6007589035571</v>
      </c>
      <c r="Z19" s="131">
        <f t="shared" si="7"/>
        <v>-4344.6007589035571</v>
      </c>
      <c r="AA19" s="131">
        <f t="shared" si="7"/>
        <v>-4344.6007589035571</v>
      </c>
      <c r="AC19" s="116"/>
    </row>
    <row r="20" spans="1:29" s="101" customFormat="1" x14ac:dyDescent="0.25">
      <c r="A20" s="103">
        <f>MAX($A$8:A17)+1</f>
        <v>9</v>
      </c>
      <c r="B20" s="101" t="s">
        <v>35</v>
      </c>
      <c r="C20" s="129">
        <f>(C17+C14)/Variables!$C$34</f>
        <v>0</v>
      </c>
      <c r="D20" s="129">
        <f>(D17+D14)/Variables!$C$34</f>
        <v>0</v>
      </c>
      <c r="E20" s="129">
        <f>(E17+E14)/Variables!$C$34</f>
        <v>0</v>
      </c>
      <c r="F20" s="129">
        <f>(F17+F14)/Variables!$C$34</f>
        <v>0</v>
      </c>
      <c r="G20" s="129">
        <f>(G17+G14)/Variables!$C$34</f>
        <v>0</v>
      </c>
      <c r="H20" s="129">
        <f>(H17+H14)/Variables!$C$34</f>
        <v>0</v>
      </c>
      <c r="I20" s="129">
        <f>(I17+I14)/Variables!$C$34</f>
        <v>0</v>
      </c>
      <c r="J20" s="129">
        <f>(J17+J14)/Variables!$C$34</f>
        <v>0</v>
      </c>
      <c r="K20" s="129">
        <f>(K17+K14)/Variables!$C$34</f>
        <v>0</v>
      </c>
      <c r="L20" s="129">
        <f>(L17+L14)/Variables!$C$34</f>
        <v>0</v>
      </c>
      <c r="M20" s="129">
        <f>(M17+M14)/Variables!$C$34</f>
        <v>0</v>
      </c>
      <c r="N20" s="129">
        <f>(N17+N14)/Variables!$C$34</f>
        <v>0</v>
      </c>
      <c r="O20" s="129">
        <f>(O17+O19+O14)/Variables!$C$34</f>
        <v>130506.85868461856</v>
      </c>
      <c r="P20" s="129">
        <f>(P17+P19+P14)/Variables!$C$34</f>
        <v>130506.85868461856</v>
      </c>
      <c r="Q20" s="129">
        <f>(Q17+Q19+Q14)/Variables!$C$34</f>
        <v>130506.85868461856</v>
      </c>
      <c r="R20" s="129">
        <f>(R17+R19+R14)/Variables!$C$34</f>
        <v>130506.85868461856</v>
      </c>
      <c r="S20" s="129">
        <f>(S17+S19+S14)/Variables!$C$34</f>
        <v>130506.85868461856</v>
      </c>
      <c r="T20" s="129">
        <f>(T17+T19+T14)/Variables!$C$34</f>
        <v>130506.85868461856</v>
      </c>
      <c r="U20" s="129">
        <f>(U17+U19+U14)/Variables!$C$34</f>
        <v>130506.85868461856</v>
      </c>
      <c r="V20" s="129">
        <f>(V17+V19+V14)/Variables!$C$34</f>
        <v>130506.85868461856</v>
      </c>
      <c r="W20" s="129">
        <f>(W17+W19+W14)/Variables!$C$34</f>
        <v>130506.85868461856</v>
      </c>
      <c r="X20" s="129">
        <f>(X17+X19+X14)/Variables!$C$34</f>
        <v>130506.85868461856</v>
      </c>
      <c r="Y20" s="129">
        <f>(Y17+Y19+Y14)/Variables!$C$34</f>
        <v>130506.85868461856</v>
      </c>
      <c r="Z20" s="129">
        <f>(Z17+Z19+Z14)/Variables!$C$34</f>
        <v>130506.85868461856</v>
      </c>
      <c r="AA20" s="129">
        <f>(AA17+AA19+AA14)/Variables!$C$34</f>
        <v>130506.85868461856</v>
      </c>
      <c r="AC20" s="116"/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8">P20*$P$46</f>
        <v>10194.026641660974</v>
      </c>
      <c r="Q22" s="133">
        <f t="shared" si="8"/>
        <v>10194.026641660974</v>
      </c>
      <c r="R22" s="133">
        <f t="shared" si="8"/>
        <v>10194.026641660974</v>
      </c>
      <c r="S22" s="133">
        <f t="shared" si="8"/>
        <v>10194.026641660974</v>
      </c>
      <c r="T22" s="133">
        <f t="shared" si="8"/>
        <v>10194.026641660974</v>
      </c>
      <c r="U22" s="133">
        <f t="shared" si="8"/>
        <v>10194.026641660974</v>
      </c>
      <c r="V22" s="133">
        <f t="shared" si="8"/>
        <v>10194.026641660974</v>
      </c>
      <c r="W22" s="133">
        <f t="shared" si="8"/>
        <v>10194.026641660974</v>
      </c>
      <c r="X22" s="133">
        <f t="shared" si="8"/>
        <v>10194.026641660974</v>
      </c>
      <c r="Y22" s="133">
        <f t="shared" si="8"/>
        <v>10194.026641660974</v>
      </c>
      <c r="Z22" s="133">
        <f t="shared" si="8"/>
        <v>10194.026641660974</v>
      </c>
      <c r="AA22" s="133">
        <f t="shared" si="8"/>
        <v>10194.026641660974</v>
      </c>
    </row>
    <row r="23" spans="1:29" ht="13" x14ac:dyDescent="0.3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ht="13" x14ac:dyDescent="0.3">
      <c r="A25" s="23"/>
      <c r="B25" s="24" t="s">
        <v>25</v>
      </c>
    </row>
    <row r="26" spans="1:29" s="101" customFormat="1" x14ac:dyDescent="0.25">
      <c r="A26" s="103">
        <f>MAX($A$8:A25)+1</f>
        <v>11</v>
      </c>
      <c r="B26" s="101" t="s">
        <v>26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12396487.4</v>
      </c>
      <c r="O26" s="129">
        <v>12933471.890000001</v>
      </c>
      <c r="P26" s="129">
        <v>13137609</v>
      </c>
      <c r="Q26" s="129">
        <v>13519724.17</v>
      </c>
      <c r="R26" s="129">
        <v>13403384.52</v>
      </c>
      <c r="S26" s="129">
        <v>13362054.619999999</v>
      </c>
      <c r="T26" s="129">
        <v>13339796.389999999</v>
      </c>
      <c r="U26" s="129">
        <v>13339796.389999999</v>
      </c>
      <c r="V26" s="129">
        <v>13339796.389999999</v>
      </c>
      <c r="W26" s="129">
        <v>13339796.389999999</v>
      </c>
      <c r="X26" s="129">
        <v>13339796.389999999</v>
      </c>
      <c r="Y26" s="129">
        <v>13339796.389999999</v>
      </c>
      <c r="Z26" s="129">
        <v>13339796.389999999</v>
      </c>
      <c r="AA26" s="129">
        <v>13339796.389999999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0</v>
      </c>
      <c r="D27" s="129">
        <f t="shared" ref="D27:O27" si="9">C27-D35</f>
        <v>0</v>
      </c>
      <c r="E27" s="129">
        <f t="shared" si="9"/>
        <v>0</v>
      </c>
      <c r="F27" s="129">
        <f t="shared" si="9"/>
        <v>0</v>
      </c>
      <c r="G27" s="129">
        <f t="shared" si="9"/>
        <v>0</v>
      </c>
      <c r="H27" s="129">
        <f t="shared" si="9"/>
        <v>0</v>
      </c>
      <c r="I27" s="129">
        <f t="shared" si="9"/>
        <v>0</v>
      </c>
      <c r="J27" s="129">
        <f t="shared" si="9"/>
        <v>0</v>
      </c>
      <c r="K27" s="129">
        <f t="shared" si="9"/>
        <v>0</v>
      </c>
      <c r="L27" s="129">
        <f t="shared" si="9"/>
        <v>0</v>
      </c>
      <c r="M27" s="129">
        <f t="shared" si="9"/>
        <v>0</v>
      </c>
      <c r="N27" s="129">
        <f t="shared" si="9"/>
        <v>-9024.172835538955</v>
      </c>
      <c r="O27" s="129">
        <f t="shared" si="9"/>
        <v>-27463.422856486468</v>
      </c>
      <c r="P27" s="129">
        <f>O27-P35</f>
        <v>-46073.910044680248</v>
      </c>
      <c r="Q27" s="129">
        <f t="shared" ref="Q27:AA27" si="10">P27-Q35</f>
        <v>-65102.88546479748</v>
      </c>
      <c r="R27" s="129">
        <f t="shared" si="10"/>
        <v>-84321.581132063831</v>
      </c>
      <c r="S27" s="129">
        <f t="shared" si="10"/>
        <v>-103427.72653136762</v>
      </c>
      <c r="T27" s="129">
        <f t="shared" si="10"/>
        <v>-122488.48040725589</v>
      </c>
      <c r="U27" s="129">
        <f t="shared" si="10"/>
        <v>-141533.34554780577</v>
      </c>
      <c r="V27" s="129">
        <f t="shared" si="10"/>
        <v>-160578.21068835567</v>
      </c>
      <c r="W27" s="129">
        <f t="shared" si="10"/>
        <v>-179623.07582890557</v>
      </c>
      <c r="X27" s="129">
        <f>W27-X35</f>
        <v>-198667.94096945546</v>
      </c>
      <c r="Y27" s="129">
        <f t="shared" si="10"/>
        <v>-217712.80611000536</v>
      </c>
      <c r="Z27" s="129">
        <f t="shared" si="10"/>
        <v>-236757.67125055526</v>
      </c>
      <c r="AA27" s="129">
        <f t="shared" si="10"/>
        <v>-255802.53639110515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1006</v>
      </c>
      <c r="O28" s="130">
        <v>-16849</v>
      </c>
      <c r="P28" s="130">
        <v>-38894</v>
      </c>
      <c r="Q28" s="130">
        <v>-60939</v>
      </c>
      <c r="R28" s="130">
        <v>-82984</v>
      </c>
      <c r="S28" s="130">
        <v>-105029</v>
      </c>
      <c r="T28" s="130">
        <v>-127074</v>
      </c>
      <c r="U28" s="130">
        <v>-149119</v>
      </c>
      <c r="V28" s="130">
        <v>-171164</v>
      </c>
      <c r="W28" s="130">
        <v>-193209</v>
      </c>
      <c r="X28" s="130">
        <v>-215254</v>
      </c>
      <c r="Y28" s="130">
        <v>-237299</v>
      </c>
      <c r="Z28" s="130">
        <v>-259344</v>
      </c>
      <c r="AA28" s="130">
        <v>-281389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1">SUM(C26:C28)</f>
        <v>0</v>
      </c>
      <c r="D29" s="129">
        <f t="shared" si="11"/>
        <v>0</v>
      </c>
      <c r="E29" s="129">
        <f t="shared" si="11"/>
        <v>0</v>
      </c>
      <c r="F29" s="129">
        <f t="shared" si="11"/>
        <v>0</v>
      </c>
      <c r="G29" s="129">
        <f t="shared" si="11"/>
        <v>0</v>
      </c>
      <c r="H29" s="129">
        <f t="shared" si="11"/>
        <v>0</v>
      </c>
      <c r="I29" s="129">
        <f t="shared" si="11"/>
        <v>0</v>
      </c>
      <c r="J29" s="129">
        <f t="shared" si="11"/>
        <v>0</v>
      </c>
      <c r="K29" s="129">
        <f t="shared" si="11"/>
        <v>0</v>
      </c>
      <c r="L29" s="129">
        <f t="shared" ref="L29:O29" si="12">SUM(L26:L28)</f>
        <v>0</v>
      </c>
      <c r="M29" s="129">
        <f t="shared" si="12"/>
        <v>0</v>
      </c>
      <c r="N29" s="129">
        <f t="shared" si="12"/>
        <v>12388469.227164462</v>
      </c>
      <c r="O29" s="129">
        <f t="shared" si="12"/>
        <v>12889159.467143513</v>
      </c>
      <c r="P29" s="129">
        <f>SUM(P26:P28)</f>
        <v>13052641.089955321</v>
      </c>
      <c r="Q29" s="129">
        <f t="shared" ref="Q29:AA29" si="13">SUM(Q26:Q28)</f>
        <v>13393682.284535203</v>
      </c>
      <c r="R29" s="129">
        <f t="shared" si="13"/>
        <v>13236078.938867936</v>
      </c>
      <c r="S29" s="129">
        <f t="shared" si="13"/>
        <v>13153597.893468631</v>
      </c>
      <c r="T29" s="129">
        <f t="shared" si="13"/>
        <v>13090233.909592742</v>
      </c>
      <c r="U29" s="129">
        <f t="shared" si="13"/>
        <v>13049144.044452192</v>
      </c>
      <c r="V29" s="129">
        <f t="shared" si="13"/>
        <v>13008054.179311642</v>
      </c>
      <c r="W29" s="129">
        <f t="shared" si="13"/>
        <v>12966964.314171093</v>
      </c>
      <c r="X29" s="129">
        <f t="shared" si="13"/>
        <v>12925874.449030543</v>
      </c>
      <c r="Y29" s="129">
        <f t="shared" si="13"/>
        <v>12884784.583889993</v>
      </c>
      <c r="Z29" s="129">
        <f t="shared" si="13"/>
        <v>12843694.718749443</v>
      </c>
      <c r="AA29" s="129">
        <f t="shared" si="13"/>
        <v>12802604.853608893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MAX($A$26:A31)+1</f>
        <v>16</v>
      </c>
      <c r="B32" s="101" t="s">
        <v>31</v>
      </c>
      <c r="C32" s="131">
        <f t="shared" ref="C32:N32" si="14">C29*C31/12</f>
        <v>0</v>
      </c>
      <c r="D32" s="131">
        <f t="shared" si="14"/>
        <v>0</v>
      </c>
      <c r="E32" s="131">
        <f t="shared" si="14"/>
        <v>0</v>
      </c>
      <c r="F32" s="131">
        <f t="shared" si="14"/>
        <v>0</v>
      </c>
      <c r="G32" s="131">
        <f t="shared" si="14"/>
        <v>0</v>
      </c>
      <c r="H32" s="131">
        <f t="shared" si="14"/>
        <v>0</v>
      </c>
      <c r="I32" s="131">
        <f t="shared" si="14"/>
        <v>0</v>
      </c>
      <c r="J32" s="131">
        <f t="shared" si="14"/>
        <v>0</v>
      </c>
      <c r="K32" s="131">
        <f t="shared" si="14"/>
        <v>0</v>
      </c>
      <c r="L32" s="131">
        <f t="shared" si="14"/>
        <v>0</v>
      </c>
      <c r="M32" s="131">
        <f t="shared" si="14"/>
        <v>0</v>
      </c>
      <c r="N32" s="131">
        <f t="shared" si="14"/>
        <v>74012.287171707663</v>
      </c>
      <c r="O32" s="131">
        <f>O29*O31/12</f>
        <v>77003.555031028372</v>
      </c>
      <c r="P32" s="131">
        <f>P29*P31/12</f>
        <v>77980.241382907363</v>
      </c>
      <c r="Q32" s="131">
        <f t="shared" ref="Q32:AA32" si="15">Q29*Q31/12</f>
        <v>80017.719812872005</v>
      </c>
      <c r="R32" s="131">
        <f t="shared" si="15"/>
        <v>79076.151983557749</v>
      </c>
      <c r="S32" s="131">
        <f t="shared" si="15"/>
        <v>78583.386436307555</v>
      </c>
      <c r="T32" s="131">
        <f t="shared" si="15"/>
        <v>78204.831726684308</v>
      </c>
      <c r="U32" s="131">
        <f t="shared" si="15"/>
        <v>77959.349024756884</v>
      </c>
      <c r="V32" s="131">
        <f t="shared" si="15"/>
        <v>77713.866322829461</v>
      </c>
      <c r="W32" s="131">
        <f t="shared" si="15"/>
        <v>77468.383620902023</v>
      </c>
      <c r="X32" s="131">
        <f t="shared" si="15"/>
        <v>77222.900918974599</v>
      </c>
      <c r="Y32" s="131">
        <f t="shared" si="15"/>
        <v>76977.418217047161</v>
      </c>
      <c r="Z32" s="131">
        <f t="shared" si="15"/>
        <v>76731.935515119738</v>
      </c>
      <c r="AA32" s="131">
        <f t="shared" si="15"/>
        <v>76486.452813192314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1" t="s">
        <v>32</v>
      </c>
      <c r="C34" s="107">
        <f>C16</f>
        <v>1.7471090080963977E-2</v>
      </c>
      <c r="D34" s="107">
        <f t="shared" ref="D34:AA34" si="16">D16</f>
        <v>1.7471090080963977E-2</v>
      </c>
      <c r="E34" s="107">
        <f t="shared" si="16"/>
        <v>1.7471090080963977E-2</v>
      </c>
      <c r="F34" s="107">
        <f t="shared" si="16"/>
        <v>1.7471090080963977E-2</v>
      </c>
      <c r="G34" s="107">
        <f t="shared" si="16"/>
        <v>1.7471090080963977E-2</v>
      </c>
      <c r="H34" s="107">
        <f t="shared" si="16"/>
        <v>1.7471090080963977E-2</v>
      </c>
      <c r="I34" s="107">
        <f t="shared" si="16"/>
        <v>1.7471090080963977E-2</v>
      </c>
      <c r="J34" s="107">
        <f t="shared" si="16"/>
        <v>1.7471090080963977E-2</v>
      </c>
      <c r="K34" s="107">
        <f t="shared" si="16"/>
        <v>1.7471090080963977E-2</v>
      </c>
      <c r="L34" s="107">
        <f t="shared" si="16"/>
        <v>1.7471090080963977E-2</v>
      </c>
      <c r="M34" s="107">
        <f t="shared" si="16"/>
        <v>1.7471090080963977E-2</v>
      </c>
      <c r="N34" s="107">
        <f t="shared" si="16"/>
        <v>1.7471090080963977E-2</v>
      </c>
      <c r="O34" s="107">
        <f t="shared" si="16"/>
        <v>1.7471090080963977E-2</v>
      </c>
      <c r="P34" s="107">
        <f t="shared" si="16"/>
        <v>1.7132074209012617E-2</v>
      </c>
      <c r="Q34" s="107">
        <f t="shared" si="16"/>
        <v>1.7132074209012617E-2</v>
      </c>
      <c r="R34" s="107">
        <f t="shared" si="16"/>
        <v>1.7132074209012617E-2</v>
      </c>
      <c r="S34" s="107">
        <f t="shared" si="16"/>
        <v>1.7132074209012617E-2</v>
      </c>
      <c r="T34" s="107">
        <f t="shared" si="16"/>
        <v>1.7132074209012617E-2</v>
      </c>
      <c r="U34" s="107">
        <f t="shared" si="16"/>
        <v>1.7132074209012617E-2</v>
      </c>
      <c r="V34" s="107">
        <f t="shared" si="16"/>
        <v>1.7132074209012617E-2</v>
      </c>
      <c r="W34" s="107">
        <f t="shared" si="16"/>
        <v>1.7132074209012617E-2</v>
      </c>
      <c r="X34" s="107">
        <f t="shared" si="16"/>
        <v>1.7132074209012617E-2</v>
      </c>
      <c r="Y34" s="107">
        <f t="shared" si="16"/>
        <v>1.7132074209012617E-2</v>
      </c>
      <c r="Z34" s="107">
        <f t="shared" si="16"/>
        <v>1.7132074209012617E-2</v>
      </c>
      <c r="AA34" s="107">
        <f t="shared" si="16"/>
        <v>1.7132074209012617E-2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v>0</v>
      </c>
      <c r="D35" s="131">
        <f t="shared" ref="D35:Z35" si="17">(((D26+C26)/2)*D34)/12</f>
        <v>0</v>
      </c>
      <c r="E35" s="131">
        <f t="shared" si="17"/>
        <v>0</v>
      </c>
      <c r="F35" s="131">
        <f t="shared" si="17"/>
        <v>0</v>
      </c>
      <c r="G35" s="131">
        <f t="shared" si="17"/>
        <v>0</v>
      </c>
      <c r="H35" s="131">
        <f t="shared" si="17"/>
        <v>0</v>
      </c>
      <c r="I35" s="131">
        <f t="shared" si="17"/>
        <v>0</v>
      </c>
      <c r="J35" s="131">
        <f t="shared" si="17"/>
        <v>0</v>
      </c>
      <c r="K35" s="131">
        <f t="shared" si="17"/>
        <v>0</v>
      </c>
      <c r="L35" s="131">
        <f t="shared" si="17"/>
        <v>0</v>
      </c>
      <c r="M35" s="131">
        <f t="shared" si="17"/>
        <v>0</v>
      </c>
      <c r="N35" s="131">
        <f t="shared" si="17"/>
        <v>9024.172835538955</v>
      </c>
      <c r="O35" s="131">
        <f t="shared" si="17"/>
        <v>18439.250020947515</v>
      </c>
      <c r="P35" s="131">
        <f t="shared" si="17"/>
        <v>18610.48718819378</v>
      </c>
      <c r="Q35" s="131">
        <f t="shared" si="17"/>
        <v>19028.975420117233</v>
      </c>
      <c r="R35" s="131">
        <f t="shared" si="17"/>
        <v>19218.695667266351</v>
      </c>
      <c r="S35" s="131">
        <f t="shared" si="17"/>
        <v>19106.145399303783</v>
      </c>
      <c r="T35" s="131">
        <f t="shared" si="17"/>
        <v>19060.753875888269</v>
      </c>
      <c r="U35" s="131">
        <f t="shared" si="17"/>
        <v>19044.865140549882</v>
      </c>
      <c r="V35" s="131">
        <f t="shared" si="17"/>
        <v>19044.865140549882</v>
      </c>
      <c r="W35" s="131">
        <f t="shared" si="17"/>
        <v>19044.865140549882</v>
      </c>
      <c r="X35" s="131">
        <f t="shared" si="17"/>
        <v>19044.865140549882</v>
      </c>
      <c r="Y35" s="131">
        <f t="shared" si="17"/>
        <v>19044.865140549882</v>
      </c>
      <c r="Z35" s="131">
        <f t="shared" si="17"/>
        <v>19044.865140549882</v>
      </c>
      <c r="AA35" s="131">
        <f>(((AA26+Z26)/2)*AA34)/12</f>
        <v>19044.865140549882</v>
      </c>
      <c r="AC35" s="116"/>
    </row>
    <row r="36" spans="1:29" s="101" customFormat="1" x14ac:dyDescent="0.25">
      <c r="A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C36" s="116"/>
    </row>
    <row r="37" spans="1:29" s="101" customFormat="1" x14ac:dyDescent="0.25">
      <c r="A37" s="103"/>
      <c r="B37" s="101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f>-0.21*O35</f>
        <v>-3872.2425043989779</v>
      </c>
      <c r="P37" s="131">
        <f t="shared" ref="P37:AA37" si="18">-0.21*P35</f>
        <v>-3908.2023095206937</v>
      </c>
      <c r="Q37" s="131">
        <f t="shared" si="18"/>
        <v>-3996.0848382246186</v>
      </c>
      <c r="R37" s="131">
        <f t="shared" si="18"/>
        <v>-4035.9260901259336</v>
      </c>
      <c r="S37" s="131">
        <f t="shared" si="18"/>
        <v>-4012.2905338537944</v>
      </c>
      <c r="T37" s="131">
        <f t="shared" si="18"/>
        <v>-4002.7583139365365</v>
      </c>
      <c r="U37" s="131">
        <f t="shared" si="18"/>
        <v>-3999.4216795154753</v>
      </c>
      <c r="V37" s="131">
        <f t="shared" si="18"/>
        <v>-3999.4216795154753</v>
      </c>
      <c r="W37" s="131">
        <f t="shared" si="18"/>
        <v>-3999.4216795154753</v>
      </c>
      <c r="X37" s="131">
        <f t="shared" si="18"/>
        <v>-3999.4216795154753</v>
      </c>
      <c r="Y37" s="131">
        <f t="shared" si="18"/>
        <v>-3999.4216795154753</v>
      </c>
      <c r="Z37" s="131">
        <f t="shared" si="18"/>
        <v>-3999.4216795154753</v>
      </c>
      <c r="AA37" s="131">
        <f t="shared" si="18"/>
        <v>-3999.4216795154753</v>
      </c>
      <c r="AC37" s="116"/>
    </row>
    <row r="38" spans="1:29" s="101" customFormat="1" x14ac:dyDescent="0.25">
      <c r="A38" s="103">
        <f>MAX($A$26:A35)+1</f>
        <v>19</v>
      </c>
      <c r="B38" s="101" t="s">
        <v>35</v>
      </c>
      <c r="C38" s="129">
        <f>(C35+C32)/Variables!$C$34</f>
        <v>0</v>
      </c>
      <c r="D38" s="129">
        <f>(D35+D32)/Variables!$C$34</f>
        <v>0</v>
      </c>
      <c r="E38" s="129">
        <f>(E35+E32)/Variables!$C$34</f>
        <v>0</v>
      </c>
      <c r="F38" s="129">
        <f>(F35+F32)/Variables!$C$34</f>
        <v>0</v>
      </c>
      <c r="G38" s="129">
        <f>(G35+G32)/Variables!$C$34</f>
        <v>0</v>
      </c>
      <c r="H38" s="129">
        <f>(H35+H32)/Variables!$C$34</f>
        <v>0</v>
      </c>
      <c r="I38" s="129">
        <f>(I35+I32)/Variables!$C$34</f>
        <v>0</v>
      </c>
      <c r="J38" s="129">
        <f>(J35+J32)/Variables!$C$34</f>
        <v>0</v>
      </c>
      <c r="K38" s="129">
        <f>(K35+K32)/Variables!$C$34</f>
        <v>0</v>
      </c>
      <c r="L38" s="129">
        <f>(L35+L32)/Variables!$C$34</f>
        <v>0</v>
      </c>
      <c r="M38" s="129">
        <f>(M35+M32)/Variables!$C$34</f>
        <v>0</v>
      </c>
      <c r="N38" s="129">
        <f>(N35+N32)/Variables!$C$34</f>
        <v>110252.22068279442</v>
      </c>
      <c r="O38" s="129">
        <f>(O35+O37+O32)/Variables!$C$34</f>
        <v>121583.43297826052</v>
      </c>
      <c r="P38" s="129">
        <f>(P35+P37+P32)/Variables!$C$34</f>
        <v>123059.85031080191</v>
      </c>
      <c r="Q38" s="129">
        <f>(Q35+Q37+Q32)/Variables!$C$34</f>
        <v>126204.09001495667</v>
      </c>
      <c r="R38" s="129">
        <f>(R35+R37+R32)/Variables!$C$34</f>
        <v>125152.91981769656</v>
      </c>
      <c r="S38" s="129">
        <f>(S35+S37+S32)/Variables!$C$34</f>
        <v>124380.58992465983</v>
      </c>
      <c r="T38" s="129">
        <f>(T35+T37+T32)/Variables!$C$34</f>
        <v>123830.34891938663</v>
      </c>
      <c r="U38" s="129">
        <f>(U35+U37+U32)/Variables!$C$34</f>
        <v>123487.74146689409</v>
      </c>
      <c r="V38" s="129">
        <f>(V35+V37+V32)/Variables!$C$34</f>
        <v>123161.80015118352</v>
      </c>
      <c r="W38" s="129">
        <f>(W35+W37+W32)/Variables!$C$34</f>
        <v>122835.85883547291</v>
      </c>
      <c r="X38" s="129">
        <f>(X35+X37+X32)/Variables!$C$34</f>
        <v>122509.91751976234</v>
      </c>
      <c r="Y38" s="129">
        <f>(Y35+Y37+Y32)/Variables!$C$34</f>
        <v>122183.97620405174</v>
      </c>
      <c r="Z38" s="129">
        <f>(Z35+Z37+Z32)/Variables!$C$34</f>
        <v>121858.03488834116</v>
      </c>
      <c r="AA38" s="129">
        <f>(AA35+AA37+AA32)/Variables!$C$34</f>
        <v>121532.09357263058</v>
      </c>
      <c r="AC38" s="116"/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19">P38*$P$46</f>
        <v>9612.3330622697576</v>
      </c>
      <c r="Q40" s="133">
        <f t="shared" si="19"/>
        <v>9857.9328999716181</v>
      </c>
      <c r="R40" s="133">
        <f t="shared" si="19"/>
        <v>9775.8249011752869</v>
      </c>
      <c r="S40" s="133">
        <f t="shared" si="19"/>
        <v>9715.4974089260577</v>
      </c>
      <c r="T40" s="133">
        <f t="shared" si="19"/>
        <v>9672.5175109833417</v>
      </c>
      <c r="U40" s="133">
        <f t="shared" si="19"/>
        <v>9645.7560860778467</v>
      </c>
      <c r="V40" s="133">
        <f t="shared" si="19"/>
        <v>9620.2964704725</v>
      </c>
      <c r="W40" s="133">
        <f t="shared" si="19"/>
        <v>9594.8368548671515</v>
      </c>
      <c r="X40" s="133">
        <f t="shared" si="19"/>
        <v>9569.3772392618066</v>
      </c>
      <c r="Y40" s="133">
        <f t="shared" si="19"/>
        <v>9543.9176236564581</v>
      </c>
      <c r="Z40" s="133">
        <f t="shared" si="19"/>
        <v>9518.4580080511114</v>
      </c>
      <c r="AA40" s="133">
        <f t="shared" si="19"/>
        <v>9492.9983924457647</v>
      </c>
    </row>
    <row r="41" spans="1:29" ht="13" x14ac:dyDescent="0.3">
      <c r="A41" s="25"/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9" s="22" customFormat="1" ht="13" x14ac:dyDescent="0.3">
      <c r="A42" s="19" t="s">
        <v>40</v>
      </c>
      <c r="B42" s="2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ht="13" thickBot="1" x14ac:dyDescent="0.3">
      <c r="A43" s="25">
        <f>MAX($A$8:A42)+1</f>
        <v>21</v>
      </c>
      <c r="B43" s="2" t="s">
        <v>44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32">
        <f>P40-P22</f>
        <v>-581.69357939121619</v>
      </c>
      <c r="Q43" s="132">
        <f t="shared" ref="Q43:AA43" si="20">Q40-Q22</f>
        <v>-336.09374168935574</v>
      </c>
      <c r="R43" s="132">
        <f t="shared" si="20"/>
        <v>-418.20174048568697</v>
      </c>
      <c r="S43" s="132">
        <f t="shared" si="20"/>
        <v>-478.52923273491615</v>
      </c>
      <c r="T43" s="132">
        <f t="shared" si="20"/>
        <v>-521.50913067763213</v>
      </c>
      <c r="U43" s="132">
        <f t="shared" si="20"/>
        <v>-548.27055558312713</v>
      </c>
      <c r="V43" s="132">
        <f t="shared" si="20"/>
        <v>-573.73017118847383</v>
      </c>
      <c r="W43" s="132">
        <f t="shared" si="20"/>
        <v>-599.18978679382235</v>
      </c>
      <c r="X43" s="132">
        <f t="shared" si="20"/>
        <v>-624.64940239916723</v>
      </c>
      <c r="Y43" s="132">
        <f t="shared" si="20"/>
        <v>-650.10901800451575</v>
      </c>
      <c r="Z43" s="132">
        <f t="shared" si="20"/>
        <v>-675.56863360986245</v>
      </c>
      <c r="AA43" s="132">
        <f t="shared" si="20"/>
        <v>-701.02824921520914</v>
      </c>
    </row>
    <row r="44" spans="1:29" ht="13.5" thickBot="1" x14ac:dyDescent="0.35">
      <c r="A44" s="25">
        <f>MAX($A$8:A43)+1</f>
        <v>22</v>
      </c>
      <c r="B44" s="2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32">
        <f>O44+P43</f>
        <v>-581.69357939121619</v>
      </c>
      <c r="Q44" s="132">
        <f t="shared" ref="Q44:AA44" si="21">P44+Q43</f>
        <v>-917.78732108057193</v>
      </c>
      <c r="R44" s="132">
        <f t="shared" si="21"/>
        <v>-1335.9890615662589</v>
      </c>
      <c r="S44" s="132">
        <f t="shared" si="21"/>
        <v>-1814.518294301175</v>
      </c>
      <c r="T44" s="132">
        <f t="shared" si="21"/>
        <v>-2336.0274249788072</v>
      </c>
      <c r="U44" s="132">
        <f t="shared" si="21"/>
        <v>-2884.2979805619343</v>
      </c>
      <c r="V44" s="132">
        <f t="shared" si="21"/>
        <v>-3458.0281517504081</v>
      </c>
      <c r="W44" s="132">
        <f t="shared" si="21"/>
        <v>-4057.2179385442305</v>
      </c>
      <c r="X44" s="132">
        <f t="shared" si="21"/>
        <v>-4681.8673409433977</v>
      </c>
      <c r="Y44" s="132">
        <f t="shared" si="21"/>
        <v>-5331.9763589479135</v>
      </c>
      <c r="Z44" s="132">
        <f t="shared" si="21"/>
        <v>-6007.5449925577759</v>
      </c>
      <c r="AA44" s="36">
        <f t="shared" si="21"/>
        <v>-6708.5732417729851</v>
      </c>
    </row>
    <row r="46" spans="1:29" ht="13" x14ac:dyDescent="0.3">
      <c r="B46" s="37" t="s">
        <v>43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0D909-C8DD-4735-9157-21F653F0AF82}">
  <sheetPr>
    <tabColor rgb="FF00B0F0"/>
    <pageSetUpPr fitToPage="1"/>
  </sheetPr>
  <dimension ref="A1:AC46"/>
  <sheetViews>
    <sheetView topLeftCell="A22" zoomScale="70" zoomScaleNormal="70" workbookViewId="0">
      <selection activeCell="P36" sqref="P36"/>
    </sheetView>
  </sheetViews>
  <sheetFormatPr defaultColWidth="9.08984375" defaultRowHeight="12.5" outlineLevelCol="1" x14ac:dyDescent="0.25"/>
  <cols>
    <col min="1" max="1" width="12.54296875" style="2" customWidth="1"/>
    <col min="2" max="2" width="40.36328125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6552.2256525692301</v>
      </c>
      <c r="E8" s="129">
        <v>13104.45130513846</v>
      </c>
      <c r="F8" s="129">
        <v>19656.676957707692</v>
      </c>
      <c r="G8" s="129">
        <v>26208.90261027692</v>
      </c>
      <c r="H8" s="129">
        <v>32761.128262846149</v>
      </c>
      <c r="I8" s="129">
        <v>39313.353915415377</v>
      </c>
      <c r="J8" s="129">
        <v>45865.579566190579</v>
      </c>
      <c r="K8" s="129">
        <v>52417.805213372871</v>
      </c>
      <c r="L8" s="129">
        <v>58970.03085516837</v>
      </c>
      <c r="M8" s="129">
        <v>65522.256489778039</v>
      </c>
      <c r="N8" s="129">
        <v>72074.482113604739</v>
      </c>
      <c r="O8" s="129">
        <v>280654360.61772305</v>
      </c>
      <c r="P8" s="129">
        <f t="shared" ref="P8:Z10" si="0">O8</f>
        <v>280654360.61772305</v>
      </c>
      <c r="Q8" s="129">
        <f t="shared" si="0"/>
        <v>280654360.61772305</v>
      </c>
      <c r="R8" s="129">
        <f t="shared" si="0"/>
        <v>280654360.61772305</v>
      </c>
      <c r="S8" s="129">
        <f t="shared" si="0"/>
        <v>280654360.61772305</v>
      </c>
      <c r="T8" s="129">
        <f t="shared" si="0"/>
        <v>280654360.61772305</v>
      </c>
      <c r="U8" s="129">
        <f t="shared" si="0"/>
        <v>280654360.61772305</v>
      </c>
      <c r="V8" s="129">
        <f t="shared" si="0"/>
        <v>280654360.61772305</v>
      </c>
      <c r="W8" s="129">
        <f t="shared" si="0"/>
        <v>280654360.61772305</v>
      </c>
      <c r="X8" s="129">
        <f t="shared" si="0"/>
        <v>280654360.61772305</v>
      </c>
      <c r="Y8" s="129">
        <f t="shared" si="0"/>
        <v>280654360.61772305</v>
      </c>
      <c r="Z8" s="129">
        <f t="shared" si="0"/>
        <v>280654360.61772305</v>
      </c>
      <c r="AA8" s="129">
        <f>Z8</f>
        <v>280654360.61772305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-9.0218898073968141</v>
      </c>
      <c r="E9" s="129">
        <f t="shared" si="1"/>
        <v>-36.087559229587264</v>
      </c>
      <c r="F9" s="129">
        <f t="shared" si="1"/>
        <v>-81.197008266571345</v>
      </c>
      <c r="G9" s="129">
        <f t="shared" si="1"/>
        <v>-144.35023691834905</v>
      </c>
      <c r="H9" s="129">
        <f t="shared" si="1"/>
        <v>-225.54724518492037</v>
      </c>
      <c r="I9" s="129">
        <f t="shared" si="1"/>
        <v>-324.78803306628532</v>
      </c>
      <c r="J9" s="129">
        <f t="shared" si="1"/>
        <v>-442.07260055997369</v>
      </c>
      <c r="K9" s="129">
        <f t="shared" si="1"/>
        <v>-577.40094765856804</v>
      </c>
      <c r="L9" s="129">
        <f t="shared" si="1"/>
        <v>-730.77307434970407</v>
      </c>
      <c r="M9" s="129">
        <f t="shared" si="1"/>
        <v>-902.18898061607035</v>
      </c>
      <c r="N9" s="129">
        <f t="shared" si="1"/>
        <v>-1091.6486664329252</v>
      </c>
      <c r="O9" s="129">
        <v>-6981777.1199592836</v>
      </c>
      <c r="P9" s="129">
        <f t="shared" si="0"/>
        <v>-6981777.1199592836</v>
      </c>
      <c r="Q9" s="129">
        <f t="shared" si="0"/>
        <v>-6981777.1199592836</v>
      </c>
      <c r="R9" s="129">
        <f t="shared" si="0"/>
        <v>-6981777.1199592836</v>
      </c>
      <c r="S9" s="129">
        <f t="shared" si="0"/>
        <v>-6981777.1199592836</v>
      </c>
      <c r="T9" s="129">
        <f t="shared" si="0"/>
        <v>-6981777.1199592836</v>
      </c>
      <c r="U9" s="129">
        <f t="shared" si="0"/>
        <v>-6981777.1199592836</v>
      </c>
      <c r="V9" s="129">
        <f t="shared" si="0"/>
        <v>-6981777.1199592836</v>
      </c>
      <c r="W9" s="129">
        <f t="shared" si="0"/>
        <v>-6981777.1199592836</v>
      </c>
      <c r="X9" s="129">
        <f t="shared" si="0"/>
        <v>-6981777.1199592836</v>
      </c>
      <c r="Y9" s="129">
        <f t="shared" si="0"/>
        <v>-6981777.1199592836</v>
      </c>
      <c r="Z9" s="129">
        <f t="shared" si="0"/>
        <v>-6981777.1199592836</v>
      </c>
      <c r="AA9" s="129">
        <f>Z9</f>
        <v>-6981777.1199592836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-12084987.5</v>
      </c>
      <c r="P10" s="130">
        <f t="shared" si="0"/>
        <v>-12084987.5</v>
      </c>
      <c r="Q10" s="130">
        <f t="shared" si="0"/>
        <v>-12084987.5</v>
      </c>
      <c r="R10" s="130">
        <f t="shared" si="0"/>
        <v>-12084987.5</v>
      </c>
      <c r="S10" s="130">
        <f t="shared" si="0"/>
        <v>-12084987.5</v>
      </c>
      <c r="T10" s="130">
        <f t="shared" si="0"/>
        <v>-12084987.5</v>
      </c>
      <c r="U10" s="130">
        <f t="shared" si="0"/>
        <v>-12084987.5</v>
      </c>
      <c r="V10" s="130">
        <f t="shared" si="0"/>
        <v>-12084987.5</v>
      </c>
      <c r="W10" s="130">
        <f t="shared" si="0"/>
        <v>-12084987.5</v>
      </c>
      <c r="X10" s="130">
        <f t="shared" si="0"/>
        <v>-12084987.5</v>
      </c>
      <c r="Y10" s="130">
        <f t="shared" si="0"/>
        <v>-12084987.5</v>
      </c>
      <c r="Z10" s="130">
        <f t="shared" si="0"/>
        <v>-12084987.5</v>
      </c>
      <c r="AA10" s="130">
        <f>Z10</f>
        <v>-12084987.5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6543.2037627618329</v>
      </c>
      <c r="E11" s="129">
        <f t="shared" si="2"/>
        <v>13068.363745908873</v>
      </c>
      <c r="F11" s="129">
        <f t="shared" si="2"/>
        <v>19575.47994944112</v>
      </c>
      <c r="G11" s="129">
        <f t="shared" si="2"/>
        <v>26064.552373358572</v>
      </c>
      <c r="H11" s="129">
        <f t="shared" si="2"/>
        <v>32535.581017661229</v>
      </c>
      <c r="I11" s="129">
        <f t="shared" si="2"/>
        <v>38988.565882349088</v>
      </c>
      <c r="J11" s="129">
        <f t="shared" si="2"/>
        <v>45423.506965630608</v>
      </c>
      <c r="K11" s="129">
        <f t="shared" si="2"/>
        <v>51840.4042657143</v>
      </c>
      <c r="L11" s="129">
        <f t="shared" ref="L11:AA11" si="3">SUM(L8:L10)</f>
        <v>58239.257780818669</v>
      </c>
      <c r="M11" s="129">
        <f t="shared" si="3"/>
        <v>64620.067509161971</v>
      </c>
      <c r="N11" s="129">
        <f t="shared" si="3"/>
        <v>70982.833447171812</v>
      </c>
      <c r="O11" s="129">
        <f t="shared" si="3"/>
        <v>261587595.99776375</v>
      </c>
      <c r="P11" s="129">
        <f t="shared" si="3"/>
        <v>261587595.99776375</v>
      </c>
      <c r="Q11" s="129">
        <f t="shared" si="3"/>
        <v>261587595.99776375</v>
      </c>
      <c r="R11" s="129">
        <f t="shared" si="3"/>
        <v>261587595.99776375</v>
      </c>
      <c r="S11" s="129">
        <f t="shared" si="3"/>
        <v>261587595.99776375</v>
      </c>
      <c r="T11" s="129">
        <f t="shared" si="3"/>
        <v>261587595.99776375</v>
      </c>
      <c r="U11" s="129">
        <f t="shared" si="3"/>
        <v>261587595.99776375</v>
      </c>
      <c r="V11" s="129">
        <f t="shared" si="3"/>
        <v>261587595.99776375</v>
      </c>
      <c r="W11" s="129">
        <f t="shared" si="3"/>
        <v>261587595.99776375</v>
      </c>
      <c r="X11" s="129">
        <f t="shared" si="3"/>
        <v>261587595.99776375</v>
      </c>
      <c r="Y11" s="129">
        <f t="shared" si="3"/>
        <v>261587595.99776375</v>
      </c>
      <c r="Z11" s="129">
        <f t="shared" si="3"/>
        <v>261587595.99776375</v>
      </c>
      <c r="AA11" s="129">
        <f t="shared" si="3"/>
        <v>261587595.99776375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0</v>
      </c>
      <c r="D14" s="131">
        <f t="shared" si="4"/>
        <v>39.090985902490786</v>
      </c>
      <c r="E14" s="131">
        <f t="shared" si="4"/>
        <v>78.074173062939678</v>
      </c>
      <c r="F14" s="131">
        <f t="shared" si="4"/>
        <v>116.94956148134668</v>
      </c>
      <c r="G14" s="131">
        <f t="shared" si="4"/>
        <v>155.71715115771175</v>
      </c>
      <c r="H14" s="131">
        <f t="shared" si="4"/>
        <v>194.37694209203494</v>
      </c>
      <c r="I14" s="131">
        <f t="shared" si="4"/>
        <v>232.92893428431617</v>
      </c>
      <c r="J14" s="131">
        <f t="shared" si="4"/>
        <v>271.37312772385235</v>
      </c>
      <c r="K14" s="131">
        <f t="shared" si="4"/>
        <v>309.70952239994051</v>
      </c>
      <c r="L14" s="131">
        <f t="shared" si="4"/>
        <v>347.93811830193749</v>
      </c>
      <c r="M14" s="131">
        <f t="shared" si="4"/>
        <v>386.05891541919874</v>
      </c>
      <c r="N14" s="131">
        <f t="shared" si="4"/>
        <v>424.07191373038171</v>
      </c>
      <c r="O14" s="131">
        <f t="shared" si="4"/>
        <v>1562799.7229141535</v>
      </c>
      <c r="P14" s="131">
        <f>P11*P13/12</f>
        <v>1562799.7229141535</v>
      </c>
      <c r="Q14" s="131">
        <f t="shared" si="4"/>
        <v>1562799.7229141535</v>
      </c>
      <c r="R14" s="131">
        <f t="shared" si="4"/>
        <v>1562799.7229141535</v>
      </c>
      <c r="S14" s="131">
        <f t="shared" si="4"/>
        <v>1562799.7229141535</v>
      </c>
      <c r="T14" s="131">
        <f t="shared" si="4"/>
        <v>1562799.7229141535</v>
      </c>
      <c r="U14" s="131">
        <f t="shared" si="4"/>
        <v>1562799.7229141535</v>
      </c>
      <c r="V14" s="131">
        <f t="shared" si="4"/>
        <v>1562799.7229141535</v>
      </c>
      <c r="W14" s="131">
        <f t="shared" si="4"/>
        <v>1562799.7229141535</v>
      </c>
      <c r="X14" s="131">
        <f t="shared" si="4"/>
        <v>1562799.7229141535</v>
      </c>
      <c r="Y14" s="131">
        <f t="shared" si="4"/>
        <v>1562799.7229141535</v>
      </c>
      <c r="Z14" s="131">
        <f t="shared" si="4"/>
        <v>1562799.7229141535</v>
      </c>
      <c r="AA14" s="131">
        <f t="shared" si="4"/>
        <v>1562799.7229141535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7">
        <v>3.3046077296287953E-2</v>
      </c>
      <c r="D16" s="107">
        <v>3.3046077296287953E-2</v>
      </c>
      <c r="E16" s="107">
        <v>3.3046077296287953E-2</v>
      </c>
      <c r="F16" s="107">
        <v>3.3046077296287953E-2</v>
      </c>
      <c r="G16" s="107">
        <v>3.3046077296287953E-2</v>
      </c>
      <c r="H16" s="107">
        <v>3.3046077296287953E-2</v>
      </c>
      <c r="I16" s="107">
        <v>3.3046077296287953E-2</v>
      </c>
      <c r="J16" s="107">
        <v>3.3046077296287953E-2</v>
      </c>
      <c r="K16" s="107">
        <v>3.3046077296287953E-2</v>
      </c>
      <c r="L16" s="107">
        <v>3.3046077296287953E-2</v>
      </c>
      <c r="M16" s="107">
        <v>3.3046077296287953E-2</v>
      </c>
      <c r="N16" s="107">
        <v>3.3046077296287953E-2</v>
      </c>
      <c r="O16" s="107">
        <v>3.3046077296287953E-2</v>
      </c>
      <c r="P16" s="107">
        <v>4.8360784328803093E-2</v>
      </c>
      <c r="Q16" s="107">
        <v>4.8360784328803093E-2</v>
      </c>
      <c r="R16" s="107">
        <v>4.8360784328803093E-2</v>
      </c>
      <c r="S16" s="107">
        <v>4.8360784328803093E-2</v>
      </c>
      <c r="T16" s="107">
        <v>4.8360784328803093E-2</v>
      </c>
      <c r="U16" s="107">
        <v>4.8360784328803093E-2</v>
      </c>
      <c r="V16" s="107">
        <v>4.8360784328803093E-2</v>
      </c>
      <c r="W16" s="107">
        <v>4.8360784328803093E-2</v>
      </c>
      <c r="X16" s="107">
        <v>4.8360784328803093E-2</v>
      </c>
      <c r="Y16" s="107">
        <v>4.8360784328803093E-2</v>
      </c>
      <c r="Z16" s="107">
        <v>4.8360784328803093E-2</v>
      </c>
      <c r="AA16" s="107">
        <v>4.8360784328803093E-2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f>(((C8)/2)*C16)/12</f>
        <v>0</v>
      </c>
      <c r="D17" s="131">
        <f t="shared" ref="D17:N17" si="5">(((D8+C8)/2)*D16)/12</f>
        <v>9.0218898073968141</v>
      </c>
      <c r="E17" s="131">
        <f t="shared" si="5"/>
        <v>27.065669422190449</v>
      </c>
      <c r="F17" s="131">
        <f t="shared" si="5"/>
        <v>45.109449036984074</v>
      </c>
      <c r="G17" s="131">
        <f t="shared" si="5"/>
        <v>63.153228651777702</v>
      </c>
      <c r="H17" s="131">
        <f t="shared" si="5"/>
        <v>81.197008266571331</v>
      </c>
      <c r="I17" s="131">
        <f t="shared" si="5"/>
        <v>99.240787881364966</v>
      </c>
      <c r="J17" s="131">
        <f t="shared" si="5"/>
        <v>117.28456749368836</v>
      </c>
      <c r="K17" s="131">
        <f t="shared" si="5"/>
        <v>135.32834709859438</v>
      </c>
      <c r="L17" s="131">
        <f t="shared" si="5"/>
        <v>153.37212669113606</v>
      </c>
      <c r="M17" s="131">
        <f t="shared" si="5"/>
        <v>171.41590626636625</v>
      </c>
      <c r="N17" s="131">
        <f t="shared" si="5"/>
        <v>189.45968581685483</v>
      </c>
      <c r="O17" s="131">
        <v>1131327.0649883004</v>
      </c>
      <c r="P17" s="131">
        <f t="shared" ref="P17:Z17" si="6">O17</f>
        <v>1131327.0649883004</v>
      </c>
      <c r="Q17" s="131">
        <f t="shared" si="6"/>
        <v>1131327.0649883004</v>
      </c>
      <c r="R17" s="131">
        <f t="shared" si="6"/>
        <v>1131327.0649883004</v>
      </c>
      <c r="S17" s="131">
        <f t="shared" si="6"/>
        <v>1131327.0649883004</v>
      </c>
      <c r="T17" s="131">
        <f t="shared" si="6"/>
        <v>1131327.0649883004</v>
      </c>
      <c r="U17" s="131">
        <f t="shared" si="6"/>
        <v>1131327.0649883004</v>
      </c>
      <c r="V17" s="131">
        <f t="shared" si="6"/>
        <v>1131327.0649883004</v>
      </c>
      <c r="W17" s="131">
        <f t="shared" si="6"/>
        <v>1131327.0649883004</v>
      </c>
      <c r="X17" s="131">
        <f t="shared" si="6"/>
        <v>1131327.0649883004</v>
      </c>
      <c r="Y17" s="131">
        <f t="shared" si="6"/>
        <v>1131327.0649883004</v>
      </c>
      <c r="Z17" s="131">
        <f t="shared" si="6"/>
        <v>1131327.0649883004</v>
      </c>
      <c r="AA17" s="131">
        <f>Z17</f>
        <v>1131327.0649883004</v>
      </c>
      <c r="AC17" s="116"/>
    </row>
    <row r="18" spans="1:29" s="101" customFormat="1" x14ac:dyDescent="0.25">
      <c r="A18" s="103"/>
      <c r="B18" s="101" t="s">
        <v>45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>
        <f>P18</f>
        <v>324537.3762207416</v>
      </c>
      <c r="P18" s="131">
        <v>324537.3762207416</v>
      </c>
      <c r="Q18" s="131">
        <v>324537.3762207416</v>
      </c>
      <c r="R18" s="131">
        <v>324537.3762207416</v>
      </c>
      <c r="S18" s="131">
        <v>324537.3762207416</v>
      </c>
      <c r="T18" s="131">
        <v>324537.3762207416</v>
      </c>
      <c r="U18" s="131">
        <v>324537.3762207416</v>
      </c>
      <c r="V18" s="131">
        <v>324537.3762207416</v>
      </c>
      <c r="W18" s="131">
        <v>324537.3762207416</v>
      </c>
      <c r="X18" s="131">
        <v>324537.3762207416</v>
      </c>
      <c r="Y18" s="131">
        <v>324537.3762207416</v>
      </c>
      <c r="Z18" s="131">
        <v>324537.3762207416</v>
      </c>
      <c r="AA18" s="131">
        <v>324537.3762207416</v>
      </c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-0.21*(O17+O18)</f>
        <v>-305731.53265389882</v>
      </c>
      <c r="P19" s="131">
        <f t="shared" ref="P19:AA19" si="7">-0.21*(P17+P18)</f>
        <v>-305731.53265389882</v>
      </c>
      <c r="Q19" s="131">
        <f t="shared" si="7"/>
        <v>-305731.53265389882</v>
      </c>
      <c r="R19" s="131">
        <f t="shared" si="7"/>
        <v>-305731.53265389882</v>
      </c>
      <c r="S19" s="131">
        <f t="shared" si="7"/>
        <v>-305731.53265389882</v>
      </c>
      <c r="T19" s="131">
        <f t="shared" si="7"/>
        <v>-305731.53265389882</v>
      </c>
      <c r="U19" s="131">
        <f t="shared" si="7"/>
        <v>-305731.53265389882</v>
      </c>
      <c r="V19" s="131">
        <f t="shared" si="7"/>
        <v>-305731.53265389882</v>
      </c>
      <c r="W19" s="131">
        <f t="shared" si="7"/>
        <v>-305731.53265389882</v>
      </c>
      <c r="X19" s="131">
        <f t="shared" si="7"/>
        <v>-305731.53265389882</v>
      </c>
      <c r="Y19" s="131">
        <f t="shared" si="7"/>
        <v>-305731.53265389882</v>
      </c>
      <c r="Z19" s="131">
        <f t="shared" si="7"/>
        <v>-305731.53265389882</v>
      </c>
      <c r="AA19" s="131">
        <f t="shared" si="7"/>
        <v>-305731.53265389882</v>
      </c>
      <c r="AC19" s="116"/>
    </row>
    <row r="20" spans="1:29" x14ac:dyDescent="0.25">
      <c r="A20" s="25">
        <f>MAX($A$8:A17)+1</f>
        <v>9</v>
      </c>
      <c r="B20" s="27" t="s">
        <v>35</v>
      </c>
      <c r="C20" s="135">
        <f>C17+C14</f>
        <v>0</v>
      </c>
      <c r="D20" s="135">
        <f>(D17+D14)/Variables!$C$34</f>
        <v>63.882195724474016</v>
      </c>
      <c r="E20" s="135">
        <f>(E17+E14)/Variables!$C$34</f>
        <v>139.60013607532383</v>
      </c>
      <c r="F20" s="135">
        <f>(F17+F14)/Variables!$C$34</f>
        <v>215.17494591825101</v>
      </c>
      <c r="G20" s="135">
        <f>(G17+G14)/Variables!$C$34</f>
        <v>290.60662525325563</v>
      </c>
      <c r="H20" s="135">
        <f>(H17+H14)/Variables!$C$34</f>
        <v>365.89517408033765</v>
      </c>
      <c r="I20" s="135">
        <f>(I17+I14)/Variables!$C$34</f>
        <v>441.04059239949697</v>
      </c>
      <c r="J20" s="135">
        <f>(J17+J14)/Variables!$C$34</f>
        <v>516.04288019324269</v>
      </c>
      <c r="K20" s="135">
        <f>(K17+K14)/Variables!$C$34</f>
        <v>590.9020374407952</v>
      </c>
      <c r="L20" s="135">
        <f>(L17+L14)/Variables!$C$34</f>
        <v>665.61806412145461</v>
      </c>
      <c r="M20" s="135">
        <f>(M17+M14)/Variables!$C$34</f>
        <v>740.19096021451901</v>
      </c>
      <c r="N20" s="135">
        <f>(N17+N14)/Variables!$C$34</f>
        <v>814.62072568178519</v>
      </c>
      <c r="O20" s="135">
        <f>(O17+O14+O18+O19)/Variables!$C$34</f>
        <v>3602114.6271915245</v>
      </c>
      <c r="P20" s="135">
        <f>(P17+P14+P18+P19)/Variables!$C$34</f>
        <v>3602114.6271915245</v>
      </c>
      <c r="Q20" s="135">
        <f>(Q17+Q14+Q18+Q19)/Variables!$C$34</f>
        <v>3602114.6271915245</v>
      </c>
      <c r="R20" s="135">
        <f>(R17+R14+R18+R19)/Variables!$C$34</f>
        <v>3602114.6271915245</v>
      </c>
      <c r="S20" s="135">
        <f>(S17+S14+S18+S19)/Variables!$C$34</f>
        <v>3602114.6271915245</v>
      </c>
      <c r="T20" s="135">
        <f>(T17+T14+T18+T19)/Variables!$C$34</f>
        <v>3602114.6271915245</v>
      </c>
      <c r="U20" s="135">
        <f>(U17+U14+U18+U19)/Variables!$C$34</f>
        <v>3602114.6271915245</v>
      </c>
      <c r="V20" s="135">
        <f>(V17+V14+V18+V19)/Variables!$C$34</f>
        <v>3602114.6271915245</v>
      </c>
      <c r="W20" s="135">
        <f>(W17+W14+W18+W19)/Variables!$C$34</f>
        <v>3602114.6271915245</v>
      </c>
      <c r="X20" s="135">
        <f>(X17+X14+X18+X19)/Variables!$C$34</f>
        <v>3602114.6271915245</v>
      </c>
      <c r="Y20" s="135">
        <f>(Y17+Y14+Y18+Y19)/Variables!$C$34</f>
        <v>3602114.6271915245</v>
      </c>
      <c r="Z20" s="135">
        <f>(Z17+Z14+Z18+Z19)/Variables!$C$34</f>
        <v>3602114.6271915245</v>
      </c>
      <c r="AA20" s="135">
        <f>(AA17+AA14+AA18+AA19)/Variables!$C$34</f>
        <v>3602114.6271915245</v>
      </c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8">P20*$P$46</f>
        <v>281364.92477107554</v>
      </c>
      <c r="Q22" s="133">
        <f t="shared" si="8"/>
        <v>281364.92477107554</v>
      </c>
      <c r="R22" s="133">
        <f t="shared" si="8"/>
        <v>281364.92477107554</v>
      </c>
      <c r="S22" s="133">
        <f t="shared" si="8"/>
        <v>281364.92477107554</v>
      </c>
      <c r="T22" s="133">
        <f t="shared" si="8"/>
        <v>281364.92477107554</v>
      </c>
      <c r="U22" s="133">
        <f t="shared" si="8"/>
        <v>281364.92477107554</v>
      </c>
      <c r="V22" s="133">
        <f t="shared" si="8"/>
        <v>281364.92477107554</v>
      </c>
      <c r="W22" s="133">
        <f t="shared" si="8"/>
        <v>281364.92477107554</v>
      </c>
      <c r="X22" s="133">
        <f t="shared" si="8"/>
        <v>281364.92477107554</v>
      </c>
      <c r="Y22" s="133">
        <f t="shared" si="8"/>
        <v>281364.92477107554</v>
      </c>
      <c r="Z22" s="133">
        <f t="shared" si="8"/>
        <v>281364.92477107554</v>
      </c>
      <c r="AA22" s="133">
        <f t="shared" si="8"/>
        <v>281364.92477107554</v>
      </c>
    </row>
    <row r="23" spans="1:29" ht="13" x14ac:dyDescent="0.3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s="101" customFormat="1" ht="13" x14ac:dyDescent="0.3">
      <c r="A25" s="102"/>
      <c r="B25" s="97" t="s">
        <v>25</v>
      </c>
      <c r="AC25" s="116"/>
    </row>
    <row r="26" spans="1:29" s="101" customFormat="1" x14ac:dyDescent="0.25">
      <c r="A26" s="103">
        <f>MAX($A$8:A25)+1</f>
        <v>11</v>
      </c>
      <c r="B26" s="101" t="s">
        <v>26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269128798.32999998</v>
      </c>
      <c r="P26" s="129">
        <v>268790450.20999998</v>
      </c>
      <c r="Q26" s="129">
        <v>268807053.08999997</v>
      </c>
      <c r="R26" s="129">
        <v>268972258</v>
      </c>
      <c r="S26" s="129">
        <v>269044837.69</v>
      </c>
      <c r="T26" s="129">
        <v>269064933.78000003</v>
      </c>
      <c r="U26" s="129">
        <v>269064933.78000003</v>
      </c>
      <c r="V26" s="129">
        <v>269064933.78000003</v>
      </c>
      <c r="W26" s="129">
        <v>269064933.78000003</v>
      </c>
      <c r="X26" s="129">
        <v>269064933.78000003</v>
      </c>
      <c r="Y26" s="129">
        <v>269064933.78000003</v>
      </c>
      <c r="Z26" s="129">
        <v>269064933.78000003</v>
      </c>
      <c r="AA26" s="129">
        <v>269064933.78000003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0</v>
      </c>
      <c r="D27" s="129">
        <f t="shared" ref="D27:O27" si="9">C27-D35</f>
        <v>0</v>
      </c>
      <c r="E27" s="129">
        <f t="shared" si="9"/>
        <v>0</v>
      </c>
      <c r="F27" s="129">
        <f t="shared" si="9"/>
        <v>0</v>
      </c>
      <c r="G27" s="129">
        <f t="shared" si="9"/>
        <v>0</v>
      </c>
      <c r="H27" s="129">
        <f t="shared" si="9"/>
        <v>0</v>
      </c>
      <c r="I27" s="129">
        <f t="shared" si="9"/>
        <v>0</v>
      </c>
      <c r="J27" s="129">
        <f t="shared" si="9"/>
        <v>0</v>
      </c>
      <c r="K27" s="129">
        <f t="shared" si="9"/>
        <v>0</v>
      </c>
      <c r="L27" s="129">
        <f t="shared" si="9"/>
        <v>0</v>
      </c>
      <c r="M27" s="129">
        <f t="shared" si="9"/>
        <v>0</v>
      </c>
      <c r="N27" s="129">
        <f t="shared" si="9"/>
        <v>0</v>
      </c>
      <c r="O27" s="129">
        <f t="shared" si="9"/>
        <v>-370568.79467792803</v>
      </c>
      <c r="P27" s="129">
        <f>O27-P35</f>
        <v>-1454493.6598843767</v>
      </c>
      <c r="Q27" s="129">
        <f t="shared" ref="Q27:AA27" si="10">P27-Q35</f>
        <v>-2537770.1979174726</v>
      </c>
      <c r="R27" s="129">
        <f t="shared" si="10"/>
        <v>-3621413.0845889635</v>
      </c>
      <c r="S27" s="129">
        <f t="shared" si="10"/>
        <v>-4705535.115000343</v>
      </c>
      <c r="T27" s="129">
        <f t="shared" si="10"/>
        <v>-5789843.8901371006</v>
      </c>
      <c r="U27" s="129">
        <f t="shared" si="10"/>
        <v>-6874193.1595519558</v>
      </c>
      <c r="V27" s="129">
        <f t="shared" si="10"/>
        <v>-7958542.4289668109</v>
      </c>
      <c r="W27" s="129">
        <f t="shared" si="10"/>
        <v>-9042891.6983816661</v>
      </c>
      <c r="X27" s="129">
        <f>W27-X35</f>
        <v>-10127240.967796521</v>
      </c>
      <c r="Y27" s="129">
        <f t="shared" si="10"/>
        <v>-11211590.237211376</v>
      </c>
      <c r="Z27" s="129">
        <f t="shared" si="10"/>
        <v>-12295939.506626232</v>
      </c>
      <c r="AA27" s="129">
        <f t="shared" si="10"/>
        <v>-13380288.776041087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f>-2368800-11605</f>
        <v>-2380405</v>
      </c>
      <c r="P28" s="130">
        <f>-4027311-17994-46240</f>
        <v>-4091545</v>
      </c>
      <c r="Q28" s="130">
        <f>-5685822-24383-92480</f>
        <v>-5802685</v>
      </c>
      <c r="R28" s="130">
        <f>-7344333-308664-127820</f>
        <v>-7780817</v>
      </c>
      <c r="S28" s="130">
        <f>-9002844-37284-170427</f>
        <v>-9210555</v>
      </c>
      <c r="T28" s="130">
        <f>-10661355-43704-213034</f>
        <v>-10918093</v>
      </c>
      <c r="U28" s="130">
        <f>-12319866-50124-255641</f>
        <v>-12625631</v>
      </c>
      <c r="V28" s="130">
        <f>-13978377-56544-298248</f>
        <v>-14333169</v>
      </c>
      <c r="W28" s="130">
        <f>-15636888-62964-340855</f>
        <v>-16040707</v>
      </c>
      <c r="X28" s="130">
        <f>-17295399-69384-383462</f>
        <v>-17748245</v>
      </c>
      <c r="Y28" s="130">
        <f>-18953910-75804-426069</f>
        <v>-19455783</v>
      </c>
      <c r="Z28" s="130">
        <f>-20612421-82224-468676</f>
        <v>-21163321</v>
      </c>
      <c r="AA28" s="130">
        <f>-22270932-88644-511283</f>
        <v>-22870859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1">SUM(C26:C28)</f>
        <v>0</v>
      </c>
      <c r="D29" s="129">
        <f t="shared" si="11"/>
        <v>0</v>
      </c>
      <c r="E29" s="129">
        <f t="shared" si="11"/>
        <v>0</v>
      </c>
      <c r="F29" s="129">
        <f t="shared" si="11"/>
        <v>0</v>
      </c>
      <c r="G29" s="129">
        <f t="shared" si="11"/>
        <v>0</v>
      </c>
      <c r="H29" s="129">
        <f t="shared" si="11"/>
        <v>0</v>
      </c>
      <c r="I29" s="129">
        <f t="shared" si="11"/>
        <v>0</v>
      </c>
      <c r="J29" s="129">
        <f t="shared" si="11"/>
        <v>0</v>
      </c>
      <c r="K29" s="129">
        <f t="shared" si="11"/>
        <v>0</v>
      </c>
      <c r="L29" s="129">
        <f t="shared" ref="L29:O29" si="12">SUM(L26:L28)</f>
        <v>0</v>
      </c>
      <c r="M29" s="129">
        <f t="shared" si="12"/>
        <v>0</v>
      </c>
      <c r="N29" s="129">
        <f t="shared" si="12"/>
        <v>0</v>
      </c>
      <c r="O29" s="129">
        <f t="shared" si="12"/>
        <v>266377824.53532207</v>
      </c>
      <c r="P29" s="129">
        <f>SUM(P26:P28)</f>
        <v>263244411.55011562</v>
      </c>
      <c r="Q29" s="129">
        <f t="shared" ref="Q29:AA29" si="13">SUM(Q26:Q28)</f>
        <v>260466597.89208251</v>
      </c>
      <c r="R29" s="129">
        <f t="shared" si="13"/>
        <v>257570027.91541103</v>
      </c>
      <c r="S29" s="129">
        <f t="shared" si="13"/>
        <v>255128747.57499966</v>
      </c>
      <c r="T29" s="129">
        <f t="shared" si="13"/>
        <v>252356996.88986292</v>
      </c>
      <c r="U29" s="129">
        <f t="shared" si="13"/>
        <v>249565109.62044808</v>
      </c>
      <c r="V29" s="129">
        <f t="shared" si="13"/>
        <v>246773222.35103321</v>
      </c>
      <c r="W29" s="129">
        <f t="shared" si="13"/>
        <v>243981335.08161837</v>
      </c>
      <c r="X29" s="129">
        <f t="shared" si="13"/>
        <v>241189447.8122035</v>
      </c>
      <c r="Y29" s="129">
        <f t="shared" si="13"/>
        <v>238397560.54278865</v>
      </c>
      <c r="Z29" s="129">
        <f t="shared" si="13"/>
        <v>235605673.27337381</v>
      </c>
      <c r="AA29" s="129">
        <f t="shared" si="13"/>
        <v>232813786.00395894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MAX($A$26:A30)+1</f>
        <v>15</v>
      </c>
      <c r="B31" s="101" t="s">
        <v>38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MAX($A$26:A31)+1</f>
        <v>16</v>
      </c>
      <c r="B32" s="101" t="s">
        <v>39</v>
      </c>
      <c r="C32" s="131">
        <f t="shared" ref="C32:N32" si="14">C29*C31/12</f>
        <v>0</v>
      </c>
      <c r="D32" s="131">
        <f t="shared" si="14"/>
        <v>0</v>
      </c>
      <c r="E32" s="131">
        <f t="shared" si="14"/>
        <v>0</v>
      </c>
      <c r="F32" s="131">
        <f t="shared" si="14"/>
        <v>0</v>
      </c>
      <c r="G32" s="131">
        <f t="shared" si="14"/>
        <v>0</v>
      </c>
      <c r="H32" s="131">
        <f t="shared" si="14"/>
        <v>0</v>
      </c>
      <c r="I32" s="131">
        <f t="shared" si="14"/>
        <v>0</v>
      </c>
      <c r="J32" s="131">
        <f t="shared" si="14"/>
        <v>0</v>
      </c>
      <c r="K32" s="131">
        <f t="shared" si="14"/>
        <v>0</v>
      </c>
      <c r="L32" s="131">
        <f t="shared" si="14"/>
        <v>0</v>
      </c>
      <c r="M32" s="131">
        <f t="shared" si="14"/>
        <v>0</v>
      </c>
      <c r="N32" s="131">
        <f t="shared" si="14"/>
        <v>0</v>
      </c>
      <c r="O32" s="131">
        <f>O29*O31/12</f>
        <v>1591417.9293800883</v>
      </c>
      <c r="P32" s="131">
        <f>P29*P31/12</f>
        <v>1572698.0167390544</v>
      </c>
      <c r="Q32" s="131">
        <f t="shared" ref="Q32:AA32" si="15">Q29*Q31/12</f>
        <v>1556102.5570096932</v>
      </c>
      <c r="R32" s="131">
        <f t="shared" si="15"/>
        <v>1538797.6127913811</v>
      </c>
      <c r="S32" s="131">
        <f t="shared" si="15"/>
        <v>1524212.7001352655</v>
      </c>
      <c r="T32" s="131">
        <f t="shared" si="15"/>
        <v>1507653.4623541443</v>
      </c>
      <c r="U32" s="131">
        <f t="shared" si="15"/>
        <v>1490973.9228124972</v>
      </c>
      <c r="V32" s="131">
        <f t="shared" si="15"/>
        <v>1474294.3832708504</v>
      </c>
      <c r="W32" s="131">
        <f t="shared" si="15"/>
        <v>1457614.8437292033</v>
      </c>
      <c r="X32" s="131">
        <f t="shared" si="15"/>
        <v>1440935.304187556</v>
      </c>
      <c r="Y32" s="131">
        <f t="shared" si="15"/>
        <v>1424255.7646459092</v>
      </c>
      <c r="Z32" s="131">
        <f t="shared" si="15"/>
        <v>1407576.2251042624</v>
      </c>
      <c r="AA32" s="131">
        <f t="shared" si="15"/>
        <v>1390896.6855626151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1" t="s">
        <v>32</v>
      </c>
      <c r="C34" s="107">
        <f>C16</f>
        <v>3.3046077296287953E-2</v>
      </c>
      <c r="D34" s="107">
        <f t="shared" ref="D34:AA34" si="16">D16</f>
        <v>3.3046077296287953E-2</v>
      </c>
      <c r="E34" s="107">
        <f t="shared" si="16"/>
        <v>3.3046077296287953E-2</v>
      </c>
      <c r="F34" s="107">
        <f t="shared" si="16"/>
        <v>3.3046077296287953E-2</v>
      </c>
      <c r="G34" s="107">
        <f t="shared" si="16"/>
        <v>3.3046077296287953E-2</v>
      </c>
      <c r="H34" s="107">
        <f t="shared" si="16"/>
        <v>3.3046077296287953E-2</v>
      </c>
      <c r="I34" s="107">
        <f t="shared" si="16"/>
        <v>3.3046077296287953E-2</v>
      </c>
      <c r="J34" s="107">
        <f t="shared" si="16"/>
        <v>3.3046077296287953E-2</v>
      </c>
      <c r="K34" s="107">
        <f t="shared" si="16"/>
        <v>3.3046077296287953E-2</v>
      </c>
      <c r="L34" s="107">
        <f t="shared" si="16"/>
        <v>3.3046077296287953E-2</v>
      </c>
      <c r="M34" s="107">
        <f t="shared" si="16"/>
        <v>3.3046077296287953E-2</v>
      </c>
      <c r="N34" s="107">
        <f t="shared" si="16"/>
        <v>3.3046077296287953E-2</v>
      </c>
      <c r="O34" s="107">
        <f t="shared" si="16"/>
        <v>3.3046077296287953E-2</v>
      </c>
      <c r="P34" s="107">
        <f t="shared" si="16"/>
        <v>4.8360784328803093E-2</v>
      </c>
      <c r="Q34" s="107">
        <f t="shared" si="16"/>
        <v>4.8360784328803093E-2</v>
      </c>
      <c r="R34" s="107">
        <f t="shared" si="16"/>
        <v>4.8360784328803093E-2</v>
      </c>
      <c r="S34" s="107">
        <f t="shared" si="16"/>
        <v>4.8360784328803093E-2</v>
      </c>
      <c r="T34" s="107">
        <f t="shared" si="16"/>
        <v>4.8360784328803093E-2</v>
      </c>
      <c r="U34" s="107">
        <f t="shared" si="16"/>
        <v>4.8360784328803093E-2</v>
      </c>
      <c r="V34" s="107">
        <f t="shared" si="16"/>
        <v>4.8360784328803093E-2</v>
      </c>
      <c r="W34" s="107">
        <f t="shared" si="16"/>
        <v>4.8360784328803093E-2</v>
      </c>
      <c r="X34" s="107">
        <f t="shared" si="16"/>
        <v>4.8360784328803093E-2</v>
      </c>
      <c r="Y34" s="107">
        <f t="shared" si="16"/>
        <v>4.8360784328803093E-2</v>
      </c>
      <c r="Z34" s="107">
        <f t="shared" si="16"/>
        <v>4.8360784328803093E-2</v>
      </c>
      <c r="AA34" s="107">
        <f t="shared" si="16"/>
        <v>4.8360784328803093E-2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v>0</v>
      </c>
      <c r="D35" s="131">
        <f t="shared" ref="D35:Z35" si="17">(((D26+C26)/2)*D34)/12</f>
        <v>0</v>
      </c>
      <c r="E35" s="131">
        <f t="shared" si="17"/>
        <v>0</v>
      </c>
      <c r="F35" s="131">
        <f t="shared" si="17"/>
        <v>0</v>
      </c>
      <c r="G35" s="131">
        <f t="shared" si="17"/>
        <v>0</v>
      </c>
      <c r="H35" s="131">
        <f t="shared" si="17"/>
        <v>0</v>
      </c>
      <c r="I35" s="131">
        <f t="shared" si="17"/>
        <v>0</v>
      </c>
      <c r="J35" s="131">
        <f t="shared" si="17"/>
        <v>0</v>
      </c>
      <c r="K35" s="131">
        <f t="shared" si="17"/>
        <v>0</v>
      </c>
      <c r="L35" s="131">
        <f t="shared" si="17"/>
        <v>0</v>
      </c>
      <c r="M35" s="131">
        <f t="shared" si="17"/>
        <v>0</v>
      </c>
      <c r="N35" s="131">
        <f t="shared" si="17"/>
        <v>0</v>
      </c>
      <c r="O35" s="131">
        <f t="shared" si="17"/>
        <v>370568.79467792803</v>
      </c>
      <c r="P35" s="131">
        <f t="shared" si="17"/>
        <v>1083924.8652064486</v>
      </c>
      <c r="Q35" s="131">
        <f t="shared" si="17"/>
        <v>1083276.5380330961</v>
      </c>
      <c r="R35" s="131">
        <f t="shared" si="17"/>
        <v>1083642.8866714912</v>
      </c>
      <c r="S35" s="131">
        <f t="shared" si="17"/>
        <v>1084122.0304113796</v>
      </c>
      <c r="T35" s="131">
        <f t="shared" si="17"/>
        <v>1084308.7751367579</v>
      </c>
      <c r="U35" s="131">
        <f t="shared" si="17"/>
        <v>1084349.2694148556</v>
      </c>
      <c r="V35" s="131">
        <f t="shared" si="17"/>
        <v>1084349.2694148556</v>
      </c>
      <c r="W35" s="131">
        <f t="shared" si="17"/>
        <v>1084349.2694148556</v>
      </c>
      <c r="X35" s="131">
        <f t="shared" si="17"/>
        <v>1084349.2694148556</v>
      </c>
      <c r="Y35" s="131">
        <f t="shared" si="17"/>
        <v>1084349.2694148556</v>
      </c>
      <c r="Z35" s="131">
        <f t="shared" si="17"/>
        <v>1084349.2694148556</v>
      </c>
      <c r="AA35" s="131">
        <f>(((AA26+Z26)/2)*AA34)/12</f>
        <v>1084349.2694148556</v>
      </c>
      <c r="AC35" s="116"/>
    </row>
    <row r="36" spans="1:29" s="101" customFormat="1" x14ac:dyDescent="0.25">
      <c r="A36" s="103"/>
      <c r="B36" s="101" t="s">
        <v>45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>
        <f>O26/$AA$26*O18</f>
        <v>324614.40756480908</v>
      </c>
      <c r="P36" s="131">
        <f>P26/$AA$26*P18</f>
        <v>324206.3030616641</v>
      </c>
      <c r="Q36" s="131">
        <f t="shared" ref="Q36:AA36" si="18">Q26/$AA$26*Q18</f>
        <v>324226.32891578495</v>
      </c>
      <c r="R36" s="131">
        <f t="shared" si="18"/>
        <v>324425.5937076587</v>
      </c>
      <c r="S36" s="131">
        <f t="shared" si="18"/>
        <v>324513.13697027782</v>
      </c>
      <c r="T36" s="131">
        <f t="shared" si="18"/>
        <v>324537.3762207416</v>
      </c>
      <c r="U36" s="131">
        <f t="shared" si="18"/>
        <v>324537.3762207416</v>
      </c>
      <c r="V36" s="131">
        <f t="shared" si="18"/>
        <v>324537.3762207416</v>
      </c>
      <c r="W36" s="131">
        <f t="shared" si="18"/>
        <v>324537.3762207416</v>
      </c>
      <c r="X36" s="131">
        <f t="shared" si="18"/>
        <v>324537.3762207416</v>
      </c>
      <c r="Y36" s="131">
        <f t="shared" si="18"/>
        <v>324537.3762207416</v>
      </c>
      <c r="Z36" s="131">
        <f t="shared" si="18"/>
        <v>324537.3762207416</v>
      </c>
      <c r="AA36" s="131">
        <f t="shared" si="18"/>
        <v>324537.3762207416</v>
      </c>
      <c r="AC36" s="116"/>
    </row>
    <row r="37" spans="1:29" s="101" customFormat="1" x14ac:dyDescent="0.25">
      <c r="A37" s="103"/>
      <c r="B37" s="101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f>-0.21*(O36+O35)</f>
        <v>-145988.47247097481</v>
      </c>
      <c r="P37" s="131">
        <f t="shared" ref="P37:AA37" si="19">-0.21*(P36+P35)</f>
        <v>-295707.54533630365</v>
      </c>
      <c r="Q37" s="131">
        <f t="shared" si="19"/>
        <v>-295575.60205926502</v>
      </c>
      <c r="R37" s="131">
        <f t="shared" si="19"/>
        <v>-295694.38087962143</v>
      </c>
      <c r="S37" s="131">
        <f t="shared" si="19"/>
        <v>-295813.38515014807</v>
      </c>
      <c r="T37" s="131">
        <f t="shared" si="19"/>
        <v>-295857.69178507489</v>
      </c>
      <c r="U37" s="131">
        <f t="shared" si="19"/>
        <v>-295866.1955834754</v>
      </c>
      <c r="V37" s="131">
        <f t="shared" si="19"/>
        <v>-295866.1955834754</v>
      </c>
      <c r="W37" s="131">
        <f t="shared" si="19"/>
        <v>-295866.1955834754</v>
      </c>
      <c r="X37" s="131">
        <f t="shared" si="19"/>
        <v>-295866.1955834754</v>
      </c>
      <c r="Y37" s="131">
        <f t="shared" si="19"/>
        <v>-295866.1955834754</v>
      </c>
      <c r="Z37" s="131">
        <f t="shared" si="19"/>
        <v>-295866.1955834754</v>
      </c>
      <c r="AA37" s="131">
        <f t="shared" si="19"/>
        <v>-295866.1955834754</v>
      </c>
      <c r="AC37" s="116"/>
    </row>
    <row r="38" spans="1:29" s="101" customFormat="1" x14ac:dyDescent="0.25">
      <c r="A38" s="103">
        <f>MAX($A$8:A35)+1</f>
        <v>19</v>
      </c>
      <c r="B38" s="101" t="s">
        <v>35</v>
      </c>
      <c r="C38" s="129">
        <f>(C35+C32)/Variables!$C$34</f>
        <v>0</v>
      </c>
      <c r="D38" s="129">
        <f>(D35+D32)/Variables!$C$34</f>
        <v>0</v>
      </c>
      <c r="E38" s="129">
        <f>(E35+E32)/Variables!$C$34</f>
        <v>0</v>
      </c>
      <c r="F38" s="129">
        <f>(F35+F32)/Variables!$C$34</f>
        <v>0</v>
      </c>
      <c r="G38" s="129">
        <f>(G35+G32)/Variables!$C$34</f>
        <v>0</v>
      </c>
      <c r="H38" s="129">
        <f>(H35+H32)/Variables!$C$34</f>
        <v>0</v>
      </c>
      <c r="I38" s="129">
        <f>(I35+I32)/Variables!$C$34</f>
        <v>0</v>
      </c>
      <c r="J38" s="129">
        <f>(J35+J32)/Variables!$C$34</f>
        <v>0</v>
      </c>
      <c r="K38" s="129">
        <f>(K35+K32)/Variables!$C$34</f>
        <v>0</v>
      </c>
      <c r="L38" s="129">
        <f>(L35+L32)/Variables!$C$34</f>
        <v>0</v>
      </c>
      <c r="M38" s="129">
        <f>(M35+M32)/Variables!$C$34</f>
        <v>0</v>
      </c>
      <c r="N38" s="129">
        <f>(N35+N32)/Variables!$C$34</f>
        <v>0</v>
      </c>
      <c r="O38" s="129">
        <f>(O35+O32+O36+O37)/Variables!$C$34</f>
        <v>2842212.9179470898</v>
      </c>
      <c r="P38" s="129">
        <f>(P35+P32+P36+P37)/Variables!$C$34</f>
        <v>3565188.3949689483</v>
      </c>
      <c r="Q38" s="129">
        <f>(Q35+Q32+Q36+Q37)/Variables!$C$34</f>
        <v>3542494.6184681794</v>
      </c>
      <c r="R38" s="129">
        <f>(R35+R32+R36+R37)/Variables!$C$34</f>
        <v>3520111.1495597288</v>
      </c>
      <c r="S38" s="129">
        <f>(S35+S32+S36+S37)/Variables!$C$34</f>
        <v>3501340.3470315007</v>
      </c>
      <c r="T38" s="129">
        <f>(T35+T32+T36+T37)/Variables!$C$34</f>
        <v>3479575.0141758868</v>
      </c>
      <c r="U38" s="129">
        <f>(U35+U32+U36+U37)/Variables!$C$34</f>
        <v>3457471.1184553136</v>
      </c>
      <c r="V38" s="129">
        <f>(V35+V32+V36+V37)/Variables!$C$34</f>
        <v>3435324.7471592282</v>
      </c>
      <c r="W38" s="129">
        <f>(W35+W32+W36+W37)/Variables!$C$34</f>
        <v>3413178.3758631418</v>
      </c>
      <c r="X38" s="129">
        <f>(X35+X32+X36+X37)/Variables!$C$34</f>
        <v>3391032.0045670564</v>
      </c>
      <c r="Y38" s="129">
        <f>(Y35+Y32+Y36+Y37)/Variables!$C$34</f>
        <v>3368885.6332709705</v>
      </c>
      <c r="Z38" s="129">
        <f>(Z35+Z32+Z36+Z37)/Variables!$C$34</f>
        <v>3346739.2619748851</v>
      </c>
      <c r="AA38" s="129">
        <f>(AA35+AA32+AA36+AA37)/Variables!$C$34</f>
        <v>3324592.8906787983</v>
      </c>
      <c r="AC38" s="116"/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20">P38*$P$46</f>
        <v>278480.57831720239</v>
      </c>
      <c r="Q40" s="133">
        <f t="shared" si="20"/>
        <v>276707.943801435</v>
      </c>
      <c r="R40" s="133">
        <f t="shared" si="20"/>
        <v>274959.54773485777</v>
      </c>
      <c r="S40" s="133">
        <f t="shared" si="20"/>
        <v>273493.34080146946</v>
      </c>
      <c r="T40" s="133">
        <f t="shared" si="20"/>
        <v>271793.22798570601</v>
      </c>
      <c r="U40" s="133">
        <f t="shared" si="20"/>
        <v>270066.66967198136</v>
      </c>
      <c r="V40" s="133">
        <f t="shared" si="20"/>
        <v>268336.79354681936</v>
      </c>
      <c r="W40" s="133">
        <f t="shared" si="20"/>
        <v>266606.9174216573</v>
      </c>
      <c r="X40" s="133">
        <f t="shared" si="20"/>
        <v>264877.04129649536</v>
      </c>
      <c r="Y40" s="133">
        <f t="shared" si="20"/>
        <v>263147.1651713333</v>
      </c>
      <c r="Z40" s="133">
        <f t="shared" si="20"/>
        <v>261417.28904617133</v>
      </c>
      <c r="AA40" s="133">
        <f t="shared" si="20"/>
        <v>259687.41292100924</v>
      </c>
    </row>
    <row r="41" spans="1:29" ht="13" x14ac:dyDescent="0.3">
      <c r="A41" s="25"/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9" s="22" customFormat="1" ht="13" x14ac:dyDescent="0.3">
      <c r="A42" s="19" t="s">
        <v>40</v>
      </c>
      <c r="B42" s="2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ht="13" thickBot="1" x14ac:dyDescent="0.3">
      <c r="A43" s="25">
        <f>MAX($A$8:A42)+1</f>
        <v>21</v>
      </c>
      <c r="B43" s="2" t="s">
        <v>44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32">
        <f>P40-P22</f>
        <v>-2884.3464538731496</v>
      </c>
      <c r="Q43" s="132">
        <f t="shared" ref="Q43:AA43" si="21">Q40-Q22</f>
        <v>-4656.9809696405428</v>
      </c>
      <c r="R43" s="132">
        <f t="shared" si="21"/>
        <v>-6405.3770362177747</v>
      </c>
      <c r="S43" s="132">
        <f t="shared" si="21"/>
        <v>-7871.5839696060866</v>
      </c>
      <c r="T43" s="132">
        <f t="shared" si="21"/>
        <v>-9571.6967853695387</v>
      </c>
      <c r="U43" s="132">
        <f t="shared" si="21"/>
        <v>-11298.255099094182</v>
      </c>
      <c r="V43" s="132">
        <f t="shared" si="21"/>
        <v>-13028.131224256183</v>
      </c>
      <c r="W43" s="132">
        <f t="shared" si="21"/>
        <v>-14758.007349418243</v>
      </c>
      <c r="X43" s="132">
        <f t="shared" si="21"/>
        <v>-16487.883474580187</v>
      </c>
      <c r="Y43" s="132">
        <f t="shared" si="21"/>
        <v>-18217.759599742247</v>
      </c>
      <c r="Z43" s="132">
        <f t="shared" si="21"/>
        <v>-19947.635724904219</v>
      </c>
      <c r="AA43" s="132">
        <f t="shared" si="21"/>
        <v>-21677.511850066308</v>
      </c>
    </row>
    <row r="44" spans="1:29" ht="13.5" thickBot="1" x14ac:dyDescent="0.35">
      <c r="A44" s="25">
        <f>MAX($A$8:A43)+1</f>
        <v>22</v>
      </c>
      <c r="B44" s="2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32">
        <f>O44+P43</f>
        <v>-2884.3464538731496</v>
      </c>
      <c r="Q44" s="132">
        <f t="shared" ref="Q44:AA44" si="22">P44+Q43</f>
        <v>-7541.3274235136923</v>
      </c>
      <c r="R44" s="132">
        <f t="shared" si="22"/>
        <v>-13946.704459731467</v>
      </c>
      <c r="S44" s="132">
        <f t="shared" si="22"/>
        <v>-21818.288429337554</v>
      </c>
      <c r="T44" s="132">
        <f t="shared" si="22"/>
        <v>-31389.985214707092</v>
      </c>
      <c r="U44" s="132">
        <f t="shared" si="22"/>
        <v>-42688.240313801274</v>
      </c>
      <c r="V44" s="132">
        <f t="shared" si="22"/>
        <v>-55716.371538057458</v>
      </c>
      <c r="W44" s="132">
        <f t="shared" si="22"/>
        <v>-70474.378887475701</v>
      </c>
      <c r="X44" s="132">
        <f t="shared" si="22"/>
        <v>-86962.262362055888</v>
      </c>
      <c r="Y44" s="132">
        <f t="shared" si="22"/>
        <v>-105180.02196179813</v>
      </c>
      <c r="Z44" s="132">
        <f t="shared" si="22"/>
        <v>-125127.65768670235</v>
      </c>
      <c r="AA44" s="36">
        <f t="shared" si="22"/>
        <v>-146805.16953676866</v>
      </c>
    </row>
    <row r="46" spans="1:29" ht="13" x14ac:dyDescent="0.3">
      <c r="B46" s="37" t="s">
        <v>43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7E34-ECB0-462C-B634-5DE9C3E1984A}">
  <sheetPr>
    <tabColor rgb="FF00B0F0"/>
    <pageSetUpPr fitToPage="1"/>
  </sheetPr>
  <dimension ref="A1:AC46"/>
  <sheetViews>
    <sheetView topLeftCell="B14" zoomScale="80" zoomScaleNormal="80" workbookViewId="0">
      <selection activeCell="P36" sqref="P36"/>
    </sheetView>
  </sheetViews>
  <sheetFormatPr defaultColWidth="9.08984375" defaultRowHeight="12.5" outlineLevelCol="1" x14ac:dyDescent="0.25"/>
  <cols>
    <col min="1" max="1" width="15" style="2" bestFit="1" customWidth="1"/>
    <col min="2" max="2" width="39.08984375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8151.5287172773906</v>
      </c>
      <c r="E8" s="129">
        <v>16303.057434554781</v>
      </c>
      <c r="F8" s="129">
        <v>24454.586151832173</v>
      </c>
      <c r="G8" s="129">
        <v>32606.114869109562</v>
      </c>
      <c r="H8" s="129">
        <v>40757.643586386956</v>
      </c>
      <c r="I8" s="129">
        <v>48909.172303664345</v>
      </c>
      <c r="J8" s="129">
        <v>57060.701018709806</v>
      </c>
      <c r="K8" s="129">
        <v>65212.229729285376</v>
      </c>
      <c r="L8" s="129">
        <v>73363.75843315931</v>
      </c>
      <c r="M8" s="129">
        <v>81515.287128093478</v>
      </c>
      <c r="N8" s="129">
        <v>89666.815809612701</v>
      </c>
      <c r="O8" s="129">
        <v>331720189.41447318</v>
      </c>
      <c r="P8" s="129">
        <f t="shared" ref="P8:Z10" si="0">O8</f>
        <v>331720189.41447318</v>
      </c>
      <c r="Q8" s="129">
        <f t="shared" si="0"/>
        <v>331720189.41447318</v>
      </c>
      <c r="R8" s="129">
        <f t="shared" si="0"/>
        <v>331720189.41447318</v>
      </c>
      <c r="S8" s="129">
        <f t="shared" si="0"/>
        <v>331720189.41447318</v>
      </c>
      <c r="T8" s="129">
        <f t="shared" si="0"/>
        <v>331720189.41447318</v>
      </c>
      <c r="U8" s="129">
        <f t="shared" si="0"/>
        <v>331720189.41447318</v>
      </c>
      <c r="V8" s="129">
        <f t="shared" si="0"/>
        <v>331720189.41447318</v>
      </c>
      <c r="W8" s="129">
        <f t="shared" si="0"/>
        <v>331720189.41447318</v>
      </c>
      <c r="X8" s="129">
        <f t="shared" si="0"/>
        <v>331720189.41447318</v>
      </c>
      <c r="Y8" s="129">
        <f t="shared" si="0"/>
        <v>331720189.41447318</v>
      </c>
      <c r="Z8" s="129">
        <f t="shared" si="0"/>
        <v>331720189.41447318</v>
      </c>
      <c r="AA8" s="129">
        <f>Z8</f>
        <v>331720189.41447318</v>
      </c>
      <c r="AC8" s="120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-11.224002003085817</v>
      </c>
      <c r="E9" s="129">
        <f t="shared" si="1"/>
        <v>-44.896008012343266</v>
      </c>
      <c r="F9" s="129">
        <f t="shared" si="1"/>
        <v>-101.01601802777236</v>
      </c>
      <c r="G9" s="129">
        <f t="shared" si="1"/>
        <v>-179.58403204937309</v>
      </c>
      <c r="H9" s="129">
        <f t="shared" si="1"/>
        <v>-280.60005007714545</v>
      </c>
      <c r="I9" s="129">
        <f t="shared" si="1"/>
        <v>-404.06407211108944</v>
      </c>
      <c r="J9" s="129">
        <f t="shared" si="1"/>
        <v>-549.97609814813188</v>
      </c>
      <c r="K9" s="129">
        <f t="shared" si="1"/>
        <v>-718.33612817904486</v>
      </c>
      <c r="L9" s="129">
        <f t="shared" si="1"/>
        <v>-909.1441621884461</v>
      </c>
      <c r="M9" s="129">
        <f t="shared" si="1"/>
        <v>-1122.4002001547988</v>
      </c>
      <c r="N9" s="129">
        <f t="shared" si="1"/>
        <v>-1358.104242047322</v>
      </c>
      <c r="O9" s="129">
        <v>-8252204.5625924356</v>
      </c>
      <c r="P9" s="129">
        <f t="shared" si="0"/>
        <v>-8252204.5625924356</v>
      </c>
      <c r="Q9" s="129">
        <f t="shared" si="0"/>
        <v>-8252204.5625924356</v>
      </c>
      <c r="R9" s="129">
        <f t="shared" si="0"/>
        <v>-8252204.5625924356</v>
      </c>
      <c r="S9" s="129">
        <f t="shared" si="0"/>
        <v>-8252204.5625924356</v>
      </c>
      <c r="T9" s="129">
        <f t="shared" si="0"/>
        <v>-8252204.5625924356</v>
      </c>
      <c r="U9" s="129">
        <f t="shared" si="0"/>
        <v>-8252204.5625924356</v>
      </c>
      <c r="V9" s="129">
        <f t="shared" si="0"/>
        <v>-8252204.5625924356</v>
      </c>
      <c r="W9" s="129">
        <f t="shared" si="0"/>
        <v>-8252204.5625924356</v>
      </c>
      <c r="X9" s="129">
        <f t="shared" si="0"/>
        <v>-8252204.5625924356</v>
      </c>
      <c r="Y9" s="129">
        <f t="shared" si="0"/>
        <v>-8252204.5625924356</v>
      </c>
      <c r="Z9" s="129">
        <f t="shared" si="0"/>
        <v>-8252204.5625924356</v>
      </c>
      <c r="AA9" s="129">
        <f>Z9</f>
        <v>-8252204.5625924356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-12834021.5</v>
      </c>
      <c r="P10" s="130">
        <f t="shared" si="0"/>
        <v>-12834021.5</v>
      </c>
      <c r="Q10" s="130">
        <f t="shared" si="0"/>
        <v>-12834021.5</v>
      </c>
      <c r="R10" s="130">
        <f t="shared" si="0"/>
        <v>-12834021.5</v>
      </c>
      <c r="S10" s="130">
        <f t="shared" si="0"/>
        <v>-12834021.5</v>
      </c>
      <c r="T10" s="130">
        <f t="shared" si="0"/>
        <v>-12834021.5</v>
      </c>
      <c r="U10" s="130">
        <f t="shared" si="0"/>
        <v>-12834021.5</v>
      </c>
      <c r="V10" s="130">
        <f t="shared" si="0"/>
        <v>-12834021.5</v>
      </c>
      <c r="W10" s="130">
        <f t="shared" si="0"/>
        <v>-12834021.5</v>
      </c>
      <c r="X10" s="130">
        <f t="shared" si="0"/>
        <v>-12834021.5</v>
      </c>
      <c r="Y10" s="130">
        <f t="shared" si="0"/>
        <v>-12834021.5</v>
      </c>
      <c r="Z10" s="130">
        <f t="shared" si="0"/>
        <v>-12834021.5</v>
      </c>
      <c r="AA10" s="130">
        <f>Z10</f>
        <v>-12834021.5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8140.3047152743047</v>
      </c>
      <c r="E11" s="129">
        <f t="shared" si="2"/>
        <v>16258.161426542438</v>
      </c>
      <c r="F11" s="129">
        <f t="shared" si="2"/>
        <v>24353.570133804402</v>
      </c>
      <c r="G11" s="129">
        <f t="shared" si="2"/>
        <v>32426.530837060189</v>
      </c>
      <c r="H11" s="129">
        <f t="shared" si="2"/>
        <v>40477.043536309808</v>
      </c>
      <c r="I11" s="129">
        <f t="shared" si="2"/>
        <v>48505.108231553255</v>
      </c>
      <c r="J11" s="129">
        <f t="shared" si="2"/>
        <v>56510.724920561675</v>
      </c>
      <c r="K11" s="129">
        <f t="shared" si="2"/>
        <v>64493.893601106334</v>
      </c>
      <c r="L11" s="129">
        <f t="shared" ref="L11:AA11" si="3">SUM(L8:L10)</f>
        <v>72454.614270970866</v>
      </c>
      <c r="M11" s="129">
        <f t="shared" si="3"/>
        <v>80392.886927938685</v>
      </c>
      <c r="N11" s="129">
        <f t="shared" si="3"/>
        <v>88308.711567565377</v>
      </c>
      <c r="O11" s="129">
        <f t="shared" si="3"/>
        <v>310633963.35188073</v>
      </c>
      <c r="P11" s="129">
        <f t="shared" si="3"/>
        <v>310633963.35188073</v>
      </c>
      <c r="Q11" s="129">
        <f t="shared" si="3"/>
        <v>310633963.35188073</v>
      </c>
      <c r="R11" s="129">
        <f t="shared" si="3"/>
        <v>310633963.35188073</v>
      </c>
      <c r="S11" s="129">
        <f t="shared" si="3"/>
        <v>310633963.35188073</v>
      </c>
      <c r="T11" s="129">
        <f t="shared" si="3"/>
        <v>310633963.35188073</v>
      </c>
      <c r="U11" s="129">
        <f t="shared" si="3"/>
        <v>310633963.35188073</v>
      </c>
      <c r="V11" s="129">
        <f t="shared" si="3"/>
        <v>310633963.35188073</v>
      </c>
      <c r="W11" s="129">
        <f t="shared" si="3"/>
        <v>310633963.35188073</v>
      </c>
      <c r="X11" s="129">
        <f t="shared" si="3"/>
        <v>310633963.35188073</v>
      </c>
      <c r="Y11" s="129">
        <f t="shared" si="3"/>
        <v>310633963.35188073</v>
      </c>
      <c r="Z11" s="129">
        <f t="shared" si="3"/>
        <v>310633963.35188073</v>
      </c>
      <c r="AA11" s="129">
        <f t="shared" si="3"/>
        <v>310633963.35188073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6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0</v>
      </c>
      <c r="D14" s="131">
        <f t="shared" si="4"/>
        <v>48.632527490241593</v>
      </c>
      <c r="E14" s="131">
        <f t="shared" si="4"/>
        <v>97.130944132042501</v>
      </c>
      <c r="F14" s="131">
        <f t="shared" si="4"/>
        <v>145.49524992540273</v>
      </c>
      <c r="G14" s="131">
        <f t="shared" si="4"/>
        <v>193.72544487032224</v>
      </c>
      <c r="H14" s="131">
        <f t="shared" si="4"/>
        <v>241.82152896680108</v>
      </c>
      <c r="I14" s="131">
        <f t="shared" si="4"/>
        <v>289.78350221483925</v>
      </c>
      <c r="J14" s="131">
        <f t="shared" si="4"/>
        <v>337.6113646011209</v>
      </c>
      <c r="K14" s="131">
        <f t="shared" si="4"/>
        <v>385.30511611233084</v>
      </c>
      <c r="L14" s="131">
        <f t="shared" si="4"/>
        <v>432.86475673522813</v>
      </c>
      <c r="M14" s="131">
        <f t="shared" si="4"/>
        <v>480.2902864565699</v>
      </c>
      <c r="N14" s="131">
        <f t="shared" si="4"/>
        <v>527.58170524980426</v>
      </c>
      <c r="O14" s="131">
        <f t="shared" si="4"/>
        <v>1855816.8631902353</v>
      </c>
      <c r="P14" s="131">
        <f>P11*P13/12</f>
        <v>1855816.8631902353</v>
      </c>
      <c r="Q14" s="131">
        <f t="shared" si="4"/>
        <v>1855816.8631902353</v>
      </c>
      <c r="R14" s="131">
        <f t="shared" si="4"/>
        <v>1855816.8631902353</v>
      </c>
      <c r="S14" s="131">
        <f t="shared" si="4"/>
        <v>1855816.8631902353</v>
      </c>
      <c r="T14" s="131">
        <f t="shared" si="4"/>
        <v>1855816.8631902353</v>
      </c>
      <c r="U14" s="131">
        <f t="shared" si="4"/>
        <v>1855816.8631902353</v>
      </c>
      <c r="V14" s="131">
        <f t="shared" si="4"/>
        <v>1855816.8631902353</v>
      </c>
      <c r="W14" s="131">
        <f t="shared" si="4"/>
        <v>1855816.8631902353</v>
      </c>
      <c r="X14" s="131">
        <f t="shared" si="4"/>
        <v>1855816.8631902353</v>
      </c>
      <c r="Y14" s="131">
        <f t="shared" si="4"/>
        <v>1855816.8631902353</v>
      </c>
      <c r="Z14" s="131">
        <f t="shared" si="4"/>
        <v>1855816.8631902353</v>
      </c>
      <c r="AA14" s="131">
        <f t="shared" si="4"/>
        <v>1855816.8631902353</v>
      </c>
      <c r="AC14" s="116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7"/>
      <c r="D16" s="107">
        <v>3.3046077296287953E-2</v>
      </c>
      <c r="E16" s="107">
        <v>3.3046077296287953E-2</v>
      </c>
      <c r="F16" s="107">
        <v>3.3046077296287953E-2</v>
      </c>
      <c r="G16" s="107">
        <v>3.3046077296287953E-2</v>
      </c>
      <c r="H16" s="107">
        <v>3.3046077296287953E-2</v>
      </c>
      <c r="I16" s="107">
        <v>3.3046077296287953E-2</v>
      </c>
      <c r="J16" s="107">
        <v>3.3046077296287953E-2</v>
      </c>
      <c r="K16" s="107">
        <v>3.3046077296287953E-2</v>
      </c>
      <c r="L16" s="107">
        <v>3.3046077296287953E-2</v>
      </c>
      <c r="M16" s="107">
        <v>3.3046077296287953E-2</v>
      </c>
      <c r="N16" s="107">
        <v>3.3046077296287953E-2</v>
      </c>
      <c r="O16" s="107">
        <v>3.3046077296287953E-2</v>
      </c>
      <c r="P16" s="107">
        <v>4.8360784328803093E-2</v>
      </c>
      <c r="Q16" s="107">
        <v>4.8360784328803093E-2</v>
      </c>
      <c r="R16" s="107">
        <v>4.8360784328803093E-2</v>
      </c>
      <c r="S16" s="107">
        <v>4.8360784328803093E-2</v>
      </c>
      <c r="T16" s="107">
        <v>4.8360784328803093E-2</v>
      </c>
      <c r="U16" s="107">
        <v>4.8360784328803093E-2</v>
      </c>
      <c r="V16" s="107">
        <v>4.8360784328803093E-2</v>
      </c>
      <c r="W16" s="107">
        <v>4.8360784328803093E-2</v>
      </c>
      <c r="X16" s="107">
        <v>4.8360784328803093E-2</v>
      </c>
      <c r="Y16" s="107">
        <v>4.8360784328803093E-2</v>
      </c>
      <c r="Z16" s="107">
        <v>4.8360784328803093E-2</v>
      </c>
      <c r="AA16" s="107">
        <v>4.8360784328803093E-2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v>0</v>
      </c>
      <c r="D17" s="131">
        <f>(((D8+C8)/2)*D16)/12</f>
        <v>11.224002003085817</v>
      </c>
      <c r="E17" s="131">
        <f t="shared" ref="E17:N17" si="5">(((E8+D8)/2)*E16)/12</f>
        <v>33.672006009257451</v>
      </c>
      <c r="F17" s="131">
        <f t="shared" si="5"/>
        <v>56.120010015429095</v>
      </c>
      <c r="G17" s="131">
        <f t="shared" si="5"/>
        <v>78.568014021600732</v>
      </c>
      <c r="H17" s="131">
        <f t="shared" si="5"/>
        <v>101.01601802777236</v>
      </c>
      <c r="I17" s="131">
        <f t="shared" si="5"/>
        <v>123.464022033944</v>
      </c>
      <c r="J17" s="131">
        <f t="shared" si="5"/>
        <v>145.91202603704247</v>
      </c>
      <c r="K17" s="131">
        <f t="shared" si="5"/>
        <v>168.36003003091304</v>
      </c>
      <c r="L17" s="131">
        <f t="shared" si="5"/>
        <v>190.80803400940127</v>
      </c>
      <c r="M17" s="131">
        <f t="shared" si="5"/>
        <v>213.25603796635266</v>
      </c>
      <c r="N17" s="131">
        <f t="shared" si="5"/>
        <v>235.70404189252329</v>
      </c>
      <c r="O17" s="131">
        <v>1337181.2859235127</v>
      </c>
      <c r="P17" s="131">
        <f t="shared" ref="P17:Z17" si="6">O17</f>
        <v>1337181.2859235127</v>
      </c>
      <c r="Q17" s="131">
        <f t="shared" si="6"/>
        <v>1337181.2859235127</v>
      </c>
      <c r="R17" s="131">
        <f t="shared" si="6"/>
        <v>1337181.2859235127</v>
      </c>
      <c r="S17" s="131">
        <f t="shared" si="6"/>
        <v>1337181.2859235127</v>
      </c>
      <c r="T17" s="131">
        <f t="shared" si="6"/>
        <v>1337181.2859235127</v>
      </c>
      <c r="U17" s="131">
        <f t="shared" si="6"/>
        <v>1337181.2859235127</v>
      </c>
      <c r="V17" s="131">
        <f t="shared" si="6"/>
        <v>1337181.2859235127</v>
      </c>
      <c r="W17" s="131">
        <f t="shared" si="6"/>
        <v>1337181.2859235127</v>
      </c>
      <c r="X17" s="131">
        <f t="shared" si="6"/>
        <v>1337181.2859235127</v>
      </c>
      <c r="Y17" s="131">
        <f t="shared" si="6"/>
        <v>1337181.2859235127</v>
      </c>
      <c r="Z17" s="131">
        <f t="shared" si="6"/>
        <v>1337181.2859235127</v>
      </c>
      <c r="AA17" s="131">
        <f>Z17</f>
        <v>1337181.2859235127</v>
      </c>
      <c r="AC17" s="116"/>
    </row>
    <row r="18" spans="1:29" s="101" customFormat="1" x14ac:dyDescent="0.25">
      <c r="A18" s="103"/>
      <c r="B18" s="101" t="s">
        <v>45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>
        <f>P18</f>
        <v>302925.64628147398</v>
      </c>
      <c r="P18" s="131">
        <v>302925.64628147398</v>
      </c>
      <c r="Q18" s="131">
        <v>302925.64628147398</v>
      </c>
      <c r="R18" s="131">
        <v>302925.64628147398</v>
      </c>
      <c r="S18" s="131">
        <v>302925.64628147398</v>
      </c>
      <c r="T18" s="131">
        <v>302925.64628147398</v>
      </c>
      <c r="U18" s="131">
        <v>302925.64628147398</v>
      </c>
      <c r="V18" s="131">
        <v>302925.64628147398</v>
      </c>
      <c r="W18" s="131">
        <v>302925.64628147398</v>
      </c>
      <c r="X18" s="131">
        <v>302925.64628147398</v>
      </c>
      <c r="Y18" s="131">
        <v>302925.64628147398</v>
      </c>
      <c r="Z18" s="131">
        <v>302925.64628147398</v>
      </c>
      <c r="AA18" s="131">
        <v>302925.64628147398</v>
      </c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-0.21*(O17+O18)</f>
        <v>-344422.45576304721</v>
      </c>
      <c r="P19" s="131">
        <f t="shared" ref="P19:AA19" si="7">-0.21*(P17+P18)</f>
        <v>-344422.45576304721</v>
      </c>
      <c r="Q19" s="131">
        <f t="shared" si="7"/>
        <v>-344422.45576304721</v>
      </c>
      <c r="R19" s="131">
        <f t="shared" si="7"/>
        <v>-344422.45576304721</v>
      </c>
      <c r="S19" s="131">
        <f t="shared" si="7"/>
        <v>-344422.45576304721</v>
      </c>
      <c r="T19" s="131">
        <f t="shared" si="7"/>
        <v>-344422.45576304721</v>
      </c>
      <c r="U19" s="131">
        <f t="shared" si="7"/>
        <v>-344422.45576304721</v>
      </c>
      <c r="V19" s="131">
        <f t="shared" si="7"/>
        <v>-344422.45576304721</v>
      </c>
      <c r="W19" s="131">
        <f t="shared" si="7"/>
        <v>-344422.45576304721</v>
      </c>
      <c r="X19" s="131">
        <f t="shared" si="7"/>
        <v>-344422.45576304721</v>
      </c>
      <c r="Y19" s="131">
        <f t="shared" si="7"/>
        <v>-344422.45576304721</v>
      </c>
      <c r="Z19" s="131">
        <f t="shared" si="7"/>
        <v>-344422.45576304721</v>
      </c>
      <c r="AA19" s="131">
        <f t="shared" si="7"/>
        <v>-344422.45576304721</v>
      </c>
      <c r="AC19" s="116"/>
    </row>
    <row r="20" spans="1:29" x14ac:dyDescent="0.25">
      <c r="A20" s="25">
        <f>MAX($A$8:A17)+1</f>
        <v>9</v>
      </c>
      <c r="B20" s="27" t="s">
        <v>35</v>
      </c>
      <c r="C20" s="135">
        <f t="shared" ref="C20" si="8">C17+C14</f>
        <v>0</v>
      </c>
      <c r="D20" s="135">
        <f>(D17+D14)/Variables!$C$34</f>
        <v>79.474911363377032</v>
      </c>
      <c r="E20" s="135">
        <f>(E17+E14)/Variables!$C$34</f>
        <v>173.67450061913291</v>
      </c>
      <c r="F20" s="135">
        <f>(F17+F14)/Variables!$C$34</f>
        <v>267.69602328995796</v>
      </c>
      <c r="G20" s="135">
        <f>(G17+G14)/Variables!$C$34</f>
        <v>361.53947937585207</v>
      </c>
      <c r="H20" s="135">
        <f>(H17+H14)/Variables!$C$34</f>
        <v>455.20486887681534</v>
      </c>
      <c r="I20" s="135">
        <f>(I17+I14)/Variables!$C$34</f>
        <v>548.69219179284767</v>
      </c>
      <c r="J20" s="135">
        <f>(J17+J14)/Variables!$C$34</f>
        <v>642.00144810218865</v>
      </c>
      <c r="K20" s="135">
        <f>(K17+K14)/Variables!$C$34</f>
        <v>735.1326377789868</v>
      </c>
      <c r="L20" s="135">
        <f>(L17+L14)/Variables!$C$34</f>
        <v>828.0857607974898</v>
      </c>
      <c r="M20" s="135">
        <f>(M17+M14)/Variables!$C$34</f>
        <v>920.86081713194267</v>
      </c>
      <c r="N20" s="135">
        <f>(N17+N14)/Variables!$C$34</f>
        <v>1013.4578067348172</v>
      </c>
      <c r="O20" s="135">
        <f>(O17+O14+O18+O19)/Variables!$C$34</f>
        <v>4184427.1919699595</v>
      </c>
      <c r="P20" s="135">
        <f>(P17+P14+P18+P19)/Variables!$C$34</f>
        <v>4184427.1919699595</v>
      </c>
      <c r="Q20" s="135">
        <f>(Q17+Q14+Q18+Q19)/Variables!$C$34</f>
        <v>4184427.1919699595</v>
      </c>
      <c r="R20" s="135">
        <f>(R17+R14+R18+R19)/Variables!$C$34</f>
        <v>4184427.1919699595</v>
      </c>
      <c r="S20" s="135">
        <f>(S17+S14+S18+S19)/Variables!$C$34</f>
        <v>4184427.1919699595</v>
      </c>
      <c r="T20" s="135">
        <f>(T17+T14+T18+T19)/Variables!$C$34</f>
        <v>4184427.1919699595</v>
      </c>
      <c r="U20" s="135">
        <f>(U17+U14+U18+U19)/Variables!$C$34</f>
        <v>4184427.1919699595</v>
      </c>
      <c r="V20" s="135">
        <f>(V17+V14+V18+V19)/Variables!$C$34</f>
        <v>4184427.1919699595</v>
      </c>
      <c r="W20" s="135">
        <f>(W17+W14+W18+W19)/Variables!$C$34</f>
        <v>4184427.1919699595</v>
      </c>
      <c r="X20" s="135">
        <f>(X17+X14+X18+X19)/Variables!$C$34</f>
        <v>4184427.1919699595</v>
      </c>
      <c r="Y20" s="135">
        <f>(Y17+Y14+Y18+Y19)/Variables!$C$34</f>
        <v>4184427.1919699595</v>
      </c>
      <c r="Z20" s="135">
        <f>(Z17+Z14+Z18+Z19)/Variables!$C$34</f>
        <v>4184427.1919699595</v>
      </c>
      <c r="AA20" s="135">
        <f>(AA17+AA14+AA18+AA19)/Variables!$C$34</f>
        <v>4184427.1919699595</v>
      </c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9">P20*$P$46</f>
        <v>326849.96562605799</v>
      </c>
      <c r="Q22" s="133">
        <f t="shared" si="9"/>
        <v>326849.96562605799</v>
      </c>
      <c r="R22" s="133">
        <f t="shared" si="9"/>
        <v>326849.96562605799</v>
      </c>
      <c r="S22" s="133">
        <f t="shared" si="9"/>
        <v>326849.96562605799</v>
      </c>
      <c r="T22" s="133">
        <f t="shared" si="9"/>
        <v>326849.96562605799</v>
      </c>
      <c r="U22" s="133">
        <f t="shared" si="9"/>
        <v>326849.96562605799</v>
      </c>
      <c r="V22" s="133">
        <f t="shared" si="9"/>
        <v>326849.96562605799</v>
      </c>
      <c r="W22" s="133">
        <f t="shared" si="9"/>
        <v>326849.96562605799</v>
      </c>
      <c r="X22" s="133">
        <f t="shared" si="9"/>
        <v>326849.96562605799</v>
      </c>
      <c r="Y22" s="133">
        <f t="shared" si="9"/>
        <v>326849.96562605799</v>
      </c>
      <c r="Z22" s="133">
        <f t="shared" si="9"/>
        <v>326849.96562605799</v>
      </c>
      <c r="AA22" s="133">
        <f t="shared" si="9"/>
        <v>326849.96562605799</v>
      </c>
    </row>
    <row r="23" spans="1:29" ht="13" x14ac:dyDescent="0.3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s="101" customFormat="1" ht="13" x14ac:dyDescent="0.3">
      <c r="A25" s="102"/>
      <c r="B25" s="97" t="s">
        <v>25</v>
      </c>
      <c r="AC25" s="116"/>
    </row>
    <row r="26" spans="1:29" s="101" customFormat="1" x14ac:dyDescent="0.25">
      <c r="A26" s="103">
        <f>MAX($A$8:A25)+1</f>
        <v>11</v>
      </c>
      <c r="B26" s="101" t="s">
        <v>26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327478712.80999994</v>
      </c>
      <c r="P26" s="129">
        <v>327379351.67999995</v>
      </c>
      <c r="Q26" s="129">
        <v>327578311.63999999</v>
      </c>
      <c r="R26" s="129">
        <v>324697223.65999997</v>
      </c>
      <c r="S26" s="129">
        <v>324897677.77999997</v>
      </c>
      <c r="T26" s="129">
        <v>327136536.92000002</v>
      </c>
      <c r="U26" s="129">
        <v>327136536.92000002</v>
      </c>
      <c r="V26" s="129">
        <v>327136536.92000002</v>
      </c>
      <c r="W26" s="129">
        <v>327136536.92000002</v>
      </c>
      <c r="X26" s="129">
        <v>327136536.92000002</v>
      </c>
      <c r="Y26" s="129">
        <v>327136536.92000002</v>
      </c>
      <c r="Z26" s="129">
        <v>327136536.92000002</v>
      </c>
      <c r="AA26" s="129">
        <v>327136536.92000002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0</v>
      </c>
      <c r="D27" s="129">
        <f t="shared" ref="D27:O27" si="10">C27-D35</f>
        <v>0</v>
      </c>
      <c r="E27" s="129">
        <f t="shared" si="10"/>
        <v>0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-450911.95235033921</v>
      </c>
      <c r="P27" s="129">
        <f>O27-P35</f>
        <v>-1770472.3532994355</v>
      </c>
      <c r="Q27" s="129">
        <f t="shared" ref="Q27:AA27" si="11">P27-Q35</f>
        <v>-3090233.4491459085</v>
      </c>
      <c r="R27" s="129">
        <f t="shared" si="11"/>
        <v>-4404589.969379154</v>
      </c>
      <c r="S27" s="129">
        <f t="shared" si="11"/>
        <v>-5713544.9247804014</v>
      </c>
      <c r="T27" s="129">
        <f t="shared" si="11"/>
        <v>-7027415.1761182006</v>
      </c>
      <c r="U27" s="129">
        <f t="shared" si="11"/>
        <v>-8345796.8017898379</v>
      </c>
      <c r="V27" s="129">
        <f t="shared" si="11"/>
        <v>-9664178.4274614751</v>
      </c>
      <c r="W27" s="129">
        <f t="shared" si="11"/>
        <v>-10982560.053133113</v>
      </c>
      <c r="X27" s="129">
        <f>W27-X35</f>
        <v>-12300941.678804751</v>
      </c>
      <c r="Y27" s="129">
        <f t="shared" si="11"/>
        <v>-13619323.30447639</v>
      </c>
      <c r="Z27" s="129">
        <f t="shared" si="11"/>
        <v>-14937704.930148028</v>
      </c>
      <c r="AA27" s="129">
        <f t="shared" si="11"/>
        <v>-16256086.555819666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f>-2975338-12880-62433</f>
        <v>-3050651</v>
      </c>
      <c r="P28" s="130">
        <f>-5072968-20012-103556</f>
        <v>-5196536</v>
      </c>
      <c r="Q28" s="130">
        <f>-7170598-27144-144679</f>
        <v>-7342421</v>
      </c>
      <c r="R28" s="130">
        <f>-9268228-34276-176787</f>
        <v>-9479291</v>
      </c>
      <c r="S28" s="130">
        <f>-11365858-41237-214905</f>
        <v>-11622000</v>
      </c>
      <c r="T28" s="130">
        <f>-13463488-48198-253023</f>
        <v>-13764709</v>
      </c>
      <c r="U28" s="130">
        <f>-15561118-55159-291141</f>
        <v>-15907418</v>
      </c>
      <c r="V28" s="130">
        <f>-17658748-62205-329259</f>
        <v>-18050212</v>
      </c>
      <c r="W28" s="130">
        <f>-19756378-69251-367377</f>
        <v>-20193006</v>
      </c>
      <c r="X28" s="130">
        <f>-21854008-76298-405495</f>
        <v>-22335801</v>
      </c>
      <c r="Y28" s="130">
        <f>-23951638-83344-443613</f>
        <v>-24478595</v>
      </c>
      <c r="Z28" s="130">
        <f>-26049268-90390-481731</f>
        <v>-26621389</v>
      </c>
      <c r="AA28" s="130">
        <f>-28146898-97436-519849</f>
        <v>-28764183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2">SUM(C26:C28)</f>
        <v>0</v>
      </c>
      <c r="D29" s="129">
        <f t="shared" si="12"/>
        <v>0</v>
      </c>
      <c r="E29" s="129">
        <f t="shared" si="12"/>
        <v>0</v>
      </c>
      <c r="F29" s="129">
        <f t="shared" si="12"/>
        <v>0</v>
      </c>
      <c r="G29" s="129">
        <f t="shared" si="12"/>
        <v>0</v>
      </c>
      <c r="H29" s="129">
        <f t="shared" si="12"/>
        <v>0</v>
      </c>
      <c r="I29" s="129">
        <f t="shared" si="12"/>
        <v>0</v>
      </c>
      <c r="J29" s="129">
        <f t="shared" si="12"/>
        <v>0</v>
      </c>
      <c r="K29" s="129">
        <f t="shared" si="12"/>
        <v>0</v>
      </c>
      <c r="L29" s="129">
        <f t="shared" ref="L29:O29" si="13">SUM(L26:L28)</f>
        <v>0</v>
      </c>
      <c r="M29" s="129">
        <f t="shared" si="13"/>
        <v>0</v>
      </c>
      <c r="N29" s="129">
        <f t="shared" si="13"/>
        <v>0</v>
      </c>
      <c r="O29" s="129">
        <f t="shared" si="13"/>
        <v>323977149.85764962</v>
      </c>
      <c r="P29" s="129">
        <f>SUM(P26:P28)</f>
        <v>320412343.32670051</v>
      </c>
      <c r="Q29" s="129">
        <f t="shared" ref="Q29:AA29" si="14">SUM(Q26:Q28)</f>
        <v>317145657.19085407</v>
      </c>
      <c r="R29" s="129">
        <f t="shared" si="14"/>
        <v>310813342.69062084</v>
      </c>
      <c r="S29" s="129">
        <f t="shared" si="14"/>
        <v>307562132.85521954</v>
      </c>
      <c r="T29" s="129">
        <f t="shared" si="14"/>
        <v>306344412.74388182</v>
      </c>
      <c r="U29" s="129">
        <f t="shared" si="14"/>
        <v>302883322.1182102</v>
      </c>
      <c r="V29" s="129">
        <f t="shared" si="14"/>
        <v>299422146.49253857</v>
      </c>
      <c r="W29" s="129">
        <f t="shared" si="14"/>
        <v>295960970.86686689</v>
      </c>
      <c r="X29" s="129">
        <f t="shared" si="14"/>
        <v>292499794.24119526</v>
      </c>
      <c r="Y29" s="129">
        <f t="shared" si="14"/>
        <v>289038618.61552364</v>
      </c>
      <c r="Z29" s="129">
        <f t="shared" si="14"/>
        <v>285577442.98985201</v>
      </c>
      <c r="AA29" s="129">
        <f t="shared" si="14"/>
        <v>282116267.36418033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MAX($A$8:A30)+1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MAX($A$8:A31)+1</f>
        <v>16</v>
      </c>
      <c r="B32" s="101" t="s">
        <v>39</v>
      </c>
      <c r="C32" s="131">
        <f t="shared" ref="C32:N32" si="15">C29*C31/12</f>
        <v>0</v>
      </c>
      <c r="D32" s="131">
        <f t="shared" si="15"/>
        <v>0</v>
      </c>
      <c r="E32" s="131">
        <f t="shared" si="15"/>
        <v>0</v>
      </c>
      <c r="F32" s="131">
        <f t="shared" si="15"/>
        <v>0</v>
      </c>
      <c r="G32" s="131">
        <f t="shared" si="15"/>
        <v>0</v>
      </c>
      <c r="H32" s="131">
        <f t="shared" si="15"/>
        <v>0</v>
      </c>
      <c r="I32" s="131">
        <f t="shared" si="15"/>
        <v>0</v>
      </c>
      <c r="J32" s="131">
        <f t="shared" si="15"/>
        <v>0</v>
      </c>
      <c r="K32" s="131">
        <f t="shared" si="15"/>
        <v>0</v>
      </c>
      <c r="L32" s="131">
        <f t="shared" si="15"/>
        <v>0</v>
      </c>
      <c r="M32" s="131">
        <f t="shared" si="15"/>
        <v>0</v>
      </c>
      <c r="N32" s="131">
        <f t="shared" si="15"/>
        <v>0</v>
      </c>
      <c r="O32" s="131">
        <f>O29*O31/12</f>
        <v>1935532.906661141</v>
      </c>
      <c r="P32" s="131">
        <f>P29*P31/12</f>
        <v>1914235.7245927013</v>
      </c>
      <c r="Q32" s="131">
        <f t="shared" ref="Q32:AA32" si="16">Q29*Q31/12</f>
        <v>1894719.599722652</v>
      </c>
      <c r="R32" s="131">
        <f t="shared" si="16"/>
        <v>1856888.5270809112</v>
      </c>
      <c r="S32" s="131">
        <f t="shared" si="16"/>
        <v>1837464.8620920547</v>
      </c>
      <c r="T32" s="131">
        <f t="shared" si="16"/>
        <v>1830189.8510376245</v>
      </c>
      <c r="U32" s="131">
        <f t="shared" si="16"/>
        <v>1809512.2976920651</v>
      </c>
      <c r="V32" s="131">
        <f t="shared" si="16"/>
        <v>1788834.2365319973</v>
      </c>
      <c r="W32" s="131">
        <f t="shared" si="16"/>
        <v>1768156.1753719293</v>
      </c>
      <c r="X32" s="131">
        <f t="shared" si="16"/>
        <v>1747478.1082375732</v>
      </c>
      <c r="Y32" s="131">
        <f t="shared" si="16"/>
        <v>1726800.0470775056</v>
      </c>
      <c r="Z32" s="131">
        <f t="shared" si="16"/>
        <v>1706121.9859174378</v>
      </c>
      <c r="AA32" s="131">
        <f t="shared" si="16"/>
        <v>1685443.9247573698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7" t="s">
        <v>32</v>
      </c>
      <c r="C34" s="107">
        <f>C16</f>
        <v>0</v>
      </c>
      <c r="D34" s="107">
        <f t="shared" ref="D34:AA34" si="17">D16</f>
        <v>3.3046077296287953E-2</v>
      </c>
      <c r="E34" s="107">
        <f t="shared" si="17"/>
        <v>3.3046077296287953E-2</v>
      </c>
      <c r="F34" s="107">
        <f t="shared" si="17"/>
        <v>3.3046077296287953E-2</v>
      </c>
      <c r="G34" s="107">
        <f t="shared" si="17"/>
        <v>3.3046077296287953E-2</v>
      </c>
      <c r="H34" s="107">
        <f t="shared" si="17"/>
        <v>3.3046077296287953E-2</v>
      </c>
      <c r="I34" s="107">
        <f t="shared" si="17"/>
        <v>3.3046077296287953E-2</v>
      </c>
      <c r="J34" s="107">
        <f t="shared" si="17"/>
        <v>3.3046077296287953E-2</v>
      </c>
      <c r="K34" s="107">
        <f t="shared" si="17"/>
        <v>3.3046077296287953E-2</v>
      </c>
      <c r="L34" s="107">
        <f t="shared" si="17"/>
        <v>3.3046077296287953E-2</v>
      </c>
      <c r="M34" s="107">
        <f t="shared" si="17"/>
        <v>3.3046077296287953E-2</v>
      </c>
      <c r="N34" s="107">
        <f t="shared" si="17"/>
        <v>3.3046077296287953E-2</v>
      </c>
      <c r="O34" s="107">
        <f t="shared" si="17"/>
        <v>3.3046077296287953E-2</v>
      </c>
      <c r="P34" s="107">
        <f t="shared" si="17"/>
        <v>4.8360784328803093E-2</v>
      </c>
      <c r="Q34" s="107">
        <f t="shared" si="17"/>
        <v>4.8360784328803093E-2</v>
      </c>
      <c r="R34" s="107">
        <f t="shared" si="17"/>
        <v>4.8360784328803093E-2</v>
      </c>
      <c r="S34" s="107">
        <f t="shared" si="17"/>
        <v>4.8360784328803093E-2</v>
      </c>
      <c r="T34" s="107">
        <f t="shared" si="17"/>
        <v>4.8360784328803093E-2</v>
      </c>
      <c r="U34" s="107">
        <f t="shared" si="17"/>
        <v>4.8360784328803093E-2</v>
      </c>
      <c r="V34" s="107">
        <f t="shared" si="17"/>
        <v>4.8360784328803093E-2</v>
      </c>
      <c r="W34" s="107">
        <f t="shared" si="17"/>
        <v>4.8360784328803093E-2</v>
      </c>
      <c r="X34" s="107">
        <f t="shared" si="17"/>
        <v>4.8360784328803093E-2</v>
      </c>
      <c r="Y34" s="107">
        <f t="shared" si="17"/>
        <v>4.8360784328803093E-2</v>
      </c>
      <c r="Z34" s="107">
        <f t="shared" si="17"/>
        <v>4.8360784328803093E-2</v>
      </c>
      <c r="AA34" s="107">
        <f t="shared" si="17"/>
        <v>4.8360784328803093E-2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f>(((C26)/2)*C34)/12</f>
        <v>0</v>
      </c>
      <c r="D35" s="131">
        <f t="shared" ref="D35:Z35" si="18">(((D26+C26)/2)*D34)/12</f>
        <v>0</v>
      </c>
      <c r="E35" s="131">
        <f t="shared" si="18"/>
        <v>0</v>
      </c>
      <c r="F35" s="131">
        <f t="shared" si="18"/>
        <v>0</v>
      </c>
      <c r="G35" s="131">
        <f t="shared" si="18"/>
        <v>0</v>
      </c>
      <c r="H35" s="131">
        <f t="shared" si="18"/>
        <v>0</v>
      </c>
      <c r="I35" s="131">
        <f t="shared" si="18"/>
        <v>0</v>
      </c>
      <c r="J35" s="131">
        <f t="shared" si="18"/>
        <v>0</v>
      </c>
      <c r="K35" s="131">
        <f t="shared" si="18"/>
        <v>0</v>
      </c>
      <c r="L35" s="131">
        <f t="shared" si="18"/>
        <v>0</v>
      </c>
      <c r="M35" s="131">
        <f t="shared" si="18"/>
        <v>0</v>
      </c>
      <c r="N35" s="131">
        <f t="shared" si="18"/>
        <v>0</v>
      </c>
      <c r="O35" s="131">
        <f t="shared" si="18"/>
        <v>450911.95235033921</v>
      </c>
      <c r="P35" s="131">
        <f t="shared" si="18"/>
        <v>1319560.4009490963</v>
      </c>
      <c r="Q35" s="131">
        <f t="shared" si="18"/>
        <v>1319761.0958464728</v>
      </c>
      <c r="R35" s="131">
        <f t="shared" si="18"/>
        <v>1314356.5202332453</v>
      </c>
      <c r="S35" s="131">
        <f t="shared" si="18"/>
        <v>1308954.9554012474</v>
      </c>
      <c r="T35" s="131">
        <f t="shared" si="18"/>
        <v>1313870.2513377997</v>
      </c>
      <c r="U35" s="131">
        <f t="shared" si="18"/>
        <v>1318381.6256716375</v>
      </c>
      <c r="V35" s="131">
        <f t="shared" si="18"/>
        <v>1318381.6256716375</v>
      </c>
      <c r="W35" s="131">
        <f t="shared" si="18"/>
        <v>1318381.6256716375</v>
      </c>
      <c r="X35" s="131">
        <f t="shared" si="18"/>
        <v>1318381.6256716375</v>
      </c>
      <c r="Y35" s="131">
        <f t="shared" si="18"/>
        <v>1318381.6256716375</v>
      </c>
      <c r="Z35" s="131">
        <f t="shared" si="18"/>
        <v>1318381.6256716375</v>
      </c>
      <c r="AA35" s="131">
        <f>(((AA26+Z26)/2)*AA34)/12</f>
        <v>1318381.6256716375</v>
      </c>
      <c r="AC35" s="116"/>
    </row>
    <row r="36" spans="1:29" s="101" customFormat="1" x14ac:dyDescent="0.25">
      <c r="A36" s="103"/>
      <c r="B36" s="101" t="s">
        <v>45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>
        <f>O26/$AA$26*O18</f>
        <v>303242.49824058585</v>
      </c>
      <c r="P36" s="131">
        <f>P26/$AA$26*P18</f>
        <v>303150.49068067252</v>
      </c>
      <c r="Q36" s="131">
        <f t="shared" ref="Q36:AA36" si="19">Q26/$AA$26*Q18</f>
        <v>303334.72590867424</v>
      </c>
      <c r="R36" s="131">
        <f t="shared" si="19"/>
        <v>300666.86298344948</v>
      </c>
      <c r="S36" s="131">
        <f t="shared" si="19"/>
        <v>300852.48179088224</v>
      </c>
      <c r="T36" s="131">
        <f t="shared" si="19"/>
        <v>302925.64628147398</v>
      </c>
      <c r="U36" s="131">
        <f t="shared" si="19"/>
        <v>302925.64628147398</v>
      </c>
      <c r="V36" s="131">
        <f t="shared" si="19"/>
        <v>302925.64628147398</v>
      </c>
      <c r="W36" s="131">
        <f t="shared" si="19"/>
        <v>302925.64628147398</v>
      </c>
      <c r="X36" s="131">
        <f t="shared" si="19"/>
        <v>302925.64628147398</v>
      </c>
      <c r="Y36" s="131">
        <f t="shared" si="19"/>
        <v>302925.64628147398</v>
      </c>
      <c r="Z36" s="131">
        <f t="shared" si="19"/>
        <v>302925.64628147398</v>
      </c>
      <c r="AA36" s="131">
        <f t="shared" si="19"/>
        <v>302925.64628147398</v>
      </c>
      <c r="AC36" s="116"/>
    </row>
    <row r="37" spans="1:29" s="101" customFormat="1" x14ac:dyDescent="0.25">
      <c r="A37" s="103"/>
      <c r="B37" s="101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f>-0.21*(O36+O35)</f>
        <v>-158372.43462409425</v>
      </c>
      <c r="P37" s="131">
        <f t="shared" ref="P37:AA37" si="20">-0.21*(P36+P35)</f>
        <v>-340769.28724225145</v>
      </c>
      <c r="Q37" s="131">
        <f t="shared" si="20"/>
        <v>-340850.12256858085</v>
      </c>
      <c r="R37" s="131">
        <f t="shared" si="20"/>
        <v>-339154.91047550592</v>
      </c>
      <c r="S37" s="131">
        <f t="shared" si="20"/>
        <v>-338059.56181034719</v>
      </c>
      <c r="T37" s="131">
        <f t="shared" si="20"/>
        <v>-339527.1385000475</v>
      </c>
      <c r="U37" s="131">
        <f t="shared" si="20"/>
        <v>-340474.5271101534</v>
      </c>
      <c r="V37" s="131">
        <f t="shared" si="20"/>
        <v>-340474.5271101534</v>
      </c>
      <c r="W37" s="131">
        <f t="shared" si="20"/>
        <v>-340474.5271101534</v>
      </c>
      <c r="X37" s="131">
        <f t="shared" si="20"/>
        <v>-340474.5271101534</v>
      </c>
      <c r="Y37" s="131">
        <f t="shared" si="20"/>
        <v>-340474.5271101534</v>
      </c>
      <c r="Z37" s="131">
        <f t="shared" si="20"/>
        <v>-340474.5271101534</v>
      </c>
      <c r="AA37" s="131">
        <f t="shared" si="20"/>
        <v>-340474.5271101534</v>
      </c>
      <c r="AC37" s="116"/>
    </row>
    <row r="38" spans="1:29" x14ac:dyDescent="0.25">
      <c r="A38" s="25">
        <f>MAX($A$8:A35)+1</f>
        <v>19</v>
      </c>
      <c r="B38" s="27" t="s">
        <v>35</v>
      </c>
      <c r="C38" s="135">
        <f>(C35+C32)/Variables!$C$34</f>
        <v>0</v>
      </c>
      <c r="D38" s="135">
        <f>(D35+D32)/Variables!$C$34</f>
        <v>0</v>
      </c>
      <c r="E38" s="135">
        <f>(E35+E32)/Variables!$C$34</f>
        <v>0</v>
      </c>
      <c r="F38" s="135">
        <f>(F35+F32)/Variables!$C$34</f>
        <v>0</v>
      </c>
      <c r="G38" s="135">
        <f>(G35+G32)/Variables!$C$34</f>
        <v>0</v>
      </c>
      <c r="H38" s="135">
        <f>(H35+H32)/Variables!$C$34</f>
        <v>0</v>
      </c>
      <c r="I38" s="135">
        <f>(I35+I32)/Variables!$C$34</f>
        <v>0</v>
      </c>
      <c r="J38" s="135">
        <f>(J35+J32)/Variables!$C$34</f>
        <v>0</v>
      </c>
      <c r="K38" s="135">
        <f>(K35+K32)/Variables!$C$34</f>
        <v>0</v>
      </c>
      <c r="L38" s="135">
        <f>(L35+L32)/Variables!$C$34</f>
        <v>0</v>
      </c>
      <c r="M38" s="135">
        <f>(M35+M32)/Variables!$C$34</f>
        <v>0</v>
      </c>
      <c r="N38" s="135">
        <f>(N35+N32)/Variables!$C$34</f>
        <v>0</v>
      </c>
      <c r="O38" s="135">
        <f>(O35+O32+O36+O37)/Variables!$C$34</f>
        <v>3360970.4874566449</v>
      </c>
      <c r="P38" s="135">
        <f>(P35+P32+P36+P37)/Variables!$C$34</f>
        <v>4243746.0386114577</v>
      </c>
      <c r="Q38" s="135">
        <f>(Q35+Q32+Q36+Q37)/Variables!$C$34</f>
        <v>4218237.1359081436</v>
      </c>
      <c r="R38" s="135">
        <f>(R35+R32+R36+R37)/Variables!$C$34</f>
        <v>4159539.2681698203</v>
      </c>
      <c r="S38" s="135">
        <f>(S35+S32+S36+S37)/Variables!$C$34</f>
        <v>4128278.2147963042</v>
      </c>
      <c r="T38" s="135">
        <f>(T35+T32+T36+T37)/Variables!$C$34</f>
        <v>4125949.1604021122</v>
      </c>
      <c r="U38" s="135">
        <f>(U35+U32+U36+U37)/Variables!$C$34</f>
        <v>4103226.5053907228</v>
      </c>
      <c r="V38" s="135">
        <f>(V35+V32+V36+V37)/Variables!$C$34</f>
        <v>4075771.0700059156</v>
      </c>
      <c r="W38" s="135">
        <f>(W35+W32+W36+W37)/Variables!$C$34</f>
        <v>4048315.634621108</v>
      </c>
      <c r="X38" s="135">
        <f>(X35+X32+X36+X37)/Variables!$C$34</f>
        <v>4020860.1913038986</v>
      </c>
      <c r="Y38" s="135">
        <f>(Y35+Y32+Y36+Y37)/Variables!$C$34</f>
        <v>3993404.7559190914</v>
      </c>
      <c r="Z38" s="135">
        <f>(Z35+Z32+Z36+Z37)/Variables!$C$34</f>
        <v>3965949.3205342833</v>
      </c>
      <c r="AA38" s="135">
        <f>(AA35+AA32+AA36+AA37)/Variables!$C$34</f>
        <v>3938493.8851494757</v>
      </c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21">P38*$P$46</f>
        <v>331483.42251185543</v>
      </c>
      <c r="Q40" s="133">
        <f t="shared" si="21"/>
        <v>329490.89555673557</v>
      </c>
      <c r="R40" s="133">
        <f t="shared" si="21"/>
        <v>324905.94397975237</v>
      </c>
      <c r="S40" s="133">
        <f t="shared" si="21"/>
        <v>322464.110545495</v>
      </c>
      <c r="T40" s="133">
        <f t="shared" si="21"/>
        <v>322282.18568128807</v>
      </c>
      <c r="U40" s="133">
        <f t="shared" si="21"/>
        <v>320507.29543498199</v>
      </c>
      <c r="V40" s="133">
        <f t="shared" si="21"/>
        <v>318362.72278499213</v>
      </c>
      <c r="W40" s="133">
        <f t="shared" si="21"/>
        <v>316218.15013500222</v>
      </c>
      <c r="X40" s="133">
        <f t="shared" si="21"/>
        <v>314073.57686540415</v>
      </c>
      <c r="Y40" s="133">
        <f t="shared" si="21"/>
        <v>311929.00421541429</v>
      </c>
      <c r="Z40" s="133">
        <f t="shared" si="21"/>
        <v>309784.43156542431</v>
      </c>
      <c r="AA40" s="133">
        <f t="shared" si="21"/>
        <v>307639.85891543445</v>
      </c>
    </row>
    <row r="41" spans="1:29" ht="13" x14ac:dyDescent="0.3">
      <c r="A41" s="25"/>
      <c r="B41" s="2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9" s="22" customFormat="1" ht="13" x14ac:dyDescent="0.3">
      <c r="A42" s="19" t="s">
        <v>40</v>
      </c>
      <c r="B42" s="2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21">
        <v>44197</v>
      </c>
      <c r="Q42" s="21">
        <v>44228</v>
      </c>
      <c r="R42" s="21">
        <v>44256</v>
      </c>
      <c r="S42" s="21">
        <v>44287</v>
      </c>
      <c r="T42" s="21">
        <v>44317</v>
      </c>
      <c r="U42" s="21">
        <v>44348</v>
      </c>
      <c r="V42" s="21">
        <v>44378</v>
      </c>
      <c r="W42" s="21">
        <v>44409</v>
      </c>
      <c r="X42" s="21">
        <v>44440</v>
      </c>
      <c r="Y42" s="21">
        <v>44470</v>
      </c>
      <c r="Z42" s="21">
        <v>44501</v>
      </c>
      <c r="AA42" s="21">
        <v>44531</v>
      </c>
      <c r="AC42" s="119"/>
    </row>
    <row r="43" spans="1:29" ht="13" thickBot="1" x14ac:dyDescent="0.3">
      <c r="A43" s="25">
        <f>MAX($A$8:A42)+1</f>
        <v>21</v>
      </c>
      <c r="B43" s="2" t="s">
        <v>46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32">
        <f>P40-P22</f>
        <v>4633.4568857974373</v>
      </c>
      <c r="Q43" s="132">
        <f t="shared" ref="Q43:AA43" si="22">Q40-Q22</f>
        <v>2640.9299306775793</v>
      </c>
      <c r="R43" s="132">
        <f t="shared" si="22"/>
        <v>-1944.0216463056277</v>
      </c>
      <c r="S43" s="132">
        <f t="shared" si="22"/>
        <v>-4385.855080562993</v>
      </c>
      <c r="T43" s="132">
        <f t="shared" si="22"/>
        <v>-4567.7799447699217</v>
      </c>
      <c r="U43" s="132">
        <f t="shared" si="22"/>
        <v>-6342.6701910760021</v>
      </c>
      <c r="V43" s="132">
        <f t="shared" si="22"/>
        <v>-8487.2428410658613</v>
      </c>
      <c r="W43" s="132">
        <f t="shared" si="22"/>
        <v>-10631.815491055779</v>
      </c>
      <c r="X43" s="132">
        <f t="shared" si="22"/>
        <v>-12776.388760653848</v>
      </c>
      <c r="Y43" s="132">
        <f t="shared" si="22"/>
        <v>-14920.961410643707</v>
      </c>
      <c r="Z43" s="132">
        <f t="shared" si="22"/>
        <v>-17065.534060633683</v>
      </c>
      <c r="AA43" s="132">
        <f t="shared" si="22"/>
        <v>-19210.106710623542</v>
      </c>
    </row>
    <row r="44" spans="1:29" ht="13.5" thickBot="1" x14ac:dyDescent="0.35">
      <c r="A44" s="25">
        <f>MAX($A$8:A43)+1</f>
        <v>22</v>
      </c>
      <c r="B44" s="2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132">
        <f>O44+P43</f>
        <v>4633.4568857974373</v>
      </c>
      <c r="Q44" s="132">
        <f t="shared" ref="Q44:AA44" si="23">P44+Q43</f>
        <v>7274.3868164750165</v>
      </c>
      <c r="R44" s="132">
        <f t="shared" si="23"/>
        <v>5330.3651701693889</v>
      </c>
      <c r="S44" s="132">
        <f t="shared" si="23"/>
        <v>944.51008960639592</v>
      </c>
      <c r="T44" s="132">
        <f t="shared" si="23"/>
        <v>-3623.2698551635258</v>
      </c>
      <c r="U44" s="132">
        <f t="shared" si="23"/>
        <v>-9965.9400462395279</v>
      </c>
      <c r="V44" s="132">
        <f t="shared" si="23"/>
        <v>-18453.182887305389</v>
      </c>
      <c r="W44" s="132">
        <f t="shared" si="23"/>
        <v>-29084.998378361168</v>
      </c>
      <c r="X44" s="132">
        <f t="shared" si="23"/>
        <v>-41861.387139015016</v>
      </c>
      <c r="Y44" s="132">
        <f t="shared" si="23"/>
        <v>-56782.348549658724</v>
      </c>
      <c r="Z44" s="132">
        <f t="shared" si="23"/>
        <v>-73847.882610292407</v>
      </c>
      <c r="AA44" s="36">
        <f t="shared" si="23"/>
        <v>-93057.989320915949</v>
      </c>
    </row>
    <row r="46" spans="1:29" ht="13" x14ac:dyDescent="0.3">
      <c r="B46" s="37" t="s">
        <v>43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17380-2E78-449D-9321-A86DB9211907}">
  <sheetPr>
    <tabColor rgb="FF00B0F0"/>
    <pageSetUpPr fitToPage="1"/>
  </sheetPr>
  <dimension ref="A1:AC52"/>
  <sheetViews>
    <sheetView topLeftCell="A19" zoomScale="70" zoomScaleNormal="70" workbookViewId="0">
      <selection activeCell="P36" sqref="P36"/>
    </sheetView>
  </sheetViews>
  <sheetFormatPr defaultColWidth="9.08984375" defaultRowHeight="12.5" outlineLevelCol="1" x14ac:dyDescent="0.25"/>
  <cols>
    <col min="1" max="1" width="8.08984375" style="2" customWidth="1"/>
    <col min="2" max="2" width="48.90625" style="2" bestFit="1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5.90625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s="22" customFormat="1" ht="13" x14ac:dyDescent="0.3">
      <c r="A6" s="19" t="s">
        <v>24</v>
      </c>
      <c r="B6" s="20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15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7428</v>
      </c>
      <c r="E8" s="129">
        <v>14856</v>
      </c>
      <c r="F8" s="129">
        <v>22284</v>
      </c>
      <c r="G8" s="129">
        <v>29712</v>
      </c>
      <c r="H8" s="129">
        <v>37140</v>
      </c>
      <c r="I8" s="129">
        <v>44568</v>
      </c>
      <c r="J8" s="129">
        <v>51996</v>
      </c>
      <c r="K8" s="129">
        <v>59424</v>
      </c>
      <c r="L8" s="129">
        <v>66852</v>
      </c>
      <c r="M8" s="129">
        <v>74280</v>
      </c>
      <c r="N8" s="129">
        <v>81708</v>
      </c>
      <c r="O8" s="129">
        <v>404615885.84999996</v>
      </c>
      <c r="P8" s="129">
        <f t="shared" ref="P8:Z10" si="0">O8</f>
        <v>404615885.84999996</v>
      </c>
      <c r="Q8" s="129">
        <f t="shared" si="0"/>
        <v>404615885.84999996</v>
      </c>
      <c r="R8" s="129">
        <f t="shared" si="0"/>
        <v>404615885.84999996</v>
      </c>
      <c r="S8" s="129">
        <f t="shared" si="0"/>
        <v>404615885.84999996</v>
      </c>
      <c r="T8" s="129">
        <f t="shared" si="0"/>
        <v>404615885.84999996</v>
      </c>
      <c r="U8" s="129">
        <f t="shared" si="0"/>
        <v>404615885.84999996</v>
      </c>
      <c r="V8" s="129">
        <f t="shared" si="0"/>
        <v>404615885.84999996</v>
      </c>
      <c r="W8" s="129">
        <f t="shared" si="0"/>
        <v>404615885.84999996</v>
      </c>
      <c r="X8" s="129">
        <f t="shared" si="0"/>
        <v>404615885.84999996</v>
      </c>
      <c r="Y8" s="129">
        <f t="shared" si="0"/>
        <v>404615885.84999996</v>
      </c>
      <c r="Z8" s="129">
        <f t="shared" si="0"/>
        <v>404615885.84999996</v>
      </c>
      <c r="AA8" s="129">
        <f>Z8</f>
        <v>404615885.84999996</v>
      </c>
      <c r="AC8" s="117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-10.227760923201121</v>
      </c>
      <c r="E9" s="129">
        <f t="shared" si="1"/>
        <v>-40.911043692804483</v>
      </c>
      <c r="F9" s="129">
        <f t="shared" si="1"/>
        <v>-92.049848308810084</v>
      </c>
      <c r="G9" s="129">
        <f t="shared" si="1"/>
        <v>-163.64417477121793</v>
      </c>
      <c r="H9" s="129">
        <f t="shared" si="1"/>
        <v>-255.69402308002805</v>
      </c>
      <c r="I9" s="129">
        <f t="shared" si="1"/>
        <v>-368.19939323524039</v>
      </c>
      <c r="J9" s="129">
        <f t="shared" si="1"/>
        <v>-501.16028523685497</v>
      </c>
      <c r="K9" s="129">
        <f t="shared" si="1"/>
        <v>-654.57669908487173</v>
      </c>
      <c r="L9" s="129">
        <f t="shared" si="1"/>
        <v>-828.44863477929084</v>
      </c>
      <c r="M9" s="129">
        <f t="shared" si="1"/>
        <v>-1022.7760923201122</v>
      </c>
      <c r="N9" s="129">
        <f t="shared" si="1"/>
        <v>-1237.5590717073358</v>
      </c>
      <c r="O9" s="129">
        <v>-10065174.033509936</v>
      </c>
      <c r="P9" s="129">
        <f t="shared" si="0"/>
        <v>-10065174.033509936</v>
      </c>
      <c r="Q9" s="129">
        <f t="shared" si="0"/>
        <v>-10065174.033509936</v>
      </c>
      <c r="R9" s="129">
        <f t="shared" si="0"/>
        <v>-10065174.033509936</v>
      </c>
      <c r="S9" s="129">
        <f t="shared" si="0"/>
        <v>-10065174.033509936</v>
      </c>
      <c r="T9" s="129">
        <f t="shared" si="0"/>
        <v>-10065174.033509936</v>
      </c>
      <c r="U9" s="129">
        <f t="shared" si="0"/>
        <v>-10065174.033509936</v>
      </c>
      <c r="V9" s="129">
        <f t="shared" si="0"/>
        <v>-10065174.033509936</v>
      </c>
      <c r="W9" s="129">
        <f t="shared" si="0"/>
        <v>-10065174.033509936</v>
      </c>
      <c r="X9" s="129">
        <f t="shared" si="0"/>
        <v>-10065174.033509936</v>
      </c>
      <c r="Y9" s="129">
        <f t="shared" si="0"/>
        <v>-10065174.033509936</v>
      </c>
      <c r="Z9" s="129">
        <f t="shared" si="0"/>
        <v>-10065174.033509936</v>
      </c>
      <c r="AA9" s="129">
        <f>Z9</f>
        <v>-10065174.033509936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-16465823.5</v>
      </c>
      <c r="P10" s="130">
        <f t="shared" si="0"/>
        <v>-16465823.5</v>
      </c>
      <c r="Q10" s="130">
        <f t="shared" si="0"/>
        <v>-16465823.5</v>
      </c>
      <c r="R10" s="130">
        <f t="shared" si="0"/>
        <v>-16465823.5</v>
      </c>
      <c r="S10" s="130">
        <f t="shared" si="0"/>
        <v>-16465823.5</v>
      </c>
      <c r="T10" s="130">
        <f t="shared" si="0"/>
        <v>-16465823.5</v>
      </c>
      <c r="U10" s="130">
        <f t="shared" si="0"/>
        <v>-16465823.5</v>
      </c>
      <c r="V10" s="130">
        <f t="shared" si="0"/>
        <v>-16465823.5</v>
      </c>
      <c r="W10" s="130">
        <f t="shared" si="0"/>
        <v>-16465823.5</v>
      </c>
      <c r="X10" s="130">
        <f t="shared" si="0"/>
        <v>-16465823.5</v>
      </c>
      <c r="Y10" s="130">
        <f t="shared" si="0"/>
        <v>-16465823.5</v>
      </c>
      <c r="Z10" s="130">
        <f t="shared" si="0"/>
        <v>-16465823.5</v>
      </c>
      <c r="AA10" s="130">
        <f>Z10</f>
        <v>-16465823.5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7417.7722390767985</v>
      </c>
      <c r="E11" s="129">
        <f t="shared" si="2"/>
        <v>14815.088956307196</v>
      </c>
      <c r="F11" s="129">
        <f t="shared" si="2"/>
        <v>22191.950151691191</v>
      </c>
      <c r="G11" s="129">
        <f t="shared" si="2"/>
        <v>29548.35582522878</v>
      </c>
      <c r="H11" s="129">
        <f t="shared" si="2"/>
        <v>36884.305976919975</v>
      </c>
      <c r="I11" s="129">
        <f t="shared" si="2"/>
        <v>44199.800606764758</v>
      </c>
      <c r="J11" s="129">
        <f t="shared" si="2"/>
        <v>51494.839714763148</v>
      </c>
      <c r="K11" s="129">
        <f t="shared" si="2"/>
        <v>58769.423300915128</v>
      </c>
      <c r="L11" s="129">
        <f t="shared" ref="L11:AA11" si="3">SUM(L8:L10)</f>
        <v>66023.551365220716</v>
      </c>
      <c r="M11" s="129">
        <f t="shared" si="3"/>
        <v>73257.223907679887</v>
      </c>
      <c r="N11" s="129">
        <f t="shared" si="3"/>
        <v>80470.440928292664</v>
      </c>
      <c r="O11" s="129">
        <f t="shared" si="3"/>
        <v>378084888.31649005</v>
      </c>
      <c r="P11" s="129">
        <f t="shared" si="3"/>
        <v>378084888.31649005</v>
      </c>
      <c r="Q11" s="129">
        <f t="shared" si="3"/>
        <v>378084888.31649005</v>
      </c>
      <c r="R11" s="129">
        <f t="shared" si="3"/>
        <v>378084888.31649005</v>
      </c>
      <c r="S11" s="129">
        <f t="shared" si="3"/>
        <v>378084888.31649005</v>
      </c>
      <c r="T11" s="129">
        <f t="shared" si="3"/>
        <v>378084888.31649005</v>
      </c>
      <c r="U11" s="129">
        <f t="shared" si="3"/>
        <v>378084888.31649005</v>
      </c>
      <c r="V11" s="129">
        <f t="shared" si="3"/>
        <v>378084888.31649005</v>
      </c>
      <c r="W11" s="129">
        <f t="shared" si="3"/>
        <v>378084888.31649005</v>
      </c>
      <c r="X11" s="129">
        <f t="shared" si="3"/>
        <v>378084888.31649005</v>
      </c>
      <c r="Y11" s="129">
        <f t="shared" si="3"/>
        <v>378084888.31649005</v>
      </c>
      <c r="Z11" s="129">
        <f t="shared" si="3"/>
        <v>378084888.31649005</v>
      </c>
      <c r="AA11" s="129">
        <f t="shared" si="3"/>
        <v>378084888.31649005</v>
      </c>
      <c r="AC11" s="118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20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0</v>
      </c>
      <c r="D14" s="131">
        <f t="shared" si="4"/>
        <v>44.315910147240395</v>
      </c>
      <c r="E14" s="131">
        <f t="shared" si="4"/>
        <v>88.509613108961602</v>
      </c>
      <c r="F14" s="131">
        <f t="shared" si="4"/>
        <v>132.58110888516359</v>
      </c>
      <c r="G14" s="131">
        <f t="shared" si="4"/>
        <v>176.53039747584634</v>
      </c>
      <c r="H14" s="131">
        <f t="shared" si="4"/>
        <v>220.35747888100994</v>
      </c>
      <c r="I14" s="131">
        <f t="shared" si="4"/>
        <v>264.06235310065426</v>
      </c>
      <c r="J14" s="131">
        <f t="shared" si="4"/>
        <v>307.64502013477949</v>
      </c>
      <c r="K14" s="131">
        <f t="shared" si="4"/>
        <v>351.10547998338535</v>
      </c>
      <c r="L14" s="131">
        <f t="shared" si="4"/>
        <v>394.4437326464722</v>
      </c>
      <c r="M14" s="131">
        <f t="shared" si="4"/>
        <v>437.65977812403963</v>
      </c>
      <c r="N14" s="131">
        <f t="shared" si="4"/>
        <v>480.75361641608805</v>
      </c>
      <c r="O14" s="131">
        <f t="shared" si="4"/>
        <v>2258788.1372788427</v>
      </c>
      <c r="P14" s="131">
        <f>P11*P13/12</f>
        <v>2258788.1372788427</v>
      </c>
      <c r="Q14" s="131">
        <f t="shared" si="4"/>
        <v>2258788.1372788427</v>
      </c>
      <c r="R14" s="131">
        <f t="shared" si="4"/>
        <v>2258788.1372788427</v>
      </c>
      <c r="S14" s="131">
        <f t="shared" si="4"/>
        <v>2258788.1372788427</v>
      </c>
      <c r="T14" s="131">
        <f t="shared" si="4"/>
        <v>2258788.1372788427</v>
      </c>
      <c r="U14" s="131">
        <f t="shared" si="4"/>
        <v>2258788.1372788427</v>
      </c>
      <c r="V14" s="131">
        <f t="shared" si="4"/>
        <v>2258788.1372788427</v>
      </c>
      <c r="W14" s="131">
        <f t="shared" si="4"/>
        <v>2258788.1372788427</v>
      </c>
      <c r="X14" s="131">
        <f t="shared" si="4"/>
        <v>2258788.1372788427</v>
      </c>
      <c r="Y14" s="131">
        <f t="shared" si="4"/>
        <v>2258788.1372788427</v>
      </c>
      <c r="Z14" s="131">
        <f t="shared" si="4"/>
        <v>2258788.1372788427</v>
      </c>
      <c r="AA14" s="131">
        <f t="shared" si="4"/>
        <v>2258788.1372788427</v>
      </c>
      <c r="AC14" s="118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7"/>
    </row>
    <row r="16" spans="1:29" s="101" customFormat="1" x14ac:dyDescent="0.25">
      <c r="A16" s="103">
        <f>MAX($A$8:A15)+1</f>
        <v>7</v>
      </c>
      <c r="B16" s="101" t="s">
        <v>32</v>
      </c>
      <c r="C16" s="105"/>
      <c r="D16" s="107">
        <v>3.3046077296287953E-2</v>
      </c>
      <c r="E16" s="107">
        <v>3.3046077296287953E-2</v>
      </c>
      <c r="F16" s="107">
        <v>3.3046077296287953E-2</v>
      </c>
      <c r="G16" s="107">
        <v>3.3046077296287953E-2</v>
      </c>
      <c r="H16" s="107">
        <v>3.3046077296287953E-2</v>
      </c>
      <c r="I16" s="107">
        <v>3.3046077296287953E-2</v>
      </c>
      <c r="J16" s="107">
        <v>3.3046077296287953E-2</v>
      </c>
      <c r="K16" s="107">
        <v>3.3046077296287953E-2</v>
      </c>
      <c r="L16" s="107">
        <v>3.3046077296287953E-2</v>
      </c>
      <c r="M16" s="107">
        <v>3.3046077296287953E-2</v>
      </c>
      <c r="N16" s="107">
        <v>3.3046077296287953E-2</v>
      </c>
      <c r="O16" s="107">
        <v>3.3046077296287953E-2</v>
      </c>
      <c r="P16" s="107">
        <v>4.8360784328803093E-2</v>
      </c>
      <c r="Q16" s="107">
        <v>4.8360784328803093E-2</v>
      </c>
      <c r="R16" s="107">
        <v>4.8360784328803093E-2</v>
      </c>
      <c r="S16" s="107">
        <v>4.8360784328803093E-2</v>
      </c>
      <c r="T16" s="107">
        <v>4.8360784328803093E-2</v>
      </c>
      <c r="U16" s="107">
        <v>4.8360784328803093E-2</v>
      </c>
      <c r="V16" s="107">
        <v>4.8360784328803093E-2</v>
      </c>
      <c r="W16" s="107">
        <v>4.8360784328803093E-2</v>
      </c>
      <c r="X16" s="107">
        <v>4.8360784328803093E-2</v>
      </c>
      <c r="Y16" s="107">
        <v>4.8360784328803093E-2</v>
      </c>
      <c r="Z16" s="107">
        <v>4.8360784328803093E-2</v>
      </c>
      <c r="AA16" s="107">
        <v>4.8360784328803093E-2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v>0</v>
      </c>
      <c r="D17" s="131">
        <f>(((D8+C8)/2)*D16)/12</f>
        <v>10.227760923201121</v>
      </c>
      <c r="E17" s="131">
        <f t="shared" ref="E17:N17" si="5">(((E8+D8)/2)*E16)/12</f>
        <v>30.683282769603366</v>
      </c>
      <c r="F17" s="131">
        <f t="shared" si="5"/>
        <v>51.138804616005608</v>
      </c>
      <c r="G17" s="131">
        <f t="shared" si="5"/>
        <v>71.594326462407849</v>
      </c>
      <c r="H17" s="131">
        <f t="shared" si="5"/>
        <v>92.049848308810098</v>
      </c>
      <c r="I17" s="131">
        <f t="shared" si="5"/>
        <v>112.50537015521233</v>
      </c>
      <c r="J17" s="131">
        <f t="shared" si="5"/>
        <v>132.96089200161458</v>
      </c>
      <c r="K17" s="131">
        <f t="shared" si="5"/>
        <v>153.41641384801682</v>
      </c>
      <c r="L17" s="131">
        <f t="shared" si="5"/>
        <v>173.87193569441908</v>
      </c>
      <c r="M17" s="131">
        <f t="shared" si="5"/>
        <v>194.32745754082131</v>
      </c>
      <c r="N17" s="131">
        <f t="shared" si="5"/>
        <v>214.78297938722355</v>
      </c>
      <c r="O17" s="131">
        <v>1630989.5285512747</v>
      </c>
      <c r="P17" s="131">
        <f t="shared" ref="P17:Z17" si="6">O17</f>
        <v>1630989.5285512747</v>
      </c>
      <c r="Q17" s="131">
        <f t="shared" si="6"/>
        <v>1630989.5285512747</v>
      </c>
      <c r="R17" s="131">
        <f t="shared" si="6"/>
        <v>1630989.5285512747</v>
      </c>
      <c r="S17" s="131">
        <f t="shared" si="6"/>
        <v>1630989.5285512747</v>
      </c>
      <c r="T17" s="131">
        <f t="shared" si="6"/>
        <v>1630989.5285512747</v>
      </c>
      <c r="U17" s="131">
        <f t="shared" si="6"/>
        <v>1630989.5285512747</v>
      </c>
      <c r="V17" s="131">
        <f t="shared" si="6"/>
        <v>1630989.5285512747</v>
      </c>
      <c r="W17" s="131">
        <f t="shared" si="6"/>
        <v>1630989.5285512747</v>
      </c>
      <c r="X17" s="131">
        <f t="shared" si="6"/>
        <v>1630989.5285512747</v>
      </c>
      <c r="Y17" s="131">
        <f t="shared" si="6"/>
        <v>1630989.5285512747</v>
      </c>
      <c r="Z17" s="131">
        <f t="shared" si="6"/>
        <v>1630989.5285512747</v>
      </c>
      <c r="AA17" s="131">
        <f>Z17</f>
        <v>1630989.5285512747</v>
      </c>
      <c r="AC17" s="117"/>
    </row>
    <row r="18" spans="1:29" s="101" customFormat="1" x14ac:dyDescent="0.25">
      <c r="A18" s="103"/>
      <c r="B18" s="101" t="s">
        <v>45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>
        <f>P18</f>
        <v>350088.43333333329</v>
      </c>
      <c r="P18" s="131">
        <v>350088.43333333329</v>
      </c>
      <c r="Q18" s="131">
        <v>350088.43333333329</v>
      </c>
      <c r="R18" s="131">
        <v>350088.43333333329</v>
      </c>
      <c r="S18" s="131">
        <v>350088.43333333329</v>
      </c>
      <c r="T18" s="131">
        <v>350088.43333333329</v>
      </c>
      <c r="U18" s="131">
        <v>350088.43333333329</v>
      </c>
      <c r="V18" s="131">
        <v>350088.43333333329</v>
      </c>
      <c r="W18" s="131">
        <v>350088.43333333329</v>
      </c>
      <c r="X18" s="131">
        <v>350088.43333333329</v>
      </c>
      <c r="Y18" s="131">
        <v>350088.43333333329</v>
      </c>
      <c r="Z18" s="131">
        <v>350088.43333333329</v>
      </c>
      <c r="AA18" s="131">
        <v>350088.43333333329</v>
      </c>
      <c r="AC18" s="117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-0.21*(O17+O18)</f>
        <v>-416026.37199576769</v>
      </c>
      <c r="P19" s="131">
        <f t="shared" ref="P19:AA19" si="7">-0.21*(P17+P18)</f>
        <v>-416026.37199576769</v>
      </c>
      <c r="Q19" s="131">
        <f t="shared" si="7"/>
        <v>-416026.37199576769</v>
      </c>
      <c r="R19" s="131">
        <f t="shared" si="7"/>
        <v>-416026.37199576769</v>
      </c>
      <c r="S19" s="131">
        <f t="shared" si="7"/>
        <v>-416026.37199576769</v>
      </c>
      <c r="T19" s="131">
        <f t="shared" si="7"/>
        <v>-416026.37199576769</v>
      </c>
      <c r="U19" s="131">
        <f t="shared" si="7"/>
        <v>-416026.37199576769</v>
      </c>
      <c r="V19" s="131">
        <f t="shared" si="7"/>
        <v>-416026.37199576769</v>
      </c>
      <c r="W19" s="131">
        <f t="shared" si="7"/>
        <v>-416026.37199576769</v>
      </c>
      <c r="X19" s="131">
        <f t="shared" si="7"/>
        <v>-416026.37199576769</v>
      </c>
      <c r="Y19" s="131">
        <f t="shared" si="7"/>
        <v>-416026.37199576769</v>
      </c>
      <c r="Z19" s="131">
        <f t="shared" si="7"/>
        <v>-416026.37199576769</v>
      </c>
      <c r="AA19" s="131">
        <f t="shared" si="7"/>
        <v>-416026.37199576769</v>
      </c>
      <c r="AC19" s="117"/>
    </row>
    <row r="20" spans="1:29" s="101" customFormat="1" x14ac:dyDescent="0.25">
      <c r="A20" s="103">
        <f>MAX($A$8:A17)+1</f>
        <v>9</v>
      </c>
      <c r="B20" s="101" t="s">
        <v>35</v>
      </c>
      <c r="C20" s="129">
        <f t="shared" ref="C20" si="8">C17+C14</f>
        <v>0</v>
      </c>
      <c r="D20" s="129">
        <f>(D17+D14)/Variables!$C$34</f>
        <v>72.420727704230927</v>
      </c>
      <c r="E20" s="129">
        <f>(E17+E14)/Variables!$C$34</f>
        <v>158.25917264630547</v>
      </c>
      <c r="F20" s="129">
        <f>(F17+F14)/Variables!$C$34</f>
        <v>243.93535617230194</v>
      </c>
      <c r="G20" s="129">
        <f>(G17+G14)/Variables!$C$34</f>
        <v>329.44927828222029</v>
      </c>
      <c r="H20" s="129">
        <f>(H17+H14)/Variables!$C$34</f>
        <v>414.80093897606059</v>
      </c>
      <c r="I20" s="129">
        <f>(I17+I14)/Variables!$C$34</f>
        <v>499.99033825382276</v>
      </c>
      <c r="J20" s="129">
        <f>(J17+J14)/Variables!$C$34</f>
        <v>585.01747611550695</v>
      </c>
      <c r="K20" s="129">
        <f>(K17+K14)/Variables!$C$34</f>
        <v>669.88235256111284</v>
      </c>
      <c r="L20" s="129">
        <f>(L17+L14)/Variables!$C$34</f>
        <v>754.5849675906411</v>
      </c>
      <c r="M20" s="129">
        <f>(M17+M14)/Variables!$C$34</f>
        <v>839.12532120409071</v>
      </c>
      <c r="N20" s="129">
        <f>(N17+N14)/Variables!$C$34</f>
        <v>923.50341340146258</v>
      </c>
      <c r="O20" s="129">
        <f>(O17+O14+O18+O19)/Variables!$C$34</f>
        <v>5077129.0276408205</v>
      </c>
      <c r="P20" s="129">
        <f>(P17+P14+P18+P19)/Variables!$C$34</f>
        <v>5077129.0276408205</v>
      </c>
      <c r="Q20" s="129">
        <f>(Q17+Q14+Q18+Q19)/Variables!$C$34</f>
        <v>5077129.0276408205</v>
      </c>
      <c r="R20" s="129">
        <f>(R17+R14+R18+R19)/Variables!$C$34</f>
        <v>5077129.0276408205</v>
      </c>
      <c r="S20" s="129">
        <f>(S17+S14+S18+S19)/Variables!$C$34</f>
        <v>5077129.0276408205</v>
      </c>
      <c r="T20" s="129">
        <f>(T17+T14+T18+T19)/Variables!$C$34</f>
        <v>5077129.0276408205</v>
      </c>
      <c r="U20" s="129">
        <f>(U17+U14+U18+U19)/Variables!$C$34</f>
        <v>5077129.0276408205</v>
      </c>
      <c r="V20" s="129">
        <f>(V17+V14+V18+V19)/Variables!$C$34</f>
        <v>5077129.0276408205</v>
      </c>
      <c r="W20" s="129">
        <f>(W17+W14+W18+W19)/Variables!$C$34</f>
        <v>5077129.0276408205</v>
      </c>
      <c r="X20" s="129">
        <f>(X17+X14+X18+X19)/Variables!$C$34</f>
        <v>5077129.0276408205</v>
      </c>
      <c r="Y20" s="129">
        <f>(Y17+Y14+Y18+Y19)/Variables!$C$34</f>
        <v>5077129.0276408205</v>
      </c>
      <c r="Z20" s="129">
        <f>(Z17+Z14+Z18+Z19)/Variables!$C$34</f>
        <v>5077129.0276408205</v>
      </c>
      <c r="AA20" s="129">
        <f>(AA17+AA14+AA18+AA19)/Variables!$C$34</f>
        <v>5077129.0276408205</v>
      </c>
      <c r="AC20" s="117"/>
    </row>
    <row r="21" spans="1:29" s="101" customFormat="1" ht="13" x14ac:dyDescent="0.3">
      <c r="A21" s="103"/>
      <c r="B21" s="97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C21" s="11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9">P20*$P$52</f>
        <v>396579.83566974604</v>
      </c>
      <c r="Q22" s="133">
        <f t="shared" si="9"/>
        <v>396579.83566974604</v>
      </c>
      <c r="R22" s="133">
        <f t="shared" si="9"/>
        <v>396579.83566974604</v>
      </c>
      <c r="S22" s="133">
        <f t="shared" si="9"/>
        <v>396579.83566974604</v>
      </c>
      <c r="T22" s="133">
        <f t="shared" si="9"/>
        <v>396579.83566974604</v>
      </c>
      <c r="U22" s="133">
        <f t="shared" si="9"/>
        <v>396579.83566974604</v>
      </c>
      <c r="V22" s="133">
        <f t="shared" si="9"/>
        <v>396579.83566974604</v>
      </c>
      <c r="W22" s="133">
        <f t="shared" si="9"/>
        <v>396579.83566974604</v>
      </c>
      <c r="X22" s="133">
        <f t="shared" si="9"/>
        <v>396579.83566974604</v>
      </c>
      <c r="Y22" s="133">
        <f t="shared" si="9"/>
        <v>396579.83566974604</v>
      </c>
      <c r="Z22" s="133">
        <f t="shared" si="9"/>
        <v>396579.83566974604</v>
      </c>
      <c r="AA22" s="133">
        <f t="shared" si="9"/>
        <v>396579.83566974604</v>
      </c>
      <c r="AC22" s="121"/>
    </row>
    <row r="23" spans="1:29" ht="13" x14ac:dyDescent="0.3">
      <c r="A23" s="25"/>
      <c r="B23" s="2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9" s="22" customFormat="1" ht="13" x14ac:dyDescent="0.3">
      <c r="A24" s="19" t="s">
        <v>37</v>
      </c>
      <c r="B24" s="20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15"/>
    </row>
    <row r="25" spans="1:29" ht="13" x14ac:dyDescent="0.3">
      <c r="A25" s="23"/>
      <c r="B25" s="24" t="s">
        <v>25</v>
      </c>
    </row>
    <row r="26" spans="1:29" s="101" customFormat="1" x14ac:dyDescent="0.25">
      <c r="A26" s="103">
        <f>MAX($A$8:A25)+1</f>
        <v>11</v>
      </c>
      <c r="B26" s="101" t="s">
        <v>26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74087939.25999999</v>
      </c>
      <c r="P26" s="129">
        <v>196392722.21999997</v>
      </c>
      <c r="Q26" s="129">
        <v>260083849.13999999</v>
      </c>
      <c r="R26" s="129">
        <v>397149580.18999994</v>
      </c>
      <c r="S26" s="129">
        <v>402751361.91999996</v>
      </c>
      <c r="T26" s="129">
        <v>403168603.47999996</v>
      </c>
      <c r="U26" s="129">
        <v>403168603.47999996</v>
      </c>
      <c r="V26" s="129">
        <v>403168603.47999996</v>
      </c>
      <c r="W26" s="129">
        <v>403168603.47999996</v>
      </c>
      <c r="X26" s="129">
        <v>403168603.47999996</v>
      </c>
      <c r="Y26" s="129">
        <v>403168603.47999996</v>
      </c>
      <c r="Z26" s="129">
        <v>403168603.47999996</v>
      </c>
      <c r="AA26" s="129">
        <v>403168603.47999996</v>
      </c>
      <c r="AC26" s="118"/>
    </row>
    <row r="27" spans="1:29" s="101" customFormat="1" x14ac:dyDescent="0.25">
      <c r="A27" s="103">
        <f>MAX($A$8:A26)+1</f>
        <v>12</v>
      </c>
      <c r="B27" s="101" t="s">
        <v>27</v>
      </c>
      <c r="C27" s="129">
        <f>-C35</f>
        <v>0</v>
      </c>
      <c r="D27" s="129">
        <f t="shared" ref="D27:O27" si="10">C27-D35</f>
        <v>0</v>
      </c>
      <c r="E27" s="129">
        <f t="shared" si="10"/>
        <v>0</v>
      </c>
      <c r="F27" s="129">
        <f t="shared" si="10"/>
        <v>0</v>
      </c>
      <c r="G27" s="129">
        <f t="shared" si="10"/>
        <v>0</v>
      </c>
      <c r="H27" s="129">
        <f t="shared" si="10"/>
        <v>0</v>
      </c>
      <c r="I27" s="129">
        <f t="shared" si="10"/>
        <v>0</v>
      </c>
      <c r="J27" s="129">
        <f t="shared" si="10"/>
        <v>0</v>
      </c>
      <c r="K27" s="129">
        <f t="shared" si="10"/>
        <v>0</v>
      </c>
      <c r="L27" s="129">
        <f t="shared" si="10"/>
        <v>0</v>
      </c>
      <c r="M27" s="129">
        <f t="shared" si="10"/>
        <v>0</v>
      </c>
      <c r="N27" s="129">
        <f t="shared" si="10"/>
        <v>0</v>
      </c>
      <c r="O27" s="129">
        <f t="shared" si="10"/>
        <v>-102013.15697952693</v>
      </c>
      <c r="P27" s="129">
        <f>O27-P35</f>
        <v>-647040.52926895511</v>
      </c>
      <c r="Q27" s="129">
        <f t="shared" ref="Q27:AA27" si="11">P27-Q35</f>
        <v>-1566855.7383811406</v>
      </c>
      <c r="R27" s="129">
        <f t="shared" si="11"/>
        <v>-2891202.5771106314</v>
      </c>
      <c r="S27" s="129">
        <f t="shared" si="11"/>
        <v>-4503029.1165184695</v>
      </c>
      <c r="T27" s="129">
        <f t="shared" si="11"/>
        <v>-6126984.1845595464</v>
      </c>
      <c r="U27" s="129">
        <f t="shared" si="11"/>
        <v>-7751780.0079796305</v>
      </c>
      <c r="V27" s="129">
        <f t="shared" si="11"/>
        <v>-9376575.8313997146</v>
      </c>
      <c r="W27" s="129">
        <f t="shared" si="11"/>
        <v>-11001371.654819798</v>
      </c>
      <c r="X27" s="129">
        <f>W27-X35</f>
        <v>-12626167.478239883</v>
      </c>
      <c r="Y27" s="129">
        <f t="shared" si="11"/>
        <v>-14250963.301659968</v>
      </c>
      <c r="Z27" s="129">
        <f t="shared" si="11"/>
        <v>-15875759.125080053</v>
      </c>
      <c r="AA27" s="129">
        <f t="shared" si="11"/>
        <v>-17500554.948500138</v>
      </c>
      <c r="AC27" s="116"/>
    </row>
    <row r="28" spans="1:29" s="101" customFormat="1" x14ac:dyDescent="0.25">
      <c r="A28" s="103">
        <f>MAX($A$8:A27)+1</f>
        <v>13</v>
      </c>
      <c r="B28" s="101" t="s">
        <v>28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f>-373032-19621-6107-59832</f>
        <v>-458592</v>
      </c>
      <c r="P28" s="130">
        <v>-544176</v>
      </c>
      <c r="Q28" s="130">
        <v>-1336755</v>
      </c>
      <c r="R28" s="130">
        <v>-3898983</v>
      </c>
      <c r="S28" s="130">
        <v>-5322120</v>
      </c>
      <c r="T28" s="130">
        <v>-6756935</v>
      </c>
      <c r="U28" s="130">
        <v>-8192646</v>
      </c>
      <c r="V28" s="130">
        <v>-9605977</v>
      </c>
      <c r="W28" s="130">
        <v>-11019308</v>
      </c>
      <c r="X28" s="130">
        <v>-12432639</v>
      </c>
      <c r="Y28" s="130">
        <v>-13845970</v>
      </c>
      <c r="Z28" s="130">
        <v>-15259302</v>
      </c>
      <c r="AA28" s="130">
        <v>-16672634</v>
      </c>
      <c r="AC28" s="116"/>
    </row>
    <row r="29" spans="1:29" s="101" customFormat="1" x14ac:dyDescent="0.25">
      <c r="A29" s="103">
        <f>MAX($A$8:A28)+1</f>
        <v>14</v>
      </c>
      <c r="B29" s="101" t="s">
        <v>29</v>
      </c>
      <c r="C29" s="129">
        <f t="shared" ref="C29:K29" si="12">SUM(C26:C28)</f>
        <v>0</v>
      </c>
      <c r="D29" s="129">
        <f t="shared" si="12"/>
        <v>0</v>
      </c>
      <c r="E29" s="129">
        <f t="shared" si="12"/>
        <v>0</v>
      </c>
      <c r="F29" s="129">
        <f t="shared" si="12"/>
        <v>0</v>
      </c>
      <c r="G29" s="129">
        <f t="shared" si="12"/>
        <v>0</v>
      </c>
      <c r="H29" s="129">
        <f t="shared" si="12"/>
        <v>0</v>
      </c>
      <c r="I29" s="129">
        <f t="shared" si="12"/>
        <v>0</v>
      </c>
      <c r="J29" s="129">
        <f t="shared" si="12"/>
        <v>0</v>
      </c>
      <c r="K29" s="129">
        <f t="shared" si="12"/>
        <v>0</v>
      </c>
      <c r="L29" s="129">
        <f t="shared" ref="L29:O29" si="13">SUM(L26:L28)</f>
        <v>0</v>
      </c>
      <c r="M29" s="129">
        <f t="shared" si="13"/>
        <v>0</v>
      </c>
      <c r="N29" s="129">
        <f t="shared" si="13"/>
        <v>0</v>
      </c>
      <c r="O29" s="129">
        <f t="shared" si="13"/>
        <v>73527334.103020459</v>
      </c>
      <c r="P29" s="129">
        <f>SUM(P26:P28)</f>
        <v>195201505.69073102</v>
      </c>
      <c r="Q29" s="129">
        <f t="shared" ref="Q29:AA29" si="14">SUM(Q26:Q28)</f>
        <v>257180238.40161884</v>
      </c>
      <c r="R29" s="129">
        <f t="shared" si="14"/>
        <v>390359394.61288929</v>
      </c>
      <c r="S29" s="129">
        <f t="shared" si="14"/>
        <v>392926212.80348146</v>
      </c>
      <c r="T29" s="129">
        <f t="shared" si="14"/>
        <v>390284684.29544044</v>
      </c>
      <c r="U29" s="129">
        <f t="shared" si="14"/>
        <v>387224177.47202033</v>
      </c>
      <c r="V29" s="129">
        <f t="shared" si="14"/>
        <v>384186050.64860022</v>
      </c>
      <c r="W29" s="129">
        <f t="shared" si="14"/>
        <v>381147923.82518017</v>
      </c>
      <c r="X29" s="129">
        <f t="shared" si="14"/>
        <v>378109797.00176007</v>
      </c>
      <c r="Y29" s="129">
        <f t="shared" si="14"/>
        <v>375071670.17834002</v>
      </c>
      <c r="Z29" s="129">
        <f t="shared" si="14"/>
        <v>372033542.35491991</v>
      </c>
      <c r="AA29" s="129">
        <f t="shared" si="14"/>
        <v>368995414.5314998</v>
      </c>
      <c r="AC29" s="116"/>
    </row>
    <row r="30" spans="1:29" s="101" customFormat="1" x14ac:dyDescent="0.25">
      <c r="A30" s="103"/>
      <c r="AC30" s="116"/>
    </row>
    <row r="31" spans="1:29" s="101" customFormat="1" x14ac:dyDescent="0.25">
      <c r="A31" s="103">
        <f>MAX($A$26:A30)+1</f>
        <v>15</v>
      </c>
      <c r="B31" s="101" t="s">
        <v>30</v>
      </c>
      <c r="C31" s="106">
        <f>Variables!$D$9</f>
        <v>7.1691459999999999E-2</v>
      </c>
      <c r="D31" s="106">
        <f>Variables!$D$9</f>
        <v>7.1691459999999999E-2</v>
      </c>
      <c r="E31" s="106">
        <f>Variables!$D$9</f>
        <v>7.1691459999999999E-2</v>
      </c>
      <c r="F31" s="106">
        <f>Variables!$D$9</f>
        <v>7.1691459999999999E-2</v>
      </c>
      <c r="G31" s="106">
        <f>Variables!$D$9</f>
        <v>7.1691459999999999E-2</v>
      </c>
      <c r="H31" s="106">
        <f>Variables!$D$9</f>
        <v>7.1691459999999999E-2</v>
      </c>
      <c r="I31" s="106">
        <f>Variables!$D$9</f>
        <v>7.1691459999999999E-2</v>
      </c>
      <c r="J31" s="106">
        <f>Variables!$D$9</f>
        <v>7.1691459999999999E-2</v>
      </c>
      <c r="K31" s="106">
        <f>Variables!$D$9</f>
        <v>7.1691459999999999E-2</v>
      </c>
      <c r="L31" s="106">
        <f>Variables!$D$9</f>
        <v>7.1691459999999999E-2</v>
      </c>
      <c r="M31" s="106">
        <f>Variables!$D$9</f>
        <v>7.1691459999999999E-2</v>
      </c>
      <c r="N31" s="106">
        <f>Variables!$D$9</f>
        <v>7.1691459999999999E-2</v>
      </c>
      <c r="O31" s="106">
        <f>Variables!$D$9</f>
        <v>7.1691459999999999E-2</v>
      </c>
      <c r="P31" s="106">
        <f>Variables!$D$9</f>
        <v>7.1691459999999999E-2</v>
      </c>
      <c r="Q31" s="106">
        <f>Variables!$D$9</f>
        <v>7.1691459999999999E-2</v>
      </c>
      <c r="R31" s="106">
        <f>Variables!$D$9</f>
        <v>7.1691459999999999E-2</v>
      </c>
      <c r="S31" s="106">
        <f>Variables!$D$9</f>
        <v>7.1691459999999999E-2</v>
      </c>
      <c r="T31" s="106">
        <f>Variables!$D$9</f>
        <v>7.1691459999999999E-2</v>
      </c>
      <c r="U31" s="106">
        <f>Variables!$D$9</f>
        <v>7.1691459999999999E-2</v>
      </c>
      <c r="V31" s="106">
        <f>Variables!$D$9</f>
        <v>7.1691459999999999E-2</v>
      </c>
      <c r="W31" s="106">
        <f>Variables!$D$9</f>
        <v>7.1691459999999999E-2</v>
      </c>
      <c r="X31" s="106">
        <f>Variables!$D$9</f>
        <v>7.1691459999999999E-2</v>
      </c>
      <c r="Y31" s="106">
        <f>Variables!$D$9</f>
        <v>7.1691459999999999E-2</v>
      </c>
      <c r="Z31" s="106">
        <f>Variables!$D$9</f>
        <v>7.1691459999999999E-2</v>
      </c>
      <c r="AA31" s="106">
        <f>Variables!$D$9</f>
        <v>7.1691459999999999E-2</v>
      </c>
      <c r="AC31" s="116"/>
    </row>
    <row r="32" spans="1:29" s="101" customFormat="1" x14ac:dyDescent="0.25">
      <c r="A32" s="103">
        <f>MAX($A$26:A31)+1</f>
        <v>16</v>
      </c>
      <c r="B32" s="101" t="s">
        <v>31</v>
      </c>
      <c r="C32" s="131">
        <f t="shared" ref="C32:N32" si="15">C29*C31/12</f>
        <v>0</v>
      </c>
      <c r="D32" s="131">
        <f t="shared" si="15"/>
        <v>0</v>
      </c>
      <c r="E32" s="131">
        <f t="shared" si="15"/>
        <v>0</v>
      </c>
      <c r="F32" s="131">
        <f t="shared" si="15"/>
        <v>0</v>
      </c>
      <c r="G32" s="131">
        <f t="shared" si="15"/>
        <v>0</v>
      </c>
      <c r="H32" s="131">
        <f t="shared" si="15"/>
        <v>0</v>
      </c>
      <c r="I32" s="131">
        <f t="shared" si="15"/>
        <v>0</v>
      </c>
      <c r="J32" s="131">
        <f t="shared" si="15"/>
        <v>0</v>
      </c>
      <c r="K32" s="131">
        <f t="shared" si="15"/>
        <v>0</v>
      </c>
      <c r="L32" s="131">
        <f t="shared" si="15"/>
        <v>0</v>
      </c>
      <c r="M32" s="131">
        <f t="shared" si="15"/>
        <v>0</v>
      </c>
      <c r="N32" s="131">
        <f t="shared" si="15"/>
        <v>0</v>
      </c>
      <c r="O32" s="131">
        <f>O29*O31/12</f>
        <v>439273.49431277724</v>
      </c>
      <c r="P32" s="131">
        <f>P29*P31/12</f>
        <v>1166190.0780972347</v>
      </c>
      <c r="Q32" s="131">
        <f t="shared" ref="Q32:AA32" si="16">Q29*Q31/12</f>
        <v>1536468.8978466766</v>
      </c>
      <c r="R32" s="131">
        <f t="shared" si="16"/>
        <v>2332119.5770428474</v>
      </c>
      <c r="S32" s="131">
        <f t="shared" si="16"/>
        <v>2347454.4890126898</v>
      </c>
      <c r="T32" s="131">
        <f t="shared" si="16"/>
        <v>2331673.2360649328</v>
      </c>
      <c r="U32" s="131">
        <f t="shared" si="16"/>
        <v>2313388.8858556873</v>
      </c>
      <c r="V32" s="131">
        <f t="shared" si="16"/>
        <v>2295238.2402193411</v>
      </c>
      <c r="W32" s="131">
        <f t="shared" si="16"/>
        <v>2277087.5945829959</v>
      </c>
      <c r="X32" s="131">
        <f t="shared" si="16"/>
        <v>2258936.9489466501</v>
      </c>
      <c r="Y32" s="131">
        <f t="shared" si="16"/>
        <v>2240786.3033103044</v>
      </c>
      <c r="Z32" s="131">
        <f t="shared" si="16"/>
        <v>2222635.6516996706</v>
      </c>
      <c r="AA32" s="131">
        <f t="shared" si="16"/>
        <v>2204485.0000890363</v>
      </c>
      <c r="AC32" s="116"/>
    </row>
    <row r="33" spans="1:29" s="101" customFormat="1" x14ac:dyDescent="0.25">
      <c r="A33" s="103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C33" s="116"/>
    </row>
    <row r="34" spans="1:29" s="101" customFormat="1" x14ac:dyDescent="0.25">
      <c r="A34" s="103">
        <f>MAX($A$8:A33)+1</f>
        <v>17</v>
      </c>
      <c r="B34" s="101" t="s">
        <v>32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7">
        <f>O16</f>
        <v>3.3046077296287953E-2</v>
      </c>
      <c r="P34" s="107">
        <f t="shared" ref="P34:AA34" si="17">P16</f>
        <v>4.8360784328803093E-2</v>
      </c>
      <c r="Q34" s="107">
        <f t="shared" si="17"/>
        <v>4.8360784328803093E-2</v>
      </c>
      <c r="R34" s="107">
        <f t="shared" si="17"/>
        <v>4.8360784328803093E-2</v>
      </c>
      <c r="S34" s="107">
        <f t="shared" si="17"/>
        <v>4.8360784328803093E-2</v>
      </c>
      <c r="T34" s="107">
        <f t="shared" si="17"/>
        <v>4.8360784328803093E-2</v>
      </c>
      <c r="U34" s="107">
        <f t="shared" si="17"/>
        <v>4.8360784328803093E-2</v>
      </c>
      <c r="V34" s="107">
        <f t="shared" si="17"/>
        <v>4.8360784328803093E-2</v>
      </c>
      <c r="W34" s="107">
        <f t="shared" si="17"/>
        <v>4.8360784328803093E-2</v>
      </c>
      <c r="X34" s="107">
        <f t="shared" si="17"/>
        <v>4.8360784328803093E-2</v>
      </c>
      <c r="Y34" s="107">
        <f t="shared" si="17"/>
        <v>4.8360784328803093E-2</v>
      </c>
      <c r="Z34" s="107">
        <f t="shared" si="17"/>
        <v>4.8360784328803093E-2</v>
      </c>
      <c r="AA34" s="107">
        <f t="shared" si="17"/>
        <v>4.8360784328803093E-2</v>
      </c>
      <c r="AC34" s="116"/>
    </row>
    <row r="35" spans="1:29" s="101" customFormat="1" x14ac:dyDescent="0.25">
      <c r="A35" s="103">
        <f>MAX($A$8:A34)+1</f>
        <v>18</v>
      </c>
      <c r="B35" s="101" t="s">
        <v>33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f>(((O26+N26)/2)*O34)/12</f>
        <v>102013.15697952693</v>
      </c>
      <c r="P35" s="131">
        <f t="shared" ref="P35:AA35" si="18">(((P26+O26)/2)*P34)/12</f>
        <v>545027.37228942814</v>
      </c>
      <c r="Q35" s="131">
        <f t="shared" si="18"/>
        <v>919815.20911218552</v>
      </c>
      <c r="R35" s="131">
        <f t="shared" si="18"/>
        <v>1324346.8387294908</v>
      </c>
      <c r="S35" s="131">
        <f t="shared" si="18"/>
        <v>1611826.5394078381</v>
      </c>
      <c r="T35" s="131">
        <f t="shared" si="18"/>
        <v>1623955.0680410769</v>
      </c>
      <c r="U35" s="131">
        <f t="shared" si="18"/>
        <v>1624795.8234200841</v>
      </c>
      <c r="V35" s="131">
        <f t="shared" si="18"/>
        <v>1624795.8234200841</v>
      </c>
      <c r="W35" s="131">
        <f t="shared" si="18"/>
        <v>1624795.8234200841</v>
      </c>
      <c r="X35" s="131">
        <f t="shared" si="18"/>
        <v>1624795.8234200841</v>
      </c>
      <c r="Y35" s="131">
        <f t="shared" si="18"/>
        <v>1624795.8234200841</v>
      </c>
      <c r="Z35" s="131">
        <f t="shared" si="18"/>
        <v>1624795.8234200841</v>
      </c>
      <c r="AA35" s="131">
        <f t="shared" si="18"/>
        <v>1624795.8234200841</v>
      </c>
      <c r="AC35" s="116"/>
    </row>
    <row r="36" spans="1:29" s="101" customFormat="1" x14ac:dyDescent="0.25">
      <c r="A36" s="103"/>
      <c r="B36" s="101" t="s">
        <v>45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>
        <f>O26/$AA$26*O18</f>
        <v>64333.706445758064</v>
      </c>
      <c r="P36" s="131">
        <f>P26/$AA$26*P18</f>
        <v>170536.14752389575</v>
      </c>
      <c r="Q36" s="131">
        <f t="shared" ref="Q36:AA36" si="19">Q26/$AA$26*Q18</f>
        <v>225841.85994344781</v>
      </c>
      <c r="R36" s="131">
        <f t="shared" si="19"/>
        <v>344861.8595981652</v>
      </c>
      <c r="S36" s="131">
        <f t="shared" si="19"/>
        <v>349726.1247537437</v>
      </c>
      <c r="T36" s="131">
        <f t="shared" si="19"/>
        <v>350088.43333333329</v>
      </c>
      <c r="U36" s="131">
        <f t="shared" si="19"/>
        <v>350088.43333333329</v>
      </c>
      <c r="V36" s="131">
        <f t="shared" si="19"/>
        <v>350088.43333333329</v>
      </c>
      <c r="W36" s="131">
        <f t="shared" si="19"/>
        <v>350088.43333333329</v>
      </c>
      <c r="X36" s="131">
        <f t="shared" si="19"/>
        <v>350088.43333333329</v>
      </c>
      <c r="Y36" s="131">
        <f t="shared" si="19"/>
        <v>350088.43333333329</v>
      </c>
      <c r="Z36" s="131">
        <f t="shared" si="19"/>
        <v>350088.43333333329</v>
      </c>
      <c r="AA36" s="131">
        <f t="shared" si="19"/>
        <v>350088.43333333329</v>
      </c>
      <c r="AC36" s="116"/>
    </row>
    <row r="37" spans="1:29" s="101" customFormat="1" x14ac:dyDescent="0.25">
      <c r="A37" s="103"/>
      <c r="B37" s="101" t="s">
        <v>34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>
        <f>-0.21*(O36+O35)</f>
        <v>-34932.841319309846</v>
      </c>
      <c r="P37" s="131">
        <f t="shared" ref="P37:AA37" si="20">-0.21*(P36+P35)</f>
        <v>-150268.339160798</v>
      </c>
      <c r="Q37" s="131">
        <f t="shared" si="20"/>
        <v>-240587.98450168301</v>
      </c>
      <c r="R37" s="131">
        <f t="shared" si="20"/>
        <v>-350533.82664880774</v>
      </c>
      <c r="S37" s="131">
        <f t="shared" si="20"/>
        <v>-411926.05947393214</v>
      </c>
      <c r="T37" s="131">
        <f t="shared" si="20"/>
        <v>-414549.13528862613</v>
      </c>
      <c r="U37" s="131">
        <f t="shared" si="20"/>
        <v>-414725.69391821767</v>
      </c>
      <c r="V37" s="131">
        <f t="shared" si="20"/>
        <v>-414725.69391821767</v>
      </c>
      <c r="W37" s="131">
        <f t="shared" si="20"/>
        <v>-414725.69391821767</v>
      </c>
      <c r="X37" s="131">
        <f t="shared" si="20"/>
        <v>-414725.69391821767</v>
      </c>
      <c r="Y37" s="131">
        <f t="shared" si="20"/>
        <v>-414725.69391821767</v>
      </c>
      <c r="Z37" s="131">
        <f t="shared" si="20"/>
        <v>-414725.69391821767</v>
      </c>
      <c r="AA37" s="131">
        <f t="shared" si="20"/>
        <v>-414725.69391821767</v>
      </c>
      <c r="AC37" s="116"/>
    </row>
    <row r="38" spans="1:29" s="101" customFormat="1" x14ac:dyDescent="0.25">
      <c r="A38" s="103">
        <f>MAX($A$8:A35)+1</f>
        <v>19</v>
      </c>
      <c r="B38" s="101" t="s">
        <v>35</v>
      </c>
      <c r="C38" s="129">
        <f t="shared" ref="C38:N38" si="21">C35+C32</f>
        <v>0</v>
      </c>
      <c r="D38" s="129">
        <f t="shared" si="21"/>
        <v>0</v>
      </c>
      <c r="E38" s="129">
        <f t="shared" si="21"/>
        <v>0</v>
      </c>
      <c r="F38" s="129">
        <f t="shared" si="21"/>
        <v>0</v>
      </c>
      <c r="G38" s="129">
        <f t="shared" si="21"/>
        <v>0</v>
      </c>
      <c r="H38" s="129">
        <f t="shared" si="21"/>
        <v>0</v>
      </c>
      <c r="I38" s="129">
        <f t="shared" si="21"/>
        <v>0</v>
      </c>
      <c r="J38" s="129">
        <f t="shared" si="21"/>
        <v>0</v>
      </c>
      <c r="K38" s="129">
        <f t="shared" si="21"/>
        <v>0</v>
      </c>
      <c r="L38" s="129">
        <f t="shared" si="21"/>
        <v>0</v>
      </c>
      <c r="M38" s="129">
        <f t="shared" si="21"/>
        <v>0</v>
      </c>
      <c r="N38" s="129">
        <f t="shared" si="21"/>
        <v>0</v>
      </c>
      <c r="O38" s="129">
        <f>(O35+O32+O36+O37)/Variables!$C$34</f>
        <v>757734.20489776589</v>
      </c>
      <c r="P38" s="129">
        <f>(P35+P32+P36+P37)/Variables!$C$34</f>
        <v>2298991.248422971</v>
      </c>
      <c r="Q38" s="129">
        <f>(Q35+Q32+Q36+Q37)/Variables!$C$34</f>
        <v>3241768.5486299237</v>
      </c>
      <c r="R38" s="129">
        <f>(R35+R32+R36+R37)/Variables!$C$34</f>
        <v>4847366.9902697951</v>
      </c>
      <c r="S38" s="129">
        <f>(S35+S32+S36+S37)/Variables!$C$34</f>
        <v>5174375.7467972375</v>
      </c>
      <c r="T38" s="129">
        <f>(T35+T32+T36+T37)/Variables!$C$34</f>
        <v>5166524.0684468122</v>
      </c>
      <c r="U38" s="129">
        <f>(U35+U32+U36+U37)/Variables!$C$34</f>
        <v>5143128.7906670477</v>
      </c>
      <c r="V38" s="129">
        <f>(V35+V32+V36+V37)/Variables!$C$34</f>
        <v>5119029.1483164579</v>
      </c>
      <c r="W38" s="129">
        <f>(W35+W32+W36+W37)/Variables!$C$34</f>
        <v>5094929.5059658699</v>
      </c>
      <c r="X38" s="129">
        <f>(X35+X32+X36+X37)/Variables!$C$34</f>
        <v>5070829.8636152828</v>
      </c>
      <c r="Y38" s="129">
        <f>(Y35+Y32+Y36+Y37)/Variables!$C$34</f>
        <v>5046730.221264693</v>
      </c>
      <c r="Z38" s="129">
        <f>(Z35+Z32+Z36+Z37)/Variables!$C$34</f>
        <v>5022630.5709817037</v>
      </c>
      <c r="AA38" s="129">
        <f>(AA35+AA32+AA36+AA37)/Variables!$C$34</f>
        <v>4998530.9206987135</v>
      </c>
      <c r="AC38" s="116"/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22">P38*$P$52</f>
        <v>179576.60058314877</v>
      </c>
      <c r="Q40" s="133">
        <f t="shared" si="22"/>
        <v>253217.91731032546</v>
      </c>
      <c r="R40" s="133">
        <f t="shared" si="22"/>
        <v>378632.88365657505</v>
      </c>
      <c r="S40" s="133">
        <f t="shared" si="22"/>
        <v>404175.8781757594</v>
      </c>
      <c r="T40" s="133">
        <f t="shared" si="22"/>
        <v>403562.57540307206</v>
      </c>
      <c r="U40" s="133">
        <f t="shared" si="22"/>
        <v>401735.14589185908</v>
      </c>
      <c r="V40" s="133">
        <f t="shared" si="22"/>
        <v>399852.69773049385</v>
      </c>
      <c r="W40" s="133">
        <f t="shared" si="22"/>
        <v>397970.24956912873</v>
      </c>
      <c r="X40" s="133">
        <f t="shared" si="22"/>
        <v>396087.80140776368</v>
      </c>
      <c r="Y40" s="133">
        <f t="shared" si="22"/>
        <v>394205.35324639844</v>
      </c>
      <c r="Z40" s="133">
        <f t="shared" si="22"/>
        <v>392322.90446542524</v>
      </c>
      <c r="AA40" s="133">
        <f t="shared" si="22"/>
        <v>390440.45568445191</v>
      </c>
    </row>
    <row r="41" spans="1:29" ht="13" x14ac:dyDescent="0.3">
      <c r="A41" s="25"/>
      <c r="B41" s="2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9" ht="13" x14ac:dyDescent="0.3">
      <c r="A42" s="25">
        <f>MAX($A$8:A41)+1</f>
        <v>21</v>
      </c>
      <c r="B42" s="27" t="s">
        <v>47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2">
        <f>P26/$AA$26</f>
        <v>0.48712305602373734</v>
      </c>
      <c r="Q42" s="42">
        <f t="shared" ref="Q42:AA42" si="23">Q26/$AA$26</f>
        <v>0.64509946185058531</v>
      </c>
      <c r="R42" s="42">
        <f t="shared" si="23"/>
        <v>0.98507070432060906</v>
      </c>
      <c r="S42" s="42">
        <f t="shared" si="23"/>
        <v>0.99896509411596401</v>
      </c>
      <c r="T42" s="42">
        <f t="shared" si="23"/>
        <v>1</v>
      </c>
      <c r="U42" s="42">
        <f t="shared" si="23"/>
        <v>1</v>
      </c>
      <c r="V42" s="42">
        <f t="shared" si="23"/>
        <v>1</v>
      </c>
      <c r="W42" s="42">
        <f t="shared" si="23"/>
        <v>1</v>
      </c>
      <c r="X42" s="42">
        <f t="shared" si="23"/>
        <v>1</v>
      </c>
      <c r="Y42" s="42">
        <f t="shared" si="23"/>
        <v>1</v>
      </c>
      <c r="Z42" s="42">
        <f t="shared" si="23"/>
        <v>1</v>
      </c>
      <c r="AA42" s="42">
        <f t="shared" si="23"/>
        <v>1</v>
      </c>
    </row>
    <row r="43" spans="1:29" ht="13" x14ac:dyDescent="0.3">
      <c r="A43" s="25"/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9" ht="13" x14ac:dyDescent="0.3">
      <c r="A44" s="25">
        <f>MAX($A$8:A43)+1</f>
        <v>22</v>
      </c>
      <c r="B44" s="27" t="s">
        <v>48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36">
        <v>70431.181739240608</v>
      </c>
      <c r="Q44" s="136">
        <f>P44</f>
        <v>70431.181739240608</v>
      </c>
      <c r="R44" s="136">
        <f t="shared" ref="R44:AA44" si="24">Q44</f>
        <v>70431.181739240608</v>
      </c>
      <c r="S44" s="136">
        <f t="shared" si="24"/>
        <v>70431.181739240608</v>
      </c>
      <c r="T44" s="136">
        <f t="shared" si="24"/>
        <v>70431.181739240608</v>
      </c>
      <c r="U44" s="136">
        <f t="shared" si="24"/>
        <v>70431.181739240608</v>
      </c>
      <c r="V44" s="136">
        <f t="shared" si="24"/>
        <v>70431.181739240608</v>
      </c>
      <c r="W44" s="136">
        <f t="shared" si="24"/>
        <v>70431.181739240608</v>
      </c>
      <c r="X44" s="136">
        <f t="shared" si="24"/>
        <v>70431.181739240608</v>
      </c>
      <c r="Y44" s="136">
        <f t="shared" si="24"/>
        <v>70431.181739240608</v>
      </c>
      <c r="Z44" s="136">
        <f t="shared" si="24"/>
        <v>70431.181739240608</v>
      </c>
      <c r="AA44" s="136">
        <f t="shared" si="24"/>
        <v>70431.181739240608</v>
      </c>
    </row>
    <row r="45" spans="1:29" ht="13" x14ac:dyDescent="0.3">
      <c r="A45" s="25">
        <f>MAX($A$8:A44)+1</f>
        <v>23</v>
      </c>
      <c r="B45" s="27" t="s">
        <v>49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137">
        <f>P44*(1-P42)</f>
        <v>36122.529251058477</v>
      </c>
      <c r="Q45" s="137">
        <f t="shared" ref="Q45:AA45" si="25">Q44*(1-Q42)</f>
        <v>24996.064301755719</v>
      </c>
      <c r="R45" s="137">
        <f t="shared" si="25"/>
        <v>1051.4879372340431</v>
      </c>
      <c r="S45" s="137">
        <f t="shared" si="25"/>
        <v>72.889644401547997</v>
      </c>
      <c r="T45" s="137">
        <f t="shared" si="25"/>
        <v>0</v>
      </c>
      <c r="U45" s="137">
        <f t="shared" si="25"/>
        <v>0</v>
      </c>
      <c r="V45" s="137">
        <f t="shared" si="25"/>
        <v>0</v>
      </c>
      <c r="W45" s="137">
        <f t="shared" si="25"/>
        <v>0</v>
      </c>
      <c r="X45" s="137">
        <f t="shared" si="25"/>
        <v>0</v>
      </c>
      <c r="Y45" s="137">
        <f t="shared" si="25"/>
        <v>0</v>
      </c>
      <c r="Z45" s="137">
        <f t="shared" si="25"/>
        <v>0</v>
      </c>
      <c r="AA45" s="137">
        <f t="shared" si="25"/>
        <v>0</v>
      </c>
    </row>
    <row r="46" spans="1:29" ht="13" x14ac:dyDescent="0.3">
      <c r="A46" s="45">
        <f>MAX($A$8:A45)+1</f>
        <v>24</v>
      </c>
      <c r="B46" s="24" t="s">
        <v>50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38">
        <f>P45/Variables!$C$34</f>
        <v>47961.932219423063</v>
      </c>
      <c r="Q46" s="138">
        <f>Q45/Variables!$C$34</f>
        <v>33188.693224132934</v>
      </c>
      <c r="R46" s="138">
        <f>R45/Variables!$C$34</f>
        <v>1396.1202114240764</v>
      </c>
      <c r="S46" s="138">
        <f>S45/Variables!$C$34</f>
        <v>96.779717720969259</v>
      </c>
      <c r="T46" s="138">
        <f>T45/Variables!$C$34</f>
        <v>0</v>
      </c>
      <c r="U46" s="138">
        <f>U45/Variables!$C$34</f>
        <v>0</v>
      </c>
      <c r="V46" s="138">
        <f>V45/Variables!$C$34</f>
        <v>0</v>
      </c>
      <c r="W46" s="138">
        <f>W45/Variables!$C$34</f>
        <v>0</v>
      </c>
      <c r="X46" s="138">
        <f>X45/Variables!$C$34</f>
        <v>0</v>
      </c>
      <c r="Y46" s="138">
        <f>Y45/Variables!$C$34</f>
        <v>0</v>
      </c>
      <c r="Z46" s="138">
        <f>Z45/Variables!$C$34</f>
        <v>0</v>
      </c>
      <c r="AA46" s="138">
        <f>AA45/Variables!$C$34</f>
        <v>0</v>
      </c>
    </row>
    <row r="47" spans="1:29" ht="13" x14ac:dyDescent="0.3">
      <c r="A47" s="25"/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9" s="22" customFormat="1" ht="13" x14ac:dyDescent="0.3">
      <c r="A48" s="19" t="s">
        <v>40</v>
      </c>
      <c r="B48" s="2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21">
        <v>44197</v>
      </c>
      <c r="Q48" s="21">
        <v>44228</v>
      </c>
      <c r="R48" s="21">
        <v>44256</v>
      </c>
      <c r="S48" s="21">
        <v>44287</v>
      </c>
      <c r="T48" s="21">
        <v>44317</v>
      </c>
      <c r="U48" s="21">
        <v>44348</v>
      </c>
      <c r="V48" s="21">
        <v>44378</v>
      </c>
      <c r="W48" s="21">
        <v>44409</v>
      </c>
      <c r="X48" s="21">
        <v>44440</v>
      </c>
      <c r="Y48" s="21">
        <v>44470</v>
      </c>
      <c r="Z48" s="21">
        <v>44501</v>
      </c>
      <c r="AA48" s="21">
        <v>44531</v>
      </c>
      <c r="AC48" s="119"/>
    </row>
    <row r="49" spans="1:27" ht="13" thickBot="1" x14ac:dyDescent="0.3">
      <c r="A49" s="45">
        <f>MAX($A$8:A48)+1</f>
        <v>25</v>
      </c>
      <c r="B49" s="2" t="s">
        <v>41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132">
        <f>(P40-P22)+P46</f>
        <v>-169041.30286717421</v>
      </c>
      <c r="Q49" s="132">
        <f t="shared" ref="Q49:AA49" si="26">(Q40-Q22)+Q46</f>
        <v>-110173.22513528765</v>
      </c>
      <c r="R49" s="132">
        <f t="shared" si="26"/>
        <v>-16550.83180174691</v>
      </c>
      <c r="S49" s="132">
        <f t="shared" si="26"/>
        <v>7692.8222237343261</v>
      </c>
      <c r="T49" s="132">
        <f t="shared" si="26"/>
        <v>6982.739733326016</v>
      </c>
      <c r="U49" s="132">
        <f t="shared" si="26"/>
        <v>5155.3102221130393</v>
      </c>
      <c r="V49" s="132">
        <f t="shared" si="26"/>
        <v>3272.8620607478078</v>
      </c>
      <c r="W49" s="132">
        <f t="shared" si="26"/>
        <v>1390.4138993826928</v>
      </c>
      <c r="X49" s="132">
        <f t="shared" si="26"/>
        <v>-492.03426198236411</v>
      </c>
      <c r="Y49" s="132">
        <f t="shared" si="26"/>
        <v>-2374.4824233475956</v>
      </c>
      <c r="Z49" s="132">
        <f t="shared" si="26"/>
        <v>-4256.9312043208047</v>
      </c>
      <c r="AA49" s="132">
        <f t="shared" si="26"/>
        <v>-6139.3799852941302</v>
      </c>
    </row>
    <row r="50" spans="1:27" ht="13.5" thickBot="1" x14ac:dyDescent="0.35">
      <c r="A50" s="45">
        <f>MAX($A$8:A49)+1</f>
        <v>26</v>
      </c>
      <c r="B50" s="2" t="s">
        <v>42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2">
        <f>O50+P49</f>
        <v>-169041.30286717421</v>
      </c>
      <c r="Q50" s="132">
        <f>P50+Q49</f>
        <v>-279214.52800246188</v>
      </c>
      <c r="R50" s="132">
        <f t="shared" ref="R50:AA50" si="27">Q50+R49</f>
        <v>-295765.3598042088</v>
      </c>
      <c r="S50" s="132">
        <f t="shared" si="27"/>
        <v>-288072.53758047445</v>
      </c>
      <c r="T50" s="132">
        <f t="shared" si="27"/>
        <v>-281089.79784714844</v>
      </c>
      <c r="U50" s="132">
        <f t="shared" si="27"/>
        <v>-275934.4876250354</v>
      </c>
      <c r="V50" s="132">
        <f t="shared" si="27"/>
        <v>-272661.62556428759</v>
      </c>
      <c r="W50" s="132">
        <f t="shared" si="27"/>
        <v>-271271.2116649049</v>
      </c>
      <c r="X50" s="132">
        <f t="shared" si="27"/>
        <v>-271763.24592688726</v>
      </c>
      <c r="Y50" s="132">
        <f t="shared" si="27"/>
        <v>-274137.72835023486</v>
      </c>
      <c r="Z50" s="132">
        <f t="shared" si="27"/>
        <v>-278394.65955455566</v>
      </c>
      <c r="AA50" s="36">
        <f t="shared" si="27"/>
        <v>-284534.03953984979</v>
      </c>
    </row>
    <row r="52" spans="1:27" ht="13" x14ac:dyDescent="0.3">
      <c r="B52" s="37" t="s">
        <v>43</v>
      </c>
      <c r="P52" s="41">
        <v>7.8111041399714837E-2</v>
      </c>
    </row>
  </sheetData>
  <pageMargins left="0.7" right="0.7" top="0.75" bottom="0.75" header="0.3" footer="0.3"/>
  <pageSetup scale="50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55E5-2B9C-41C6-A7C0-55031A9D3067}">
  <sheetPr>
    <tabColor rgb="FFCC99FF"/>
    <pageSetUpPr fitToPage="1"/>
  </sheetPr>
  <dimension ref="A1:AC52"/>
  <sheetViews>
    <sheetView topLeftCell="P10" zoomScale="70" zoomScaleNormal="70" workbookViewId="0">
      <selection activeCell="H36" sqref="H36"/>
    </sheetView>
  </sheetViews>
  <sheetFormatPr defaultColWidth="9.08984375" defaultRowHeight="12.5" outlineLevelCol="1" x14ac:dyDescent="0.25"/>
  <cols>
    <col min="1" max="1" width="9.36328125" style="2" customWidth="1"/>
    <col min="2" max="2" width="41" style="2" customWidth="1"/>
    <col min="3" max="15" width="15.36328125" style="2" hidden="1" customWidth="1" outlineLevel="1"/>
    <col min="16" max="16" width="15.36328125" style="2" bestFit="1" customWidth="1" collapsed="1"/>
    <col min="17" max="21" width="15" style="2" bestFit="1" customWidth="1"/>
    <col min="22" max="23" width="15.36328125" style="2" bestFit="1" customWidth="1"/>
    <col min="24" max="24" width="15.6328125" style="2" bestFit="1" customWidth="1"/>
    <col min="25" max="25" width="15.36328125" style="2" bestFit="1" customWidth="1"/>
    <col min="26" max="26" width="15.6328125" style="2" bestFit="1" customWidth="1"/>
    <col min="27" max="27" width="15.36328125" style="2" bestFit="1" customWidth="1"/>
    <col min="28" max="28" width="9.08984375" style="2"/>
    <col min="29" max="29" width="12.36328125" style="114" bestFit="1" customWidth="1"/>
    <col min="30" max="16384" width="9.08984375" style="2"/>
  </cols>
  <sheetData>
    <row r="1" spans="1:29" ht="13" x14ac:dyDescent="0.3">
      <c r="A1" s="39" t="s">
        <v>0</v>
      </c>
      <c r="Q1" s="2" t="s">
        <v>74</v>
      </c>
    </row>
    <row r="2" spans="1:29" ht="13" x14ac:dyDescent="0.3">
      <c r="A2" s="39" t="s">
        <v>1</v>
      </c>
    </row>
    <row r="3" spans="1:29" ht="13" x14ac:dyDescent="0.3">
      <c r="A3" s="39" t="s">
        <v>22</v>
      </c>
    </row>
    <row r="4" spans="1:29" ht="13" x14ac:dyDescent="0.3">
      <c r="A4" s="39"/>
    </row>
    <row r="6" spans="1:29" ht="13" x14ac:dyDescent="0.3">
      <c r="A6" s="4" t="s">
        <v>24</v>
      </c>
      <c r="B6" s="46"/>
      <c r="C6" s="21">
        <v>43800</v>
      </c>
      <c r="D6" s="21">
        <v>43831</v>
      </c>
      <c r="E6" s="21">
        <v>43862</v>
      </c>
      <c r="F6" s="21">
        <v>43891</v>
      </c>
      <c r="G6" s="21">
        <v>43922</v>
      </c>
      <c r="H6" s="21">
        <v>43952</v>
      </c>
      <c r="I6" s="21">
        <v>43983</v>
      </c>
      <c r="J6" s="21">
        <v>44013</v>
      </c>
      <c r="K6" s="21">
        <v>44044</v>
      </c>
      <c r="L6" s="21">
        <v>44075</v>
      </c>
      <c r="M6" s="21">
        <v>44105</v>
      </c>
      <c r="N6" s="21">
        <v>44136</v>
      </c>
      <c r="O6" s="21">
        <v>44166</v>
      </c>
      <c r="P6" s="21">
        <v>44197</v>
      </c>
      <c r="Q6" s="21">
        <v>44228</v>
      </c>
      <c r="R6" s="21">
        <v>44256</v>
      </c>
      <c r="S6" s="21">
        <v>44287</v>
      </c>
      <c r="T6" s="21">
        <v>44317</v>
      </c>
      <c r="U6" s="21">
        <v>44348</v>
      </c>
      <c r="V6" s="21">
        <v>44378</v>
      </c>
      <c r="W6" s="21">
        <v>44409</v>
      </c>
      <c r="X6" s="21">
        <v>44440</v>
      </c>
      <c r="Y6" s="21">
        <v>44470</v>
      </c>
      <c r="Z6" s="21">
        <v>44501</v>
      </c>
      <c r="AA6" s="21">
        <v>44531</v>
      </c>
      <c r="AC6" s="122"/>
    </row>
    <row r="7" spans="1:29" s="101" customFormat="1" ht="13" x14ac:dyDescent="0.3">
      <c r="A7" s="102"/>
      <c r="B7" s="97" t="s">
        <v>25</v>
      </c>
      <c r="AC7" s="116"/>
    </row>
    <row r="8" spans="1:29" s="101" customFormat="1" x14ac:dyDescent="0.25">
      <c r="A8" s="103">
        <v>1</v>
      </c>
      <c r="B8" s="101" t="s">
        <v>26</v>
      </c>
      <c r="C8" s="129">
        <v>0</v>
      </c>
      <c r="D8" s="129">
        <v>16355.2747822005</v>
      </c>
      <c r="E8" s="129">
        <v>32710.549564401001</v>
      </c>
      <c r="F8" s="129">
        <v>49065.824346601497</v>
      </c>
      <c r="G8" s="129">
        <v>65421.099128802001</v>
      </c>
      <c r="H8" s="129">
        <v>81776.373911002505</v>
      </c>
      <c r="I8" s="129">
        <v>98131.64869319131</v>
      </c>
      <c r="J8" s="129">
        <v>114486.92347535591</v>
      </c>
      <c r="K8" s="129">
        <v>130842.19825748421</v>
      </c>
      <c r="L8" s="129">
        <v>147197.47303956572</v>
      </c>
      <c r="M8" s="129">
        <v>163552.74782157462</v>
      </c>
      <c r="N8" s="129">
        <v>179908.02260348981</v>
      </c>
      <c r="O8" s="129">
        <v>621893396.40738547</v>
      </c>
      <c r="P8" s="129">
        <f t="shared" ref="P8:AA10" si="0">O8</f>
        <v>621893396.40738547</v>
      </c>
      <c r="Q8" s="129">
        <f t="shared" si="0"/>
        <v>621893396.40738547</v>
      </c>
      <c r="R8" s="129">
        <f t="shared" si="0"/>
        <v>621893396.40738547</v>
      </c>
      <c r="S8" s="129">
        <f t="shared" si="0"/>
        <v>621893396.40738547</v>
      </c>
      <c r="T8" s="129">
        <f t="shared" si="0"/>
        <v>621893396.40738547</v>
      </c>
      <c r="U8" s="129">
        <f t="shared" si="0"/>
        <v>621893396.40738547</v>
      </c>
      <c r="V8" s="129">
        <f t="shared" si="0"/>
        <v>621893396.40738547</v>
      </c>
      <c r="W8" s="129">
        <f t="shared" si="0"/>
        <v>621893396.40738547</v>
      </c>
      <c r="X8" s="129">
        <f t="shared" si="0"/>
        <v>621893396.40738547</v>
      </c>
      <c r="Y8" s="129">
        <f t="shared" si="0"/>
        <v>621893396.40738547</v>
      </c>
      <c r="Z8" s="129">
        <f t="shared" si="0"/>
        <v>621893396.40738547</v>
      </c>
      <c r="AA8" s="129">
        <f>Z8</f>
        <v>621893396.40738547</v>
      </c>
      <c r="AC8" s="123"/>
    </row>
    <row r="9" spans="1:29" s="101" customFormat="1" x14ac:dyDescent="0.25">
      <c r="A9" s="103">
        <f>MAX($A$8:A8)+1</f>
        <v>2</v>
      </c>
      <c r="B9" s="101" t="s">
        <v>27</v>
      </c>
      <c r="C9" s="129">
        <f>-C17</f>
        <v>0</v>
      </c>
      <c r="D9" s="129">
        <f t="shared" ref="D9:N9" si="1">C9-D17</f>
        <v>-22.519903110609452</v>
      </c>
      <c r="E9" s="129">
        <f t="shared" si="1"/>
        <v>-90.079612442437806</v>
      </c>
      <c r="F9" s="129">
        <f t="shared" si="1"/>
        <v>-202.67912799548506</v>
      </c>
      <c r="G9" s="129">
        <f t="shared" si="1"/>
        <v>-360.31844976975123</v>
      </c>
      <c r="H9" s="129">
        <f t="shared" si="1"/>
        <v>-562.9975777652362</v>
      </c>
      <c r="I9" s="129">
        <f t="shared" si="1"/>
        <v>-810.7165119819241</v>
      </c>
      <c r="J9" s="129">
        <f t="shared" si="1"/>
        <v>-1103.4752524197654</v>
      </c>
      <c r="K9" s="129">
        <f t="shared" si="1"/>
        <v>-1441.2737990786768</v>
      </c>
      <c r="L9" s="129">
        <f t="shared" si="1"/>
        <v>-1824.1121519585438</v>
      </c>
      <c r="M9" s="129">
        <f t="shared" si="1"/>
        <v>-2251.9903110592022</v>
      </c>
      <c r="N9" s="129">
        <f t="shared" si="1"/>
        <v>-2724.9082763804226</v>
      </c>
      <c r="O9" s="129">
        <v>-15471039.719588697</v>
      </c>
      <c r="P9" s="129">
        <f t="shared" si="0"/>
        <v>-15471039.719588697</v>
      </c>
      <c r="Q9" s="129">
        <f t="shared" si="0"/>
        <v>-15471039.719588697</v>
      </c>
      <c r="R9" s="129">
        <f t="shared" si="0"/>
        <v>-15471039.719588697</v>
      </c>
      <c r="S9" s="129">
        <f t="shared" si="0"/>
        <v>-15471039.719588697</v>
      </c>
      <c r="T9" s="129">
        <f t="shared" si="0"/>
        <v>-15471039.719588697</v>
      </c>
      <c r="U9" s="129">
        <f t="shared" si="0"/>
        <v>-15471039.719588697</v>
      </c>
      <c r="V9" s="129">
        <f t="shared" si="0"/>
        <v>-15471039.719588697</v>
      </c>
      <c r="W9" s="129">
        <f t="shared" si="0"/>
        <v>-15471039.719588697</v>
      </c>
      <c r="X9" s="129">
        <f t="shared" si="0"/>
        <v>-15471039.719588697</v>
      </c>
      <c r="Y9" s="129">
        <f t="shared" si="0"/>
        <v>-15471039.719588697</v>
      </c>
      <c r="Z9" s="129">
        <f t="shared" si="0"/>
        <v>-15471039.719588697</v>
      </c>
      <c r="AA9" s="129">
        <f t="shared" si="0"/>
        <v>-15471039.719588697</v>
      </c>
      <c r="AC9" s="116"/>
    </row>
    <row r="10" spans="1:29" s="101" customFormat="1" x14ac:dyDescent="0.25">
      <c r="A10" s="103">
        <f>MAX($A$8:A9)+1</f>
        <v>3</v>
      </c>
      <c r="B10" s="101" t="s">
        <v>28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-28169978</v>
      </c>
      <c r="P10" s="130">
        <v>-24577440.5</v>
      </c>
      <c r="Q10" s="130">
        <f t="shared" si="0"/>
        <v>-24577440.5</v>
      </c>
      <c r="R10" s="130">
        <f t="shared" si="0"/>
        <v>-24577440.5</v>
      </c>
      <c r="S10" s="130">
        <f t="shared" si="0"/>
        <v>-24577440.5</v>
      </c>
      <c r="T10" s="130">
        <f t="shared" si="0"/>
        <v>-24577440.5</v>
      </c>
      <c r="U10" s="130">
        <f t="shared" si="0"/>
        <v>-24577440.5</v>
      </c>
      <c r="V10" s="130">
        <f t="shared" si="0"/>
        <v>-24577440.5</v>
      </c>
      <c r="W10" s="130">
        <f t="shared" si="0"/>
        <v>-24577440.5</v>
      </c>
      <c r="X10" s="130">
        <f t="shared" si="0"/>
        <v>-24577440.5</v>
      </c>
      <c r="Y10" s="130">
        <f t="shared" si="0"/>
        <v>-24577440.5</v>
      </c>
      <c r="Z10" s="130">
        <f t="shared" si="0"/>
        <v>-24577440.5</v>
      </c>
      <c r="AA10" s="130">
        <f t="shared" si="0"/>
        <v>-24577440.5</v>
      </c>
      <c r="AC10" s="116"/>
    </row>
    <row r="11" spans="1:29" s="101" customFormat="1" x14ac:dyDescent="0.25">
      <c r="A11" s="103">
        <f>MAX($A$8:A10)+1</f>
        <v>4</v>
      </c>
      <c r="B11" s="101" t="s">
        <v>29</v>
      </c>
      <c r="C11" s="129">
        <f t="shared" ref="C11:K11" si="2">SUM(C8:C10)</f>
        <v>0</v>
      </c>
      <c r="D11" s="129">
        <f t="shared" si="2"/>
        <v>16332.754879089891</v>
      </c>
      <c r="E11" s="129">
        <f t="shared" si="2"/>
        <v>32620.469951958563</v>
      </c>
      <c r="F11" s="129">
        <f t="shared" si="2"/>
        <v>48863.145218606012</v>
      </c>
      <c r="G11" s="129">
        <f t="shared" si="2"/>
        <v>65060.78067903225</v>
      </c>
      <c r="H11" s="129">
        <f t="shared" si="2"/>
        <v>81213.376333237276</v>
      </c>
      <c r="I11" s="129">
        <f t="shared" si="2"/>
        <v>97320.932181209384</v>
      </c>
      <c r="J11" s="129">
        <f t="shared" si="2"/>
        <v>113383.44822293615</v>
      </c>
      <c r="K11" s="129">
        <f t="shared" si="2"/>
        <v>129400.92445840554</v>
      </c>
      <c r="L11" s="129">
        <f t="shared" ref="L11:AA11" si="3">SUM(L8:L10)</f>
        <v>145373.36088760718</v>
      </c>
      <c r="M11" s="129">
        <f t="shared" si="3"/>
        <v>161300.75751051542</v>
      </c>
      <c r="N11" s="129">
        <f t="shared" si="3"/>
        <v>177183.11432710939</v>
      </c>
      <c r="O11" s="129">
        <f t="shared" si="3"/>
        <v>578252378.68779683</v>
      </c>
      <c r="P11" s="129">
        <f t="shared" si="3"/>
        <v>581844916.18779683</v>
      </c>
      <c r="Q11" s="129">
        <f t="shared" si="3"/>
        <v>581844916.18779683</v>
      </c>
      <c r="R11" s="129">
        <f t="shared" si="3"/>
        <v>581844916.18779683</v>
      </c>
      <c r="S11" s="129">
        <f t="shared" si="3"/>
        <v>581844916.18779683</v>
      </c>
      <c r="T11" s="129">
        <f t="shared" si="3"/>
        <v>581844916.18779683</v>
      </c>
      <c r="U11" s="129">
        <f t="shared" si="3"/>
        <v>581844916.18779683</v>
      </c>
      <c r="V11" s="129">
        <f t="shared" si="3"/>
        <v>581844916.18779683</v>
      </c>
      <c r="W11" s="129">
        <f t="shared" si="3"/>
        <v>581844916.18779683</v>
      </c>
      <c r="X11" s="129">
        <f t="shared" si="3"/>
        <v>581844916.18779683</v>
      </c>
      <c r="Y11" s="129">
        <f t="shared" si="3"/>
        <v>581844916.18779683</v>
      </c>
      <c r="Z11" s="129">
        <f t="shared" si="3"/>
        <v>581844916.18779683</v>
      </c>
      <c r="AA11" s="129">
        <f t="shared" si="3"/>
        <v>581844916.18779683</v>
      </c>
      <c r="AC11" s="116"/>
    </row>
    <row r="12" spans="1:29" s="101" customFormat="1" x14ac:dyDescent="0.25">
      <c r="A12" s="103"/>
      <c r="AC12" s="116"/>
    </row>
    <row r="13" spans="1:29" s="101" customFormat="1" x14ac:dyDescent="0.25">
      <c r="A13" s="103">
        <f>MAX($A$8:A12)+1</f>
        <v>5</v>
      </c>
      <c r="B13" s="101" t="s">
        <v>30</v>
      </c>
      <c r="C13" s="106">
        <f>Variables!$D$9</f>
        <v>7.1691459999999999E-2</v>
      </c>
      <c r="D13" s="106">
        <f>Variables!$D$9</f>
        <v>7.1691459999999999E-2</v>
      </c>
      <c r="E13" s="106">
        <f>Variables!$D$9</f>
        <v>7.1691459999999999E-2</v>
      </c>
      <c r="F13" s="106">
        <f>Variables!$D$9</f>
        <v>7.1691459999999999E-2</v>
      </c>
      <c r="G13" s="106">
        <f>Variables!$D$9</f>
        <v>7.1691459999999999E-2</v>
      </c>
      <c r="H13" s="106">
        <f>Variables!$D$9</f>
        <v>7.1691459999999999E-2</v>
      </c>
      <c r="I13" s="106">
        <f>Variables!$D$9</f>
        <v>7.1691459999999999E-2</v>
      </c>
      <c r="J13" s="106">
        <f>Variables!$D$9</f>
        <v>7.1691459999999999E-2</v>
      </c>
      <c r="K13" s="106">
        <f>Variables!$D$9</f>
        <v>7.1691459999999999E-2</v>
      </c>
      <c r="L13" s="106">
        <f>Variables!$D$9</f>
        <v>7.1691459999999999E-2</v>
      </c>
      <c r="M13" s="106">
        <f>Variables!$D$9</f>
        <v>7.1691459999999999E-2</v>
      </c>
      <c r="N13" s="106">
        <f>Variables!$D$9</f>
        <v>7.1691459999999999E-2</v>
      </c>
      <c r="O13" s="106">
        <f>Variables!$D$9</f>
        <v>7.1691459999999999E-2</v>
      </c>
      <c r="P13" s="106">
        <f>Variables!$D$9</f>
        <v>7.1691459999999999E-2</v>
      </c>
      <c r="Q13" s="106">
        <f>Variables!$D$9</f>
        <v>7.1691459999999999E-2</v>
      </c>
      <c r="R13" s="106">
        <f>Variables!$D$9</f>
        <v>7.1691459999999999E-2</v>
      </c>
      <c r="S13" s="106">
        <f>Variables!$D$9</f>
        <v>7.1691459999999999E-2</v>
      </c>
      <c r="T13" s="106">
        <f>Variables!$D$9</f>
        <v>7.1691459999999999E-2</v>
      </c>
      <c r="U13" s="106">
        <f>Variables!$D$9</f>
        <v>7.1691459999999999E-2</v>
      </c>
      <c r="V13" s="106">
        <f>Variables!$D$9</f>
        <v>7.1691459999999999E-2</v>
      </c>
      <c r="W13" s="106">
        <f>Variables!$D$9</f>
        <v>7.1691459999999999E-2</v>
      </c>
      <c r="X13" s="106">
        <f>Variables!$D$9</f>
        <v>7.1691459999999999E-2</v>
      </c>
      <c r="Y13" s="106">
        <f>Variables!$D$9</f>
        <v>7.1691459999999999E-2</v>
      </c>
      <c r="Z13" s="106">
        <f>Variables!$D$9</f>
        <v>7.1691459999999999E-2</v>
      </c>
      <c r="AA13" s="106">
        <f>Variables!$D$9</f>
        <v>7.1691459999999999E-2</v>
      </c>
      <c r="AC13" s="118"/>
    </row>
    <row r="14" spans="1:29" s="101" customFormat="1" x14ac:dyDescent="0.25">
      <c r="A14" s="103">
        <f>MAX($A$8:A13)+1</f>
        <v>6</v>
      </c>
      <c r="B14" s="101" t="s">
        <v>31</v>
      </c>
      <c r="C14" s="131">
        <f t="shared" ref="C14:AA14" si="4">C11*C13/12</f>
        <v>0</v>
      </c>
      <c r="D14" s="131">
        <f t="shared" si="4"/>
        <v>97.576586925339811</v>
      </c>
      <c r="E14" s="131">
        <f t="shared" si="4"/>
        <v>194.88409306183658</v>
      </c>
      <c r="F14" s="131">
        <f t="shared" si="4"/>
        <v>291.92251840949035</v>
      </c>
      <c r="G14" s="131">
        <f t="shared" si="4"/>
        <v>388.69186296830111</v>
      </c>
      <c r="H14" s="131">
        <f t="shared" si="4"/>
        <v>485.19212673826888</v>
      </c>
      <c r="I14" s="131">
        <f t="shared" si="4"/>
        <v>581.42330971932381</v>
      </c>
      <c r="J14" s="131">
        <f t="shared" si="4"/>
        <v>677.38541191139143</v>
      </c>
      <c r="K14" s="131">
        <f t="shared" si="4"/>
        <v>773.07843331440017</v>
      </c>
      <c r="L14" s="131">
        <f t="shared" si="4"/>
        <v>868.50237392828785</v>
      </c>
      <c r="M14" s="131">
        <f t="shared" si="4"/>
        <v>963.65723375290133</v>
      </c>
      <c r="N14" s="131">
        <f t="shared" si="4"/>
        <v>1058.5430127881157</v>
      </c>
      <c r="O14" s="131">
        <f t="shared" si="4"/>
        <v>3454646.4397167531</v>
      </c>
      <c r="P14" s="131">
        <f>P11*P13/12</f>
        <v>3476109.2945900657</v>
      </c>
      <c r="Q14" s="131">
        <f t="shared" si="4"/>
        <v>3476109.2945900657</v>
      </c>
      <c r="R14" s="131">
        <f t="shared" si="4"/>
        <v>3476109.2945900657</v>
      </c>
      <c r="S14" s="131">
        <f t="shared" si="4"/>
        <v>3476109.2945900657</v>
      </c>
      <c r="T14" s="131">
        <f t="shared" si="4"/>
        <v>3476109.2945900657</v>
      </c>
      <c r="U14" s="131">
        <f t="shared" si="4"/>
        <v>3476109.2945900657</v>
      </c>
      <c r="V14" s="131">
        <f t="shared" si="4"/>
        <v>3476109.2945900657</v>
      </c>
      <c r="W14" s="131">
        <f t="shared" si="4"/>
        <v>3476109.2945900657</v>
      </c>
      <c r="X14" s="131">
        <f t="shared" si="4"/>
        <v>3476109.2945900657</v>
      </c>
      <c r="Y14" s="131">
        <f t="shared" si="4"/>
        <v>3476109.2945900657</v>
      </c>
      <c r="Z14" s="131">
        <f t="shared" si="4"/>
        <v>3476109.2945900657</v>
      </c>
      <c r="AA14" s="131">
        <f t="shared" si="4"/>
        <v>3476109.2945900657</v>
      </c>
      <c r="AC14" s="120"/>
    </row>
    <row r="15" spans="1:29" s="101" customFormat="1" x14ac:dyDescent="0.25">
      <c r="A15" s="103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16"/>
    </row>
    <row r="16" spans="1:29" s="101" customFormat="1" x14ac:dyDescent="0.25">
      <c r="A16" s="103">
        <f>MAX($A$8:A15)+1</f>
        <v>7</v>
      </c>
      <c r="B16" s="101" t="s">
        <v>32</v>
      </c>
      <c r="C16" s="105"/>
      <c r="D16" s="107">
        <v>3.3046077296287953E-2</v>
      </c>
      <c r="E16" s="107">
        <v>3.3046077296287953E-2</v>
      </c>
      <c r="F16" s="107">
        <v>3.3046077296287953E-2</v>
      </c>
      <c r="G16" s="107">
        <v>3.3046077296287953E-2</v>
      </c>
      <c r="H16" s="107">
        <v>3.3046077296287953E-2</v>
      </c>
      <c r="I16" s="107">
        <v>3.3046077296287953E-2</v>
      </c>
      <c r="J16" s="107">
        <v>3.3046077296287953E-2</v>
      </c>
      <c r="K16" s="107">
        <v>3.3046077296287953E-2</v>
      </c>
      <c r="L16" s="107">
        <v>3.3046077296287953E-2</v>
      </c>
      <c r="M16" s="107">
        <v>3.3046077296287953E-2</v>
      </c>
      <c r="N16" s="107">
        <v>3.3046077296287953E-2</v>
      </c>
      <c r="O16" s="107">
        <v>3.3046077296287953E-2</v>
      </c>
      <c r="P16" s="107">
        <v>4.8360784328803093E-2</v>
      </c>
      <c r="Q16" s="107">
        <v>4.8360784328803093E-2</v>
      </c>
      <c r="R16" s="107">
        <v>4.8360784328803093E-2</v>
      </c>
      <c r="S16" s="107">
        <v>4.8360784328803093E-2</v>
      </c>
      <c r="T16" s="107">
        <v>4.8360784328803093E-2</v>
      </c>
      <c r="U16" s="107">
        <v>4.8360784328803093E-2</v>
      </c>
      <c r="V16" s="107">
        <v>4.8360784328803093E-2</v>
      </c>
      <c r="W16" s="107">
        <v>4.8360784328803093E-2</v>
      </c>
      <c r="X16" s="107">
        <v>4.8360784328803093E-2</v>
      </c>
      <c r="Y16" s="107">
        <v>4.8360784328803093E-2</v>
      </c>
      <c r="Z16" s="107">
        <v>4.8360784328803093E-2</v>
      </c>
      <c r="AA16" s="107">
        <v>4.8360784328803093E-2</v>
      </c>
      <c r="AC16" s="116"/>
    </row>
    <row r="17" spans="1:29" s="101" customFormat="1" x14ac:dyDescent="0.25">
      <c r="A17" s="103">
        <f>MAX($A$8:A16)+1</f>
        <v>8</v>
      </c>
      <c r="B17" s="101" t="s">
        <v>33</v>
      </c>
      <c r="C17" s="131">
        <v>0</v>
      </c>
      <c r="D17" s="131">
        <f>(((D8+C8)/2)*D16)/12</f>
        <v>22.519903110609452</v>
      </c>
      <c r="E17" s="131">
        <f t="shared" ref="E17:N17" si="5">(((E8+D8)/2)*E16)/12</f>
        <v>67.559709331828358</v>
      </c>
      <c r="F17" s="131">
        <f t="shared" si="5"/>
        <v>112.59951555304725</v>
      </c>
      <c r="G17" s="131">
        <f t="shared" si="5"/>
        <v>157.63932177426616</v>
      </c>
      <c r="H17" s="131">
        <f t="shared" si="5"/>
        <v>202.67912799548503</v>
      </c>
      <c r="I17" s="131">
        <f t="shared" si="5"/>
        <v>247.7189342166879</v>
      </c>
      <c r="J17" s="131">
        <f t="shared" si="5"/>
        <v>292.75874043784125</v>
      </c>
      <c r="K17" s="131">
        <f t="shared" si="5"/>
        <v>337.79854665891133</v>
      </c>
      <c r="L17" s="131">
        <f t="shared" si="5"/>
        <v>382.83835287986699</v>
      </c>
      <c r="M17" s="131">
        <f t="shared" si="5"/>
        <v>427.87815910065819</v>
      </c>
      <c r="N17" s="131">
        <f t="shared" si="5"/>
        <v>472.91796532122044</v>
      </c>
      <c r="O17" s="131">
        <v>2506900.7855537278</v>
      </c>
      <c r="P17" s="131">
        <f t="shared" ref="P17:Z17" si="6">O17</f>
        <v>2506900.7855537278</v>
      </c>
      <c r="Q17" s="131">
        <f t="shared" si="6"/>
        <v>2506900.7855537278</v>
      </c>
      <c r="R17" s="131">
        <f t="shared" si="6"/>
        <v>2506900.7855537278</v>
      </c>
      <c r="S17" s="131">
        <f t="shared" si="6"/>
        <v>2506900.7855537278</v>
      </c>
      <c r="T17" s="131">
        <f t="shared" si="6"/>
        <v>2506900.7855537278</v>
      </c>
      <c r="U17" s="131">
        <f t="shared" si="6"/>
        <v>2506900.7855537278</v>
      </c>
      <c r="V17" s="131">
        <f t="shared" si="6"/>
        <v>2506900.7855537278</v>
      </c>
      <c r="W17" s="131">
        <f t="shared" si="6"/>
        <v>2506900.7855537278</v>
      </c>
      <c r="X17" s="131">
        <f t="shared" si="6"/>
        <v>2506900.7855537278</v>
      </c>
      <c r="Y17" s="131">
        <f t="shared" si="6"/>
        <v>2506900.7855537278</v>
      </c>
      <c r="Z17" s="131">
        <f t="shared" si="6"/>
        <v>2506900.7855537278</v>
      </c>
      <c r="AA17" s="131">
        <f>Z17</f>
        <v>2506900.7855537278</v>
      </c>
      <c r="AC17" s="116"/>
    </row>
    <row r="18" spans="1:29" s="101" customFormat="1" x14ac:dyDescent="0.25">
      <c r="A18" s="103"/>
      <c r="B18" s="101" t="s">
        <v>45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>
        <f>P18</f>
        <v>683876.77116884349</v>
      </c>
      <c r="P18" s="131">
        <v>683876.77116884349</v>
      </c>
      <c r="Q18" s="131">
        <v>683876.77116884349</v>
      </c>
      <c r="R18" s="131">
        <v>683876.77116884349</v>
      </c>
      <c r="S18" s="131">
        <v>683876.77116884349</v>
      </c>
      <c r="T18" s="131">
        <v>683876.77116884349</v>
      </c>
      <c r="U18" s="131">
        <v>683876.77116884349</v>
      </c>
      <c r="V18" s="131">
        <v>683876.77116884349</v>
      </c>
      <c r="W18" s="131">
        <v>683876.77116884349</v>
      </c>
      <c r="X18" s="131">
        <v>683876.77116884349</v>
      </c>
      <c r="Y18" s="131">
        <v>683876.77116884349</v>
      </c>
      <c r="Z18" s="131">
        <v>683876.77116884349</v>
      </c>
      <c r="AA18" s="131">
        <v>683876.77116884349</v>
      </c>
      <c r="AC18" s="116"/>
    </row>
    <row r="19" spans="1:29" s="101" customFormat="1" x14ac:dyDescent="0.25">
      <c r="A19" s="103"/>
      <c r="B19" s="101" t="s">
        <v>34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>
        <f>-0.21*(O17+O18)</f>
        <v>-670063.28691173997</v>
      </c>
      <c r="P19" s="131">
        <f>-0.21*(P17+P18)</f>
        <v>-670063.28691173997</v>
      </c>
      <c r="Q19" s="131">
        <f t="shared" ref="Q19:AA19" si="7">-0.21*(Q17+Q18)</f>
        <v>-670063.28691173997</v>
      </c>
      <c r="R19" s="131">
        <f t="shared" si="7"/>
        <v>-670063.28691173997</v>
      </c>
      <c r="S19" s="131">
        <f t="shared" si="7"/>
        <v>-670063.28691173997</v>
      </c>
      <c r="T19" s="131">
        <f t="shared" si="7"/>
        <v>-670063.28691173997</v>
      </c>
      <c r="U19" s="131">
        <f t="shared" si="7"/>
        <v>-670063.28691173997</v>
      </c>
      <c r="V19" s="131">
        <f t="shared" si="7"/>
        <v>-670063.28691173997</v>
      </c>
      <c r="W19" s="131">
        <f t="shared" si="7"/>
        <v>-670063.28691173997</v>
      </c>
      <c r="X19" s="131">
        <f t="shared" si="7"/>
        <v>-670063.28691173997</v>
      </c>
      <c r="Y19" s="131">
        <f t="shared" si="7"/>
        <v>-670063.28691173997</v>
      </c>
      <c r="Z19" s="131">
        <f t="shared" si="7"/>
        <v>-670063.28691173997</v>
      </c>
      <c r="AA19" s="131">
        <f t="shared" si="7"/>
        <v>-670063.28691173997</v>
      </c>
      <c r="AC19" s="116"/>
    </row>
    <row r="20" spans="1:29" s="101" customFormat="1" x14ac:dyDescent="0.25">
      <c r="A20" s="103">
        <f>MAX($A$8:A17)+1</f>
        <v>9</v>
      </c>
      <c r="B20" s="101" t="s">
        <v>35</v>
      </c>
      <c r="C20" s="129">
        <f t="shared" ref="C20" si="8">C17+C14</f>
        <v>0</v>
      </c>
      <c r="D20" s="129">
        <f>(D17+D14)/Variables!$C$34</f>
        <v>159.4589258925171</v>
      </c>
      <c r="E20" s="129">
        <f>(E17+E14)/Variables!$C$34</f>
        <v>348.46153142622978</v>
      </c>
      <c r="F20" s="129">
        <f>(F17+F14)/Variables!$C$34</f>
        <v>537.10686312492544</v>
      </c>
      <c r="G20" s="129">
        <f>(G17+G14)/Variables!$C$34</f>
        <v>725.39492098860433</v>
      </c>
      <c r="H20" s="129">
        <f>(H17+H14)/Variables!$C$34</f>
        <v>913.32570501726593</v>
      </c>
      <c r="I20" s="129">
        <f>(I17+I14)/Variables!$C$34</f>
        <v>1100.8992152107969</v>
      </c>
      <c r="J20" s="129">
        <f>(J17+J14)/Variables!$C$34</f>
        <v>1288.1154515690534</v>
      </c>
      <c r="K20" s="129">
        <f>(K17+K14)/Variables!$C$34</f>
        <v>1474.9744140918961</v>
      </c>
      <c r="L20" s="129">
        <f>(L17+L14)/Variables!$C$34</f>
        <v>1661.4761027792006</v>
      </c>
      <c r="M20" s="129">
        <f>(M17+M14)/Variables!$C$34</f>
        <v>1847.6205176306973</v>
      </c>
      <c r="N20" s="129">
        <f>(N17+N14)/Variables!$C$34</f>
        <v>2033.4076586461345</v>
      </c>
      <c r="O20" s="129">
        <f>(O17+O14+O18+O19)/Variables!$C$34</f>
        <v>7933825.5454127127</v>
      </c>
      <c r="P20" s="129">
        <f>(P17+P14+P18+P19)/Variables!$C$34</f>
        <v>7962322.9959515333</v>
      </c>
      <c r="Q20" s="129">
        <f>(Q17+Q14+Q18+Q19)/Variables!$C$34</f>
        <v>7962322.9959515333</v>
      </c>
      <c r="R20" s="129">
        <f>(R17+R14+R18+R19)/Variables!$C$34</f>
        <v>7962322.9959515333</v>
      </c>
      <c r="S20" s="129">
        <f>(S17+S14+S18+S19)/Variables!$C$34</f>
        <v>7962322.9959515333</v>
      </c>
      <c r="T20" s="129">
        <f>(T17+T14+T18+T19)/Variables!$C$34</f>
        <v>7962322.9959515333</v>
      </c>
      <c r="U20" s="129">
        <f>(U17+U14+U18+U19)/Variables!$C$34</f>
        <v>7962322.9959515333</v>
      </c>
      <c r="V20" s="129">
        <f>(V17+V14+V18+V19)/Variables!$C$34</f>
        <v>7962322.9959515333</v>
      </c>
      <c r="W20" s="129">
        <f>(W17+W14+W18+W19)/Variables!$C$34</f>
        <v>7962322.9959515333</v>
      </c>
      <c r="X20" s="129">
        <f>(X17+X14+X18+X19)/Variables!$C$34</f>
        <v>7962322.9959515333</v>
      </c>
      <c r="Y20" s="129">
        <f>(Y17+Y14+Y18+Y19)/Variables!$C$34</f>
        <v>7962322.9959515333</v>
      </c>
      <c r="Z20" s="129">
        <f>(Z17+Z14+Z18+Z19)/Variables!$C$34</f>
        <v>7962322.9959515333</v>
      </c>
      <c r="AA20" s="129">
        <f>(AA17+AA14+AA18+AA19)/Variables!$C$34</f>
        <v>7962322.9959515333</v>
      </c>
      <c r="AC20" s="116"/>
    </row>
    <row r="21" spans="1:29" ht="13" x14ac:dyDescent="0.3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9" ht="13" x14ac:dyDescent="0.3">
      <c r="A22" s="25">
        <f>MAX($A$8:A21)+1</f>
        <v>10</v>
      </c>
      <c r="B22" s="24" t="s">
        <v>36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3">
        <f t="shared" ref="P22:AA22" si="9">P20*$P$52</f>
        <v>621945.34117467166</v>
      </c>
      <c r="Q22" s="133">
        <f t="shared" si="9"/>
        <v>621945.34117467166</v>
      </c>
      <c r="R22" s="133">
        <f t="shared" si="9"/>
        <v>621945.34117467166</v>
      </c>
      <c r="S22" s="133">
        <f t="shared" si="9"/>
        <v>621945.34117467166</v>
      </c>
      <c r="T22" s="133">
        <f t="shared" si="9"/>
        <v>621945.34117467166</v>
      </c>
      <c r="U22" s="133">
        <f t="shared" si="9"/>
        <v>621945.34117467166</v>
      </c>
      <c r="V22" s="133">
        <f t="shared" si="9"/>
        <v>621945.34117467166</v>
      </c>
      <c r="W22" s="133">
        <f t="shared" si="9"/>
        <v>621945.34117467166</v>
      </c>
      <c r="X22" s="133">
        <f t="shared" si="9"/>
        <v>621945.34117467166</v>
      </c>
      <c r="Y22" s="133">
        <f t="shared" si="9"/>
        <v>621945.34117467166</v>
      </c>
      <c r="Z22" s="133">
        <f t="shared" si="9"/>
        <v>621945.34117467166</v>
      </c>
      <c r="AA22" s="133">
        <f t="shared" si="9"/>
        <v>621945.34117467166</v>
      </c>
    </row>
    <row r="23" spans="1:29" ht="13" x14ac:dyDescent="0.3">
      <c r="A23" s="25"/>
      <c r="B23" s="2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9" ht="13" x14ac:dyDescent="0.3">
      <c r="A24" s="4" t="s">
        <v>37</v>
      </c>
      <c r="B24" s="46"/>
      <c r="C24" s="21">
        <v>43800</v>
      </c>
      <c r="D24" s="21">
        <v>43831</v>
      </c>
      <c r="E24" s="21">
        <v>43862</v>
      </c>
      <c r="F24" s="21">
        <v>43891</v>
      </c>
      <c r="G24" s="21">
        <v>43922</v>
      </c>
      <c r="H24" s="21">
        <v>43952</v>
      </c>
      <c r="I24" s="21">
        <v>43983</v>
      </c>
      <c r="J24" s="21">
        <v>44013</v>
      </c>
      <c r="K24" s="21">
        <v>44044</v>
      </c>
      <c r="L24" s="21">
        <v>44075</v>
      </c>
      <c r="M24" s="21">
        <v>44105</v>
      </c>
      <c r="N24" s="21">
        <v>44136</v>
      </c>
      <c r="O24" s="21">
        <v>44166</v>
      </c>
      <c r="P24" s="21">
        <v>44197</v>
      </c>
      <c r="Q24" s="21">
        <v>44228</v>
      </c>
      <c r="R24" s="21">
        <v>44256</v>
      </c>
      <c r="S24" s="21">
        <v>44287</v>
      </c>
      <c r="T24" s="21">
        <v>44317</v>
      </c>
      <c r="U24" s="21">
        <v>44348</v>
      </c>
      <c r="V24" s="21">
        <v>44378</v>
      </c>
      <c r="W24" s="21">
        <v>44409</v>
      </c>
      <c r="X24" s="21">
        <v>44440</v>
      </c>
      <c r="Y24" s="21">
        <v>44470</v>
      </c>
      <c r="Z24" s="21">
        <v>44501</v>
      </c>
      <c r="AA24" s="21">
        <v>44531</v>
      </c>
      <c r="AC24" s="122"/>
    </row>
    <row r="25" spans="1:29" ht="13" x14ac:dyDescent="0.3">
      <c r="A25" s="23"/>
      <c r="B25" s="24" t="s">
        <v>25</v>
      </c>
    </row>
    <row r="26" spans="1:29" x14ac:dyDescent="0.25">
      <c r="A26" s="25">
        <f>MAX($A$8:A25)+1</f>
        <v>11</v>
      </c>
      <c r="B26" s="2" t="s">
        <v>26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285917646.95999992</v>
      </c>
      <c r="P26" s="135">
        <v>345651880.3499999</v>
      </c>
      <c r="Q26" s="135">
        <v>404721213.87999994</v>
      </c>
      <c r="R26" s="135">
        <v>437490712.79999995</v>
      </c>
      <c r="S26" s="135">
        <v>489938121.85999995</v>
      </c>
      <c r="T26" s="135">
        <v>489938121.85999995</v>
      </c>
      <c r="U26" s="127">
        <v>583266990.61000001</v>
      </c>
      <c r="V26" s="127">
        <v>613883707.65999997</v>
      </c>
      <c r="W26" s="127">
        <v>618245738.96000004</v>
      </c>
      <c r="X26" s="127">
        <v>629900748.25000012</v>
      </c>
      <c r="Y26" s="127">
        <v>630677025.64999998</v>
      </c>
      <c r="Z26" s="127">
        <v>637379117.35000002</v>
      </c>
      <c r="AA26" s="127">
        <v>637379117.35000002</v>
      </c>
      <c r="AC26" s="43"/>
    </row>
    <row r="27" spans="1:29" x14ac:dyDescent="0.25">
      <c r="A27" s="25">
        <f>MAX($A$8:A26)+1</f>
        <v>12</v>
      </c>
      <c r="B27" s="2" t="s">
        <v>27</v>
      </c>
      <c r="C27" s="135">
        <f>-C35</f>
        <v>0</v>
      </c>
      <c r="D27" s="135">
        <f t="shared" ref="D27:O27" si="10">C27-D35</f>
        <v>0</v>
      </c>
      <c r="E27" s="135">
        <f t="shared" si="10"/>
        <v>0</v>
      </c>
      <c r="F27" s="135">
        <f t="shared" si="10"/>
        <v>0</v>
      </c>
      <c r="G27" s="135">
        <f t="shared" si="10"/>
        <v>0</v>
      </c>
      <c r="H27" s="135">
        <f t="shared" si="10"/>
        <v>0</v>
      </c>
      <c r="I27" s="135">
        <f t="shared" si="10"/>
        <v>0</v>
      </c>
      <c r="J27" s="135">
        <f t="shared" si="10"/>
        <v>0</v>
      </c>
      <c r="K27" s="135">
        <f t="shared" si="10"/>
        <v>0</v>
      </c>
      <c r="L27" s="135">
        <f t="shared" si="10"/>
        <v>0</v>
      </c>
      <c r="M27" s="135">
        <f t="shared" si="10"/>
        <v>0</v>
      </c>
      <c r="N27" s="135">
        <f t="shared" si="10"/>
        <v>0</v>
      </c>
      <c r="O27" s="135">
        <f t="shared" si="10"/>
        <v>-393685.6942422053</v>
      </c>
      <c r="P27" s="135">
        <f>O27-P35</f>
        <v>-1666318.9316956643</v>
      </c>
      <c r="Q27" s="135">
        <f t="shared" ref="Q27:AA27" si="11">P27-Q35</f>
        <v>-3178345.2390370667</v>
      </c>
      <c r="R27" s="135">
        <f t="shared" si="11"/>
        <v>-4875429.7950919494</v>
      </c>
      <c r="S27" s="135">
        <f t="shared" si="11"/>
        <v>-6744229.2056463426</v>
      </c>
      <c r="T27" s="135">
        <f t="shared" si="11"/>
        <v>-8718711.8594572023</v>
      </c>
      <c r="U27" s="47">
        <f t="shared" si="11"/>
        <v>-10881255.233820975</v>
      </c>
      <c r="V27" s="47">
        <f t="shared" si="11"/>
        <v>-13293553.014158953</v>
      </c>
      <c r="W27" s="47">
        <f t="shared" si="11"/>
        <v>-15776334.115540508</v>
      </c>
      <c r="X27" s="47">
        <f>W27-X35</f>
        <v>-18291390.077153675</v>
      </c>
      <c r="Y27" s="47">
        <f t="shared" si="11"/>
        <v>-20831495.487706199</v>
      </c>
      <c r="Z27" s="47">
        <f t="shared" si="11"/>
        <v>-23386670.056391072</v>
      </c>
      <c r="AA27" s="47">
        <f t="shared" si="11"/>
        <v>-25955349.558878258</v>
      </c>
    </row>
    <row r="28" spans="1:29" x14ac:dyDescent="0.25">
      <c r="A28" s="25">
        <f>MAX($A$8:A27)+1</f>
        <v>13</v>
      </c>
      <c r="B28" s="2" t="s">
        <v>28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f>-2231765-11980-142936</f>
        <v>-2386681</v>
      </c>
      <c r="P28" s="137">
        <v>-3752970</v>
      </c>
      <c r="Q28" s="137">
        <v>-5479359</v>
      </c>
      <c r="R28" s="137">
        <v>-7848752</v>
      </c>
      <c r="S28" s="137">
        <v>-10084758</v>
      </c>
      <c r="T28" s="137">
        <v>-12477532</v>
      </c>
      <c r="U28" s="128">
        <v>-16661790</v>
      </c>
      <c r="V28" s="128">
        <v>-19607183</v>
      </c>
      <c r="W28" s="128">
        <v>-22619800</v>
      </c>
      <c r="X28" s="128">
        <v>-26034629</v>
      </c>
      <c r="Y28" s="128">
        <v>-28789060</v>
      </c>
      <c r="Z28" s="128">
        <v>-31688598</v>
      </c>
      <c r="AA28" s="128">
        <v>-34602276</v>
      </c>
    </row>
    <row r="29" spans="1:29" x14ac:dyDescent="0.25">
      <c r="A29" s="25">
        <f>MAX($A$8:A28)+1</f>
        <v>14</v>
      </c>
      <c r="B29" s="27" t="s">
        <v>29</v>
      </c>
      <c r="C29" s="135">
        <f t="shared" ref="C29:K29" si="12">SUM(C26:C28)</f>
        <v>0</v>
      </c>
      <c r="D29" s="135">
        <f t="shared" si="12"/>
        <v>0</v>
      </c>
      <c r="E29" s="135">
        <f t="shared" si="12"/>
        <v>0</v>
      </c>
      <c r="F29" s="135">
        <f t="shared" si="12"/>
        <v>0</v>
      </c>
      <c r="G29" s="135">
        <f t="shared" si="12"/>
        <v>0</v>
      </c>
      <c r="H29" s="135">
        <f t="shared" si="12"/>
        <v>0</v>
      </c>
      <c r="I29" s="135">
        <f t="shared" si="12"/>
        <v>0</v>
      </c>
      <c r="J29" s="135">
        <f t="shared" si="12"/>
        <v>0</v>
      </c>
      <c r="K29" s="135">
        <f t="shared" si="12"/>
        <v>0</v>
      </c>
      <c r="L29" s="135">
        <f t="shared" ref="L29:O29" si="13">SUM(L26:L28)</f>
        <v>0</v>
      </c>
      <c r="M29" s="135">
        <f t="shared" si="13"/>
        <v>0</v>
      </c>
      <c r="N29" s="135">
        <f t="shared" si="13"/>
        <v>0</v>
      </c>
      <c r="O29" s="135">
        <f t="shared" si="13"/>
        <v>283137280.26575774</v>
      </c>
      <c r="P29" s="135">
        <f>SUM(P26:P28)</f>
        <v>340232591.41830426</v>
      </c>
      <c r="Q29" s="135">
        <f t="shared" ref="Q29:AA29" si="14">SUM(Q26:Q28)</f>
        <v>396063509.64096284</v>
      </c>
      <c r="R29" s="135">
        <f t="shared" si="14"/>
        <v>424766531.00490803</v>
      </c>
      <c r="S29" s="135">
        <f t="shared" si="14"/>
        <v>473109134.65435362</v>
      </c>
      <c r="T29" s="135">
        <f t="shared" si="14"/>
        <v>468741878.00054276</v>
      </c>
      <c r="U29" s="47">
        <f t="shared" si="14"/>
        <v>555723945.37617898</v>
      </c>
      <c r="V29" s="47">
        <f t="shared" si="14"/>
        <v>580982971.645841</v>
      </c>
      <c r="W29" s="47">
        <f t="shared" si="14"/>
        <v>579849604.84445953</v>
      </c>
      <c r="X29" s="47">
        <f t="shared" si="14"/>
        <v>585574729.17284644</v>
      </c>
      <c r="Y29" s="47">
        <f t="shared" si="14"/>
        <v>581056470.16229379</v>
      </c>
      <c r="Z29" s="47">
        <f t="shared" si="14"/>
        <v>582303849.2936089</v>
      </c>
      <c r="AA29" s="47">
        <f t="shared" si="14"/>
        <v>576821491.79112172</v>
      </c>
    </row>
    <row r="30" spans="1:29" x14ac:dyDescent="0.25">
      <c r="A30" s="25"/>
    </row>
    <row r="31" spans="1:29" x14ac:dyDescent="0.25">
      <c r="A31" s="25">
        <f>MAX($A$26:A30)+1</f>
        <v>15</v>
      </c>
      <c r="B31" s="2" t="s">
        <v>30</v>
      </c>
      <c r="C31" s="28">
        <f>Variables!$D$9</f>
        <v>7.1691459999999999E-2</v>
      </c>
      <c r="D31" s="28">
        <f>Variables!$D$9</f>
        <v>7.1691459999999999E-2</v>
      </c>
      <c r="E31" s="28">
        <f>Variables!$D$9</f>
        <v>7.1691459999999999E-2</v>
      </c>
      <c r="F31" s="28">
        <f>Variables!$D$9</f>
        <v>7.1691459999999999E-2</v>
      </c>
      <c r="G31" s="28">
        <f>Variables!$D$9</f>
        <v>7.1691459999999999E-2</v>
      </c>
      <c r="H31" s="28">
        <f>Variables!$D$9</f>
        <v>7.1691459999999999E-2</v>
      </c>
      <c r="I31" s="28">
        <f>Variables!$D$9</f>
        <v>7.1691459999999999E-2</v>
      </c>
      <c r="J31" s="28">
        <f>Variables!$D$9</f>
        <v>7.1691459999999999E-2</v>
      </c>
      <c r="K31" s="28">
        <f>Variables!$D$9</f>
        <v>7.1691459999999999E-2</v>
      </c>
      <c r="L31" s="28">
        <f>Variables!$D$9</f>
        <v>7.1691459999999999E-2</v>
      </c>
      <c r="M31" s="28">
        <f>Variables!$D$9</f>
        <v>7.1691459999999999E-2</v>
      </c>
      <c r="N31" s="28">
        <f>Variables!$D$9</f>
        <v>7.1691459999999999E-2</v>
      </c>
      <c r="O31" s="28">
        <f>Variables!$D$9</f>
        <v>7.1691459999999999E-2</v>
      </c>
      <c r="P31" s="28">
        <f>Variables!$D$9</f>
        <v>7.1691459999999999E-2</v>
      </c>
      <c r="Q31" s="28">
        <f>Variables!$D$9</f>
        <v>7.1691459999999999E-2</v>
      </c>
      <c r="R31" s="28">
        <f>Variables!$D$9</f>
        <v>7.1691459999999999E-2</v>
      </c>
      <c r="S31" s="28">
        <f>Variables!$D$9</f>
        <v>7.1691459999999999E-2</v>
      </c>
      <c r="T31" s="28">
        <f>Variables!$D$9</f>
        <v>7.1691459999999999E-2</v>
      </c>
      <c r="U31" s="28">
        <f>Variables!$D$9</f>
        <v>7.1691459999999999E-2</v>
      </c>
      <c r="V31" s="28">
        <f>Variables!$D$9</f>
        <v>7.1691459999999999E-2</v>
      </c>
      <c r="W31" s="28">
        <f>Variables!$D$9</f>
        <v>7.1691459999999999E-2</v>
      </c>
      <c r="X31" s="28">
        <f>Variables!$D$9</f>
        <v>7.1691459999999999E-2</v>
      </c>
      <c r="Y31" s="28">
        <f>Variables!$D$9</f>
        <v>7.1691459999999999E-2</v>
      </c>
      <c r="Z31" s="28">
        <f>Variables!$D$9</f>
        <v>7.1691459999999999E-2</v>
      </c>
      <c r="AA31" s="28">
        <f>Variables!$D$9</f>
        <v>7.1691459999999999E-2</v>
      </c>
    </row>
    <row r="32" spans="1:29" x14ac:dyDescent="0.25">
      <c r="A32" s="25">
        <f>MAX($A$26:A31)+1</f>
        <v>16</v>
      </c>
      <c r="B32" s="2" t="s">
        <v>31</v>
      </c>
      <c r="C32" s="132">
        <f t="shared" ref="C32:N32" si="15">C29*C31/12</f>
        <v>0</v>
      </c>
      <c r="D32" s="132">
        <f t="shared" si="15"/>
        <v>0</v>
      </c>
      <c r="E32" s="132">
        <f t="shared" si="15"/>
        <v>0</v>
      </c>
      <c r="F32" s="132">
        <f t="shared" si="15"/>
        <v>0</v>
      </c>
      <c r="G32" s="132">
        <f t="shared" si="15"/>
        <v>0</v>
      </c>
      <c r="H32" s="132">
        <f t="shared" si="15"/>
        <v>0</v>
      </c>
      <c r="I32" s="132">
        <f t="shared" si="15"/>
        <v>0</v>
      </c>
      <c r="J32" s="132">
        <f t="shared" si="15"/>
        <v>0</v>
      </c>
      <c r="K32" s="132">
        <f t="shared" si="15"/>
        <v>0</v>
      </c>
      <c r="L32" s="132">
        <f t="shared" si="15"/>
        <v>0</v>
      </c>
      <c r="M32" s="132">
        <f t="shared" si="15"/>
        <v>0</v>
      </c>
      <c r="N32" s="132">
        <f t="shared" si="15"/>
        <v>0</v>
      </c>
      <c r="O32" s="132">
        <f>O29*O31/12</f>
        <v>1691543.7502234466</v>
      </c>
      <c r="P32" s="132">
        <f>P29*P31/12</f>
        <v>2032647.6015301419</v>
      </c>
      <c r="Q32" s="132">
        <f t="shared" ref="Q32:AA32" si="16">Q29*Q31/12</f>
        <v>2366197.6049070586</v>
      </c>
      <c r="R32" s="132">
        <f t="shared" si="16"/>
        <v>2537677.7305730935</v>
      </c>
      <c r="S32" s="132">
        <f t="shared" si="16"/>
        <v>2826490.3835589341</v>
      </c>
      <c r="T32" s="132">
        <f t="shared" si="16"/>
        <v>2800399.1330833994</v>
      </c>
      <c r="U32" s="132">
        <f t="shared" si="16"/>
        <v>3320055.0834148768</v>
      </c>
      <c r="V32" s="132">
        <f t="shared" si="16"/>
        <v>3470959.7893690784</v>
      </c>
      <c r="W32" s="132">
        <f t="shared" si="16"/>
        <v>3464188.7293101978</v>
      </c>
      <c r="X32" s="132">
        <f t="shared" si="16"/>
        <v>3498392.2727921628</v>
      </c>
      <c r="Y32" s="132">
        <f t="shared" si="16"/>
        <v>3471398.8906984399</v>
      </c>
      <c r="Z32" s="132">
        <f t="shared" si="16"/>
        <v>3478851.0932898992</v>
      </c>
      <c r="AA32" s="132">
        <f t="shared" si="16"/>
        <v>3446097.9088236275</v>
      </c>
    </row>
    <row r="33" spans="1:29" x14ac:dyDescent="0.25">
      <c r="A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9" x14ac:dyDescent="0.25">
      <c r="A34" s="25">
        <f>MAX($A$8:A33)+1</f>
        <v>17</v>
      </c>
      <c r="B34" s="2" t="s">
        <v>32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9">
        <f>O16</f>
        <v>3.3046077296287953E-2</v>
      </c>
      <c r="P34" s="29">
        <f t="shared" ref="P34:AA34" si="17">P16</f>
        <v>4.8360784328803093E-2</v>
      </c>
      <c r="Q34" s="29">
        <f t="shared" si="17"/>
        <v>4.8360784328803093E-2</v>
      </c>
      <c r="R34" s="29">
        <f t="shared" si="17"/>
        <v>4.8360784328803093E-2</v>
      </c>
      <c r="S34" s="29">
        <f t="shared" si="17"/>
        <v>4.8360784328803093E-2</v>
      </c>
      <c r="T34" s="29">
        <f t="shared" si="17"/>
        <v>4.8360784328803093E-2</v>
      </c>
      <c r="U34" s="29">
        <f t="shared" si="17"/>
        <v>4.8360784328803093E-2</v>
      </c>
      <c r="V34" s="29">
        <f t="shared" si="17"/>
        <v>4.8360784328803093E-2</v>
      </c>
      <c r="W34" s="29">
        <f t="shared" si="17"/>
        <v>4.8360784328803093E-2</v>
      </c>
      <c r="X34" s="29">
        <f t="shared" si="17"/>
        <v>4.8360784328803093E-2</v>
      </c>
      <c r="Y34" s="29">
        <f t="shared" si="17"/>
        <v>4.8360784328803093E-2</v>
      </c>
      <c r="Z34" s="29">
        <f t="shared" si="17"/>
        <v>4.8360784328803093E-2</v>
      </c>
      <c r="AA34" s="29">
        <f t="shared" si="17"/>
        <v>4.8360784328803093E-2</v>
      </c>
    </row>
    <row r="35" spans="1:29" x14ac:dyDescent="0.25">
      <c r="A35" s="25">
        <f>MAX($A$8:A34)+1</f>
        <v>18</v>
      </c>
      <c r="B35" s="2" t="s">
        <v>33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f>(((O26+N26)/2)*O34)/12</f>
        <v>393685.6942422053</v>
      </c>
      <c r="P35" s="132">
        <f t="shared" ref="P35:AA35" si="18">(((P26+O26)/2)*P34)/12</f>
        <v>1272633.2374534591</v>
      </c>
      <c r="Q35" s="132">
        <f t="shared" si="18"/>
        <v>1512026.3073414024</v>
      </c>
      <c r="R35" s="132">
        <f t="shared" si="18"/>
        <v>1697084.5560548829</v>
      </c>
      <c r="S35" s="132">
        <f t="shared" si="18"/>
        <v>1868799.4105543932</v>
      </c>
      <c r="T35" s="132">
        <f t="shared" si="18"/>
        <v>1974482.6538108587</v>
      </c>
      <c r="U35" s="48">
        <f t="shared" si="18"/>
        <v>2162543.3743637726</v>
      </c>
      <c r="V35" s="48">
        <f t="shared" si="18"/>
        <v>2412297.7803379791</v>
      </c>
      <c r="W35" s="48">
        <f t="shared" si="18"/>
        <v>2482781.1013815547</v>
      </c>
      <c r="X35" s="48">
        <f t="shared" si="18"/>
        <v>2515055.9616131666</v>
      </c>
      <c r="Y35" s="48">
        <f t="shared" si="18"/>
        <v>2540105.4105525254</v>
      </c>
      <c r="Z35" s="48">
        <f t="shared" si="18"/>
        <v>2555174.5686848708</v>
      </c>
      <c r="AA35" s="48">
        <f t="shared" si="18"/>
        <v>2568679.5024871859</v>
      </c>
    </row>
    <row r="36" spans="1:29" s="27" customFormat="1" x14ac:dyDescent="0.25">
      <c r="A36" s="112"/>
      <c r="B36" s="101" t="s">
        <v>45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31">
        <f>O26/$AA$26*O18</f>
        <v>306775.71934919001</v>
      </c>
      <c r="P36" s="131">
        <f>P26/$AA$26*P18</f>
        <v>370867.64446409326</v>
      </c>
      <c r="Q36" s="131">
        <f t="shared" ref="Q36:AA36" si="19">Q26/$AA$26*Q18</f>
        <v>434246.1643904206</v>
      </c>
      <c r="R36" s="131">
        <f t="shared" si="19"/>
        <v>469406.24181404995</v>
      </c>
      <c r="S36" s="131">
        <f t="shared" si="19"/>
        <v>525679.7590783888</v>
      </c>
      <c r="T36" s="131">
        <f t="shared" si="19"/>
        <v>525679.7590783888</v>
      </c>
      <c r="U36" s="113">
        <f t="shared" si="19"/>
        <v>625817.09285699576</v>
      </c>
      <c r="V36" s="113">
        <f t="shared" si="19"/>
        <v>658667.34011171793</v>
      </c>
      <c r="W36" s="113">
        <f t="shared" si="19"/>
        <v>663347.58739309118</v>
      </c>
      <c r="X36" s="113">
        <f t="shared" si="19"/>
        <v>675852.84510270541</v>
      </c>
      <c r="Y36" s="113">
        <f t="shared" si="19"/>
        <v>676685.75297086779</v>
      </c>
      <c r="Z36" s="113">
        <f t="shared" si="19"/>
        <v>683876.77116884349</v>
      </c>
      <c r="AA36" s="113">
        <f t="shared" si="19"/>
        <v>683876.77116884349</v>
      </c>
      <c r="AC36" s="124"/>
    </row>
    <row r="37" spans="1:29" s="27" customFormat="1" x14ac:dyDescent="0.25">
      <c r="A37" s="112"/>
      <c r="B37" s="101" t="s">
        <v>34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31">
        <f>-0.21*(O36+O35)</f>
        <v>-147096.89685419301</v>
      </c>
      <c r="P37" s="131">
        <f t="shared" ref="P37:AA37" si="20">-0.21*(P36+P35)</f>
        <v>-345135.185202686</v>
      </c>
      <c r="Q37" s="131">
        <f t="shared" si="20"/>
        <v>-408717.21906368283</v>
      </c>
      <c r="R37" s="131">
        <f t="shared" si="20"/>
        <v>-454963.0675524759</v>
      </c>
      <c r="S37" s="131">
        <f t="shared" si="20"/>
        <v>-502840.62562288425</v>
      </c>
      <c r="T37" s="131">
        <f t="shared" si="20"/>
        <v>-525034.10670674196</v>
      </c>
      <c r="U37" s="113">
        <f t="shared" si="20"/>
        <v>-585555.69811636128</v>
      </c>
      <c r="V37" s="113">
        <f t="shared" si="20"/>
        <v>-644902.6752944364</v>
      </c>
      <c r="W37" s="113">
        <f t="shared" si="20"/>
        <v>-660687.02464267565</v>
      </c>
      <c r="X37" s="113">
        <f t="shared" si="20"/>
        <v>-670090.84941033309</v>
      </c>
      <c r="Y37" s="113">
        <f t="shared" si="20"/>
        <v>-675526.14433991257</v>
      </c>
      <c r="Z37" s="113">
        <f t="shared" si="20"/>
        <v>-680200.78136927995</v>
      </c>
      <c r="AA37" s="113">
        <f t="shared" si="20"/>
        <v>-683036.81746776612</v>
      </c>
      <c r="AC37" s="124"/>
    </row>
    <row r="38" spans="1:29" x14ac:dyDescent="0.25">
      <c r="A38" s="25">
        <f>MAX($A$8:A35)+1</f>
        <v>19</v>
      </c>
      <c r="B38" s="27" t="s">
        <v>35</v>
      </c>
      <c r="C38" s="135">
        <f t="shared" ref="C38:N38" si="21">C32+C35</f>
        <v>0</v>
      </c>
      <c r="D38" s="135">
        <f t="shared" si="21"/>
        <v>0</v>
      </c>
      <c r="E38" s="135">
        <f t="shared" si="21"/>
        <v>0</v>
      </c>
      <c r="F38" s="135">
        <f t="shared" si="21"/>
        <v>0</v>
      </c>
      <c r="G38" s="135">
        <f t="shared" si="21"/>
        <v>0</v>
      </c>
      <c r="H38" s="135">
        <f t="shared" si="21"/>
        <v>0</v>
      </c>
      <c r="I38" s="135">
        <f t="shared" si="21"/>
        <v>0</v>
      </c>
      <c r="J38" s="135">
        <f t="shared" si="21"/>
        <v>0</v>
      </c>
      <c r="K38" s="135">
        <f t="shared" si="21"/>
        <v>0</v>
      </c>
      <c r="L38" s="135">
        <f t="shared" si="21"/>
        <v>0</v>
      </c>
      <c r="M38" s="135">
        <f t="shared" si="21"/>
        <v>0</v>
      </c>
      <c r="N38" s="135">
        <f t="shared" si="21"/>
        <v>0</v>
      </c>
      <c r="O38" s="135">
        <f>(O32+O35)/Variables!$C$34</f>
        <v>2768677.4805359514</v>
      </c>
      <c r="P38" s="135">
        <f>(P32+P35)/Variables!$C$34</f>
        <v>4388608.9610085655</v>
      </c>
      <c r="Q38" s="135">
        <f>(Q32+Q35)/Variables!$C$34</f>
        <v>5149337.9967449531</v>
      </c>
      <c r="R38" s="135">
        <f>(R32+R35)/Variables!$C$34</f>
        <v>5622734.2317306995</v>
      </c>
      <c r="S38" s="135">
        <f>(S32+S35)/Variables!$C$34</f>
        <v>6234202.740640413</v>
      </c>
      <c r="T38" s="135">
        <f>(T32+T35)/Variables!$C$34</f>
        <v>6339881.5466962205</v>
      </c>
      <c r="U38" s="47">
        <f>(U32+U35+U36+U37)/Variables!$C$34</f>
        <v>7333014.475893626</v>
      </c>
      <c r="V38" s="47">
        <f>(V32+V35+V36+V37)/Variables!$C$34</f>
        <v>7829811.1060536923</v>
      </c>
      <c r="W38" s="47">
        <f>(W32+W35+W36+W37)/Variables!$C$34</f>
        <v>7899661.9444229817</v>
      </c>
      <c r="X38" s="47">
        <f>(X32+X35+X36+X37)/Variables!$C$34</f>
        <v>7992047.0425515529</v>
      </c>
      <c r="Y38" s="47">
        <f>(Y32+Y35+Y36+Y37)/Variables!$C$34</f>
        <v>7983355.1216649013</v>
      </c>
      <c r="Z38" s="47">
        <f>(Z32+Z35+Z36+Z37)/Variables!$C$34</f>
        <v>8016599.152591561</v>
      </c>
      <c r="AA38" s="47">
        <f>(AA32+AA35+AA36+AA37)/Variables!$C$34</f>
        <v>7987276.5916641988</v>
      </c>
    </row>
    <row r="39" spans="1:29" ht="13" x14ac:dyDescent="0.3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9" ht="13" x14ac:dyDescent="0.3">
      <c r="A40" s="25">
        <f>MAX($A$8:A39)+1</f>
        <v>20</v>
      </c>
      <c r="B40" s="24" t="s">
        <v>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3">
        <f t="shared" ref="P40:AA40" si="22">P38*$P$52</f>
        <v>342798.81624049955</v>
      </c>
      <c r="Q40" s="133">
        <f t="shared" si="22"/>
        <v>402220.15344486968</v>
      </c>
      <c r="R40" s="133">
        <f t="shared" si="22"/>
        <v>439197.62635431049</v>
      </c>
      <c r="S40" s="133">
        <f t="shared" si="22"/>
        <v>486960.06836837903</v>
      </c>
      <c r="T40" s="133">
        <f t="shared" si="22"/>
        <v>495214.74996327661</v>
      </c>
      <c r="U40" s="49">
        <f t="shared" si="22"/>
        <v>572789.3973112352</v>
      </c>
      <c r="V40" s="49">
        <f t="shared" si="22"/>
        <v>611594.69945690699</v>
      </c>
      <c r="W40" s="49">
        <f t="shared" si="22"/>
        <v>617050.82118457532</v>
      </c>
      <c r="X40" s="49">
        <f t="shared" si="22"/>
        <v>624267.11740921286</v>
      </c>
      <c r="Y40" s="49">
        <f t="shared" si="22"/>
        <v>623588.18241699261</v>
      </c>
      <c r="Z40" s="49">
        <f t="shared" si="22"/>
        <v>626184.90829299833</v>
      </c>
      <c r="AA40" s="49">
        <f t="shared" si="22"/>
        <v>623894.4925224554</v>
      </c>
    </row>
    <row r="41" spans="1:29" ht="13" x14ac:dyDescent="0.3">
      <c r="A41" s="25"/>
      <c r="B41" s="2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9" ht="13" x14ac:dyDescent="0.3">
      <c r="A42" s="25">
        <f>MAX($A$8:A41)+1</f>
        <v>21</v>
      </c>
      <c r="B42" s="27" t="s">
        <v>47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50">
        <f>P26/$AA$26</f>
        <v>0.54230185919347318</v>
      </c>
      <c r="Q42" s="50">
        <f t="shared" ref="Q42:AA42" si="23">Q26/$AA$26</f>
        <v>0.63497721036529964</v>
      </c>
      <c r="R42" s="50">
        <f t="shared" si="23"/>
        <v>0.68639009482917124</v>
      </c>
      <c r="S42" s="50">
        <f t="shared" si="23"/>
        <v>0.76867614348112268</v>
      </c>
      <c r="T42" s="50">
        <f t="shared" si="23"/>
        <v>0.76867614348112268</v>
      </c>
      <c r="U42" s="50">
        <f t="shared" si="23"/>
        <v>0.91510213424471865</v>
      </c>
      <c r="V42" s="50">
        <f t="shared" si="23"/>
        <v>0.9631374655202295</v>
      </c>
      <c r="W42" s="50">
        <f t="shared" si="23"/>
        <v>0.96998116526071654</v>
      </c>
      <c r="X42" s="50">
        <f t="shared" si="23"/>
        <v>0.98826700013158209</v>
      </c>
      <c r="Y42" s="50">
        <f t="shared" si="23"/>
        <v>0.98948492111278297</v>
      </c>
      <c r="Z42" s="50">
        <f t="shared" si="23"/>
        <v>1</v>
      </c>
      <c r="AA42" s="50">
        <f t="shared" si="23"/>
        <v>1</v>
      </c>
    </row>
    <row r="43" spans="1:29" ht="13" x14ac:dyDescent="0.3">
      <c r="A43" s="25"/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9" ht="13" x14ac:dyDescent="0.3">
      <c r="A44" s="25">
        <f>MAX($A$8:A43)+1</f>
        <v>22</v>
      </c>
      <c r="B44" s="27" t="s">
        <v>48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36">
        <v>60204.849417459838</v>
      </c>
      <c r="Q44" s="136">
        <f>P44</f>
        <v>60204.849417459838</v>
      </c>
      <c r="R44" s="136">
        <f t="shared" ref="R44:AA44" si="24">Q44</f>
        <v>60204.849417459838</v>
      </c>
      <c r="S44" s="136">
        <f t="shared" si="24"/>
        <v>60204.849417459838</v>
      </c>
      <c r="T44" s="136">
        <f t="shared" si="24"/>
        <v>60204.849417459838</v>
      </c>
      <c r="U44" s="136">
        <f t="shared" si="24"/>
        <v>60204.849417459838</v>
      </c>
      <c r="V44" s="136">
        <f t="shared" si="24"/>
        <v>60204.849417459838</v>
      </c>
      <c r="W44" s="136">
        <f t="shared" si="24"/>
        <v>60204.849417459838</v>
      </c>
      <c r="X44" s="136">
        <f t="shared" si="24"/>
        <v>60204.849417459838</v>
      </c>
      <c r="Y44" s="136">
        <f t="shared" si="24"/>
        <v>60204.849417459838</v>
      </c>
      <c r="Z44" s="136">
        <f t="shared" si="24"/>
        <v>60204.849417459838</v>
      </c>
      <c r="AA44" s="136">
        <f t="shared" si="24"/>
        <v>60204.849417459838</v>
      </c>
    </row>
    <row r="45" spans="1:29" x14ac:dyDescent="0.25">
      <c r="A45" s="25">
        <f>MAX($A$8:A44)+1</f>
        <v>23</v>
      </c>
      <c r="B45" s="27" t="s">
        <v>49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08">
        <f>P44*(1-P42)</f>
        <v>27555.647645908277</v>
      </c>
      <c r="Q45" s="108">
        <f t="shared" ref="Q45:AA45" si="25">Q44*(1-Q42)</f>
        <v>21976.142083898256</v>
      </c>
      <c r="R45" s="108">
        <f t="shared" si="25"/>
        <v>18880.837116633604</v>
      </c>
      <c r="S45" s="108">
        <f t="shared" si="25"/>
        <v>13926.817948385094</v>
      </c>
      <c r="T45" s="108">
        <f t="shared" si="25"/>
        <v>13926.817948385094</v>
      </c>
      <c r="U45" s="108">
        <f t="shared" si="25"/>
        <v>5111.2632236604341</v>
      </c>
      <c r="V45" s="137">
        <f t="shared" si="25"/>
        <v>2219.3033375005043</v>
      </c>
      <c r="W45" s="137">
        <f t="shared" si="25"/>
        <v>1807.279425166173</v>
      </c>
      <c r="X45" s="137">
        <f t="shared" si="25"/>
        <v>706.38349029317669</v>
      </c>
      <c r="Y45" s="137">
        <f t="shared" si="25"/>
        <v>633.05874101761265</v>
      </c>
      <c r="Z45" s="137">
        <f t="shared" si="25"/>
        <v>0</v>
      </c>
      <c r="AA45" s="137">
        <f t="shared" si="25"/>
        <v>0</v>
      </c>
    </row>
    <row r="46" spans="1:29" ht="13" x14ac:dyDescent="0.3">
      <c r="A46" s="25">
        <f>MAX($A$8:A45)+1</f>
        <v>24</v>
      </c>
      <c r="B46" s="24" t="s">
        <v>50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138">
        <f>P45/Variables!$C$34</f>
        <v>36587.197299220978</v>
      </c>
      <c r="Q46" s="138">
        <f>Q45/Variables!$C$34</f>
        <v>29178.971099911381</v>
      </c>
      <c r="R46" s="138">
        <f>R45/Variables!$C$34</f>
        <v>25069.159020956788</v>
      </c>
      <c r="S46" s="138">
        <f>S45/Variables!$C$34</f>
        <v>18491.426606101169</v>
      </c>
      <c r="T46" s="138">
        <f>T45/Variables!$C$34</f>
        <v>18491.426606101169</v>
      </c>
      <c r="U46" s="138">
        <f>U45/Variables!$C$34</f>
        <v>6786.5142716064984</v>
      </c>
      <c r="V46" s="138">
        <f>V45/Variables!$C$34</f>
        <v>2946.6949976770952</v>
      </c>
      <c r="W46" s="138">
        <f>W45/Variables!$C$34</f>
        <v>2399.6274648691137</v>
      </c>
      <c r="X46" s="138">
        <f>X45/Variables!$C$34</f>
        <v>937.90545083074642</v>
      </c>
      <c r="Y46" s="138">
        <f>Y45/Variables!$C$34</f>
        <v>840.5480196741853</v>
      </c>
      <c r="Z46" s="138">
        <f>Z45/Variables!$C$34</f>
        <v>0</v>
      </c>
      <c r="AA46" s="138">
        <f>AA45/Variables!$C$34</f>
        <v>0</v>
      </c>
    </row>
    <row r="47" spans="1:29" ht="13" x14ac:dyDescent="0.3">
      <c r="A47" s="25"/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9" s="22" customFormat="1" ht="13" x14ac:dyDescent="0.3">
      <c r="A48" s="19" t="s">
        <v>40</v>
      </c>
      <c r="B48" s="2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21">
        <v>44197</v>
      </c>
      <c r="Q48" s="21">
        <v>44228</v>
      </c>
      <c r="R48" s="21">
        <v>44256</v>
      </c>
      <c r="S48" s="21">
        <v>44287</v>
      </c>
      <c r="T48" s="21">
        <v>44317</v>
      </c>
      <c r="U48" s="21">
        <v>44348</v>
      </c>
      <c r="V48" s="21">
        <v>44378</v>
      </c>
      <c r="W48" s="21">
        <v>44409</v>
      </c>
      <c r="X48" s="21">
        <v>44440</v>
      </c>
      <c r="Y48" s="21">
        <v>44470</v>
      </c>
      <c r="Z48" s="21">
        <v>44501</v>
      </c>
      <c r="AA48" s="21">
        <v>44531</v>
      </c>
      <c r="AC48" s="119"/>
    </row>
    <row r="49" spans="1:29" s="22" customFormat="1" ht="13.5" thickBot="1" x14ac:dyDescent="0.35">
      <c r="A49" s="25">
        <f>MAX($A$8:A48)+1</f>
        <v>25</v>
      </c>
      <c r="B49" s="2" t="s">
        <v>41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8">
        <f>(P40-P22)+P46</f>
        <v>-242559.32763495113</v>
      </c>
      <c r="Q49" s="48">
        <f t="shared" ref="Q49:AA49" si="26">(Q40-Q22)+Q46</f>
        <v>-190546.21662989061</v>
      </c>
      <c r="R49" s="48">
        <f t="shared" si="26"/>
        <v>-157678.55579940439</v>
      </c>
      <c r="S49" s="48">
        <f t="shared" si="26"/>
        <v>-116493.84620019146</v>
      </c>
      <c r="T49" s="48">
        <f t="shared" si="26"/>
        <v>-108239.16460529387</v>
      </c>
      <c r="U49" s="48">
        <f t="shared" si="26"/>
        <v>-42369.429591829961</v>
      </c>
      <c r="V49" s="48">
        <f t="shared" si="26"/>
        <v>-7403.9467200875697</v>
      </c>
      <c r="W49" s="48">
        <f t="shared" si="26"/>
        <v>-2494.8925252272206</v>
      </c>
      <c r="X49" s="48">
        <f t="shared" si="26"/>
        <v>3259.6816853719511</v>
      </c>
      <c r="Y49" s="48">
        <f t="shared" si="26"/>
        <v>2483.3892619951375</v>
      </c>
      <c r="Z49" s="48">
        <f t="shared" si="26"/>
        <v>4239.5671183266677</v>
      </c>
      <c r="AA49" s="48">
        <f t="shared" si="26"/>
        <v>1949.1513477837434</v>
      </c>
      <c r="AC49" s="119"/>
    </row>
    <row r="50" spans="1:29" ht="13.5" thickBot="1" x14ac:dyDescent="0.35">
      <c r="A50" s="25">
        <f>MAX($A$8:A49)+1</f>
        <v>26</v>
      </c>
      <c r="B50" s="2" t="s">
        <v>42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8">
        <f>O50+P49</f>
        <v>-242559.32763495113</v>
      </c>
      <c r="Q50" s="48">
        <f t="shared" ref="Q50:AA50" si="27">P50+Q49</f>
        <v>-433105.54426484171</v>
      </c>
      <c r="R50" s="48">
        <f t="shared" si="27"/>
        <v>-590784.1000642461</v>
      </c>
      <c r="S50" s="48">
        <f t="shared" si="27"/>
        <v>-707277.94626443752</v>
      </c>
      <c r="T50" s="48">
        <f t="shared" si="27"/>
        <v>-815517.1108697314</v>
      </c>
      <c r="U50" s="48">
        <f t="shared" si="27"/>
        <v>-857886.54046156141</v>
      </c>
      <c r="V50" s="48">
        <f t="shared" si="27"/>
        <v>-865290.48718164896</v>
      </c>
      <c r="W50" s="48">
        <f t="shared" si="27"/>
        <v>-867785.37970687624</v>
      </c>
      <c r="X50" s="48">
        <f t="shared" si="27"/>
        <v>-864525.69802150433</v>
      </c>
      <c r="Y50" s="48">
        <f t="shared" si="27"/>
        <v>-862042.30875950924</v>
      </c>
      <c r="Z50" s="48">
        <f t="shared" si="27"/>
        <v>-857802.74164118257</v>
      </c>
      <c r="AA50" s="109">
        <f t="shared" si="27"/>
        <v>-855853.59029339883</v>
      </c>
    </row>
    <row r="52" spans="1:29" ht="13" x14ac:dyDescent="0.3">
      <c r="B52" s="37" t="s">
        <v>43</v>
      </c>
      <c r="P52" s="41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8CDEC5-A590-45B5-9A02-AD3465F89508}"/>
</file>

<file path=customXml/itemProps2.xml><?xml version="1.0" encoding="utf-8"?>
<ds:datastoreItem xmlns:ds="http://schemas.openxmlformats.org/officeDocument/2006/customXml" ds:itemID="{BE69437D-8264-46B6-8327-04A939D2ADD2}"/>
</file>

<file path=customXml/itemProps3.xml><?xml version="1.0" encoding="utf-8"?>
<ds:datastoreItem xmlns:ds="http://schemas.openxmlformats.org/officeDocument/2006/customXml" ds:itemID="{7692413E-045C-4169-A038-9C5DABCBDD2F}"/>
</file>

<file path=customXml/itemProps4.xml><?xml version="1.0" encoding="utf-8"?>
<ds:datastoreItem xmlns:ds="http://schemas.openxmlformats.org/officeDocument/2006/customXml" ds:itemID="{82BBE06F-51F6-49D6-A3F7-7267CE8F5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2021-12-29T00:24:49Z</dcterms:created>
  <dcterms:modified xsi:type="dcterms:W3CDTF">2021-12-29T01:28:35Z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