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30870" yWindow="140" windowWidth="24170" windowHeight="13410"/>
  </bookViews>
  <sheets>
    <sheet name="EIM benefit calculation" sheetId="1" r:id="rId1"/>
    <sheet name="EIM monthly data" sheetId="7" r:id="rId2"/>
    <sheet name="EIM bootstrap" sheetId="5" r:id="rId3"/>
    <sheet name="E3 Study" sheetId="6" r:id="rId4"/>
  </sheets>
  <definedNames>
    <definedName name="_xlnm._FilterDatabase" localSheetId="1" hidden="1">'EIM monthly data'!$A$1:$F$29</definedName>
    <definedName name="average_monthly" localSheetId="1">'EIM monthly data'!$B$32</definedName>
    <definedName name="avg_no_out" localSheetId="1">'EIM monthly data'!$C$28</definedName>
    <definedName name="Avista_per">'EIM benefit calculation'!$C$11</definedName>
    <definedName name="bootmin" localSheetId="1">'EIM monthly data'!$B$34</definedName>
    <definedName name="lb" localSheetId="1">'EIM monthly data'!$B$36</definedName>
    <definedName name="outlier_cutoff">'EIM monthly data'!$B$35</definedName>
    <definedName name="std_dist" localSheetId="1">'EIM monthly data'!$B$35</definedName>
    <definedName name="ub" localSheetId="1">'EIM monthly data'!$B$37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7" l="1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" i="7"/>
  <c r="F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" i="7"/>
  <c r="C15" i="1"/>
  <c r="C16" i="1" s="1"/>
  <c r="D16" i="1" s="1"/>
  <c r="B6" i="1"/>
  <c r="C6" i="1" s="1"/>
  <c r="B5" i="1"/>
  <c r="C5" i="1" s="1"/>
  <c r="B4" i="1"/>
  <c r="C4" i="1" s="1"/>
  <c r="E3" i="7"/>
  <c r="D3" i="7" s="1"/>
  <c r="E4" i="7"/>
  <c r="D4" i="7" s="1"/>
  <c r="E5" i="7"/>
  <c r="D5" i="7" s="1"/>
  <c r="E6" i="7"/>
  <c r="D6" i="7" s="1"/>
  <c r="E7" i="7"/>
  <c r="D7" i="7" s="1"/>
  <c r="E8" i="7"/>
  <c r="D8" i="7" s="1"/>
  <c r="E9" i="7"/>
  <c r="D9" i="7" s="1"/>
  <c r="E10" i="7"/>
  <c r="D10" i="7" s="1"/>
  <c r="E11" i="7"/>
  <c r="D11" i="7" s="1"/>
  <c r="E12" i="7"/>
  <c r="D12" i="7" s="1"/>
  <c r="E13" i="7"/>
  <c r="D13" i="7" s="1"/>
  <c r="E14" i="7"/>
  <c r="D14" i="7" s="1"/>
  <c r="E15" i="7"/>
  <c r="D15" i="7" s="1"/>
  <c r="E16" i="7"/>
  <c r="D16" i="7" s="1"/>
  <c r="E17" i="7"/>
  <c r="D17" i="7" s="1"/>
  <c r="E18" i="7"/>
  <c r="D18" i="7" s="1"/>
  <c r="E19" i="7"/>
  <c r="D19" i="7" s="1"/>
  <c r="E20" i="7"/>
  <c r="D20" i="7" s="1"/>
  <c r="E21" i="7"/>
  <c r="D21" i="7" s="1"/>
  <c r="E22" i="7"/>
  <c r="D22" i="7" s="1"/>
  <c r="E23" i="7"/>
  <c r="D23" i="7" s="1"/>
  <c r="E24" i="7"/>
  <c r="D24" i="7" s="1"/>
  <c r="E25" i="7"/>
  <c r="D25" i="7" s="1"/>
  <c r="E26" i="7"/>
  <c r="D26" i="7" s="1"/>
  <c r="E2" i="7"/>
  <c r="D2" i="7" s="1"/>
  <c r="D40" i="7"/>
  <c r="C27" i="7"/>
  <c r="I3" i="7"/>
  <c r="I2" i="7"/>
  <c r="J2" i="7" s="1"/>
  <c r="C3" i="6"/>
  <c r="E2" i="6"/>
  <c r="C11" i="1"/>
  <c r="D15" i="1" l="1"/>
  <c r="C28" i="7"/>
  <c r="B7" i="1" s="1"/>
  <c r="C7" i="1" s="1"/>
</calcChain>
</file>

<file path=xl/sharedStrings.xml><?xml version="1.0" encoding="utf-8"?>
<sst xmlns="http://schemas.openxmlformats.org/spreadsheetml/2006/main" count="76" uniqueCount="73">
  <si>
    <t>average</t>
  </si>
  <si>
    <t>Avista % of system</t>
  </si>
  <si>
    <t>year</t>
  </si>
  <si>
    <t>month</t>
  </si>
  <si>
    <t>value</t>
  </si>
  <si>
    <t>outlier</t>
  </si>
  <si>
    <t>&gt;&gt; run EIMbootstrap</t>
  </si>
  <si>
    <t>bootsize = 1000000</t>
  </si>
  <si>
    <t>Octave output:</t>
  </si>
  <si>
    <t>EIMbootstrap.m</t>
  </si>
  <si>
    <t>tic();</t>
  </si>
  <si>
    <t>% Paste data</t>
  </si>
  <si>
    <t>EIMdata = [1.95,1.98,1.72,1.46,0.92,2.33,3.99,1.60,2.43,5.70,2.84,1.65,1.89,2.44,1.50,1.04,1.71,1.77,1.71,2.37,1.17,0.76,6.40,0.56,0.83];</t>
  </si>
  <si>
    <t>% Get size of original sample</t>
  </si>
  <si>
    <t>datasize = length(EIMdata);</t>
  </si>
  <si>
    <t>% Size of bootstrap</t>
  </si>
  <si>
    <t>% Create indices for bootstrap</t>
  </si>
  <si>
    <t>bootindex = randi(datasize, bootsize*datasize, 1);</t>
  </si>
  <si>
    <t>% Get sample from original data and reshape</t>
  </si>
  <si>
    <t>bootsamp = reshape(EIMdata(bootindex), datasize, bootsize);</t>
  </si>
  <si>
    <t>% Get bootstrapped sample means</t>
  </si>
  <si>
    <t>sample_means = mean(bootsamp);</t>
  </si>
  <si>
    <t>bootmean = mean(sample_means)</t>
  </si>
  <si>
    <t>% Find 95% confidence interval for mean</t>
  </si>
  <si>
    <t>lb = bootmean-1.96*bootstd</t>
  </si>
  <si>
    <t>ub = bootmean+1.96*bootstd</t>
  </si>
  <si>
    <t>toc()</t>
  </si>
  <si>
    <t>Bootstrap results</t>
  </si>
  <si>
    <t>mean</t>
  </si>
  <si>
    <t>std</t>
  </si>
  <si>
    <t>average no outliers</t>
  </si>
  <si>
    <t>data from https://www.westerneim.com/Pages/About/QuarterlyBenefits.aspx</t>
  </si>
  <si>
    <t>BAA benefit</t>
  </si>
  <si>
    <t>Avista benefit</t>
  </si>
  <si>
    <t>EIM annual benefits estimate ($M)</t>
  </si>
  <si>
    <t>Monthly autocorrelation</t>
  </si>
  <si>
    <t>Data from EIA MWh sales 2022. Avista sales (9,517,690), BAA total sales (10,820,065)</t>
  </si>
  <si>
    <t>Lower bound (95% confidence interval)</t>
  </si>
  <si>
    <t>Average</t>
  </si>
  <si>
    <t>Upper bound (95% confidence interval)</t>
  </si>
  <si>
    <t>Average no outliers</t>
  </si>
  <si>
    <t>bootmin = min(sample_means)</t>
  </si>
  <si>
    <t>min</t>
  </si>
  <si>
    <t>Minimum value from bootstrap annualized ($M)</t>
  </si>
  <si>
    <t>Avista share of min value</t>
  </si>
  <si>
    <t>EIM benefits</t>
  </si>
  <si>
    <t>annualized</t>
  </si>
  <si>
    <t>Avista's Estimate Based on E3 Study</t>
  </si>
  <si>
    <t>$ million</t>
  </si>
  <si>
    <t>https://data.bls.gov/cgi-bin/cpicalc.pl?cost1=5.8&amp;year1=201706&amp;year2=202405</t>
  </si>
  <si>
    <t xml:space="preserve">is </t>
  </si>
  <si>
    <t xml:space="preserve">higher than </t>
  </si>
  <si>
    <t>dist</t>
  </si>
  <si>
    <t>lb*</t>
  </si>
  <si>
    <t>ub*</t>
  </si>
  <si>
    <t>* direct calculation of lb and ub from the means from the resample result in very similar numbers</t>
  </si>
  <si>
    <t>outlier cutoff</t>
  </si>
  <si>
    <t>(standard error)</t>
  </si>
  <si>
    <t>% Get 95% confidence interval directly</t>
  </si>
  <si>
    <t>sample_means = sort(sample_means);</t>
  </si>
  <si>
    <t>lb2 = sample_means(bootsize*.025)</t>
  </si>
  <si>
    <t>ub2 = sample_means(bootsize*.975)</t>
  </si>
  <si>
    <t>bootmean = 2.1089</t>
  </si>
  <si>
    <t>ub2 = 2.6916</t>
  </si>
  <si>
    <t>monthly</t>
  </si>
  <si>
    <t>bootstd = std(sample_means)</t>
  </si>
  <si>
    <t>rand("seed", 1);</t>
  </si>
  <si>
    <t>bootstd = 0.2740</t>
  </si>
  <si>
    <t>bootmin = 1.1720</t>
  </si>
  <si>
    <t>lb = 1.5718</t>
  </si>
  <si>
    <t>ub = 2.6460</t>
  </si>
  <si>
    <t>lb2 = 1.6244</t>
  </si>
  <si>
    <t>Elapsed time is 1.12203 seconds.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</si>
</sst>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164" formatCode="[$-409]mmm\-yy;@"/>
    <numFmt numFmtId="165" formatCode="0.0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2" fontId="0" fillId="0" borderId="0" xfId="0" applyNumberFormat="1"/>
    <xf numFmtId="8" fontId="0" fillId="0" borderId="0" xfId="0" applyNumberFormat="1"/>
    <xf numFmtId="164" fontId="0" fillId="0" borderId="0" xfId="0" applyNumberFormat="1"/>
    <xf numFmtId="1" fontId="0" fillId="0" borderId="0" xfId="0" applyNumberFormat="1"/>
    <xf numFmtId="0" fontId="2" fillId="0" borderId="0" xfId="0" applyFont="1"/>
    <xf numFmtId="2" fontId="0" fillId="0" borderId="1" xfId="0" applyNumberFormat="1" applyBorder="1"/>
    <xf numFmtId="1" fontId="0" fillId="0" borderId="1" xfId="0" applyNumberFormat="1" applyBorder="1"/>
    <xf numFmtId="165" fontId="0" fillId="0" borderId="0" xfId="0" applyNumberFormat="1"/>
    <xf numFmtId="9" fontId="0" fillId="0" borderId="0" xfId="1" applyFont="1" applyFill="1"/>
    <xf numFmtId="9" fontId="0" fillId="0" borderId="0" xfId="1" applyFont="1"/>
    <xf numFmtId="0" fontId="3" fillId="0" borderId="0" xfId="2"/>
    <xf numFmtId="17" fontId="0" fillId="0" borderId="0" xfId="0" applyNumberFormat="1"/>
    <xf numFmtId="0" fontId="0" fillId="0" borderId="0" xfId="0" quotePrefix="1"/>
    <xf numFmtId="0" fontId="2" fillId="0" borderId="1" xfId="0" applyFont="1" applyBorder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'EIM monthly data'!$C$2:$C$26</c:f>
              <c:numCache>
                <c:formatCode>0.00</c:formatCode>
                <c:ptCount val="25"/>
                <c:pt idx="0">
                  <c:v>1.95</c:v>
                </c:pt>
                <c:pt idx="1">
                  <c:v>1.98</c:v>
                </c:pt>
                <c:pt idx="2">
                  <c:v>1.72</c:v>
                </c:pt>
                <c:pt idx="3">
                  <c:v>1.46</c:v>
                </c:pt>
                <c:pt idx="4">
                  <c:v>0.92</c:v>
                </c:pt>
                <c:pt idx="5">
                  <c:v>2.33</c:v>
                </c:pt>
                <c:pt idx="6">
                  <c:v>3.99</c:v>
                </c:pt>
                <c:pt idx="7">
                  <c:v>1.6</c:v>
                </c:pt>
                <c:pt idx="8">
                  <c:v>2.4300000000000002</c:v>
                </c:pt>
                <c:pt idx="9">
                  <c:v>5.7</c:v>
                </c:pt>
                <c:pt idx="10">
                  <c:v>2.84</c:v>
                </c:pt>
                <c:pt idx="11">
                  <c:v>1.65</c:v>
                </c:pt>
                <c:pt idx="12">
                  <c:v>1.89</c:v>
                </c:pt>
                <c:pt idx="13">
                  <c:v>2.44</c:v>
                </c:pt>
                <c:pt idx="14">
                  <c:v>1.5</c:v>
                </c:pt>
                <c:pt idx="15">
                  <c:v>1.04</c:v>
                </c:pt>
                <c:pt idx="16">
                  <c:v>1.71</c:v>
                </c:pt>
                <c:pt idx="17">
                  <c:v>1.77</c:v>
                </c:pt>
                <c:pt idx="18">
                  <c:v>1.71</c:v>
                </c:pt>
                <c:pt idx="19">
                  <c:v>2.37</c:v>
                </c:pt>
                <c:pt idx="20">
                  <c:v>1.17</c:v>
                </c:pt>
                <c:pt idx="21">
                  <c:v>0.76</c:v>
                </c:pt>
                <c:pt idx="22">
                  <c:v>6.4</c:v>
                </c:pt>
                <c:pt idx="23">
                  <c:v>0.56000000000000005</c:v>
                </c:pt>
                <c:pt idx="24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8A-4FBE-B67D-9FA1E4CFF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66506000"/>
        <c:axId val="1466507440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'EIM monthly data'!$F$2:$F$26</c:f>
              <c:numCache>
                <c:formatCode>General</c:formatCode>
                <c:ptCount val="25"/>
                <c:pt idx="0">
                  <c:v>1.3589000000000002</c:v>
                </c:pt>
                <c:pt idx="1">
                  <c:v>1.3589000000000002</c:v>
                </c:pt>
                <c:pt idx="2">
                  <c:v>1.3589000000000002</c:v>
                </c:pt>
                <c:pt idx="3">
                  <c:v>1.3589000000000002</c:v>
                </c:pt>
                <c:pt idx="4">
                  <c:v>1.3589000000000002</c:v>
                </c:pt>
                <c:pt idx="5">
                  <c:v>1.3589000000000002</c:v>
                </c:pt>
                <c:pt idx="6">
                  <c:v>1.3589000000000002</c:v>
                </c:pt>
                <c:pt idx="7">
                  <c:v>1.3589000000000002</c:v>
                </c:pt>
                <c:pt idx="8">
                  <c:v>1.3589000000000002</c:v>
                </c:pt>
                <c:pt idx="9">
                  <c:v>1.3589000000000002</c:v>
                </c:pt>
                <c:pt idx="10">
                  <c:v>1.3589000000000002</c:v>
                </c:pt>
                <c:pt idx="11">
                  <c:v>1.3589000000000002</c:v>
                </c:pt>
                <c:pt idx="12">
                  <c:v>1.3589000000000002</c:v>
                </c:pt>
                <c:pt idx="13">
                  <c:v>1.3589000000000002</c:v>
                </c:pt>
                <c:pt idx="14">
                  <c:v>1.3589000000000002</c:v>
                </c:pt>
                <c:pt idx="15">
                  <c:v>1.3589000000000002</c:v>
                </c:pt>
                <c:pt idx="16">
                  <c:v>1.3589000000000002</c:v>
                </c:pt>
                <c:pt idx="17">
                  <c:v>1.3589000000000002</c:v>
                </c:pt>
                <c:pt idx="18">
                  <c:v>1.3589000000000002</c:v>
                </c:pt>
                <c:pt idx="19">
                  <c:v>1.3589000000000002</c:v>
                </c:pt>
                <c:pt idx="20">
                  <c:v>1.3589000000000002</c:v>
                </c:pt>
                <c:pt idx="21">
                  <c:v>1.3589000000000002</c:v>
                </c:pt>
                <c:pt idx="22">
                  <c:v>1.3589000000000002</c:v>
                </c:pt>
                <c:pt idx="23">
                  <c:v>1.3589000000000002</c:v>
                </c:pt>
                <c:pt idx="24">
                  <c:v>1.3589000000000002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8A-4FBE-B67D-9FA1E4CFF34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'EIM monthly data'!$G$2:$G$26</c:f>
              <c:numCache>
                <c:formatCode>0.00</c:formatCode>
                <c:ptCount val="25"/>
                <c:pt idx="0">
                  <c:v>2.8589000000000002</c:v>
                </c:pt>
                <c:pt idx="1">
                  <c:v>2.8589000000000002</c:v>
                </c:pt>
                <c:pt idx="2">
                  <c:v>2.8589000000000002</c:v>
                </c:pt>
                <c:pt idx="3">
                  <c:v>2.8589000000000002</c:v>
                </c:pt>
                <c:pt idx="4">
                  <c:v>2.8589000000000002</c:v>
                </c:pt>
                <c:pt idx="5">
                  <c:v>2.8589000000000002</c:v>
                </c:pt>
                <c:pt idx="6">
                  <c:v>2.8589000000000002</c:v>
                </c:pt>
                <c:pt idx="7">
                  <c:v>2.8589000000000002</c:v>
                </c:pt>
                <c:pt idx="8">
                  <c:v>2.8589000000000002</c:v>
                </c:pt>
                <c:pt idx="9">
                  <c:v>2.8589000000000002</c:v>
                </c:pt>
                <c:pt idx="10">
                  <c:v>2.8589000000000002</c:v>
                </c:pt>
                <c:pt idx="11">
                  <c:v>2.8589000000000002</c:v>
                </c:pt>
                <c:pt idx="12">
                  <c:v>2.8589000000000002</c:v>
                </c:pt>
                <c:pt idx="13">
                  <c:v>2.8589000000000002</c:v>
                </c:pt>
                <c:pt idx="14">
                  <c:v>2.8589000000000002</c:v>
                </c:pt>
                <c:pt idx="15">
                  <c:v>2.8589000000000002</c:v>
                </c:pt>
                <c:pt idx="16">
                  <c:v>2.8589000000000002</c:v>
                </c:pt>
                <c:pt idx="17">
                  <c:v>2.8589000000000002</c:v>
                </c:pt>
                <c:pt idx="18">
                  <c:v>2.8589000000000002</c:v>
                </c:pt>
                <c:pt idx="19">
                  <c:v>2.8589000000000002</c:v>
                </c:pt>
                <c:pt idx="20">
                  <c:v>2.8589000000000002</c:v>
                </c:pt>
                <c:pt idx="21">
                  <c:v>2.8589000000000002</c:v>
                </c:pt>
                <c:pt idx="22">
                  <c:v>2.8589000000000002</c:v>
                </c:pt>
                <c:pt idx="23">
                  <c:v>2.8589000000000002</c:v>
                </c:pt>
                <c:pt idx="24">
                  <c:v>2.8589000000000002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8A-4FBE-B67D-9FA1E4CFF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6506000"/>
        <c:axId val="1466507440"/>
      </c:lineChart>
      <c:catAx>
        <c:axId val="1466506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6507440"/>
        <c:crosses val="autoZero"/>
        <c:auto val="1"/>
        <c:lblAlgn val="ctr"/>
        <c:lblOffset val="100"/>
        <c:noMultiLvlLbl val="0"/>
      </c:catAx>
      <c:valAx>
        <c:axId val="1466507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$</a:t>
                </a:r>
                <a:r>
                  <a:rPr lang="en-US" baseline="0"/>
                  <a:t> M Monthly EIM Benefit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6506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0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10</xdr:row>
      <xdr:rowOff>147637</xdr:rowOff>
    </xdr:from>
    <xdr:to>
      <xdr:col>16</xdr:col>
      <xdr:colOff>95250</xdr:colOff>
      <xdr:row>25</xdr:row>
      <xdr:rowOff>176212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BF4EF3E-9997-B45F-1283-90536B083F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510541</xdr:colOff>
      <xdr:row>8</xdr:row>
      <xdr:rowOff>112395</xdr:rowOff>
    </xdr:from>
    <xdr:ext cx="3061334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9AE4B84-9B15-2F37-105F-75A520D5DAE5}"/>
            </a:ext>
          </a:extLst>
        </xdr:cNvPr>
        <xdr:cNvSpPr txBox="1"/>
      </xdr:nvSpPr>
      <xdr:spPr>
        <a:xfrm>
          <a:off x="7825741" y="1560195"/>
          <a:ext cx="3061334" cy="264560"/>
        </a:xfrm>
        <a:prstGeom prst="rect">
          <a:avLst/>
        </a:prstGeom>
        <a:solidFill>
          <a:srgbClr val="00B0F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1100" b="1"/>
            <a:t>outliers</a:t>
          </a:r>
        </a:p>
      </xdr:txBody>
    </xdr:sp>
    <xdr:clientData/>
  </xdr:oneCellAnchor>
  <xdr:oneCellAnchor>
    <xdr:from>
      <xdr:col>10</xdr:col>
      <xdr:colOff>514350</xdr:colOff>
      <xdr:row>8</xdr:row>
      <xdr:rowOff>112395</xdr:rowOff>
    </xdr:from>
    <xdr:ext cx="3276599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281E50A-9271-4561-BF40-38C451997AEA}"/>
            </a:ext>
          </a:extLst>
        </xdr:cNvPr>
        <xdr:cNvSpPr txBox="1"/>
      </xdr:nvSpPr>
      <xdr:spPr>
        <a:xfrm>
          <a:off x="7829550" y="1560195"/>
          <a:ext cx="3276599" cy="264560"/>
        </a:xfrm>
        <a:prstGeom prst="rect">
          <a:avLst/>
        </a:prstGeom>
        <a:solidFill>
          <a:srgbClr val="00B0F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1100" b="1"/>
            <a:t>outliers</a:t>
          </a:r>
        </a:p>
      </xdr:txBody>
    </xdr:sp>
    <xdr:clientData/>
  </xdr:oneCellAnchor>
  <xdr:oneCellAnchor>
    <xdr:from>
      <xdr:col>10</xdr:col>
      <xdr:colOff>510540</xdr:colOff>
      <xdr:row>26</xdr:row>
      <xdr:rowOff>135255</xdr:rowOff>
    </xdr:from>
    <xdr:ext cx="3261359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852E24F5-B2F3-407F-9384-DAA3DB162572}"/>
            </a:ext>
          </a:extLst>
        </xdr:cNvPr>
        <xdr:cNvSpPr txBox="1"/>
      </xdr:nvSpPr>
      <xdr:spPr>
        <a:xfrm>
          <a:off x="7825740" y="4840605"/>
          <a:ext cx="3261359" cy="264560"/>
        </a:xfrm>
        <a:prstGeom prst="rect">
          <a:avLst/>
        </a:prstGeom>
        <a:solidFill>
          <a:srgbClr val="FF0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1100" b="1"/>
            <a:t>outliers</a:t>
          </a:r>
        </a:p>
      </xdr:txBody>
    </xdr:sp>
    <xdr:clientData/>
  </xdr:oneCellAnchor>
  <xdr:twoCellAnchor>
    <xdr:from>
      <xdr:col>11</xdr:col>
      <xdr:colOff>333375</xdr:colOff>
      <xdr:row>10</xdr:row>
      <xdr:rowOff>47625</xdr:rowOff>
    </xdr:from>
    <xdr:to>
      <xdr:col>11</xdr:col>
      <xdr:colOff>361950</xdr:colOff>
      <xdr:row>16</xdr:row>
      <xdr:rowOff>114300</xdr:rowOff>
    </xdr:to>
    <xdr:cxnSp macro="">
      <xdr:nvCxnSpPr>
        <xdr:cNvPr id="29" name="Straight Arrow Connector 28">
          <a:extLst>
            <a:ext uri="{FF2B5EF4-FFF2-40B4-BE49-F238E27FC236}">
              <a16:creationId xmlns:a16="http://schemas.microsoft.com/office/drawing/2014/main" id="{11A40EE7-593D-AD7B-F5E3-4D16315AEF84}"/>
            </a:ext>
          </a:extLst>
        </xdr:cNvPr>
        <xdr:cNvCxnSpPr/>
      </xdr:nvCxnSpPr>
      <xdr:spPr>
        <a:xfrm flipV="1">
          <a:off x="8258175" y="1857375"/>
          <a:ext cx="28575" cy="11525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190500</xdr:colOff>
      <xdr:row>10</xdr:row>
      <xdr:rowOff>53340</xdr:rowOff>
    </xdr:from>
    <xdr:to>
      <xdr:col>12</xdr:col>
      <xdr:colOff>205740</xdr:colOff>
      <xdr:row>13</xdr:row>
      <xdr:rowOff>123825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9ECE239D-C669-46EB-B304-C9BACF60707E}"/>
            </a:ext>
          </a:extLst>
        </xdr:cNvPr>
        <xdr:cNvCxnSpPr/>
      </xdr:nvCxnSpPr>
      <xdr:spPr>
        <a:xfrm flipV="1">
          <a:off x="8724900" y="1863090"/>
          <a:ext cx="15240" cy="61341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200025</xdr:colOff>
      <xdr:row>10</xdr:row>
      <xdr:rowOff>57150</xdr:rowOff>
    </xdr:from>
    <xdr:to>
      <xdr:col>15</xdr:col>
      <xdr:colOff>201930</xdr:colOff>
      <xdr:row>12</xdr:row>
      <xdr:rowOff>76200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5FC056B4-EB3B-4577-9758-2FAE5F66A257}"/>
            </a:ext>
          </a:extLst>
        </xdr:cNvPr>
        <xdr:cNvCxnSpPr/>
      </xdr:nvCxnSpPr>
      <xdr:spPr>
        <a:xfrm flipV="1">
          <a:off x="10696575" y="1866900"/>
          <a:ext cx="1905" cy="3810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47625</xdr:colOff>
      <xdr:row>24</xdr:row>
      <xdr:rowOff>85725</xdr:rowOff>
    </xdr:from>
    <xdr:to>
      <xdr:col>11</xdr:col>
      <xdr:colOff>47625</xdr:colOff>
      <xdr:row>26</xdr:row>
      <xdr:rowOff>123825</xdr:rowOff>
    </xdr:to>
    <xdr:cxnSp macro="">
      <xdr:nvCxnSpPr>
        <xdr:cNvPr id="37" name="Straight Arrow Connector 36">
          <a:extLst>
            <a:ext uri="{FF2B5EF4-FFF2-40B4-BE49-F238E27FC236}">
              <a16:creationId xmlns:a16="http://schemas.microsoft.com/office/drawing/2014/main" id="{07A1E5DD-8BC3-2E1E-EE34-05446A3465C2}"/>
            </a:ext>
          </a:extLst>
        </xdr:cNvPr>
        <xdr:cNvCxnSpPr/>
      </xdr:nvCxnSpPr>
      <xdr:spPr>
        <a:xfrm>
          <a:off x="7972425" y="4429125"/>
          <a:ext cx="0" cy="4000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487680</xdr:colOff>
      <xdr:row>24</xdr:row>
      <xdr:rowOff>95250</xdr:rowOff>
    </xdr:from>
    <xdr:to>
      <xdr:col>13</xdr:col>
      <xdr:colOff>487680</xdr:colOff>
      <xdr:row>26</xdr:row>
      <xdr:rowOff>133350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DABC6B9D-6CF8-49BA-8B23-1C76948F0830}"/>
            </a:ext>
          </a:extLst>
        </xdr:cNvPr>
        <xdr:cNvCxnSpPr/>
      </xdr:nvCxnSpPr>
      <xdr:spPr>
        <a:xfrm>
          <a:off x="9631680" y="4438650"/>
          <a:ext cx="0" cy="4000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493395</xdr:colOff>
      <xdr:row>24</xdr:row>
      <xdr:rowOff>91440</xdr:rowOff>
    </xdr:from>
    <xdr:to>
      <xdr:col>14</xdr:col>
      <xdr:colOff>493395</xdr:colOff>
      <xdr:row>26</xdr:row>
      <xdr:rowOff>129540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41A56E4B-6B89-4803-8668-E32F1170343B}"/>
            </a:ext>
          </a:extLst>
        </xdr:cNvPr>
        <xdr:cNvCxnSpPr/>
      </xdr:nvCxnSpPr>
      <xdr:spPr>
        <a:xfrm>
          <a:off x="10380345" y="4434840"/>
          <a:ext cx="0" cy="4000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26670</xdr:colOff>
      <xdr:row>24</xdr:row>
      <xdr:rowOff>91440</xdr:rowOff>
    </xdr:from>
    <xdr:to>
      <xdr:col>15</xdr:col>
      <xdr:colOff>26670</xdr:colOff>
      <xdr:row>26</xdr:row>
      <xdr:rowOff>129540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AF04575C-2C35-465D-B044-1D54D1A25322}"/>
            </a:ext>
          </a:extLst>
        </xdr:cNvPr>
        <xdr:cNvCxnSpPr/>
      </xdr:nvCxnSpPr>
      <xdr:spPr>
        <a:xfrm>
          <a:off x="10523220" y="4434840"/>
          <a:ext cx="0" cy="4000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487680</xdr:colOff>
      <xdr:row>24</xdr:row>
      <xdr:rowOff>95250</xdr:rowOff>
    </xdr:from>
    <xdr:to>
      <xdr:col>15</xdr:col>
      <xdr:colOff>487680</xdr:colOff>
      <xdr:row>26</xdr:row>
      <xdr:rowOff>133350</xdr:rowOff>
    </xdr:to>
    <xdr:cxnSp macro="">
      <xdr:nvCxnSpPr>
        <xdr:cNvPr id="41" name="Straight Arrow Connector 40">
          <a:extLst>
            <a:ext uri="{FF2B5EF4-FFF2-40B4-BE49-F238E27FC236}">
              <a16:creationId xmlns:a16="http://schemas.microsoft.com/office/drawing/2014/main" id="{16CC7D4B-3407-4F73-99C8-2F1F159022A8}"/>
            </a:ext>
          </a:extLst>
        </xdr:cNvPr>
        <xdr:cNvCxnSpPr/>
      </xdr:nvCxnSpPr>
      <xdr:spPr>
        <a:xfrm>
          <a:off x="10984230" y="4438650"/>
          <a:ext cx="0" cy="4000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487680</xdr:colOff>
      <xdr:row>24</xdr:row>
      <xdr:rowOff>95250</xdr:rowOff>
    </xdr:from>
    <xdr:to>
      <xdr:col>15</xdr:col>
      <xdr:colOff>487680</xdr:colOff>
      <xdr:row>26</xdr:row>
      <xdr:rowOff>133350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E28C597-2E59-4BD5-828E-A9B0277335F4}"/>
            </a:ext>
          </a:extLst>
        </xdr:cNvPr>
        <xdr:cNvCxnSpPr/>
      </xdr:nvCxnSpPr>
      <xdr:spPr>
        <a:xfrm>
          <a:off x="10984230" y="4438650"/>
          <a:ext cx="0" cy="4000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333375</xdr:colOff>
      <xdr:row>24</xdr:row>
      <xdr:rowOff>81915</xdr:rowOff>
    </xdr:from>
    <xdr:to>
      <xdr:col>15</xdr:col>
      <xdr:colOff>333375</xdr:colOff>
      <xdr:row>26</xdr:row>
      <xdr:rowOff>120015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38B2F6F7-B7A2-4D5E-B30C-1FAF776D662D}"/>
            </a:ext>
          </a:extLst>
        </xdr:cNvPr>
        <xdr:cNvCxnSpPr/>
      </xdr:nvCxnSpPr>
      <xdr:spPr>
        <a:xfrm>
          <a:off x="10829925" y="4425315"/>
          <a:ext cx="0" cy="4000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29</xdr:col>
      <xdr:colOff>302514</xdr:colOff>
      <xdr:row>16</xdr:row>
      <xdr:rowOff>152155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FE6AA2-FF94-B077-A495-4D4041224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85850"/>
          <a:ext cx="18285714" cy="19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data.bls.gov/cgi-bin/cpicalc.pl?cost1=5.8&amp;year1=201706&amp;year2=202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7"/>
  <sheetViews>
    <sheetView tabSelected="1" workbookViewId="0">
      <selection activeCell="B4" sqref="B4"/>
    </sheetView>
  </sheetViews>
  <sheetFormatPr defaultRowHeight="14"/>
  <cols>
    <col min="1" max="1" width="34.6640625" customWidth="1"/>
    <col min="2" max="2" width="10.58203125" bestFit="1" customWidth="1"/>
    <col min="3" max="3" width="12.33203125" bestFit="1" customWidth="1"/>
    <col min="4" max="4" width="14.75" customWidth="1"/>
    <col min="14" max="14" width="12.9140625" customWidth="1"/>
    <col min="16" max="16" width="16.9140625" bestFit="1" customWidth="1"/>
  </cols>
  <sheetData>
    <row r="2" spans="1:11">
      <c r="A2" s="15" t="s">
        <v>34</v>
      </c>
      <c r="B2" s="15"/>
      <c r="C2" s="15"/>
    </row>
    <row r="3" spans="1:11">
      <c r="B3" t="s">
        <v>32</v>
      </c>
      <c r="C3" t="s">
        <v>33</v>
      </c>
      <c r="K3" s="2"/>
    </row>
    <row r="4" spans="1:11">
      <c r="A4" t="s">
        <v>37</v>
      </c>
      <c r="B4" s="9">
        <f>'EIM monthly data'!lb*12</f>
        <v>18.861600000000003</v>
      </c>
      <c r="C4" s="9">
        <f>B4*Avista_per</f>
        <v>16.591292353973845</v>
      </c>
    </row>
    <row r="5" spans="1:11">
      <c r="A5" t="s">
        <v>38</v>
      </c>
      <c r="B5" s="9">
        <f>'EIM monthly data'!average_monthly*12</f>
        <v>25.306800000000003</v>
      </c>
      <c r="C5" s="9">
        <f>B5*Avista_per</f>
        <v>22.260705207593485</v>
      </c>
    </row>
    <row r="6" spans="1:11">
      <c r="A6" t="s">
        <v>39</v>
      </c>
      <c r="B6" s="9">
        <f>'EIM monthly data'!ub*12</f>
        <v>31.751999999999999</v>
      </c>
      <c r="C6" s="9">
        <f>B6*Avista_per</f>
        <v>27.930118061213125</v>
      </c>
      <c r="K6" s="2"/>
    </row>
    <row r="7" spans="1:11">
      <c r="A7" t="s">
        <v>40</v>
      </c>
      <c r="B7" s="9">
        <f>'EIM monthly data'!avg_no_out*12</f>
        <v>23.512500000000003</v>
      </c>
      <c r="C7" s="9">
        <f>B7*Avista_per</f>
        <v>20.682379091530414</v>
      </c>
    </row>
    <row r="11" spans="1:11">
      <c r="A11" t="s">
        <v>1</v>
      </c>
      <c r="C11" s="10">
        <f>9517690/10820065</f>
        <v>0.87963334785881597</v>
      </c>
    </row>
    <row r="12" spans="1:11">
      <c r="A12" t="s">
        <v>36</v>
      </c>
    </row>
    <row r="14" spans="1:11">
      <c r="C14" t="s">
        <v>64</v>
      </c>
      <c r="D14" t="s">
        <v>46</v>
      </c>
    </row>
    <row r="15" spans="1:11">
      <c r="A15" t="s">
        <v>43</v>
      </c>
      <c r="C15" s="2">
        <f>'EIM monthly data'!bootmin</f>
        <v>1.1719999999999999</v>
      </c>
      <c r="D15" s="2">
        <f>12*C15</f>
        <v>14.064</v>
      </c>
    </row>
    <row r="16" spans="1:11">
      <c r="A16" t="s">
        <v>44</v>
      </c>
      <c r="C16" s="2">
        <f>C15*Avista_per</f>
        <v>1.0309302836905323</v>
      </c>
      <c r="D16" s="2">
        <f>12*C16</f>
        <v>12.371163404286388</v>
      </c>
    </row>
    <row r="17" spans="4:4">
      <c r="D17" s="2"/>
    </row>
  </sheetData>
  <mergeCells count="1">
    <mergeCell ref="A2:C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workbookViewId="0">
      <selection activeCell="R29" sqref="R29:R30"/>
    </sheetView>
  </sheetViews>
  <sheetFormatPr defaultRowHeight="14"/>
  <cols>
    <col min="1" max="1" width="12.6640625" customWidth="1"/>
    <col min="2" max="2" width="11.25" customWidth="1"/>
    <col min="3" max="3" width="12" bestFit="1" customWidth="1"/>
    <col min="6" max="6" width="11" bestFit="1" customWidth="1"/>
    <col min="7" max="8" width="11" customWidth="1"/>
    <col min="9" max="10" width="11.25" bestFit="1" customWidth="1"/>
    <col min="14" max="14" width="10.75" bestFit="1" customWidth="1"/>
    <col min="18" max="18" width="10.33203125" customWidth="1"/>
  </cols>
  <sheetData>
    <row r="1" spans="1:22">
      <c r="A1" s="1" t="s">
        <v>2</v>
      </c>
      <c r="B1" s="1" t="s">
        <v>3</v>
      </c>
      <c r="C1" s="1" t="s">
        <v>4</v>
      </c>
      <c r="D1" s="1" t="s">
        <v>5</v>
      </c>
      <c r="E1" s="1" t="s">
        <v>52</v>
      </c>
      <c r="G1" s="14"/>
      <c r="I1" t="s">
        <v>45</v>
      </c>
      <c r="J1" t="s">
        <v>46</v>
      </c>
    </row>
    <row r="2" spans="1:22">
      <c r="A2">
        <v>2022</v>
      </c>
      <c r="B2">
        <v>3</v>
      </c>
      <c r="C2" s="2">
        <v>1.95</v>
      </c>
      <c r="D2" s="5">
        <f t="shared" ref="D2:D26" si="0">IF(E2&gt;outlier_cutoff,1,0)+IF(E2&lt;=-outlier_cutoff,1,0)</f>
        <v>0</v>
      </c>
      <c r="E2" s="2">
        <f t="shared" ref="E2:E26" si="1">(C2-average_monthly)</f>
        <v>-0.15890000000000026</v>
      </c>
      <c r="F2">
        <f t="shared" ref="F2:F26" si="2">average_monthly-outlier_cutoff</f>
        <v>1.3589000000000002</v>
      </c>
      <c r="G2" s="2">
        <f t="shared" ref="G2:G26" si="3">average_monthly+outlier_cutoff</f>
        <v>2.8589000000000002</v>
      </c>
      <c r="H2">
        <v>2022</v>
      </c>
      <c r="I2" s="2">
        <f>SUM(C2:C11)</f>
        <v>24.08</v>
      </c>
      <c r="J2" s="2">
        <f>I2*12/10</f>
        <v>28.895999999999997</v>
      </c>
      <c r="N2" s="13"/>
      <c r="O2" s="2"/>
    </row>
    <row r="3" spans="1:22">
      <c r="A3">
        <v>2022</v>
      </c>
      <c r="B3">
        <v>4</v>
      </c>
      <c r="C3" s="2">
        <v>1.98</v>
      </c>
      <c r="D3" s="5">
        <f t="shared" si="0"/>
        <v>0</v>
      </c>
      <c r="E3" s="2">
        <f t="shared" si="1"/>
        <v>-0.12890000000000024</v>
      </c>
      <c r="F3">
        <f t="shared" si="2"/>
        <v>1.3589000000000002</v>
      </c>
      <c r="G3" s="2">
        <f t="shared" si="3"/>
        <v>2.8589000000000002</v>
      </c>
      <c r="H3">
        <v>2023</v>
      </c>
      <c r="I3" s="2">
        <f>SUM(C12:C23)</f>
        <v>20.850000000000005</v>
      </c>
      <c r="N3" s="13"/>
      <c r="O3" s="2"/>
    </row>
    <row r="4" spans="1:22">
      <c r="A4">
        <v>2022</v>
      </c>
      <c r="B4">
        <v>5</v>
      </c>
      <c r="C4" s="2">
        <v>1.72</v>
      </c>
      <c r="D4" s="5">
        <f t="shared" si="0"/>
        <v>0</v>
      </c>
      <c r="E4" s="2">
        <f t="shared" si="1"/>
        <v>-0.38890000000000025</v>
      </c>
      <c r="F4">
        <f t="shared" si="2"/>
        <v>1.3589000000000002</v>
      </c>
      <c r="G4" s="2">
        <f t="shared" si="3"/>
        <v>2.8589000000000002</v>
      </c>
      <c r="N4" s="13"/>
      <c r="O4" s="2"/>
      <c r="R4" s="4"/>
    </row>
    <row r="5" spans="1:22">
      <c r="A5">
        <v>2022</v>
      </c>
      <c r="B5">
        <v>6</v>
      </c>
      <c r="C5" s="2">
        <v>1.46</v>
      </c>
      <c r="D5" s="5">
        <f t="shared" si="0"/>
        <v>0</v>
      </c>
      <c r="E5" s="2">
        <f t="shared" si="1"/>
        <v>-0.64890000000000025</v>
      </c>
      <c r="F5">
        <f t="shared" si="2"/>
        <v>1.3589000000000002</v>
      </c>
      <c r="G5" s="2">
        <f t="shared" si="3"/>
        <v>2.8589000000000002</v>
      </c>
      <c r="N5" s="13"/>
      <c r="O5" s="2"/>
      <c r="R5" s="4"/>
    </row>
    <row r="6" spans="1:22">
      <c r="A6">
        <v>2022</v>
      </c>
      <c r="B6">
        <v>7</v>
      </c>
      <c r="C6" s="2">
        <v>0.92</v>
      </c>
      <c r="D6" s="5">
        <f t="shared" si="0"/>
        <v>1</v>
      </c>
      <c r="E6" s="2">
        <f t="shared" si="1"/>
        <v>-1.1889000000000003</v>
      </c>
      <c r="F6">
        <f t="shared" si="2"/>
        <v>1.3589000000000002</v>
      </c>
      <c r="G6" s="2">
        <f t="shared" si="3"/>
        <v>2.8589000000000002</v>
      </c>
      <c r="N6" s="13"/>
      <c r="O6" s="2"/>
      <c r="R6" s="4"/>
    </row>
    <row r="7" spans="1:22">
      <c r="A7">
        <v>2022</v>
      </c>
      <c r="B7">
        <v>8</v>
      </c>
      <c r="C7" s="2">
        <v>2.33</v>
      </c>
      <c r="D7" s="5">
        <f t="shared" si="0"/>
        <v>0</v>
      </c>
      <c r="E7" s="2">
        <f t="shared" si="1"/>
        <v>0.22109999999999985</v>
      </c>
      <c r="F7">
        <f t="shared" si="2"/>
        <v>1.3589000000000002</v>
      </c>
      <c r="G7" s="2">
        <f t="shared" si="3"/>
        <v>2.8589000000000002</v>
      </c>
      <c r="N7" s="13"/>
      <c r="O7" s="2"/>
      <c r="R7" s="4"/>
    </row>
    <row r="8" spans="1:22">
      <c r="A8">
        <v>2022</v>
      </c>
      <c r="B8">
        <v>9</v>
      </c>
      <c r="C8" s="2">
        <v>3.99</v>
      </c>
      <c r="D8" s="5">
        <f t="shared" si="0"/>
        <v>1</v>
      </c>
      <c r="E8" s="2">
        <f t="shared" si="1"/>
        <v>1.8811</v>
      </c>
      <c r="F8">
        <f t="shared" si="2"/>
        <v>1.3589000000000002</v>
      </c>
      <c r="G8" s="2">
        <f t="shared" si="3"/>
        <v>2.8589000000000002</v>
      </c>
      <c r="N8" s="13"/>
      <c r="O8" s="2"/>
      <c r="R8" s="4"/>
    </row>
    <row r="9" spans="1:22">
      <c r="A9">
        <v>2022</v>
      </c>
      <c r="B9">
        <v>10</v>
      </c>
      <c r="C9" s="2">
        <v>1.6</v>
      </c>
      <c r="D9" s="5">
        <f t="shared" si="0"/>
        <v>0</v>
      </c>
      <c r="E9" s="2">
        <f t="shared" si="1"/>
        <v>-0.50890000000000013</v>
      </c>
      <c r="F9">
        <f t="shared" si="2"/>
        <v>1.3589000000000002</v>
      </c>
      <c r="G9" s="2">
        <f t="shared" si="3"/>
        <v>2.8589000000000002</v>
      </c>
      <c r="N9" s="13"/>
      <c r="O9" s="2"/>
      <c r="R9" s="4"/>
    </row>
    <row r="10" spans="1:22">
      <c r="A10">
        <v>2022</v>
      </c>
      <c r="B10">
        <v>11</v>
      </c>
      <c r="C10" s="2">
        <v>2.4300000000000002</v>
      </c>
      <c r="D10" s="5">
        <f t="shared" si="0"/>
        <v>0</v>
      </c>
      <c r="E10" s="2">
        <f t="shared" si="1"/>
        <v>0.32109999999999994</v>
      </c>
      <c r="F10">
        <f t="shared" si="2"/>
        <v>1.3589000000000002</v>
      </c>
      <c r="G10" s="2">
        <f t="shared" si="3"/>
        <v>2.8589000000000002</v>
      </c>
      <c r="N10" s="13"/>
      <c r="O10" s="2"/>
      <c r="R10" s="4"/>
    </row>
    <row r="11" spans="1:22">
      <c r="A11">
        <v>2022</v>
      </c>
      <c r="B11">
        <v>12</v>
      </c>
      <c r="C11" s="2">
        <v>5.7</v>
      </c>
      <c r="D11" s="5">
        <f t="shared" si="0"/>
        <v>1</v>
      </c>
      <c r="E11" s="2">
        <f t="shared" si="1"/>
        <v>3.5911</v>
      </c>
      <c r="F11">
        <f t="shared" si="2"/>
        <v>1.3589000000000002</v>
      </c>
      <c r="G11" s="2">
        <f t="shared" si="3"/>
        <v>2.8589000000000002</v>
      </c>
      <c r="N11" s="13"/>
      <c r="O11" s="2"/>
      <c r="R11" s="4"/>
    </row>
    <row r="12" spans="1:22">
      <c r="A12">
        <v>2023</v>
      </c>
      <c r="B12">
        <v>1</v>
      </c>
      <c r="C12" s="2">
        <v>2.84</v>
      </c>
      <c r="D12" s="5">
        <f t="shared" si="0"/>
        <v>0</v>
      </c>
      <c r="E12" s="2">
        <f t="shared" si="1"/>
        <v>0.73109999999999964</v>
      </c>
      <c r="F12">
        <f t="shared" si="2"/>
        <v>1.3589000000000002</v>
      </c>
      <c r="G12" s="2">
        <f t="shared" si="3"/>
        <v>2.8589000000000002</v>
      </c>
      <c r="N12" s="13"/>
      <c r="O12" s="2"/>
      <c r="R12" s="4"/>
    </row>
    <row r="13" spans="1:22">
      <c r="A13">
        <v>2023</v>
      </c>
      <c r="B13">
        <v>2</v>
      </c>
      <c r="C13" s="2">
        <v>1.65</v>
      </c>
      <c r="D13" s="5">
        <f t="shared" si="0"/>
        <v>0</v>
      </c>
      <c r="E13" s="2">
        <f t="shared" si="1"/>
        <v>-0.45890000000000031</v>
      </c>
      <c r="F13">
        <f t="shared" si="2"/>
        <v>1.3589000000000002</v>
      </c>
      <c r="G13" s="2">
        <f t="shared" si="3"/>
        <v>2.8589000000000002</v>
      </c>
      <c r="N13" s="13"/>
      <c r="O13" s="2"/>
      <c r="R13" s="4"/>
    </row>
    <row r="14" spans="1:22">
      <c r="A14">
        <v>2023</v>
      </c>
      <c r="B14">
        <v>3</v>
      </c>
      <c r="C14" s="2">
        <v>1.89</v>
      </c>
      <c r="D14" s="5">
        <f t="shared" si="0"/>
        <v>0</v>
      </c>
      <c r="E14" s="2">
        <f t="shared" si="1"/>
        <v>-0.21890000000000032</v>
      </c>
      <c r="F14">
        <f t="shared" si="2"/>
        <v>1.3589000000000002</v>
      </c>
      <c r="G14" s="2">
        <f t="shared" si="3"/>
        <v>2.8589000000000002</v>
      </c>
      <c r="N14" s="13"/>
      <c r="O14" s="2"/>
      <c r="R14" s="4"/>
    </row>
    <row r="15" spans="1:22">
      <c r="A15">
        <v>2023</v>
      </c>
      <c r="B15">
        <v>4</v>
      </c>
      <c r="C15" s="2">
        <v>2.44</v>
      </c>
      <c r="D15" s="5">
        <f t="shared" si="0"/>
        <v>0</v>
      </c>
      <c r="E15" s="2">
        <f t="shared" si="1"/>
        <v>0.33109999999999973</v>
      </c>
      <c r="F15">
        <f t="shared" si="2"/>
        <v>1.3589000000000002</v>
      </c>
      <c r="G15" s="2">
        <f t="shared" si="3"/>
        <v>2.8589000000000002</v>
      </c>
      <c r="M15" s="3"/>
      <c r="N15" s="13"/>
      <c r="O15" s="2"/>
      <c r="P15" s="3"/>
      <c r="R15" s="4"/>
      <c r="V15" s="3"/>
    </row>
    <row r="16" spans="1:22">
      <c r="A16">
        <v>2023</v>
      </c>
      <c r="B16">
        <v>5</v>
      </c>
      <c r="C16" s="2">
        <v>1.5</v>
      </c>
      <c r="D16" s="5">
        <f t="shared" si="0"/>
        <v>0</v>
      </c>
      <c r="E16" s="2">
        <f t="shared" si="1"/>
        <v>-0.60890000000000022</v>
      </c>
      <c r="F16">
        <f t="shared" si="2"/>
        <v>1.3589000000000002</v>
      </c>
      <c r="G16" s="2">
        <f t="shared" si="3"/>
        <v>2.8589000000000002</v>
      </c>
      <c r="M16" s="3"/>
      <c r="N16" s="13"/>
      <c r="O16" s="2"/>
      <c r="P16" s="3"/>
      <c r="R16" s="4"/>
      <c r="V16" s="3"/>
    </row>
    <row r="17" spans="1:22">
      <c r="A17">
        <v>2023</v>
      </c>
      <c r="B17">
        <v>6</v>
      </c>
      <c r="C17" s="2">
        <v>1.04</v>
      </c>
      <c r="D17" s="5">
        <f t="shared" si="0"/>
        <v>1</v>
      </c>
      <c r="E17" s="2">
        <f t="shared" si="1"/>
        <v>-1.0689000000000002</v>
      </c>
      <c r="F17">
        <f t="shared" si="2"/>
        <v>1.3589000000000002</v>
      </c>
      <c r="G17" s="2">
        <f t="shared" si="3"/>
        <v>2.8589000000000002</v>
      </c>
      <c r="M17" s="3"/>
      <c r="N17" s="13"/>
      <c r="O17" s="2"/>
      <c r="P17" s="3"/>
      <c r="R17" s="4"/>
      <c r="V17" s="3"/>
    </row>
    <row r="18" spans="1:22">
      <c r="A18">
        <v>2023</v>
      </c>
      <c r="B18">
        <v>7</v>
      </c>
      <c r="C18" s="2">
        <v>1.71</v>
      </c>
      <c r="D18" s="5">
        <f t="shared" si="0"/>
        <v>0</v>
      </c>
      <c r="E18" s="2">
        <f t="shared" si="1"/>
        <v>-0.39890000000000025</v>
      </c>
      <c r="F18">
        <f t="shared" si="2"/>
        <v>1.3589000000000002</v>
      </c>
      <c r="G18" s="2">
        <f t="shared" si="3"/>
        <v>2.8589000000000002</v>
      </c>
      <c r="N18" s="13"/>
      <c r="O18" s="2"/>
      <c r="R18" s="4"/>
    </row>
    <row r="19" spans="1:22">
      <c r="A19">
        <v>2023</v>
      </c>
      <c r="B19">
        <v>8</v>
      </c>
      <c r="C19" s="2">
        <v>1.77</v>
      </c>
      <c r="D19" s="5">
        <f t="shared" si="0"/>
        <v>0</v>
      </c>
      <c r="E19" s="2">
        <f t="shared" si="1"/>
        <v>-0.3389000000000002</v>
      </c>
      <c r="F19">
        <f t="shared" si="2"/>
        <v>1.3589000000000002</v>
      </c>
      <c r="G19" s="2">
        <f t="shared" si="3"/>
        <v>2.8589000000000002</v>
      </c>
      <c r="N19" s="13"/>
      <c r="O19" s="2"/>
      <c r="R19" s="4"/>
    </row>
    <row r="20" spans="1:22">
      <c r="A20">
        <v>2023</v>
      </c>
      <c r="B20">
        <v>9</v>
      </c>
      <c r="C20" s="2">
        <v>1.71</v>
      </c>
      <c r="D20" s="5">
        <f t="shared" si="0"/>
        <v>0</v>
      </c>
      <c r="E20" s="2">
        <f t="shared" si="1"/>
        <v>-0.39890000000000025</v>
      </c>
      <c r="F20">
        <f t="shared" si="2"/>
        <v>1.3589000000000002</v>
      </c>
      <c r="G20" s="2">
        <f t="shared" si="3"/>
        <v>2.8589000000000002</v>
      </c>
      <c r="N20" s="13"/>
      <c r="O20" s="2"/>
      <c r="R20" s="4"/>
    </row>
    <row r="21" spans="1:22">
      <c r="A21">
        <v>2023</v>
      </c>
      <c r="B21">
        <v>10</v>
      </c>
      <c r="C21" s="2">
        <v>2.37</v>
      </c>
      <c r="D21" s="5">
        <f t="shared" si="0"/>
        <v>0</v>
      </c>
      <c r="E21" s="2">
        <f t="shared" si="1"/>
        <v>0.26109999999999989</v>
      </c>
      <c r="F21">
        <f t="shared" si="2"/>
        <v>1.3589000000000002</v>
      </c>
      <c r="G21" s="2">
        <f t="shared" si="3"/>
        <v>2.8589000000000002</v>
      </c>
      <c r="N21" s="13"/>
      <c r="O21" s="2"/>
      <c r="R21" s="4"/>
    </row>
    <row r="22" spans="1:22">
      <c r="A22">
        <v>2023</v>
      </c>
      <c r="B22">
        <v>11</v>
      </c>
      <c r="C22" s="2">
        <v>1.17</v>
      </c>
      <c r="D22" s="5">
        <f t="shared" si="0"/>
        <v>1</v>
      </c>
      <c r="E22" s="2">
        <f t="shared" si="1"/>
        <v>-0.93890000000000029</v>
      </c>
      <c r="F22">
        <f t="shared" si="2"/>
        <v>1.3589000000000002</v>
      </c>
      <c r="G22" s="2">
        <f t="shared" si="3"/>
        <v>2.8589000000000002</v>
      </c>
      <c r="N22" s="13"/>
      <c r="O22" s="2"/>
      <c r="R22" s="4"/>
    </row>
    <row r="23" spans="1:22">
      <c r="A23">
        <v>2023</v>
      </c>
      <c r="B23">
        <v>12</v>
      </c>
      <c r="C23" s="2">
        <v>0.76</v>
      </c>
      <c r="D23" s="5">
        <f t="shared" si="0"/>
        <v>1</v>
      </c>
      <c r="E23" s="2">
        <f t="shared" si="1"/>
        <v>-1.3489000000000002</v>
      </c>
      <c r="F23">
        <f t="shared" si="2"/>
        <v>1.3589000000000002</v>
      </c>
      <c r="G23" s="2">
        <f t="shared" si="3"/>
        <v>2.8589000000000002</v>
      </c>
      <c r="N23" s="13"/>
      <c r="O23" s="2"/>
      <c r="R23" s="4"/>
    </row>
    <row r="24" spans="1:22">
      <c r="A24">
        <v>2024</v>
      </c>
      <c r="B24">
        <v>1</v>
      </c>
      <c r="C24" s="2">
        <v>6.4</v>
      </c>
      <c r="D24" s="5">
        <f t="shared" si="0"/>
        <v>1</v>
      </c>
      <c r="E24" s="2">
        <f t="shared" si="1"/>
        <v>4.2911000000000001</v>
      </c>
      <c r="F24">
        <f t="shared" si="2"/>
        <v>1.3589000000000002</v>
      </c>
      <c r="G24" s="2">
        <f t="shared" si="3"/>
        <v>2.8589000000000002</v>
      </c>
      <c r="N24" s="13"/>
      <c r="O24" s="2"/>
      <c r="R24" s="4"/>
    </row>
    <row r="25" spans="1:22">
      <c r="A25">
        <v>2024</v>
      </c>
      <c r="B25">
        <v>2</v>
      </c>
      <c r="C25" s="2">
        <v>0.56000000000000005</v>
      </c>
      <c r="D25" s="5">
        <f t="shared" si="0"/>
        <v>1</v>
      </c>
      <c r="E25" s="2">
        <f t="shared" si="1"/>
        <v>-1.5489000000000002</v>
      </c>
      <c r="F25">
        <f t="shared" si="2"/>
        <v>1.3589000000000002</v>
      </c>
      <c r="G25" s="2">
        <f t="shared" si="3"/>
        <v>2.8589000000000002</v>
      </c>
      <c r="N25" s="13"/>
      <c r="O25" s="2"/>
      <c r="R25" s="4"/>
    </row>
    <row r="26" spans="1:22">
      <c r="A26" s="1">
        <v>2024</v>
      </c>
      <c r="B26" s="1">
        <v>3</v>
      </c>
      <c r="C26" s="7">
        <v>0.83</v>
      </c>
      <c r="D26" s="8">
        <f t="shared" si="0"/>
        <v>1</v>
      </c>
      <c r="E26" s="7">
        <f t="shared" si="1"/>
        <v>-1.2789000000000001</v>
      </c>
      <c r="F26">
        <f t="shared" si="2"/>
        <v>1.3589000000000002</v>
      </c>
      <c r="G26" s="2">
        <f t="shared" si="3"/>
        <v>2.8589000000000002</v>
      </c>
      <c r="N26" s="13"/>
      <c r="O26" s="2"/>
      <c r="R26" s="4"/>
    </row>
    <row r="27" spans="1:22">
      <c r="A27" t="s">
        <v>0</v>
      </c>
      <c r="C27" s="2">
        <f>AVERAGE(C2:C26)</f>
        <v>2.1088</v>
      </c>
    </row>
    <row r="28" spans="1:22">
      <c r="A28" t="s">
        <v>30</v>
      </c>
      <c r="C28" s="2">
        <f>AVERAGEIF(D2:D26,"=0",C2:C26)</f>
        <v>1.9593750000000001</v>
      </c>
    </row>
    <row r="29" spans="1:22">
      <c r="A29" t="s">
        <v>31</v>
      </c>
    </row>
    <row r="31" spans="1:22">
      <c r="A31" s="6" t="s">
        <v>27</v>
      </c>
      <c r="I31" s="2"/>
    </row>
    <row r="32" spans="1:22">
      <c r="A32" t="s">
        <v>28</v>
      </c>
      <c r="B32">
        <v>2.1089000000000002</v>
      </c>
      <c r="I32" s="2"/>
    </row>
    <row r="33" spans="1:7">
      <c r="A33" t="s">
        <v>29</v>
      </c>
      <c r="B33">
        <v>0.27400000000000002</v>
      </c>
      <c r="C33" t="s">
        <v>57</v>
      </c>
    </row>
    <row r="34" spans="1:7">
      <c r="A34" t="s">
        <v>42</v>
      </c>
      <c r="B34">
        <v>1.1719999999999999</v>
      </c>
      <c r="E34" s="14"/>
      <c r="F34" s="14"/>
      <c r="G34" s="14"/>
    </row>
    <row r="35" spans="1:7">
      <c r="A35" t="s">
        <v>56</v>
      </c>
      <c r="B35">
        <v>0.75</v>
      </c>
    </row>
    <row r="36" spans="1:7">
      <c r="A36" t="s">
        <v>53</v>
      </c>
      <c r="B36">
        <v>1.5718000000000001</v>
      </c>
    </row>
    <row r="37" spans="1:7">
      <c r="A37" t="s">
        <v>54</v>
      </c>
      <c r="B37">
        <v>2.6459999999999999</v>
      </c>
    </row>
    <row r="38" spans="1:7">
      <c r="A38" t="s">
        <v>55</v>
      </c>
    </row>
    <row r="40" spans="1:7">
      <c r="A40" s="6" t="s">
        <v>35</v>
      </c>
      <c r="D40">
        <f>CORREL(C2:C25,C3:C26)</f>
        <v>-0.10422110803656515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9"/>
  <sheetViews>
    <sheetView workbookViewId="0"/>
  </sheetViews>
  <sheetFormatPr defaultRowHeight="14"/>
  <sheetData>
    <row r="1" spans="1:1">
      <c r="A1" s="6" t="s">
        <v>8</v>
      </c>
    </row>
    <row r="2" spans="1:1">
      <c r="A2" t="s">
        <v>6</v>
      </c>
    </row>
    <row r="3" spans="1:1">
      <c r="A3" t="s">
        <v>7</v>
      </c>
    </row>
    <row r="4" spans="1:1">
      <c r="A4" t="s">
        <v>62</v>
      </c>
    </row>
    <row r="5" spans="1:1">
      <c r="A5" t="s">
        <v>67</v>
      </c>
    </row>
    <row r="6" spans="1:1">
      <c r="A6" t="s">
        <v>68</v>
      </c>
    </row>
    <row r="7" spans="1:1">
      <c r="A7" t="s">
        <v>69</v>
      </c>
    </row>
    <row r="8" spans="1:1">
      <c r="A8" t="s">
        <v>70</v>
      </c>
    </row>
    <row r="9" spans="1:1">
      <c r="A9" t="s">
        <v>71</v>
      </c>
    </row>
    <row r="10" spans="1:1">
      <c r="A10" t="s">
        <v>63</v>
      </c>
    </row>
    <row r="11" spans="1:1">
      <c r="A11" t="s">
        <v>72</v>
      </c>
    </row>
    <row r="13" spans="1:1">
      <c r="A13" s="6" t="s">
        <v>9</v>
      </c>
    </row>
    <row r="14" spans="1:1">
      <c r="A14" t="s">
        <v>10</v>
      </c>
    </row>
    <row r="15" spans="1:1">
      <c r="A15" t="s">
        <v>11</v>
      </c>
    </row>
    <row r="16" spans="1:1">
      <c r="A16" t="s">
        <v>12</v>
      </c>
    </row>
    <row r="17" spans="1:1">
      <c r="A17" t="s">
        <v>13</v>
      </c>
    </row>
    <row r="18" spans="1:1">
      <c r="A18" t="s">
        <v>14</v>
      </c>
    </row>
    <row r="19" spans="1:1">
      <c r="A19" t="s">
        <v>15</v>
      </c>
    </row>
    <row r="20" spans="1:1">
      <c r="A20" t="s">
        <v>7</v>
      </c>
    </row>
    <row r="21" spans="1:1">
      <c r="A21" t="s">
        <v>16</v>
      </c>
    </row>
    <row r="22" spans="1:1">
      <c r="A22" t="s">
        <v>66</v>
      </c>
    </row>
    <row r="23" spans="1:1">
      <c r="A23" t="s">
        <v>17</v>
      </c>
    </row>
    <row r="24" spans="1:1">
      <c r="A24" t="s">
        <v>18</v>
      </c>
    </row>
    <row r="25" spans="1:1">
      <c r="A25" t="s">
        <v>19</v>
      </c>
    </row>
    <row r="26" spans="1:1">
      <c r="A26" t="s">
        <v>20</v>
      </c>
    </row>
    <row r="27" spans="1:1">
      <c r="A27" t="s">
        <v>21</v>
      </c>
    </row>
    <row r="28" spans="1:1">
      <c r="A28" t="s">
        <v>22</v>
      </c>
    </row>
    <row r="29" spans="1:1">
      <c r="A29" t="s">
        <v>65</v>
      </c>
    </row>
    <row r="30" spans="1:1">
      <c r="A30" t="s">
        <v>23</v>
      </c>
    </row>
    <row r="31" spans="1:1">
      <c r="A31" t="s">
        <v>41</v>
      </c>
    </row>
    <row r="32" spans="1:1">
      <c r="A32" t="s">
        <v>23</v>
      </c>
    </row>
    <row r="33" spans="1:1">
      <c r="A33" t="s">
        <v>24</v>
      </c>
    </row>
    <row r="34" spans="1:1">
      <c r="A34" t="s">
        <v>25</v>
      </c>
    </row>
    <row r="35" spans="1:1">
      <c r="A35" t="s">
        <v>58</v>
      </c>
    </row>
    <row r="36" spans="1:1">
      <c r="A36" t="s">
        <v>59</v>
      </c>
    </row>
    <row r="37" spans="1:1">
      <c r="A37" t="s">
        <v>60</v>
      </c>
    </row>
    <row r="38" spans="1:1">
      <c r="A38" t="s">
        <v>61</v>
      </c>
    </row>
    <row r="39" spans="1:1">
      <c r="A39" t="s">
        <v>26</v>
      </c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A6" sqref="A6"/>
    </sheetView>
  </sheetViews>
  <sheetFormatPr defaultRowHeight="14"/>
  <cols>
    <col min="4" max="5" width="11.08203125" bestFit="1" customWidth="1"/>
  </cols>
  <sheetData>
    <row r="1" spans="1:5">
      <c r="E1" t="s">
        <v>48</v>
      </c>
    </row>
    <row r="2" spans="1:5">
      <c r="A2" t="s">
        <v>47</v>
      </c>
      <c r="E2">
        <f>5.8</f>
        <v>5.8</v>
      </c>
    </row>
    <row r="3" spans="1:5">
      <c r="A3">
        <v>7.44</v>
      </c>
      <c r="B3" t="s">
        <v>50</v>
      </c>
      <c r="C3" s="11">
        <f>(A3-E3)/E3</f>
        <v>0.35272727272727278</v>
      </c>
      <c r="D3" t="s">
        <v>51</v>
      </c>
      <c r="E3">
        <v>5.5</v>
      </c>
    </row>
    <row r="6" spans="1:5">
      <c r="A6" s="12" t="s">
        <v>49</v>
      </c>
    </row>
  </sheetData>
  <hyperlinks>
    <hyperlink ref="A6" r:id="rId1"/>
  </hyperlinks>
  <pageMargins left="0.7" right="0.7" top="0.75" bottom="0.75" header="0.3" footer="0.3"/>
  <pageSetup orientation="portrait" horizontalDpi="0" verticalDpi="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88BDEC0653D6204DB4E9E8901B172BDA" ma:contentTypeVersion="16" ma:contentTypeDescription="" ma:contentTypeScope="" ma:versionID="483a396059fc5e661540c3c9e30e6083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Workpapers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140</IndustryCode>
    <CaseStatus xmlns="dc463f71-b30c-4ab2-9473-d307f9d35888">Formal</CaseStatus>
    <OpenedDate xmlns="dc463f71-b30c-4ab2-9473-d307f9d35888">2024-01-03T08:00:00+00:00</OpenedDate>
    <SignificantOrder xmlns="dc463f71-b30c-4ab2-9473-d307f9d35888">false</SignificantOrder>
    <Date1 xmlns="dc463f71-b30c-4ab2-9473-d307f9d35888">2024-07-03T07:00:00+00:00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Avista Corporation</CaseCompanyNames>
    <Nickname xmlns="http://schemas.microsoft.com/sharepoint/v3" xsi:nil="true"/>
    <DocketNumber xmlns="dc463f71-b30c-4ab2-9473-d307f9d35888">240006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DDB178AC-7A7D-4C06-9D59-562E0B029963}"/>
</file>

<file path=customXml/itemProps2.xml><?xml version="1.0" encoding="utf-8"?>
<ds:datastoreItem xmlns:ds="http://schemas.openxmlformats.org/officeDocument/2006/customXml" ds:itemID="{B737C91A-5E28-4F57-A879-B9A847C84B23}"/>
</file>

<file path=customXml/itemProps3.xml><?xml version="1.0" encoding="utf-8"?>
<ds:datastoreItem xmlns:ds="http://schemas.openxmlformats.org/officeDocument/2006/customXml" ds:itemID="{2508E14E-95EB-4232-B4E1-D51B21BF1479}"/>
</file>

<file path=customXml/itemProps4.xml><?xml version="1.0" encoding="utf-8"?>
<ds:datastoreItem xmlns:ds="http://schemas.openxmlformats.org/officeDocument/2006/customXml" ds:itemID="{E78ABA0C-8452-4C5C-9367-6F102E62B9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EIM benefit calculation</vt:lpstr>
      <vt:lpstr>EIM monthly data</vt:lpstr>
      <vt:lpstr>EIM bootstrap</vt:lpstr>
      <vt:lpstr>E3 Study</vt:lpstr>
      <vt:lpstr>'EIM monthly data'!average_monthly</vt:lpstr>
      <vt:lpstr>'EIM monthly data'!avg_no_out</vt:lpstr>
      <vt:lpstr>Avista_per</vt:lpstr>
      <vt:lpstr>'EIM monthly data'!bootmin</vt:lpstr>
      <vt:lpstr>'EIM monthly data'!lb</vt:lpstr>
      <vt:lpstr>outlier_cutoff</vt:lpstr>
      <vt:lpstr>'EIM monthly data'!std_dist</vt:lpstr>
      <vt:lpstr>'EIM monthly data'!ub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2024-06-23T22:51:11Z</dcterms:created>
  <dcterms:modified xsi:type="dcterms:W3CDTF">2024-07-02T22:53:36Z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0x0101006E56B4D1795A2E4DB2F0B01679ED314A0088BDEC0653D6204DB4E9E8901B172BDA</vt:lpwstr>
  </property>
  <property fmtid="{D5CDD505-2E9C-101B-9397-08002B2CF9AE}" pid="3" name="_docset_NoMedatataSyncRequired">
    <vt:lpwstr>False</vt:lpwstr>
  </property>
</Properties>
</file>