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85" yWindow="285" windowWidth="12120" windowHeight="8325" activeTab="0"/>
  </bookViews>
  <sheets>
    <sheet name="Staff" sheetId="1" r:id="rId1"/>
  </sheets>
  <definedNames>
    <definedName name="_xlnm.Print_Area" localSheetId="0">'Staff'!$A$1:$I$31</definedName>
  </definedNames>
  <calcPr fullCalcOnLoad="1"/>
</workbook>
</file>

<file path=xl/sharedStrings.xml><?xml version="1.0" encoding="utf-8"?>
<sst xmlns="http://schemas.openxmlformats.org/spreadsheetml/2006/main" count="68" uniqueCount="61">
  <si>
    <t>Total Incentive</t>
  </si>
  <si>
    <t>Avoided Cost</t>
  </si>
  <si>
    <t>TRC Conservation</t>
  </si>
  <si>
    <t>Penalty Range</t>
  </si>
  <si>
    <t>Incentive Range</t>
  </si>
  <si>
    <t>A</t>
  </si>
  <si>
    <t>B</t>
  </si>
  <si>
    <t>C</t>
  </si>
  <si>
    <t>D</t>
  </si>
  <si>
    <t>E</t>
  </si>
  <si>
    <t>F</t>
  </si>
  <si>
    <t>G</t>
  </si>
  <si>
    <t>H</t>
  </si>
  <si>
    <t>= A x 8760</t>
  </si>
  <si>
    <t>= E x 8760</t>
  </si>
  <si>
    <t>MWH Shortfall</t>
  </si>
  <si>
    <t>% of base target</t>
  </si>
  <si>
    <t>MWH Saved</t>
  </si>
  <si>
    <t>Per MWH Incentive</t>
  </si>
  <si>
    <t>$/MWH Incentive</t>
  </si>
  <si>
    <t>80.0 - &lt;90.0%</t>
  </si>
  <si>
    <t>70.0 - &lt;80.0%</t>
  </si>
  <si>
    <t>60.0 - &lt;70.0%</t>
  </si>
  <si>
    <t>50.0 - &lt;60.0%</t>
  </si>
  <si>
    <t>&lt;50.0%</t>
  </si>
  <si>
    <t>= D x F</t>
  </si>
  <si>
    <t>= base target - A</t>
  </si>
  <si>
    <t>= F + G</t>
  </si>
  <si>
    <t>Net Shared Incentive</t>
  </si>
  <si>
    <t>$/MWh</t>
  </si>
  <si>
    <t>110.0 - &lt;120.0%</t>
  </si>
  <si>
    <t>100.0 - &lt;110.0%</t>
  </si>
  <si>
    <t>Average</t>
  </si>
  <si>
    <t>Incremental</t>
  </si>
  <si>
    <t>120.0 - &lt;130.0%</t>
  </si>
  <si>
    <t>130.0 - &lt;140.0%</t>
  </si>
  <si>
    <t>140.0 - &lt;150.0%</t>
  </si>
  <si>
    <t>Shared Savings Incentive</t>
  </si>
  <si>
    <t>Puget Sound Energy General Rate Case</t>
  </si>
  <si>
    <t>Commission Staff Proposed Electric Efficiency Incentive Mechanism</t>
  </si>
  <si>
    <t>= B x D</t>
  </si>
  <si>
    <t>= B x 0.18 x E</t>
  </si>
  <si>
    <t>Note: The calculations in Columns F and G are performed for the increment difference from the prior range.</t>
  </si>
  <si>
    <t>(From PSE Exhibit __(CES-5))</t>
  </si>
  <si>
    <t>Shared Savings Incentive*</t>
  </si>
  <si>
    <t>*Shared Savings Calculation</t>
  </si>
  <si>
    <t>Total Penalty</t>
  </si>
  <si>
    <t>$/MWH Penalty</t>
  </si>
  <si>
    <t>aMW Saved</t>
  </si>
  <si>
    <t>aMW Shortfall</t>
  </si>
  <si>
    <t>100%             Baseline Target</t>
  </si>
  <si>
    <t>90.0 - &lt;100.0%          Deadband</t>
  </si>
  <si>
    <t>Threshold of Savings for Range</t>
  </si>
  <si>
    <t>Check</t>
  </si>
  <si>
    <t>aMW</t>
  </si>
  <si>
    <t>Incremental Shared Savings for Range</t>
  </si>
  <si>
    <t>Shared Savings Incentive for Range</t>
  </si>
  <si>
    <t>$/MWh Incentive for Range</t>
  </si>
  <si>
    <t>Shortfall MWh</t>
  </si>
  <si>
    <t>Total</t>
  </si>
  <si>
    <t>Revised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</si>
</sst>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0.0%"/>
    <numFmt numFmtId="167" formatCode="_(&quot;$&quot;* #,##0.0_);_(&quot;$&quot;* \(#,##0.0\);_(&quot;$&quot;* &quot;-&quot;??_);_(@_)"/>
    <numFmt numFmtId="168" formatCode="_(* #,##0.0_);_(* \(#,##0.0\);_(* &quot;-&quot;??_);_(@_)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_(* #,##0.000_);_(* \(#,##0.000\);_(* &quot;-&quot;???_);_(@_)"/>
    <numFmt numFmtId="175" formatCode="#,##0.000_);\(#,##0.000\)"/>
    <numFmt numFmtId="176" formatCode="&quot;$&quot;#,##0.000_);\(&quot;$&quot;#,##0.000\)"/>
    <numFmt numFmtId="177" formatCode="&quot;$&quot;#,##0"/>
    <numFmt numFmtId="178" formatCode="_(&quot;$&quot;* #,##0.000_);_(&quot;$&quot;* \(#,##0.000\);_(&quot;$&quot;* &quot;-&quot;??_);_(@_)"/>
    <numFmt numFmtId="179" formatCode="&quot;$&quot;#,##0.0_);\(&quot;$&quot;#,##0.0\)"/>
    <numFmt numFmtId="180" formatCode="_(* #,##0.000_);_(* \(#,##0.000\);_(* &quot;-&quot;??_);_(@_)"/>
    <numFmt numFmtId="181" formatCode="_(* #,##0.0000_);_(* \(#,##0.0000\);_(* &quot;-&quot;??_);_(@_)"/>
    <numFmt numFmtId="182" formatCode="_(* #,##0.0_);_(* \(#,##0.0\);_(* &quot;-&quot;?_);_(@_)"/>
  </numFmts>
  <fonts count="1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.5"/>
      <name val="Times New Roman"/>
      <family val="1"/>
    </font>
    <font>
      <sz val="8.75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color indexed="10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9" fontId="0" fillId="0" borderId="0" xfId="2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horizontal="center"/>
    </xf>
    <xf numFmtId="9" fontId="0" fillId="0" borderId="0" xfId="2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76" fontId="0" fillId="0" borderId="0" xfId="17" applyNumberFormat="1" applyAlignment="1">
      <alignment/>
    </xf>
    <xf numFmtId="9" fontId="0" fillId="0" borderId="0" xfId="21" applyAlignment="1">
      <alignment/>
    </xf>
    <xf numFmtId="179" fontId="0" fillId="0" borderId="0" xfId="17" applyNumberFormat="1" applyAlignment="1">
      <alignment/>
    </xf>
    <xf numFmtId="179" fontId="0" fillId="0" borderId="0" xfId="17" applyNumberFormat="1" applyFont="1" applyAlignment="1">
      <alignment/>
    </xf>
    <xf numFmtId="9" fontId="1" fillId="0" borderId="0" xfId="21" applyFont="1" applyFill="1" applyBorder="1" applyAlignment="1">
      <alignment horizontal="center"/>
    </xf>
    <xf numFmtId="7" fontId="0" fillId="0" borderId="0" xfId="0" applyNumberFormat="1" applyBorder="1" applyAlignment="1">
      <alignment/>
    </xf>
    <xf numFmtId="165" fontId="0" fillId="0" borderId="0" xfId="15" applyNumberFormat="1" applyAlignment="1">
      <alignment/>
    </xf>
    <xf numFmtId="43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164" fontId="7" fillId="0" borderId="0" xfId="17" applyNumberFormat="1" applyFont="1" applyBorder="1" applyAlignment="1">
      <alignment/>
    </xf>
    <xf numFmtId="0" fontId="7" fillId="0" borderId="3" xfId="0" applyFont="1" applyBorder="1" applyAlignment="1">
      <alignment/>
    </xf>
    <xf numFmtId="178" fontId="7" fillId="0" borderId="4" xfId="17" applyNumberFormat="1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 wrapText="1"/>
    </xf>
    <xf numFmtId="0" fontId="7" fillId="2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wrapText="1"/>
    </xf>
    <xf numFmtId="165" fontId="7" fillId="0" borderId="0" xfId="15" applyNumberFormat="1" applyFont="1" applyBorder="1" applyAlignment="1">
      <alignment/>
    </xf>
    <xf numFmtId="9" fontId="7" fillId="0" borderId="0" xfId="21" applyFont="1" applyBorder="1" applyAlignment="1">
      <alignment/>
    </xf>
    <xf numFmtId="164" fontId="7" fillId="2" borderId="0" xfId="17" applyNumberFormat="1" applyFont="1" applyFill="1" applyBorder="1" applyAlignment="1">
      <alignment/>
    </xf>
    <xf numFmtId="9" fontId="7" fillId="2" borderId="0" xfId="21" applyFont="1" applyFill="1" applyBorder="1" applyAlignment="1">
      <alignment/>
    </xf>
    <xf numFmtId="164" fontId="7" fillId="0" borderId="0" xfId="17" applyNumberFormat="1" applyFont="1" applyFill="1" applyBorder="1" applyAlignment="1">
      <alignment/>
    </xf>
    <xf numFmtId="165" fontId="7" fillId="0" borderId="5" xfId="15" applyNumberFormat="1" applyFont="1" applyBorder="1" applyAlignment="1">
      <alignment/>
    </xf>
    <xf numFmtId="9" fontId="7" fillId="0" borderId="5" xfId="21" applyFont="1" applyBorder="1" applyAlignment="1">
      <alignment/>
    </xf>
    <xf numFmtId="0" fontId="8" fillId="3" borderId="6" xfId="0" applyFont="1" applyFill="1" applyBorder="1" applyAlignment="1">
      <alignment/>
    </xf>
    <xf numFmtId="165" fontId="7" fillId="3" borderId="6" xfId="15" applyNumberFormat="1" applyFont="1" applyFill="1" applyBorder="1" applyAlignment="1">
      <alignment/>
    </xf>
    <xf numFmtId="9" fontId="7" fillId="3" borderId="6" xfId="21" applyFont="1" applyFill="1" applyBorder="1" applyAlignment="1">
      <alignment/>
    </xf>
    <xf numFmtId="164" fontId="7" fillId="3" borderId="6" xfId="17" applyNumberFormat="1" applyFont="1" applyFill="1" applyBorder="1" applyAlignment="1">
      <alignment/>
    </xf>
    <xf numFmtId="177" fontId="7" fillId="3" borderId="6" xfId="17" applyNumberFormat="1" applyFont="1" applyFill="1" applyBorder="1" applyAlignment="1">
      <alignment/>
    </xf>
    <xf numFmtId="177" fontId="7" fillId="3" borderId="6" xfId="21" applyNumberFormat="1" applyFont="1" applyFill="1" applyBorder="1" applyAlignment="1">
      <alignment/>
    </xf>
    <xf numFmtId="177" fontId="7" fillId="3" borderId="7" xfId="0" applyNumberFormat="1" applyFont="1" applyFill="1" applyBorder="1" applyAlignment="1">
      <alignment/>
    </xf>
    <xf numFmtId="166" fontId="7" fillId="0" borderId="6" xfId="21" applyNumberFormat="1" applyFont="1" applyBorder="1" applyAlignment="1">
      <alignment horizontal="center" wrapText="1"/>
    </xf>
    <xf numFmtId="0" fontId="7" fillId="4" borderId="6" xfId="0" applyFont="1" applyFill="1" applyBorder="1" applyAlignment="1">
      <alignment horizontal="center" wrapText="1"/>
    </xf>
    <xf numFmtId="2" fontId="7" fillId="0" borderId="0" xfId="0" applyNumberFormat="1" applyFont="1" applyBorder="1" applyAlignment="1">
      <alignment/>
    </xf>
    <xf numFmtId="9" fontId="7" fillId="0" borderId="0" xfId="21" applyNumberFormat="1" applyFont="1" applyBorder="1" applyAlignment="1">
      <alignment horizontal="right" wrapText="1"/>
    </xf>
    <xf numFmtId="164" fontId="7" fillId="4" borderId="0" xfId="17" applyNumberFormat="1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164" fontId="7" fillId="4" borderId="5" xfId="17" applyNumberFormat="1" applyFont="1" applyFill="1" applyBorder="1" applyAlignment="1">
      <alignment/>
    </xf>
    <xf numFmtId="2" fontId="7" fillId="0" borderId="5" xfId="0" applyNumberFormat="1" applyFont="1" applyBorder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9" fontId="8" fillId="5" borderId="8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65" fontId="7" fillId="0" borderId="0" xfId="15" applyNumberFormat="1" applyFont="1" applyFill="1" applyBorder="1" applyAlignment="1">
      <alignment/>
    </xf>
    <xf numFmtId="9" fontId="7" fillId="0" borderId="0" xfId="21" applyFont="1" applyFill="1" applyBorder="1" applyAlignment="1">
      <alignment/>
    </xf>
    <xf numFmtId="177" fontId="7" fillId="0" borderId="0" xfId="17" applyNumberFormat="1" applyFont="1" applyFill="1" applyBorder="1" applyAlignment="1">
      <alignment/>
    </xf>
    <xf numFmtId="177" fontId="7" fillId="0" borderId="0" xfId="21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/>
    </xf>
    <xf numFmtId="9" fontId="8" fillId="0" borderId="0" xfId="0" applyNumberFormat="1" applyFont="1" applyFill="1" applyBorder="1" applyAlignment="1">
      <alignment/>
    </xf>
    <xf numFmtId="0" fontId="7" fillId="4" borderId="0" xfId="0" applyFont="1" applyFill="1" applyBorder="1" applyAlignment="1">
      <alignment wrapText="1"/>
    </xf>
    <xf numFmtId="0" fontId="7" fillId="4" borderId="0" xfId="0" applyFont="1" applyFill="1" applyBorder="1" applyAlignment="1">
      <alignment/>
    </xf>
    <xf numFmtId="0" fontId="7" fillId="4" borderId="5" xfId="0" applyFont="1" applyFill="1" applyBorder="1" applyAlignment="1">
      <alignment/>
    </xf>
    <xf numFmtId="0" fontId="8" fillId="0" borderId="5" xfId="0" applyFont="1" applyFill="1" applyBorder="1" applyAlignment="1">
      <alignment horizontal="center"/>
    </xf>
    <xf numFmtId="9" fontId="8" fillId="0" borderId="5" xfId="21" applyFont="1" applyFill="1" applyBorder="1" applyAlignment="1">
      <alignment horizontal="center"/>
    </xf>
    <xf numFmtId="0" fontId="10" fillId="2" borderId="6" xfId="0" applyFont="1" applyFill="1" applyBorder="1" applyAlignment="1">
      <alignment wrapText="1"/>
    </xf>
    <xf numFmtId="0" fontId="8" fillId="0" borderId="6" xfId="0" applyFont="1" applyBorder="1" applyAlignment="1">
      <alignment horizontal="center" wrapText="1"/>
    </xf>
    <xf numFmtId="0" fontId="7" fillId="0" borderId="9" xfId="0" applyFont="1" applyBorder="1" applyAlignment="1">
      <alignment/>
    </xf>
    <xf numFmtId="0" fontId="7" fillId="0" borderId="9" xfId="0" applyFont="1" applyBorder="1" applyAlignment="1" quotePrefix="1">
      <alignment horizontal="center"/>
    </xf>
    <xf numFmtId="0" fontId="7" fillId="2" borderId="9" xfId="0" applyFont="1" applyFill="1" applyBorder="1" applyAlignment="1">
      <alignment/>
    </xf>
    <xf numFmtId="0" fontId="10" fillId="4" borderId="6" xfId="0" applyFont="1" applyFill="1" applyBorder="1" applyAlignment="1">
      <alignment wrapText="1"/>
    </xf>
    <xf numFmtId="0" fontId="8" fillId="0" borderId="9" xfId="0" applyFont="1" applyFill="1" applyBorder="1" applyAlignment="1">
      <alignment/>
    </xf>
    <xf numFmtId="9" fontId="7" fillId="0" borderId="9" xfId="21" applyFont="1" applyFill="1" applyBorder="1" applyAlignment="1">
      <alignment/>
    </xf>
    <xf numFmtId="9" fontId="7" fillId="0" borderId="9" xfId="21" applyFont="1" applyFill="1" applyBorder="1" applyAlignment="1" quotePrefix="1">
      <alignment horizontal="right"/>
    </xf>
    <xf numFmtId="0" fontId="7" fillId="0" borderId="9" xfId="0" applyFont="1" applyFill="1" applyBorder="1" applyAlignment="1" quotePrefix="1">
      <alignment horizontal="center"/>
    </xf>
    <xf numFmtId="0" fontId="7" fillId="4" borderId="9" xfId="0" applyFont="1" applyFill="1" applyBorder="1" applyAlignment="1">
      <alignment/>
    </xf>
    <xf numFmtId="9" fontId="7" fillId="4" borderId="9" xfId="21" applyFont="1" applyFill="1" applyBorder="1" applyAlignment="1">
      <alignment/>
    </xf>
    <xf numFmtId="0" fontId="8" fillId="6" borderId="1" xfId="0" applyFont="1" applyFill="1" applyBorder="1" applyAlignment="1">
      <alignment/>
    </xf>
    <xf numFmtId="0" fontId="7" fillId="6" borderId="10" xfId="0" applyFont="1" applyFill="1" applyBorder="1" applyAlignment="1">
      <alignment/>
    </xf>
    <xf numFmtId="0" fontId="7" fillId="6" borderId="3" xfId="0" applyFont="1" applyFill="1" applyBorder="1" applyAlignment="1">
      <alignment/>
    </xf>
    <xf numFmtId="0" fontId="7" fillId="6" borderId="4" xfId="0" applyFont="1" applyFill="1" applyBorder="1" applyAlignment="1">
      <alignment/>
    </xf>
    <xf numFmtId="178" fontId="7" fillId="0" borderId="10" xfId="17" applyNumberFormat="1" applyFont="1" applyBorder="1" applyAlignment="1">
      <alignment/>
    </xf>
    <xf numFmtId="178" fontId="7" fillId="0" borderId="11" xfId="17" applyNumberFormat="1" applyFont="1" applyBorder="1" applyAlignment="1">
      <alignment/>
    </xf>
    <xf numFmtId="181" fontId="7" fillId="0" borderId="0" xfId="15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7" fillId="0" borderId="0" xfId="0" applyFont="1" applyBorder="1" applyAlignment="1" quotePrefix="1">
      <alignment horizontal="center"/>
    </xf>
    <xf numFmtId="0" fontId="7" fillId="0" borderId="0" xfId="0" applyFont="1" applyFill="1" applyBorder="1" applyAlignment="1" quotePrefix="1">
      <alignment horizontal="center"/>
    </xf>
    <xf numFmtId="168" fontId="7" fillId="0" borderId="0" xfId="15" applyNumberFormat="1" applyFont="1" applyBorder="1" applyAlignment="1">
      <alignment/>
    </xf>
    <xf numFmtId="166" fontId="7" fillId="0" borderId="0" xfId="21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164" fontId="7" fillId="0" borderId="0" xfId="17" applyNumberFormat="1" applyFont="1" applyAlignment="1">
      <alignment/>
    </xf>
    <xf numFmtId="165" fontId="7" fillId="0" borderId="0" xfId="0" applyNumberFormat="1" applyFont="1" applyFill="1" applyBorder="1" applyAlignment="1" quotePrefix="1">
      <alignment horizontal="center"/>
    </xf>
    <xf numFmtId="44" fontId="7" fillId="0" borderId="0" xfId="17" applyFont="1" applyAlignment="1">
      <alignment/>
    </xf>
    <xf numFmtId="165" fontId="7" fillId="0" borderId="0" xfId="0" applyNumberFormat="1" applyFont="1" applyFill="1" applyBorder="1" applyAlignment="1">
      <alignment horizontal="center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11" fillId="0" borderId="0" xfId="17" applyNumberFormat="1" applyFont="1" applyFill="1" applyBorder="1" applyAlignment="1">
      <alignment/>
    </xf>
    <xf numFmtId="164" fontId="11" fillId="0" borderId="0" xfId="17" applyNumberFormat="1" applyFont="1" applyBorder="1" applyAlignment="1">
      <alignment/>
    </xf>
    <xf numFmtId="164" fontId="11" fillId="0" borderId="5" xfId="17" applyNumberFormat="1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Alignment="1">
      <alignment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Total Incremental Incentive Payment</a:t>
            </a:r>
          </a:p>
        </c:rich>
      </c:tx>
      <c:layout>
        <c:manualLayout>
          <c:xMode val="factor"/>
          <c:yMode val="factor"/>
          <c:x val="-0.029"/>
          <c:y val="0.02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29325"/>
          <c:w val="0.832"/>
          <c:h val="0.4695"/>
        </c:manualLayout>
      </c:layout>
      <c:lineChart>
        <c:grouping val="standard"/>
        <c:varyColors val="0"/>
        <c:ser>
          <c:idx val="1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Staff!$D$9:$D$14</c:f>
              <c:numCache/>
            </c:numRef>
          </c:cat>
          <c:val>
            <c:numRef>
              <c:f>Staff!$P$9:$P$14</c:f>
            </c:numRef>
          </c:val>
          <c:smooth val="0"/>
        </c:ser>
        <c:marker val="1"/>
        <c:axId val="8223603"/>
        <c:axId val="6903564"/>
      </c:lineChart>
      <c:catAx>
        <c:axId val="8223603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MWH Saved (% of Base Target)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6903564"/>
        <c:crosses val="autoZero"/>
        <c:auto val="1"/>
        <c:lblOffset val="100"/>
        <c:noMultiLvlLbl val="0"/>
      </c:catAx>
      <c:valAx>
        <c:axId val="6903564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per MWH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822360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514350</xdr:colOff>
      <xdr:row>15</xdr:row>
      <xdr:rowOff>314325</xdr:rowOff>
    </xdr:from>
    <xdr:to>
      <xdr:col>24</xdr:col>
      <xdr:colOff>428625</xdr:colOff>
      <xdr:row>26</xdr:row>
      <xdr:rowOff>76200</xdr:rowOff>
    </xdr:to>
    <xdr:graphicFrame>
      <xdr:nvGraphicFramePr>
        <xdr:cNvPr id="1" name="Chart 1"/>
        <xdr:cNvGraphicFramePr/>
      </xdr:nvGraphicFramePr>
      <xdr:xfrm>
        <a:off x="15297150" y="3381375"/>
        <a:ext cx="2962275" cy="176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7"/>
  <sheetViews>
    <sheetView tabSelected="1" workbookViewId="0" topLeftCell="D1">
      <selection activeCell="I5" sqref="I5"/>
    </sheetView>
  </sheetViews>
  <sheetFormatPr defaultColWidth="9.140625" defaultRowHeight="12.75"/>
  <cols>
    <col min="1" max="1" width="25.57421875" style="0" customWidth="1"/>
    <col min="2" max="2" width="12.28125" style="0" bestFit="1" customWidth="1"/>
    <col min="3" max="3" width="11.7109375" style="0" customWidth="1"/>
    <col min="4" max="4" width="13.421875" style="0" customWidth="1"/>
    <col min="5" max="5" width="15.28125" style="0" customWidth="1"/>
    <col min="6" max="6" width="13.8515625" style="0" customWidth="1"/>
    <col min="7" max="7" width="17.421875" style="0" customWidth="1"/>
    <col min="8" max="8" width="15.7109375" style="0" customWidth="1"/>
    <col min="9" max="9" width="15.28125" style="0" customWidth="1"/>
    <col min="10" max="10" width="4.8515625" style="0" customWidth="1"/>
    <col min="11" max="11" width="18.140625" style="0" customWidth="1"/>
    <col min="12" max="12" width="6.57421875" style="0" customWidth="1"/>
    <col min="13" max="13" width="8.140625" style="0" customWidth="1"/>
    <col min="14" max="14" width="15.28125" style="0" customWidth="1"/>
    <col min="15" max="16" width="11.421875" style="0" hidden="1" customWidth="1"/>
    <col min="17" max="17" width="16.421875" style="0" hidden="1" customWidth="1"/>
    <col min="18" max="18" width="16.421875" style="0" customWidth="1"/>
    <col min="19" max="19" width="11.7109375" style="0" bestFit="1" customWidth="1"/>
  </cols>
  <sheetData>
    <row r="1" spans="1:14" ht="15.75">
      <c r="A1" s="105" t="s">
        <v>38</v>
      </c>
      <c r="B1" s="107"/>
      <c r="C1" s="107"/>
      <c r="D1" s="107"/>
      <c r="E1" s="107"/>
      <c r="F1" s="107"/>
      <c r="G1" s="107"/>
      <c r="H1" s="107"/>
      <c r="I1" s="107"/>
      <c r="J1" s="51"/>
      <c r="K1" s="51"/>
      <c r="L1" s="51"/>
      <c r="M1" s="51"/>
      <c r="N1" s="51"/>
    </row>
    <row r="3" spans="1:14" ht="15.75">
      <c r="A3" s="105" t="s">
        <v>39</v>
      </c>
      <c r="B3" s="106"/>
      <c r="C3" s="106"/>
      <c r="D3" s="106"/>
      <c r="E3" s="106"/>
      <c r="F3" s="106"/>
      <c r="G3" s="106"/>
      <c r="H3" s="106"/>
      <c r="I3" s="106"/>
      <c r="J3" s="52"/>
      <c r="K3" s="52"/>
      <c r="L3" s="52"/>
      <c r="M3" s="52"/>
      <c r="N3" s="52"/>
    </row>
    <row r="4" spans="1:14" ht="13.5">
      <c r="A4" s="18"/>
      <c r="B4" s="18"/>
      <c r="C4" s="18"/>
      <c r="D4" s="19"/>
      <c r="E4" s="17"/>
      <c r="F4" s="17"/>
      <c r="I4" s="102" t="s">
        <v>60</v>
      </c>
      <c r="J4" s="17"/>
      <c r="K4" s="17"/>
      <c r="L4" s="17"/>
      <c r="M4" s="17"/>
      <c r="N4" s="17"/>
    </row>
    <row r="5" spans="1:19" ht="12.75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Q5" s="1"/>
      <c r="R5" s="1"/>
      <c r="S5" s="1"/>
    </row>
    <row r="6" spans="1:19" ht="12.75">
      <c r="A6" s="25"/>
      <c r="B6" s="65" t="s">
        <v>5</v>
      </c>
      <c r="C6" s="65" t="s">
        <v>6</v>
      </c>
      <c r="D6" s="66" t="s">
        <v>7</v>
      </c>
      <c r="E6" s="66" t="s">
        <v>8</v>
      </c>
      <c r="F6" s="66" t="s">
        <v>9</v>
      </c>
      <c r="G6" s="66" t="s">
        <v>10</v>
      </c>
      <c r="H6" s="66" t="s">
        <v>11</v>
      </c>
      <c r="I6" s="65" t="s">
        <v>12</v>
      </c>
      <c r="J6" s="86"/>
      <c r="K6" s="86"/>
      <c r="L6" s="86"/>
      <c r="M6" s="86"/>
      <c r="N6" s="86"/>
      <c r="O6" s="13" t="s">
        <v>32</v>
      </c>
      <c r="P6" s="13" t="s">
        <v>33</v>
      </c>
      <c r="Q6" s="7"/>
      <c r="R6" s="7"/>
      <c r="S6" s="1"/>
    </row>
    <row r="7" spans="1:19" ht="51.75">
      <c r="A7" s="67" t="s">
        <v>4</v>
      </c>
      <c r="B7" s="26" t="s">
        <v>48</v>
      </c>
      <c r="C7" s="26" t="s">
        <v>17</v>
      </c>
      <c r="D7" s="26" t="s">
        <v>16</v>
      </c>
      <c r="E7" s="27" t="s">
        <v>19</v>
      </c>
      <c r="F7" s="27" t="s">
        <v>37</v>
      </c>
      <c r="G7" s="28" t="s">
        <v>18</v>
      </c>
      <c r="H7" s="28" t="s">
        <v>44</v>
      </c>
      <c r="I7" s="68" t="s">
        <v>0</v>
      </c>
      <c r="J7" s="87"/>
      <c r="K7" s="87" t="s">
        <v>52</v>
      </c>
      <c r="L7" s="87" t="s">
        <v>54</v>
      </c>
      <c r="M7" s="87" t="s">
        <v>53</v>
      </c>
      <c r="N7" s="87" t="s">
        <v>56</v>
      </c>
      <c r="O7" s="87" t="s">
        <v>55</v>
      </c>
      <c r="P7" s="87" t="s">
        <v>55</v>
      </c>
      <c r="Q7" s="87" t="s">
        <v>55</v>
      </c>
      <c r="R7" s="87" t="s">
        <v>57</v>
      </c>
      <c r="S7" s="1"/>
    </row>
    <row r="8" spans="1:19" ht="13.5" thickBot="1">
      <c r="A8" s="71"/>
      <c r="B8" s="69"/>
      <c r="C8" s="70" t="s">
        <v>13</v>
      </c>
      <c r="D8" s="69"/>
      <c r="E8" s="71"/>
      <c r="F8" s="71"/>
      <c r="G8" s="70" t="s">
        <v>40</v>
      </c>
      <c r="H8" s="70" t="s">
        <v>41</v>
      </c>
      <c r="I8" s="70" t="s">
        <v>27</v>
      </c>
      <c r="J8" s="88"/>
      <c r="K8" s="88"/>
      <c r="L8" s="88"/>
      <c r="M8" s="88"/>
      <c r="N8" s="88"/>
      <c r="O8" s="6" t="s">
        <v>29</v>
      </c>
      <c r="P8" s="6" t="s">
        <v>29</v>
      </c>
      <c r="Q8" s="8"/>
      <c r="R8" s="8"/>
      <c r="S8" s="6"/>
    </row>
    <row r="9" spans="1:22" ht="13.5">
      <c r="A9" s="60" t="s">
        <v>36</v>
      </c>
      <c r="B9" s="45">
        <f>D9*$B$14</f>
        <v>26.535</v>
      </c>
      <c r="C9" s="29">
        <f aca="true" t="shared" si="0" ref="C9:C14">B9*8760</f>
        <v>232446.6</v>
      </c>
      <c r="D9" s="30">
        <v>1.45</v>
      </c>
      <c r="E9" s="31">
        <v>20</v>
      </c>
      <c r="F9" s="32">
        <v>1</v>
      </c>
      <c r="G9" s="33">
        <f>(C9-$C$14)*E9+$G$14</f>
        <v>3045852</v>
      </c>
      <c r="H9" s="99">
        <f>(C9-K10)*$H$30*1000*F9+N10</f>
        <v>723982.9895999997</v>
      </c>
      <c r="I9" s="100">
        <f>G9+H9</f>
        <v>3769834.9896</v>
      </c>
      <c r="J9" s="22"/>
      <c r="K9" s="29">
        <f>$B$14*1.499*8760</f>
        <v>240301.69200000004</v>
      </c>
      <c r="L9" s="90">
        <f aca="true" t="shared" si="1" ref="L9:L14">K9/8760</f>
        <v>27.431700000000003</v>
      </c>
      <c r="M9" s="91">
        <f aca="true" t="shared" si="2" ref="M9:M14">L9/$B$14</f>
        <v>1.499</v>
      </c>
      <c r="N9" s="59">
        <f>(K9-K10)*$H$30*1000*F9+N10</f>
        <v>865374.6456000002</v>
      </c>
      <c r="O9" s="9">
        <f aca="true" t="shared" si="3" ref="O9:O14">I9/C9</f>
        <v>16.21806896551724</v>
      </c>
      <c r="P9" s="11">
        <f>(I9-I10)/(C9-C10)</f>
        <v>36.236</v>
      </c>
      <c r="Q9" s="2">
        <f aca="true" t="shared" si="4" ref="Q9:Q14">H9/I9</f>
        <v>0.19204633401655022</v>
      </c>
      <c r="R9" s="92">
        <f>(K9-K10)*E9+R10</f>
        <v>3202953.840000001</v>
      </c>
      <c r="S9" s="14"/>
      <c r="U9" s="10"/>
      <c r="V9" s="10"/>
    </row>
    <row r="10" spans="1:22" ht="13.5">
      <c r="A10" s="60" t="s">
        <v>35</v>
      </c>
      <c r="B10" s="45">
        <f>D10*$B$14</f>
        <v>24.705000000000002</v>
      </c>
      <c r="C10" s="29">
        <f t="shared" si="0"/>
        <v>216415.80000000002</v>
      </c>
      <c r="D10" s="30">
        <v>1.35</v>
      </c>
      <c r="E10" s="31">
        <v>20</v>
      </c>
      <c r="F10" s="32">
        <v>0.8</v>
      </c>
      <c r="G10" s="33">
        <f>(C10-$C$14)*E10+$G$14</f>
        <v>2725236.0000000005</v>
      </c>
      <c r="H10" s="99">
        <f>(C10-K11)*$H$30*1000*F10+N11</f>
        <v>463706.9208000001</v>
      </c>
      <c r="I10" s="100">
        <f>G10+H10</f>
        <v>3188942.9208000004</v>
      </c>
      <c r="J10" s="22"/>
      <c r="K10" s="29">
        <f>$B$14*1.399*8760</f>
        <v>224270.89200000002</v>
      </c>
      <c r="L10" s="90">
        <f t="shared" si="1"/>
        <v>25.6017</v>
      </c>
      <c r="M10" s="91">
        <f t="shared" si="2"/>
        <v>1.399</v>
      </c>
      <c r="N10" s="59">
        <f>(K10-K11)*$H$30*1000*F10+N11</f>
        <v>576820.2456</v>
      </c>
      <c r="O10" s="9">
        <f t="shared" si="3"/>
        <v>14.73525925925926</v>
      </c>
      <c r="P10" s="11">
        <f>(I10-I11)/(C10-C11)</f>
        <v>30.87200000000001</v>
      </c>
      <c r="Q10" s="2">
        <f t="shared" si="4"/>
        <v>0.14541085629832198</v>
      </c>
      <c r="R10" s="92">
        <f>(K10-K11)*E10+R11</f>
        <v>2882337.8400000003</v>
      </c>
      <c r="S10" s="14"/>
      <c r="U10" s="10"/>
      <c r="V10" s="10"/>
    </row>
    <row r="11" spans="1:22" ht="13.5">
      <c r="A11" s="60" t="s">
        <v>34</v>
      </c>
      <c r="B11" s="45">
        <f>D11*$B$14</f>
        <v>22.875</v>
      </c>
      <c r="C11" s="29">
        <f t="shared" si="0"/>
        <v>200385</v>
      </c>
      <c r="D11" s="30">
        <v>1.25</v>
      </c>
      <c r="E11" s="31">
        <v>20</v>
      </c>
      <c r="F11" s="32">
        <v>0.4</v>
      </c>
      <c r="G11" s="33">
        <f>(C11-$C$14)*E11+$G$14</f>
        <v>2404620</v>
      </c>
      <c r="H11" s="99">
        <f>(C11-K12)*$H$30*1000*F11+N12</f>
        <v>289420.06319999986</v>
      </c>
      <c r="I11" s="100">
        <f>G11+H11</f>
        <v>2694040.0631999997</v>
      </c>
      <c r="J11" s="22"/>
      <c r="K11" s="29">
        <f>$B$14*1.299*8760</f>
        <v>208240.092</v>
      </c>
      <c r="L11" s="90">
        <f t="shared" si="1"/>
        <v>23.7717</v>
      </c>
      <c r="M11" s="91">
        <f t="shared" si="2"/>
        <v>1.299</v>
      </c>
      <c r="N11" s="59">
        <f>(K11-K12)*$H$30*1000*F11+N12</f>
        <v>345976.7255999999</v>
      </c>
      <c r="O11" s="9">
        <f t="shared" si="3"/>
        <v>13.44432</v>
      </c>
      <c r="P11" s="11">
        <f>(I11-I12)/(C11-C12)</f>
        <v>25.435999999999993</v>
      </c>
      <c r="Q11" s="2">
        <f t="shared" si="4"/>
        <v>0.10742975472169655</v>
      </c>
      <c r="R11" s="92">
        <f>(K11-K12)*E11+R12</f>
        <v>2561721.84</v>
      </c>
      <c r="S11" s="14"/>
      <c r="U11" s="10"/>
      <c r="V11" s="10"/>
    </row>
    <row r="12" spans="1:22" ht="13.5">
      <c r="A12" s="60" t="s">
        <v>30</v>
      </c>
      <c r="B12" s="45">
        <f>D12*$B$14</f>
        <v>21.044999999999998</v>
      </c>
      <c r="C12" s="29">
        <f t="shared" si="0"/>
        <v>184354.19999999998</v>
      </c>
      <c r="D12" s="30">
        <v>1.15</v>
      </c>
      <c r="E12" s="31">
        <v>20</v>
      </c>
      <c r="F12" s="32">
        <v>0.2</v>
      </c>
      <c r="G12" s="33">
        <f>(C12-$C$14)*E12+$G$14</f>
        <v>2084003.9999999995</v>
      </c>
      <c r="H12" s="99">
        <f>(C12-K13)*$H$30*1000*F12+N13</f>
        <v>202276.63439999992</v>
      </c>
      <c r="I12" s="100">
        <f>G12+H12</f>
        <v>2286280.6343999994</v>
      </c>
      <c r="J12" s="22"/>
      <c r="K12" s="29">
        <f>$B$14*1.199*8760</f>
        <v>192209.29200000002</v>
      </c>
      <c r="L12" s="90">
        <f t="shared" si="1"/>
        <v>21.9417</v>
      </c>
      <c r="M12" s="91">
        <f t="shared" si="2"/>
        <v>1.199</v>
      </c>
      <c r="N12" s="59">
        <f>(K12-K13)*$H$30*1000*F12+N13</f>
        <v>230554.96560000003</v>
      </c>
      <c r="O12" s="9">
        <f t="shared" si="3"/>
        <v>12.401565217391303</v>
      </c>
      <c r="P12" s="11">
        <f>(I12-I13)/(C12-C13)</f>
        <v>21.835999999999988</v>
      </c>
      <c r="Q12" s="2">
        <f t="shared" si="4"/>
        <v>0.08847410565286289</v>
      </c>
      <c r="R12" s="92">
        <f>(K12-K13)*E12+R13</f>
        <v>2241105.8400000003</v>
      </c>
      <c r="S12" s="14"/>
      <c r="U12" s="10"/>
      <c r="V12" s="10"/>
    </row>
    <row r="13" spans="1:21" ht="13.5">
      <c r="A13" s="60" t="s">
        <v>31</v>
      </c>
      <c r="B13" s="45">
        <f>D13*$B$14</f>
        <v>19.215</v>
      </c>
      <c r="C13" s="29">
        <f>B13*8760</f>
        <v>168323.4</v>
      </c>
      <c r="D13" s="30">
        <v>1.05</v>
      </c>
      <c r="E13" s="31">
        <v>20</v>
      </c>
      <c r="F13" s="32">
        <v>0.1</v>
      </c>
      <c r="G13" s="33">
        <f>(C13-C14)*E13+G14</f>
        <v>1763388</v>
      </c>
      <c r="H13" s="99">
        <f>N13</f>
        <v>172844.0856</v>
      </c>
      <c r="I13" s="100">
        <f>G13+H13</f>
        <v>1936232.0855999999</v>
      </c>
      <c r="J13" s="22"/>
      <c r="K13" s="29">
        <f>$B$14*1.099*8760</f>
        <v>176178.492</v>
      </c>
      <c r="L13" s="90">
        <f t="shared" si="1"/>
        <v>20.1117</v>
      </c>
      <c r="M13" s="91">
        <f t="shared" si="2"/>
        <v>1.099</v>
      </c>
      <c r="N13" s="59">
        <f>(K13-K14)*$H$30*1000*F13+N14</f>
        <v>172844.0856</v>
      </c>
      <c r="O13" s="9">
        <f t="shared" si="3"/>
        <v>11.503047619047619</v>
      </c>
      <c r="P13" s="11">
        <f>(I13-I14)/(C13-C14)</f>
        <v>23.564000000000007</v>
      </c>
      <c r="Q13" s="2">
        <f t="shared" si="4"/>
        <v>0.08926826845059695</v>
      </c>
      <c r="R13" s="92">
        <f>(K13-K14)*E13+R14</f>
        <v>1920489.8399999999</v>
      </c>
      <c r="S13" s="14"/>
      <c r="U13" s="10"/>
    </row>
    <row r="14" spans="1:18" ht="12.75">
      <c r="A14" s="53" t="s">
        <v>50</v>
      </c>
      <c r="B14" s="36">
        <v>18.3</v>
      </c>
      <c r="C14" s="37">
        <f t="shared" si="0"/>
        <v>160308</v>
      </c>
      <c r="D14" s="38">
        <f>B14/$B$14</f>
        <v>1</v>
      </c>
      <c r="E14" s="39">
        <v>10</v>
      </c>
      <c r="F14" s="38">
        <v>0.05</v>
      </c>
      <c r="G14" s="40">
        <f>C14*E14</f>
        <v>1603080</v>
      </c>
      <c r="H14" s="41">
        <f>C14*H30*1000*F14</f>
        <v>144277.19999999998</v>
      </c>
      <c r="I14" s="42">
        <f>H14+G14</f>
        <v>1747357.2</v>
      </c>
      <c r="J14" s="59"/>
      <c r="K14" s="55">
        <f>C14</f>
        <v>160308</v>
      </c>
      <c r="L14" s="90">
        <f t="shared" si="1"/>
        <v>18.3</v>
      </c>
      <c r="M14" s="91">
        <f t="shared" si="2"/>
        <v>1</v>
      </c>
      <c r="N14" s="59">
        <f>K14*$H$30*1000*F14</f>
        <v>144277.19999999998</v>
      </c>
      <c r="O14" s="9">
        <f t="shared" si="3"/>
        <v>10.9</v>
      </c>
      <c r="P14" s="12">
        <f>I14/C14</f>
        <v>10.9</v>
      </c>
      <c r="Q14" s="2">
        <f t="shared" si="4"/>
        <v>0.08256880733944953</v>
      </c>
      <c r="R14" s="93">
        <f>K14*E14</f>
        <v>1603080</v>
      </c>
    </row>
    <row r="15" spans="1:17" ht="12.75">
      <c r="A15" s="61"/>
      <c r="B15" s="54"/>
      <c r="C15" s="85"/>
      <c r="D15" s="56"/>
      <c r="E15" s="33"/>
      <c r="F15" s="56"/>
      <c r="G15" s="57"/>
      <c r="H15" s="58"/>
      <c r="I15" s="59"/>
      <c r="J15" s="59"/>
      <c r="K15" s="59"/>
      <c r="L15" s="59"/>
      <c r="M15" s="59"/>
      <c r="N15" s="59"/>
      <c r="O15" s="9"/>
      <c r="P15" s="12"/>
      <c r="Q15" s="2"/>
    </row>
    <row r="16" spans="1:17" ht="26.25">
      <c r="A16" s="72" t="s">
        <v>3</v>
      </c>
      <c r="B16" s="26" t="s">
        <v>48</v>
      </c>
      <c r="C16" s="26" t="s">
        <v>17</v>
      </c>
      <c r="D16" s="43" t="s">
        <v>16</v>
      </c>
      <c r="E16" s="44" t="s">
        <v>47</v>
      </c>
      <c r="F16" s="26" t="s">
        <v>49</v>
      </c>
      <c r="G16" s="26" t="s">
        <v>15</v>
      </c>
      <c r="H16" s="26"/>
      <c r="I16" s="68" t="s">
        <v>46</v>
      </c>
      <c r="J16" s="87"/>
      <c r="K16" s="87"/>
      <c r="L16" s="87"/>
      <c r="M16" s="87"/>
      <c r="N16" s="87" t="s">
        <v>59</v>
      </c>
      <c r="O16" s="9"/>
      <c r="P16" s="12"/>
      <c r="Q16" s="2"/>
    </row>
    <row r="17" spans="1:14" s="3" customFormat="1" ht="13.5" thickBot="1">
      <c r="A17" s="77"/>
      <c r="B17" s="73"/>
      <c r="C17" s="70" t="s">
        <v>13</v>
      </c>
      <c r="D17" s="74"/>
      <c r="E17" s="78"/>
      <c r="F17" s="75" t="s">
        <v>26</v>
      </c>
      <c r="G17" s="70" t="s">
        <v>14</v>
      </c>
      <c r="H17" s="74"/>
      <c r="I17" s="76" t="s">
        <v>25</v>
      </c>
      <c r="J17" s="89"/>
      <c r="K17" s="94"/>
      <c r="L17" s="89"/>
      <c r="M17" s="89"/>
      <c r="N17" s="96" t="s">
        <v>58</v>
      </c>
    </row>
    <row r="18" spans="1:18" ht="12.75">
      <c r="A18" s="62" t="s">
        <v>51</v>
      </c>
      <c r="B18" s="45">
        <f aca="true" t="shared" si="5" ref="B18:B23">D18*$B$14</f>
        <v>17.385</v>
      </c>
      <c r="C18" s="29">
        <f aca="true" t="shared" si="6" ref="C18:C23">B18*8760</f>
        <v>152292.6</v>
      </c>
      <c r="D18" s="46">
        <v>0.95</v>
      </c>
      <c r="E18" s="47">
        <v>0</v>
      </c>
      <c r="F18" s="45">
        <f aca="true" t="shared" si="7" ref="F18:F23">$B$14-B18</f>
        <v>0.9149999999999991</v>
      </c>
      <c r="G18" s="29">
        <f aca="true" t="shared" si="8" ref="G18:G23">F18*8760</f>
        <v>8015.399999999992</v>
      </c>
      <c r="H18" s="48"/>
      <c r="I18" s="22">
        <f>E18*G18</f>
        <v>0</v>
      </c>
      <c r="J18" s="22"/>
      <c r="K18" s="29">
        <f>0.9*$B$14*8760</f>
        <v>144277.2</v>
      </c>
      <c r="L18" s="90">
        <f>K18/8760</f>
        <v>16.470000000000002</v>
      </c>
      <c r="M18" s="91">
        <f>L18/$B$14</f>
        <v>0.9000000000000001</v>
      </c>
      <c r="N18" s="29">
        <f>$C$14-K18</f>
        <v>16030.799999999988</v>
      </c>
      <c r="O18" s="4"/>
      <c r="P18" s="4"/>
      <c r="R18" s="95">
        <f>N18*E18</f>
        <v>0</v>
      </c>
    </row>
    <row r="19" spans="1:18" ht="12.75">
      <c r="A19" s="63" t="s">
        <v>20</v>
      </c>
      <c r="B19" s="45">
        <f t="shared" si="5"/>
        <v>15.555</v>
      </c>
      <c r="C19" s="29">
        <f>B19*8760</f>
        <v>136261.8</v>
      </c>
      <c r="D19" s="30">
        <v>0.85</v>
      </c>
      <c r="E19" s="47">
        <v>75</v>
      </c>
      <c r="F19" s="45">
        <f>$B$14-B19</f>
        <v>2.745000000000001</v>
      </c>
      <c r="G19" s="29">
        <f>F19*8760</f>
        <v>24046.200000000008</v>
      </c>
      <c r="H19" s="45"/>
      <c r="I19" s="22">
        <f>E19*G19</f>
        <v>1803465.0000000007</v>
      </c>
      <c r="J19" s="22"/>
      <c r="K19" s="29">
        <f>0.8*$B$14*8760</f>
        <v>128246.40000000001</v>
      </c>
      <c r="L19" s="90">
        <f>K19/8760</f>
        <v>14.64</v>
      </c>
      <c r="M19" s="91">
        <f>L19/$B$14</f>
        <v>0.8</v>
      </c>
      <c r="N19" s="29">
        <f>$C$14-K19</f>
        <v>32061.59999999999</v>
      </c>
      <c r="O19" s="9"/>
      <c r="P19" s="9"/>
      <c r="R19" s="93">
        <f>N19*E19</f>
        <v>2404619.9999999995</v>
      </c>
    </row>
    <row r="20" spans="1:18" ht="13.5">
      <c r="A20" s="63" t="s">
        <v>21</v>
      </c>
      <c r="B20" s="45">
        <f t="shared" si="5"/>
        <v>13.725000000000001</v>
      </c>
      <c r="C20" s="29">
        <f t="shared" si="6"/>
        <v>120231.00000000001</v>
      </c>
      <c r="D20" s="30">
        <v>0.75</v>
      </c>
      <c r="E20" s="47">
        <v>80</v>
      </c>
      <c r="F20" s="45">
        <f t="shared" si="7"/>
        <v>4.574999999999999</v>
      </c>
      <c r="G20" s="29">
        <f t="shared" si="8"/>
        <v>40076.99999999999</v>
      </c>
      <c r="H20" s="45"/>
      <c r="I20" s="100">
        <f>(G20-N19)*E20+R19</f>
        <v>3045851.9999999995</v>
      </c>
      <c r="J20" s="22"/>
      <c r="K20" s="29">
        <f>0.7*$B$14*8760</f>
        <v>112215.6</v>
      </c>
      <c r="L20" s="90">
        <f>K20/8760</f>
        <v>12.81</v>
      </c>
      <c r="M20" s="91">
        <f>L20/$B$14</f>
        <v>0.7</v>
      </c>
      <c r="N20" s="29">
        <f>$C$14-K20</f>
        <v>48092.399999999994</v>
      </c>
      <c r="O20" s="9"/>
      <c r="P20" s="9"/>
      <c r="R20" s="93">
        <f>(N20-N19)*E20+R19</f>
        <v>3687084</v>
      </c>
    </row>
    <row r="21" spans="1:18" ht="13.5">
      <c r="A21" s="63" t="s">
        <v>22</v>
      </c>
      <c r="B21" s="45">
        <f t="shared" si="5"/>
        <v>11.895000000000001</v>
      </c>
      <c r="C21" s="29">
        <f t="shared" si="6"/>
        <v>104200.20000000001</v>
      </c>
      <c r="D21" s="30">
        <v>0.65</v>
      </c>
      <c r="E21" s="47">
        <v>85</v>
      </c>
      <c r="F21" s="45">
        <f t="shared" si="7"/>
        <v>6.404999999999999</v>
      </c>
      <c r="G21" s="29">
        <f t="shared" si="8"/>
        <v>56107.799999999996</v>
      </c>
      <c r="H21" s="45"/>
      <c r="I21" s="100">
        <f>(G21-N20)*E21+R20</f>
        <v>4368393</v>
      </c>
      <c r="J21" s="22"/>
      <c r="K21" s="29">
        <f>0.6*$B$14*8760</f>
        <v>96184.8</v>
      </c>
      <c r="L21" s="90">
        <f>K21/8760</f>
        <v>10.98</v>
      </c>
      <c r="M21" s="91">
        <f>L21/$B$14</f>
        <v>0.6</v>
      </c>
      <c r="N21" s="29">
        <f>$C$14-K21</f>
        <v>64123.2</v>
      </c>
      <c r="O21" s="9"/>
      <c r="P21" s="9"/>
      <c r="R21" s="93">
        <f>(N21-N20)*E21+R20</f>
        <v>5049702</v>
      </c>
    </row>
    <row r="22" spans="1:18" ht="13.5">
      <c r="A22" s="63" t="s">
        <v>23</v>
      </c>
      <c r="B22" s="45">
        <f t="shared" si="5"/>
        <v>10.065000000000001</v>
      </c>
      <c r="C22" s="29">
        <f t="shared" si="6"/>
        <v>88169.40000000001</v>
      </c>
      <c r="D22" s="30">
        <v>0.55</v>
      </c>
      <c r="E22" s="47">
        <v>90</v>
      </c>
      <c r="F22" s="45">
        <f t="shared" si="7"/>
        <v>8.235</v>
      </c>
      <c r="G22" s="29">
        <f t="shared" si="8"/>
        <v>72138.59999999999</v>
      </c>
      <c r="H22" s="45"/>
      <c r="I22" s="100">
        <f>(G22-N21)*E22+R21</f>
        <v>5771088</v>
      </c>
      <c r="J22" s="22"/>
      <c r="K22" s="29">
        <f>0.5*$B$14*8760</f>
        <v>80154</v>
      </c>
      <c r="L22" s="90">
        <f>K22/8760</f>
        <v>9.15</v>
      </c>
      <c r="M22" s="91">
        <f>L22/$B$14</f>
        <v>0.5</v>
      </c>
      <c r="N22" s="29">
        <f>$C$14-K22</f>
        <v>80154</v>
      </c>
      <c r="O22" s="9"/>
      <c r="P22" s="9"/>
      <c r="R22" s="93">
        <f>(N22-N21)*E22+R21</f>
        <v>6492474</v>
      </c>
    </row>
    <row r="23" spans="1:16" ht="13.5">
      <c r="A23" s="64" t="s">
        <v>24</v>
      </c>
      <c r="B23" s="50">
        <f t="shared" si="5"/>
        <v>8.235000000000001</v>
      </c>
      <c r="C23" s="34">
        <f t="shared" si="6"/>
        <v>72138.6</v>
      </c>
      <c r="D23" s="35">
        <v>0.45</v>
      </c>
      <c r="E23" s="49">
        <v>95</v>
      </c>
      <c r="F23" s="50">
        <f t="shared" si="7"/>
        <v>10.065</v>
      </c>
      <c r="G23" s="34">
        <f t="shared" si="8"/>
        <v>88169.4</v>
      </c>
      <c r="H23" s="50"/>
      <c r="I23" s="101">
        <f>(G23-N22)*E23+R22</f>
        <v>7253936.999999999</v>
      </c>
      <c r="J23" s="22"/>
      <c r="K23" s="29"/>
      <c r="L23" s="90"/>
      <c r="M23" s="91"/>
      <c r="N23" s="22"/>
      <c r="O23" s="9"/>
      <c r="P23" s="9"/>
    </row>
    <row r="24" spans="1:19" ht="12.75">
      <c r="A24" s="17" t="s">
        <v>42</v>
      </c>
      <c r="G24" s="97"/>
      <c r="K24" s="97"/>
      <c r="M24" s="91"/>
      <c r="N24" s="97"/>
      <c r="R24" s="97"/>
      <c r="S24" s="98"/>
    </row>
    <row r="25" spans="1:16" ht="12.75">
      <c r="A25" s="103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5"/>
    </row>
    <row r="26" spans="7:11" ht="12.75">
      <c r="G26" s="79" t="s">
        <v>45</v>
      </c>
      <c r="H26" s="80"/>
      <c r="K26" s="97"/>
    </row>
    <row r="27" spans="7:8" ht="12.75">
      <c r="G27" s="81" t="s">
        <v>43</v>
      </c>
      <c r="H27" s="82"/>
    </row>
    <row r="28" spans="7:8" ht="12.75">
      <c r="G28" s="20" t="s">
        <v>1</v>
      </c>
      <c r="H28" s="83">
        <v>0.059</v>
      </c>
    </row>
    <row r="29" spans="7:8" ht="13.5" thickBot="1">
      <c r="G29" s="21" t="s">
        <v>2</v>
      </c>
      <c r="H29" s="84">
        <v>0.041</v>
      </c>
    </row>
    <row r="30" spans="7:8" ht="18" customHeight="1" thickTop="1">
      <c r="G30" s="23" t="s">
        <v>28</v>
      </c>
      <c r="H30" s="24">
        <f>H28-H29</f>
        <v>0.017999999999999995</v>
      </c>
    </row>
    <row r="57" spans="4:5" ht="12.75">
      <c r="D57" s="15"/>
      <c r="E57" s="16"/>
    </row>
  </sheetData>
  <mergeCells count="3">
    <mergeCell ref="A25:O25"/>
    <mergeCell ref="A3:I3"/>
    <mergeCell ref="A1:I1"/>
  </mergeCells>
  <printOptions horizontalCentered="1"/>
  <pageMargins left="0.75" right="0.75" top="0.75" bottom="0.75" header="0.5" footer="0.5"/>
  <pageSetup fitToHeight="1" fitToWidth="1" horizontalDpi="600" verticalDpi="600" orientation="landscape" scale="88" r:id="rId2"/>
  <headerFooter alignWithMargins="0">
    <oddHeader>&amp;R&amp;"Times New Roman,Regular"Exhibit No. __ (JRS-7) Revised Aug 7, 2006
Page 1 of 1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lizk</dc:creator>
  <cp:keywords/>
  <dc:description/>
  <cp:lastModifiedBy>Krista Gross</cp:lastModifiedBy>
  <cp:lastPrinted>2006-08-08T21:40:21Z</cp:lastPrinted>
  <dcterms:created xsi:type="dcterms:W3CDTF">2006-06-06T16:45:11Z</dcterms:created>
  <dcterms:modified xsi:type="dcterms:W3CDTF">2006-08-08T21:40:55Z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Testimony</vt:lpwstr>
  </property>
  <property fmtid="{D5CDD505-2E9C-101B-9397-08002B2CF9AE}" pid="4" name="IsHighlyConfidenti">
    <vt:lpwstr>0</vt:lpwstr>
  </property>
  <property fmtid="{D5CDD505-2E9C-101B-9397-08002B2CF9AE}" pid="5" name="DocketNumb">
    <vt:lpwstr>060266</vt:lpwstr>
  </property>
  <property fmtid="{D5CDD505-2E9C-101B-9397-08002B2CF9AE}" pid="6" name="IsConfidenti">
    <vt:lpwstr>0</vt:lpwstr>
  </property>
  <property fmtid="{D5CDD505-2E9C-101B-9397-08002B2CF9AE}" pid="7" name="Dat">
    <vt:lpwstr>2006-08-09T00:00:00Z</vt:lpwstr>
  </property>
  <property fmtid="{D5CDD505-2E9C-101B-9397-08002B2CF9AE}" pid="8" name="CaseTy">
    <vt:lpwstr>Tariff Revision</vt:lpwstr>
  </property>
  <property fmtid="{D5CDD505-2E9C-101B-9397-08002B2CF9AE}" pid="9" name="OpenedDa">
    <vt:lpwstr>2006-02-15T00:00:00Z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