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386" windowWidth="12120" windowHeight="5250" tabRatio="616" activeTab="0"/>
  </bookViews>
  <sheets>
    <sheet name="model" sheetId="1" r:id="rId1"/>
    <sheet name="Gas Case Comparison" sheetId="2" r:id="rId2"/>
    <sheet name="Sheet2" sheetId="3" r:id="rId3"/>
    <sheet name="Spirit Ridge Adj" sheetId="4" r:id="rId4"/>
    <sheet name="Bonus Depreciation" sheetId="5" r:id="rId5"/>
    <sheet name="Attrition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4.01">'model'!$A$2:$F$54</definedName>
    <definedName name="_4.02">'model'!$G$2:$K$34</definedName>
    <definedName name="_4.03">'model'!$L$2:$O$33</definedName>
    <definedName name="_4.04">'model'!$Q$2:$T$34</definedName>
    <definedName name="_4.05">'model'!$U$2:$Z$28</definedName>
    <definedName name="_4.06">'model'!$AA$2:$AE$35</definedName>
    <definedName name="_4.07">'model'!$AF$2:$AJ$19</definedName>
    <definedName name="_4.08">'model'!$AL$2:$AO$25</definedName>
    <definedName name="_4.09">'model'!$AP$2:$AS$48</definedName>
    <definedName name="_4.10">'model'!$AU$2:$AY$24</definedName>
    <definedName name="_4.11">'model'!$AZ$2:$BD$21</definedName>
    <definedName name="_4.12">'model'!$BE$2:$BK$31</definedName>
    <definedName name="_4.13">'model'!$BL$2:$BP$37</definedName>
    <definedName name="_4.14">'model'!$BQ$2:$BT$25</definedName>
    <definedName name="_4.15">'model'!$BU$2:$BY$33</definedName>
    <definedName name="_4.16">'model'!$BZ$2:$CD$30</definedName>
    <definedName name="_4.17">'model'!$CF$2:$CH$26</definedName>
    <definedName name="_4.18">'model'!$CJ$2:$CN$46</definedName>
    <definedName name="_4.19">'model'!$CP$2:$CS$23</definedName>
    <definedName name="_4.20">'model'!$CU$2:$CY$21</definedName>
    <definedName name="_4.21">'model'!$DA$3:$DD$39</definedName>
    <definedName name="_4.22">'model'!$DF$3:$DI$26</definedName>
    <definedName name="_5.01">'model'!$DK$56:$DO$76</definedName>
    <definedName name="_5.02">'model'!$DK$34:$DO$54</definedName>
    <definedName name="_5.03">'model'!$DK$3:$DO$31</definedName>
    <definedName name="_6.01">'Attrition'!$A$79:$G$123</definedName>
    <definedName name="_6.02">'Attrition'!$A$124:$G$163</definedName>
    <definedName name="_FEDERAL_INCOME_TAX">'model'!$DN$25</definedName>
    <definedName name="DOCKET">'model'!$A$9</definedName>
    <definedName name="G4A">'model'!$DQ$2:$DZ$60</definedName>
    <definedName name="G4B">'model'!$EA$2:$EJ$61</definedName>
    <definedName name="G4C">'model'!$EK$2:$EU$62</definedName>
    <definedName name="_xlnm.Print_Area" localSheetId="5">'Attrition'!$A$79:$G$163</definedName>
    <definedName name="_xlnm.Print_Area" localSheetId="1">'Gas Case Comparison'!$A$1:$L$42</definedName>
    <definedName name="PSE">'model'!$A$6</definedName>
    <definedName name="STATE_UTILITY_TAX">'model'!$DN$22</definedName>
    <definedName name="SUMMARY">'model'!$EV$2:$FB$62</definedName>
    <definedName name="TESTYEAR">'model'!$A$8</definedName>
    <definedName name="WUTC_FILING_FEE">'model'!$DO$23</definedName>
    <definedName name="Z_114781A2_0298_429A_B53B_CCDE7FC07C8A_.wvu.PrintArea" localSheetId="0" hidden="1">'model'!$P$3:$P$29</definedName>
    <definedName name="Z_1B900283_A429_4403_A9D8_C71CBE042C5B_.wvu.PrintArea" localSheetId="0" hidden="1">'model'!$AU$3:$AY$26</definedName>
    <definedName name="Z_1C1C43A1_DC1D_4B83_8878_3010F6B52F39_.wvu.PrintArea" localSheetId="0" hidden="1">'model'!$AZ$3:$BD$24</definedName>
    <definedName name="Z_1E45DDAB_A557_4269_B1F7_CCA75743796E_.wvu.PrintArea" localSheetId="0" hidden="1">'model'!$L$3:$O$36</definedName>
    <definedName name="Z_2C3700F5_7337_49E6_9C17_9B49CE910373_.wvu.PrintArea" localSheetId="0" hidden="1">'model'!$AA$3:$AE$55</definedName>
    <definedName name="Z_31DFCE0A_9DA6_4A87_B609_465F85B537E0_.wvu.PrintArea" localSheetId="0" hidden="1">'model'!$A$3:$F$55</definedName>
    <definedName name="Z_363BCC7B_365C_4862_8308_FD01127C4AC4_.wvu.PrintArea" localSheetId="0" hidden="1">'model'!$AL$3:$AO$26</definedName>
    <definedName name="Z_368BDFFC_8B6F_4E1E_88F3_F226428845CF_.wvu.PrintArea" localSheetId="0" hidden="1">'model'!$BE$3:$BK$35</definedName>
    <definedName name="Z_3CBED636_2D45_404E_AAC8_3EE8AD1E87DC_.wvu.PrintArea" localSheetId="0" hidden="1">'model'!$DK$3:$DO$31</definedName>
    <definedName name="Z_416960AD_1B0E_43B1_BBE2_4C2BAE619099_.wvu.PrintArea" localSheetId="0" hidden="1">'model'!$BL$3:$BP$34</definedName>
    <definedName name="Z_4D415296_881A_4775_98CD_22EFE3033486_.wvu.PrintArea" localSheetId="0" hidden="1">'model'!$AP$3:$AS$44</definedName>
    <definedName name="Z_5528C217_5C85_409E_BEF2_118EFA30D59F_.wvu.PrintArea" localSheetId="0" hidden="1">'model'!$DK$35:$DO$55</definedName>
    <definedName name="Z_57344CAB_EDB4_4D23_8F83_6632FA133D6F_.wvu.PrintArea" localSheetId="0" hidden="1">'model'!$AF$3:$AJ$25</definedName>
    <definedName name="Z_6734E4FA_60B7_471C_AEFF_A65F9BB053D8_.wvu.Cols" localSheetId="0" hidden="1">'model'!#REF!,'model'!#REF!</definedName>
    <definedName name="Z_6734E4FA_60B7_471C_AEFF_A65F9BB053D8_.wvu.PrintArea" localSheetId="0" hidden="1">'model'!$DQ$3:$FB$61</definedName>
    <definedName name="Z_70410578_0BAB_407F_B45A_A1FD00E78914_.wvu.PrintArea" localSheetId="0" hidden="1">'model'!$Q$3:$T$49</definedName>
    <definedName name="Z_833E8250_6973_4555_A9B1_5ACEC89F3481_.wvu.PrintArea" localSheetId="0" hidden="1">'model'!$U$3:$Z$27</definedName>
    <definedName name="Z_9BA720D1_BA25_4C52_A40B_874BAF7D1762_.wvu.PrintArea" localSheetId="0" hidden="1">'model'!$BE$3:$BK$38</definedName>
    <definedName name="Z_A74B7FED_837E_46BE_A86A_510E0683DF4F_.wvu.PrintArea" localSheetId="0" hidden="1">'model'!$DK$56:$DO$64</definedName>
    <definedName name="Z_BEBB2007_766E_4870_AB0B_58E56CB3F651_.wvu.PrintArea" localSheetId="0" hidden="1">'model'!$BZ$4:$CO$35</definedName>
    <definedName name="Z_DF51FD8A_8BA9_46B7_B455_DFD0D532E42D_.wvu.PrintArea" localSheetId="0" hidden="1">'model'!$G$3:$K$44</definedName>
    <definedName name="Z_E75FE358_FE2D_4487_BA5A_B5AB72EE82DF_.wvu.PrintArea" localSheetId="0" hidden="1">'model'!$BU$3:$BY$26</definedName>
    <definedName name="Z_F0C9B202_A28C_4D84_9483_9F8FC93D796D_.wvu.PrintArea" localSheetId="0" hidden="1">'model'!$DK$57:$DO$64</definedName>
  </definedNames>
  <calcPr fullCalcOnLoad="1"/>
</workbook>
</file>

<file path=xl/comments1.xml><?xml version="1.0" encoding="utf-8"?>
<comments xmlns="http://schemas.openxmlformats.org/spreadsheetml/2006/main">
  <authors>
    <author>JRussell</author>
  </authors>
  <commentList>
    <comment ref="CX14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Amount reflects proportional reduction as electric.  
Company was allowed costs associated with $25M in 92 case (had $50M), now has $100M.  Sale of InfrastruX should reduce premiums going forward.  Nearly 100% of premium costs wer booked to PSE operating.</t>
        </r>
      </text>
    </comment>
    <comment ref="DD28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Wrong direction?</t>
        </r>
      </text>
    </comment>
    <comment ref="AR35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Remove 1/2 Chicchetti and Dubin, alloc to gas.</t>
        </r>
      </text>
    </comment>
    <comment ref="E14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Revised to include $300K water heater adjustment.</t>
        </r>
      </text>
    </comment>
  </commentList>
</comments>
</file>

<file path=xl/comments2.xml><?xml version="1.0" encoding="utf-8"?>
<comments xmlns="http://schemas.openxmlformats.org/spreadsheetml/2006/main">
  <authors>
    <author>JRussell</author>
  </authors>
  <commentList>
    <comment ref="N7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Run at same ROR then copy col L &amp; paste special col N.</t>
        </r>
      </text>
    </comment>
    <comment ref="O33" authorId="0">
      <text>
        <r>
          <rPr>
            <b/>
            <sz val="8"/>
            <rFont val="Tahoma"/>
            <family val="0"/>
          </rPr>
          <t>JRussell:</t>
        </r>
        <r>
          <rPr>
            <sz val="8"/>
            <rFont val="Tahoma"/>
            <family val="0"/>
          </rPr>
          <t xml:space="preserve">
All ROR difference.</t>
        </r>
      </text>
    </comment>
  </commentList>
</comments>
</file>

<file path=xl/comments4.xml><?xml version="1.0" encoding="utf-8"?>
<comments xmlns="http://schemas.openxmlformats.org/spreadsheetml/2006/main">
  <authors>
    <author>PSE</author>
  </authors>
  <commentList>
    <comment ref="F1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Inc. $35 for 12/31/4 invoice
</t>
        </r>
      </text>
    </comment>
  </commentList>
</comments>
</file>

<file path=xl/comments6.xml><?xml version="1.0" encoding="utf-8"?>
<comments xmlns="http://schemas.openxmlformats.org/spreadsheetml/2006/main">
  <authors>
    <author>kkarzm</author>
  </authors>
  <commentList>
    <comment ref="I3" authorId="0">
      <text>
        <r>
          <rPr>
            <b/>
            <sz val="8"/>
            <rFont val="Tahoma"/>
            <family val="0"/>
          </rPr>
          <t>kkarzm:</t>
        </r>
        <r>
          <rPr>
            <sz val="8"/>
            <rFont val="Tahoma"/>
            <family val="0"/>
          </rPr>
          <t xml:space="preserve">
Rate year growth rate over test year
</t>
        </r>
      </text>
    </comment>
    <comment ref="D5" authorId="0">
      <text>
        <r>
          <rPr>
            <b/>
            <sz val="8"/>
            <rFont val="Tahoma"/>
            <family val="0"/>
          </rPr>
          <t>kkarzm:</t>
        </r>
        <r>
          <rPr>
            <sz val="8"/>
            <rFont val="Tahoma"/>
            <family val="0"/>
          </rPr>
          <t xml:space="preserve">
proof D12
</t>
        </r>
      </text>
    </comment>
    <comment ref="D12" authorId="0">
      <text>
        <r>
          <rPr>
            <b/>
            <sz val="8"/>
            <rFont val="Tahoma"/>
            <family val="0"/>
          </rPr>
          <t>kkarzm:</t>
        </r>
        <r>
          <rPr>
            <sz val="8"/>
            <rFont val="Tahoma"/>
            <family val="0"/>
          </rPr>
          <t xml:space="preserve">
To adjust for the higher cost of purchased gas, which is a pass through
</t>
        </r>
      </text>
    </comment>
    <comment ref="D21" authorId="0">
      <text>
        <r>
          <rPr>
            <b/>
            <sz val="8"/>
            <rFont val="Tahoma"/>
            <family val="0"/>
          </rPr>
          <t>kkarzm:</t>
        </r>
        <r>
          <rPr>
            <sz val="8"/>
            <rFont val="Tahoma"/>
            <family val="0"/>
          </rPr>
          <t xml:space="preserve">
To adjust for the higher cost of purchased gas, which is a pass through
</t>
        </r>
      </text>
    </comment>
  </commentList>
</comments>
</file>

<file path=xl/sharedStrings.xml><?xml version="1.0" encoding="utf-8"?>
<sst xmlns="http://schemas.openxmlformats.org/spreadsheetml/2006/main" count="1187" uniqueCount="567">
  <si>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</si>
  <si>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</si>
  <si>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</si>
  <si>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</si>
  <si>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</si>
  <si>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</si>
  <si>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</si>
  <si>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</si>
  <si>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</si>
  <si>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</si>
  <si>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</si>
  <si>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</si>
  <si>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</si>
  <si>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</si>
  <si>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</si>
  <si>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</si>
  <si>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</si>
  <si>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</si>
  <si>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</si>
  <si>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</si>
  <si>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</si>
  <si>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</si>
  <si>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</si>
  <si>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</si>
  <si>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</si>
  <si>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</si>
  <si>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</si>
  <si>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</si>
  <si>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</si>
  <si>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</si>
  <si>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</si>
  <si>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</si>
  <si>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</si>
  <si>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</si>
  <si>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</si>
  <si>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</si>
  <si>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CONSERVATION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</si>
  <si>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</si>
  <si>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</si>
  <si>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</si>
  <si>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</si>
  <si>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</si>
  <si>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</si>
  <si>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</si>
  <si>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</si>
  <si>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</si>
  <si>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</si>
  <si>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</si>
  <si>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</si>
  <si>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</si>
  <si>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</si>
  <si>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</si>
  <si>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</si>
  <si>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</si>
  <si>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</si>
  <si>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</si>
  <si>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RESTATING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</si>
  <si>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</si>
  <si>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</si>
  <si>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</si>
  <si>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</si>
  <si>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</si>
  <si>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</si>
  <si>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</si>
  <si>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</si>
  <si>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</si>
  <si>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</si>
  <si>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</si>
  <si>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</si>
  <si>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</si>
  <si>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TOTAL OPERATING REVENUE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</si>
  <si>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</si>
  <si>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</si>
  <si>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</si>
  <si>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</si>
  <si>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</si>
  <si>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</si>
  <si>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OPERATING REVENUE DEDUCTION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</si>
  <si>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</si>
  <si>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</si>
  <si>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</si>
  <si>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</si>
  <si>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</si>
  <si>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</si>
  <si>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 xml:space="preserve">     OTHER OPERATIONS</t>
  </si>
  <si>
    <t>INCREASE(DECREASE) NOI</t>
  </si>
  <si>
    <t xml:space="preserve">   DEFERRED FIT - CREDIT</t>
  </si>
  <si>
    <t xml:space="preserve">     OTHER TAXES</t>
  </si>
  <si>
    <t>INCREASE (DECREASE) NOI</t>
  </si>
  <si>
    <t xml:space="preserve">   DEFERRED FIT - INV TAX CREDIT, NET OF AMORTIZATION</t>
  </si>
  <si>
    <t>TRANSMISSION</t>
  </si>
  <si>
    <t xml:space="preserve">     STATE UTILITY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</si>
  <si>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</si>
  <si>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</si>
  <si>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</si>
  <si>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</si>
  <si>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</si>
  <si>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</si>
  <si>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</si>
  <si>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</si>
  <si>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</si>
  <si>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  STATE UTILITY TAX</t>
  </si>
  <si>
    <t xml:space="preserve">   CURRENT FIT    </t>
  </si>
  <si>
    <t>ADMIN. &amp; GENERAL</t>
  </si>
  <si>
    <t>PRO FORMA INSURANCE COSTS</t>
  </si>
  <si>
    <t>TOTAL WAGE INCREASE</t>
  </si>
  <si>
    <t xml:space="preserve">     ALL OTHER (FILING FEE)</t>
  </si>
  <si>
    <t>APPLICABLE TO OPERATIONS @</t>
  </si>
  <si>
    <t xml:space="preserve">     CURRENT</t>
  </si>
  <si>
    <t xml:space="preserve">                    TOTAL CHARGED TO EXPENSE</t>
  </si>
  <si>
    <t xml:space="preserve">                   TOTAL OPERATING REVENUE DEDUCTIONS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</si>
  <si>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</si>
  <si>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</si>
  <si>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</si>
  <si>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</si>
  <si>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</si>
  <si>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</si>
  <si>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</si>
  <si>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</si>
  <si>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</si>
  <si>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</si>
  <si>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</si>
  <si>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DEBT</t>
  </si>
  <si>
    <t>PREFERRED</t>
  </si>
  <si>
    <t>EQUITY</t>
  </si>
  <si>
    <t>RATEBASE</t>
  </si>
  <si>
    <t>GENERAL RATE INCREASE</t>
  </si>
  <si>
    <t>RATE BASE</t>
  </si>
  <si>
    <t>QUALIFIED RETIREMENT FUND</t>
  </si>
  <si>
    <t>INCREASE (DECREASE) OPERATING INCOME</t>
  </si>
  <si>
    <t>TOTAL ADJUSTMENT TO RATEBASE</t>
  </si>
  <si>
    <t>STATEMENT OF OPERATING INCOME AND ADJUSTMENTS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</si>
  <si>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</si>
  <si>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</si>
  <si>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</si>
  <si>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</si>
  <si>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</si>
  <si>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</si>
  <si>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</si>
  <si>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</si>
  <si>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</si>
  <si>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</si>
  <si>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</si>
  <si>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</si>
  <si>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</si>
  <si>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</si>
  <si>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</si>
  <si>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</si>
  <si>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</si>
  <si>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CWIP "IN SERVICE" BUT NOT TRANSFERRED TO PLANT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</si>
  <si>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</si>
  <si>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</si>
  <si>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</si>
  <si>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</si>
  <si>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</si>
  <si>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</si>
  <si>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</si>
  <si>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</si>
  <si>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</si>
  <si>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</si>
  <si>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</si>
  <si>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</si>
  <si>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</si>
  <si>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</si>
  <si>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</si>
  <si>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</si>
  <si>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</si>
  <si>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</si>
  <si>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</si>
  <si>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</si>
  <si>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</si>
  <si>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</si>
  <si>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DEDUCTIBLE CWIP</t>
  </si>
  <si>
    <t>REVENUE &amp;</t>
  </si>
  <si>
    <t>PRO FORMA INTEREST</t>
  </si>
  <si>
    <t>EXCISE TAX &amp;</t>
  </si>
  <si>
    <t>FILING FEE</t>
  </si>
  <si>
    <t>RESTATING AND PRO FORMA ADJUSTMENTS</t>
  </si>
  <si>
    <t>PENSION</t>
  </si>
  <si>
    <t>GAS COSTS:</t>
  </si>
  <si>
    <t xml:space="preserve"> PURCHASED GAS</t>
  </si>
  <si>
    <t>PRO FORMA</t>
  </si>
  <si>
    <t>PRO FORMA COST OF CAPITAL</t>
  </si>
  <si>
    <t>MANAGEMENT (INC. EXECUTIVES)</t>
  </si>
  <si>
    <t>AFTER TAX DEBT ( LINE 1 * 65%)</t>
  </si>
  <si>
    <t>TOTAL AFTER TAX COST OF CAPITAL</t>
  </si>
  <si>
    <t>CHARGED TO EXPENSE 09/30/03</t>
  </si>
  <si>
    <t>RESTATED /</t>
  </si>
  <si>
    <t>CONSERVATION REGULATORY ASSET-ACCT #18230422 WATER HEATER PRGM</t>
  </si>
  <si>
    <t>PAYROLL TAXES</t>
  </si>
  <si>
    <t>check</t>
  </si>
  <si>
    <t>TOAL INCREASE/(DECREASE) NOI</t>
  </si>
  <si>
    <t>INCREASE(DECREASE) OPERATING EXPENSE</t>
  </si>
  <si>
    <t>@</t>
  </si>
  <si>
    <t>INCREASE (DECREASE) OPERATING EXPENSE</t>
  </si>
  <si>
    <t>SERP PLAN</t>
  </si>
  <si>
    <t>Rate Increase</t>
  </si>
  <si>
    <t>DEPRECIATION</t>
  </si>
  <si>
    <t>LOW INCOME</t>
  </si>
  <si>
    <t>INCREASE TO OPERATING REVENUE</t>
  </si>
  <si>
    <t>OTHER OPERATING REVENUE</t>
  </si>
  <si>
    <t xml:space="preserve">RESTATED </t>
  </si>
  <si>
    <t>FUEL COSTS</t>
  </si>
  <si>
    <t>FUEL</t>
  </si>
  <si>
    <t>PURCHASED AND INTERCHANGED</t>
  </si>
  <si>
    <t>WHEELING</t>
  </si>
  <si>
    <t>Subtotal</t>
  </si>
  <si>
    <t>Return on Rate Base</t>
  </si>
  <si>
    <t>Revenue Deficiency - Net of Tax</t>
  </si>
  <si>
    <t>FEDERAL INCOME TAX:</t>
  </si>
  <si>
    <t>12 MOS ENDED 09/30/1999</t>
  </si>
  <si>
    <t>12 MOS ENDED 09/30/2000</t>
  </si>
  <si>
    <t>12 MOS ENDED 09/30/2002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</si>
  <si>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</si>
  <si>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</si>
  <si>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</si>
  <si>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</si>
  <si>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</si>
  <si>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FIT</t>
  </si>
  <si>
    <t>OTHER OPERATING EXPENSE</t>
  </si>
  <si>
    <t>GROSS RECEIPTS</t>
  </si>
  <si>
    <t>TOTAL EXPENSE BEFORE FIT</t>
  </si>
  <si>
    <t>NOI BEFORE FIT</t>
  </si>
  <si>
    <t>PREFERRED STOCK</t>
  </si>
  <si>
    <t>Difference</t>
  </si>
  <si>
    <t>INCENTIVE PAY</t>
  </si>
  <si>
    <t>Docket Numbers UG-06_____</t>
  </si>
  <si>
    <t>OPERATING INCOME REQUIREMENT</t>
  </si>
  <si>
    <t>PRO FORMA OPERATING INCOME</t>
  </si>
  <si>
    <t>OPERATING INCOME DEFICIENCY</t>
  </si>
  <si>
    <t>TOTAL REVENUE REQUIREMENT</t>
  </si>
  <si>
    <t>FAS 133</t>
  </si>
  <si>
    <t>NET</t>
  </si>
  <si>
    <t>GROSS</t>
  </si>
  <si>
    <t>WRITEOFFS</t>
  </si>
  <si>
    <t>REVENUES</t>
  </si>
  <si>
    <t>OPERATING EXPENSES ( PROFORMA)</t>
  </si>
  <si>
    <t>GENERAL OFFICE BUILDING - PROPERTY TAXES</t>
  </si>
  <si>
    <t>GENERAL OFFICE BUILDING - PROPERTY INSURANCE</t>
  </si>
  <si>
    <t>GENERAL OFFICE BUILDING - DEPRECIATION (EOP)</t>
  </si>
  <si>
    <t>CROSSROADS BUILDING - PROPERTY TAXES</t>
  </si>
  <si>
    <t>CROSSROADS BUILDING - PROPERTY INSURANCE</t>
  </si>
  <si>
    <t>CROSSROADS BUILDING - DEPRECIATION (EOP)</t>
  </si>
  <si>
    <t>OPERATING EXPENSES ( RESTATED)</t>
  </si>
  <si>
    <t>PSE(E) - LEASE COSTS</t>
  </si>
  <si>
    <t>PSE(E) - PROPERTY TAXES</t>
  </si>
  <si>
    <t>PSE(E) - PROPERTY INSURANCE</t>
  </si>
  <si>
    <t>INCREASE(DECREASE ) IN EXPENSE</t>
  </si>
  <si>
    <t>GENERAL OFFICE BUILDING</t>
  </si>
  <si>
    <t xml:space="preserve">ACCUM DEPRECIATION </t>
  </si>
  <si>
    <t>DEFERRED INCOME TAX</t>
  </si>
  <si>
    <t>NET GENERAL OFFICE BUILDING</t>
  </si>
  <si>
    <t>CROSSROADS BUILDING</t>
  </si>
  <si>
    <t>NET CROSSROADS BUILDING</t>
  </si>
  <si>
    <t>TOTAL ADJUSTMENT TO RATE BASE</t>
  </si>
  <si>
    <t>DEFERRED GAINS/</t>
  </si>
  <si>
    <t>LOSSES PROP SALES</t>
  </si>
  <si>
    <t>D &amp; O INS. CHG  EXPENSE</t>
  </si>
  <si>
    <t>INCREASE (DECREASE) D&amp;O EXPENSE</t>
  </si>
  <si>
    <t>D&amp;O</t>
  </si>
  <si>
    <t>FOR THE TWELVE MONTHS ENDED SEPTEMBER 30, 2005</t>
  </si>
  <si>
    <t>CONSERVATION AMORTIZATION FOR RATE YEAR</t>
  </si>
  <si>
    <t>INCREASE (DECREASE) AMORTIZATION EXPENSE</t>
  </si>
  <si>
    <t>MUNICIPAL TAX EXPENSED</t>
  </si>
  <si>
    <t>LOW INCOME AMORTIZATION IN TEST PERIOD</t>
  </si>
  <si>
    <t>PGA RATE INCREASE</t>
  </si>
  <si>
    <t>OPERATING REVENUE EXCL MUNI TAXES</t>
  </si>
  <si>
    <t>Change</t>
  </si>
  <si>
    <t>PURCHASED GAS - 101</t>
  </si>
  <si>
    <t>PURCHASED GAS - 106</t>
  </si>
  <si>
    <t xml:space="preserve">  OTHER</t>
  </si>
  <si>
    <t xml:space="preserve">  UTILITY PLANT IN SERVICE</t>
  </si>
  <si>
    <t>Future</t>
  </si>
  <si>
    <t>DEFERRED EXPENDITURES TO BE AMORTIZED:</t>
  </si>
  <si>
    <t>2001 GRC EXPENSES BALANCE @ 9/30/05</t>
  </si>
  <si>
    <t>LESS 2001 GRC AMORTIZATION FROM 10/01/05-12/31/06</t>
  </si>
  <si>
    <t>REMAINING 2001 GRC DEFERRALS TO BE AMORTIZED</t>
  </si>
  <si>
    <t>2004 GRC EXPENSES BALANCE @ 9/30/05</t>
  </si>
  <si>
    <t>LESS 2004 GRC AMORTIZATION FROM 10/01/05-12/31/06</t>
  </si>
  <si>
    <t>REMAINING 2004 GRC DEFERRALS TO BE AMORTIZED</t>
  </si>
  <si>
    <t>LESS TEST YEAR EXPENSE:  2004 GRC AMORTIZATION</t>
  </si>
  <si>
    <t>EXPENSES TO BE NORMALIZED:</t>
  </si>
  <si>
    <t>TOTAL INCREASE (DECREASE) EXPENSE</t>
  </si>
  <si>
    <t>ESTIMATED GRC EXPENSES TO BE NORMALIZED</t>
  </si>
  <si>
    <t>INTEREST ON</t>
  </si>
  <si>
    <t>CUSTOMER DEPOSITS</t>
  </si>
  <si>
    <t>INTEREST EXPENSE FOR TEST YEAR</t>
  </si>
  <si>
    <t>DEFERRED LOSS RECORDED SINCE UG-040640 @ 12/31/2006</t>
  </si>
  <si>
    <t>INCREASE (DECREASE) FIT @ 35%</t>
  </si>
  <si>
    <t>INCREASE (DECREASE) EXPENSE  (Line 5 - Line 7)</t>
  </si>
  <si>
    <t>Therms</t>
  </si>
  <si>
    <t xml:space="preserve">Remove </t>
  </si>
  <si>
    <t>Annualized</t>
  </si>
  <si>
    <t xml:space="preserve">Growth </t>
  </si>
  <si>
    <t>Rate</t>
  </si>
  <si>
    <t xml:space="preserve">Years in </t>
  </si>
  <si>
    <t xml:space="preserve">Tax </t>
  </si>
  <si>
    <t>INCREASE (DECREASE) IN OPERATING EXPENSE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</si>
  <si>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</si>
  <si>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</si>
  <si>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</si>
  <si>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</si>
  <si>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</si>
  <si>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</si>
  <si>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</si>
  <si>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</si>
  <si>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</si>
  <si>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</si>
  <si>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CHARGED TO EXPENSE FOR YEAR ENDED 9/30/2005</t>
  </si>
  <si>
    <t>MUNICIPAL TAXES</t>
  </si>
  <si>
    <t>OTHER</t>
  </si>
  <si>
    <t>TOTAL REVENUE ADDITIONS</t>
  </si>
  <si>
    <t>TOTAL OPERATING EXPENSES</t>
  </si>
  <si>
    <t>PSE</t>
  </si>
  <si>
    <t>Tax Depreciation With and Without Bonus Depreciation</t>
  </si>
  <si>
    <t>Excluding White River</t>
  </si>
  <si>
    <t>2001-2005</t>
  </si>
  <si>
    <t>Total</t>
  </si>
  <si>
    <t>Electric</t>
  </si>
  <si>
    <t>Tax depr. With bonus</t>
  </si>
  <si>
    <t>Tax depr. W/O bonus</t>
  </si>
  <si>
    <t>Allocation of Common Diff. @ .63</t>
  </si>
  <si>
    <t>Total difference</t>
  </si>
  <si>
    <t>Deferred federal income tax @ 35%</t>
  </si>
  <si>
    <t>Gas</t>
  </si>
  <si>
    <t>Allocation of Common Diff. @ .37</t>
  </si>
  <si>
    <t>Twelve months ended</t>
  </si>
  <si>
    <t>Cumulative through</t>
  </si>
  <si>
    <t>Common</t>
  </si>
  <si>
    <t>Tax Depreciation for 2005</t>
  </si>
  <si>
    <t>2004 &amp; prior</t>
  </si>
  <si>
    <t>Tax Depreciation - 2005 1st Qtr</t>
  </si>
  <si>
    <t>Tax Depreciation - 2005 2nd Qtr</t>
  </si>
  <si>
    <t>Tax Depreciation - 2005 3rd Qtr</t>
  </si>
  <si>
    <t>Rate Year Load</t>
  </si>
  <si>
    <t>Purchased Gas Costs</t>
  </si>
  <si>
    <t>Municipal</t>
  </si>
  <si>
    <t>Additions</t>
  </si>
  <si>
    <t>Adjustment</t>
  </si>
  <si>
    <t>Note (1) : Attrition rate without bonus depreciation</t>
  </si>
  <si>
    <t>Attrition NOI</t>
  </si>
  <si>
    <t>Gas Conversion factor</t>
  </si>
  <si>
    <t>OTHER OPERATIONS</t>
  </si>
  <si>
    <t>STATE UTILITY TAX</t>
  </si>
  <si>
    <t>MUNICIPAL REVENUE</t>
  </si>
  <si>
    <t>ANNUAL FILING FEE</t>
  </si>
  <si>
    <t>RATE BASE with bonus depreciation</t>
  </si>
  <si>
    <t>Bonus Depreciation Defd Federal Tax</t>
  </si>
  <si>
    <t>RATE BASE without bonus depreciation</t>
  </si>
  <si>
    <t>ANNUAL NORMALIZATION (LINE 22 / 2 YEARS)</t>
  </si>
  <si>
    <t>AMORT OF DEFERRAL PURSUANT TO WUTC DOC # UG-051528</t>
  </si>
  <si>
    <t>TOTAL INCENTIVE PAY</t>
  </si>
  <si>
    <t>GENERAL OFFICE</t>
  </si>
  <si>
    <t>RELOCATION</t>
  </si>
  <si>
    <t>W</t>
  </si>
  <si>
    <t>WO</t>
  </si>
  <si>
    <t>Correction</t>
  </si>
  <si>
    <t>EVERETT</t>
  </si>
  <si>
    <t>DELTA</t>
  </si>
  <si>
    <t>AMA RATEBASE</t>
  </si>
  <si>
    <t>ACCUMULATED DEPRECIATION (AMA)</t>
  </si>
  <si>
    <t>DEFERRED FIT</t>
  </si>
  <si>
    <t>NET AMA</t>
  </si>
  <si>
    <t>RETURN ON RATE BASE</t>
  </si>
  <si>
    <t>RETURN ON RATE BASE AFTER CONVERSION</t>
  </si>
  <si>
    <t>DEPRECIATION EXPENSE</t>
  </si>
  <si>
    <t>EXCLUDE LEASE PAYMENT</t>
  </si>
  <si>
    <t>TOTAL EXPENSE</t>
  </si>
  <si>
    <t>REVENUE DEFICIENCY</t>
  </si>
  <si>
    <t>NET REVENUE DEFICIENCY BEFORE FIT</t>
  </si>
  <si>
    <t>TOAL INCREASE (DECREASE) FIT</t>
  </si>
  <si>
    <t>NET RATE BASE</t>
  </si>
  <si>
    <t>PROFORMA INTEREST</t>
  </si>
  <si>
    <t>12ME Sept. 30, 2005</t>
  </si>
  <si>
    <t>INCOME TAXES</t>
  </si>
  <si>
    <t>TAXES OTHER THAN INCOME TAXES</t>
  </si>
  <si>
    <t>DEFERRED (GAIN) RECORDED SINCE UG-040640 @ 12/31/2006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</si>
  <si>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</si>
  <si>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</si>
  <si>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</si>
  <si>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</si>
  <si>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>DEP EXP ON CWIP IN SERVICE NOT TRANSFERRED TO PLANT</t>
  </si>
  <si>
    <t>ACCUMULATED DEPRECIATION ON CWIP IN SERVICE</t>
  </si>
  <si>
    <t xml:space="preserve">OPERATING EXPENSES </t>
  </si>
  <si>
    <t>ADJUSTMENT TO RATEBASE</t>
  </si>
  <si>
    <t>INCREASE (DECREASE) INCOME</t>
  </si>
  <si>
    <t>PSE(E) - LEASEHOLD IMPROVEMENTS AMORTIZATION</t>
  </si>
  <si>
    <t>PGA</t>
  </si>
  <si>
    <t>Sale for resale _ firm</t>
  </si>
  <si>
    <t>Delivered Load</t>
  </si>
  <si>
    <t>ATTRITION</t>
  </si>
  <si>
    <t>NORMALIZED THERM SALES</t>
  </si>
  <si>
    <t>Attrition</t>
  </si>
  <si>
    <t>NORMALIZATION OF CARRYING COST ON LINE 4</t>
  </si>
  <si>
    <t>TWELVE MONTH RESULTS OF OPERATIONS</t>
  </si>
  <si>
    <t>.</t>
  </si>
  <si>
    <t xml:space="preserve">Financial </t>
  </si>
  <si>
    <t>Results</t>
  </si>
  <si>
    <t>Forecast</t>
  </si>
  <si>
    <t>Variance</t>
  </si>
  <si>
    <t>Municipal Tax</t>
  </si>
  <si>
    <t xml:space="preserve"> from financial forecast</t>
  </si>
  <si>
    <t>Exhibit No. ______ (KRK-G6)</t>
  </si>
  <si>
    <t>GAS COSTS</t>
  </si>
  <si>
    <t>PURCHASED GAS</t>
  </si>
  <si>
    <t>Percent</t>
  </si>
  <si>
    <t>ADMIN, GEN &amp; CUSTOMER EXPENSES</t>
  </si>
  <si>
    <t>REMOVE AMORTIZATION (REVENUE REMOVED IN ADJ 4.01)</t>
  </si>
  <si>
    <t>PAGE 6.01</t>
  </si>
  <si>
    <t>PAGE 6.02</t>
  </si>
  <si>
    <t>PUGET SOUND ENERGY</t>
  </si>
  <si>
    <t>OVERALL COST OF CAPITAL</t>
  </si>
  <si>
    <t>Wt. Avg.</t>
  </si>
  <si>
    <t>Type of Capital</t>
  </si>
  <si>
    <t>Cost Rate</t>
  </si>
  <si>
    <t>Common Equity</t>
  </si>
  <si>
    <t>Preferred Stock</t>
  </si>
  <si>
    <t>Hybrid Securities</t>
  </si>
  <si>
    <t>Long-term Debt</t>
  </si>
  <si>
    <t>Short-term Debt</t>
  </si>
  <si>
    <t>Total Debt</t>
  </si>
  <si>
    <t>Grand Total</t>
  </si>
  <si>
    <t>(Hill 6/8/06)</t>
  </si>
  <si>
    <t>Total Revenue Requirement</t>
  </si>
  <si>
    <t>% Increase</t>
  </si>
  <si>
    <t>Revenue</t>
  </si>
  <si>
    <t>Requirement</t>
  </si>
  <si>
    <t>No.</t>
  </si>
  <si>
    <t>Per Books</t>
  </si>
  <si>
    <t>Rev. &amp; Exp.,Temp. Normalization</t>
  </si>
  <si>
    <t>Federal Income Tax</t>
  </si>
  <si>
    <t>Tax Benefit of Pro Forma Interest</t>
  </si>
  <si>
    <t>Conservation</t>
  </si>
  <si>
    <t>Bad Debts</t>
  </si>
  <si>
    <t>Amort. Of Def. Taxes Reg. Asset</t>
  </si>
  <si>
    <t>Depreciation on CWIP In-Service</t>
  </si>
  <si>
    <t>Rate Base Adj. CWIP In-Service</t>
  </si>
  <si>
    <t>Property Taxes</t>
  </si>
  <si>
    <t>Excise Tax &amp; Filing Fee</t>
  </si>
  <si>
    <t>Rate Case Expenses</t>
  </si>
  <si>
    <t>Property &amp; Liability Ins</t>
  </si>
  <si>
    <t>Pension Plan</t>
  </si>
  <si>
    <t>Wage Increase</t>
  </si>
  <si>
    <t>Investment Plan</t>
  </si>
  <si>
    <t>Employee Insurance</t>
  </si>
  <si>
    <t>Incentive Pay</t>
  </si>
  <si>
    <t>Interest On Cust. Deposits</t>
  </si>
  <si>
    <t>Prop.Sales Def. Gains/Losses</t>
  </si>
  <si>
    <t>General Office Relocation</t>
  </si>
  <si>
    <t>Low Income Amortization</t>
  </si>
  <si>
    <t>D&amp;O Insurance</t>
  </si>
  <si>
    <t>Everett Delta Pipeline Expansion</t>
  </si>
  <si>
    <t>Working Capital</t>
  </si>
  <si>
    <t>In per books</t>
  </si>
  <si>
    <t>Depreciation Tracker Impact</t>
  </si>
  <si>
    <t>Rate of Return</t>
  </si>
  <si>
    <t>Total Increase</t>
  </si>
  <si>
    <t>Conversion Factor</t>
  </si>
  <si>
    <t xml:space="preserve">Accounting </t>
  </si>
  <si>
    <t>Adj.</t>
  </si>
  <si>
    <t>Staff - PSE</t>
  </si>
  <si>
    <t>Adjustments</t>
  </si>
  <si>
    <t>NOI</t>
  </si>
  <si>
    <t xml:space="preserve">Rate Base </t>
  </si>
  <si>
    <t>Differences</t>
  </si>
  <si>
    <t>ROR Difference</t>
  </si>
  <si>
    <t>GAS</t>
  </si>
  <si>
    <t>Check</t>
  </si>
  <si>
    <t>October 2004 to September 2005</t>
  </si>
  <si>
    <t>Regulatory Proceedings</t>
  </si>
  <si>
    <t>Order</t>
  </si>
  <si>
    <t>Cost Type</t>
  </si>
  <si>
    <t>O&amp;M</t>
  </si>
  <si>
    <t>Capital</t>
  </si>
  <si>
    <t>Spiritridge Investigation</t>
  </si>
  <si>
    <t xml:space="preserve">Spiritridge Pipe Integrity Survey </t>
  </si>
  <si>
    <t>Spiritridge Leak Survey</t>
  </si>
  <si>
    <t>Spiritridge Pipe Integrity Survey Excavation</t>
  </si>
  <si>
    <t>Spiritridge Pipe Replacement</t>
  </si>
  <si>
    <t>108524128 108525438 109020461 109022723</t>
  </si>
  <si>
    <t>878002925 892007767</t>
  </si>
  <si>
    <t xml:space="preserve">Spiritridge Legal Fees </t>
  </si>
  <si>
    <t>Spiritridge Penalties*</t>
  </si>
  <si>
    <t>Below the Line</t>
  </si>
  <si>
    <t>Spiritridge Metallurgic Analysis**</t>
  </si>
  <si>
    <t>Spiritridge Litigation Support**</t>
  </si>
  <si>
    <t>* Accrued in September 2005 business and paid in October 2005.</t>
  </si>
  <si>
    <t>**Per PSE Risk Management</t>
  </si>
  <si>
    <t>DR 322 (subpart c) Spiritridge Test Period Cost Detail - (incremental costs)</t>
  </si>
  <si>
    <t>Spirit Ridge Adjustment</t>
  </si>
  <si>
    <t xml:space="preserve">SPIRIT RIDGE </t>
  </si>
  <si>
    <t>RESTATED O&amp;M SPIRIT RIDGE COSTS</t>
  </si>
  <si>
    <t>INCREASE (DECREASE) O&amp;M</t>
  </si>
  <si>
    <t>SPRIRIT RIDGE INCREMETAL O&amp;M IN TEST YEAR</t>
  </si>
  <si>
    <t>Input In Electric Model!</t>
  </si>
  <si>
    <t>WRONG DIRECTION?</t>
  </si>
  <si>
    <t>Docket Number UE-060266 &amp; 060267</t>
  </si>
  <si>
    <t>Page</t>
  </si>
  <si>
    <t>|----------------------------- PSE ------------------------------|</t>
  </si>
  <si>
    <t>|---------------------------- STAFF ----------------------------|</t>
  </si>
  <si>
    <t>Rev. Req.</t>
  </si>
  <si>
    <t>Remove Penalties</t>
  </si>
  <si>
    <t>REMOVE MISCELLANEOUS PENALTIES</t>
  </si>
  <si>
    <t>ACTUAL CONSERVATION TRACKER AMORTIZATION &amp; EXPENSE</t>
  </si>
  <si>
    <t>RESTATED CONSERVATION TRACKER AMORTIZATION &amp; EXPENSE</t>
  </si>
  <si>
    <t>LESS TEST YEAR EXPENSE:  GRC DIRECT CHARGES &amp; AMORTIZATION</t>
  </si>
  <si>
    <t>TEST YEAR EXPENSE:  2001 GRC AMORTIZATION</t>
  </si>
  <si>
    <r>
      <t xml:space="preserve">ANNUAL AMORTIZATION (LINE 5 </t>
    </r>
    <r>
      <rPr>
        <sz val="7.5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</si>
  <si>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r>
      <t xml:space="preserve">ANNUAL AMORTIZATION (LINE 13 </t>
    </r>
    <r>
      <rPr>
        <sz val="7.5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</si>
  <si>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Total amount allowed</t>
  </si>
  <si>
    <t xml:space="preserve">G.01 - REVENUES &amp; EXPENSES </t>
  </si>
  <si>
    <t>G.02 - FEDERAL INCOME TAX</t>
  </si>
  <si>
    <t>G.03 - TAX BENEFIT OF PRO FORMA INTEREST</t>
  </si>
  <si>
    <t>G.04 - CONSERVATION</t>
  </si>
  <si>
    <t>G.05 - BAD DEBTS</t>
  </si>
  <si>
    <t>G.06 - MISCELLANEOUS OPERATING EXPENSE</t>
  </si>
  <si>
    <t>G.07 - PROPERTY TAXES</t>
  </si>
  <si>
    <t>G.08 - EXCISE TAX &amp; FILING FEE</t>
  </si>
  <si>
    <t>G.09 - RATE CASE EXPENSES</t>
  </si>
  <si>
    <t>G.11 - PENSION PLAN</t>
  </si>
  <si>
    <t>G.10 - PROPERTY &amp; LIABILITY INSURANCE</t>
  </si>
  <si>
    <t>G.12 - WAGE INCREASE</t>
  </si>
  <si>
    <t>G.13 - INVESTMENT PLAN</t>
  </si>
  <si>
    <t>G.14 - EMPLOYEE INSURANCE</t>
  </si>
  <si>
    <t>G.15 - INCENTIVE PAY</t>
  </si>
  <si>
    <t>G.16 - INTEREST ON CUSTOMER DEPOSITS</t>
  </si>
  <si>
    <t>G.17 - DEFERRED GAINS/LOSSES ON PROPERTY SALES</t>
  </si>
  <si>
    <t>G.18 - GENERAL OFFICE RELOCATION</t>
  </si>
  <si>
    <t>G.19 - LOW INCOME AMORTIZATION</t>
  </si>
  <si>
    <t>G.20 - D&amp;O INSURANCE</t>
  </si>
  <si>
    <t>G.21 - EVERETT DELTA</t>
  </si>
  <si>
    <t>G.22 - SPIRIT RIDGE ADJUSTMENT</t>
  </si>
  <si>
    <t>G.01</t>
  </si>
  <si>
    <t>G.02</t>
  </si>
  <si>
    <t>G.03</t>
  </si>
  <si>
    <t>G.04</t>
  </si>
  <si>
    <t>G.05</t>
  </si>
  <si>
    <t>G.06</t>
  </si>
  <si>
    <t>G.07</t>
  </si>
  <si>
    <t>G.08</t>
  </si>
  <si>
    <t>G.09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</si>
  <si>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</si>
  <si>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</si>
  <si>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</si>
  <si>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</si>
  <si>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</si>
  <si>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</si>
  <si>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</si>
  <si>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</si>
  <si>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</si>
  <si>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</si>
  <si>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G.10</t>
  </si>
  <si>
    <t>G.21</t>
  </si>
  <si>
    <t>G.22</t>
  </si>
  <si>
    <t>COMPARISON BETWEEN PSE (as revised) AND STAFF DIRECT CASES</t>
  </si>
  <si>
    <t>(Shading indicates contested adjusments)</t>
  </si>
  <si>
    <t>G.06.1</t>
  </si>
  <si>
    <t>G.06.2</t>
  </si>
  <si>
    <t>G.06.3</t>
  </si>
  <si>
    <t>G.06.4</t>
  </si>
  <si>
    <t>(Contested)</t>
  </si>
  <si>
    <t>(Uncontested)</t>
  </si>
  <si>
    <t>Growth Rate</t>
  </si>
  <si>
    <t>Fit</t>
  </si>
  <si>
    <t>O&amp;M Increase</t>
  </si>
  <si>
    <t>Exhibit No. ____ (JMR-4)</t>
  </si>
  <si>
    <t>REVISED 8/8/06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</si>
</sst>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;\(#,##0\)"/>
    <numFmt numFmtId="172" formatCode="yyyy"/>
    <numFmt numFmtId="173" formatCode="0.0000000%"/>
    <numFmt numFmtId="174" formatCode="0."/>
    <numFmt numFmtId="175" formatCode=".0000000"/>
    <numFmt numFmtId="176" formatCode="&quot;$&quot;#,##0_);\(#,##0\)"/>
    <numFmt numFmtId="177" formatCode="#,##0.0_);\(#,##0.0\)"/>
    <numFmt numFmtId="178" formatCode="_(* #,##0_);_(* \(#,##0\);_(* &quot;-&quot;??_);_(@_)"/>
    <numFmt numFmtId="179" formatCode="_(&quot;$&quot;* #,##0_);_(&quot;$&quot;* \(#,##0\);_(&quot;$&quot;* &quot;-&quot;??_);_(@_)"/>
    <numFmt numFmtId="180" formatCode="_(* #,##0_);[Red]_(* \(#,##0\);_(* &quot;-&quot;_);_(@_)"/>
    <numFmt numFmtId="181" formatCode="_(&quot;$&quot;* #,##0_);[Red]_(&quot;$&quot;* \(#,##0\);_(&quot;$&quot;* &quot;-&quot;_);_(@_)"/>
    <numFmt numFmtId="182" formatCode="_(* #,##0.000000_);_(* \(#,##0.000000\);_(* &quot;-&quot;_);_(@_)"/>
    <numFmt numFmtId="183" formatCode="0.000000%"/>
    <numFmt numFmtId="184" formatCode="_(&quot;$&quot;* #,##0.0000_);_(&quot;$&quot;* \(#,##0.0000\);_(&quot;$&quot;* &quot;-&quot;??_);_(@_)"/>
    <numFmt numFmtId="185" formatCode="#,##0.00000_);\(#,##0.00000\)"/>
    <numFmt numFmtId="186" formatCode="#,##0.0000000"/>
    <numFmt numFmtId="187" formatCode="m/d/yyyy;@"/>
    <numFmt numFmtId="188" formatCode="0.000000000000"/>
    <numFmt numFmtId="189" formatCode="#,##0.000000000_);[Red]\(#,##0.000000000\)"/>
    <numFmt numFmtId="190" formatCode="&quot;$&quot;#,##0_);[Red]&quot;$&quot;\(#,##0\)"/>
    <numFmt numFmtId="191" formatCode="_(* #,##0.0000_);_(* \(#,##0.0000\);_(* &quot;-&quot;_);_(@_)"/>
    <numFmt numFmtId="192" formatCode="_(* #,##0.0000000_);_(* \(#,##0.0000000\);_(* &quot;-&quot;??_);_(@_)"/>
    <numFmt numFmtId="193" formatCode="mmmm\-yy"/>
    <numFmt numFmtId="194" formatCode="0.00000"/>
    <numFmt numFmtId="195" formatCode="0.0000"/>
    <numFmt numFmtId="196" formatCode="0.000"/>
    <numFmt numFmtId="197" formatCode="0.0"/>
    <numFmt numFmtId="198" formatCode="&quot;$&quot;#,##0"/>
    <numFmt numFmtId="199" formatCode="#,##0.0"/>
  </numFmts>
  <fonts count="47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sz val="10"/>
      <name val="Symbol"/>
      <family val="1"/>
    </font>
    <font>
      <b/>
      <sz val="8"/>
      <name val="Times New Roman"/>
      <family val="1"/>
    </font>
    <font>
      <sz val="10"/>
      <name val="Helv"/>
      <family val="0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.5"/>
      <name val="Symbol"/>
      <family val="1"/>
    </font>
    <font>
      <sz val="12"/>
      <name val="Times"/>
      <family val="0"/>
    </font>
    <font>
      <b/>
      <sz val="10"/>
      <name val="Times"/>
      <family val="0"/>
    </font>
    <font>
      <b/>
      <sz val="12"/>
      <color indexed="10"/>
      <name val="Times"/>
      <family val="0"/>
    </font>
    <font>
      <sz val="10"/>
      <name val="Times"/>
      <family val="0"/>
    </font>
    <font>
      <u val="single"/>
      <sz val="10"/>
      <name val="Times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Helv"/>
      <family val="0"/>
    </font>
    <font>
      <sz val="9"/>
      <color indexed="17"/>
      <name val="Times"/>
      <family val="0"/>
    </font>
    <font>
      <sz val="10"/>
      <color indexed="50"/>
      <name val="Times New Roman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Helv"/>
      <family val="0"/>
    </font>
    <font>
      <b/>
      <i/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31">
    <xf numFmtId="170" fontId="11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21" fillId="0" borderId="0" applyNumberFormat="0" applyFill="0" applyBorder="0" applyAlignment="0" applyProtection="0"/>
    <xf numFmtId="170" fontId="11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  <xf numFmtId="38" fontId="13" fillId="0" borderId="1">
      <alignment/>
      <protection/>
    </xf>
    <xf numFmtId="38" fontId="12" fillId="0" borderId="2">
      <alignment/>
      <protection/>
    </xf>
  </cellStyleXfs>
  <cellXfs count="860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fill"/>
    </xf>
    <xf numFmtId="0" fontId="8" fillId="0" borderId="0" xfId="0" applyFont="1" applyFill="1" applyAlignment="1">
      <alignment horizontal="centerContinuous"/>
    </xf>
    <xf numFmtId="10" fontId="7" fillId="0" borderId="0" xfId="28" applyNumberFormat="1" applyFont="1" applyFill="1" applyAlignment="1">
      <alignment/>
    </xf>
    <xf numFmtId="167" fontId="7" fillId="0" borderId="0" xfId="28" applyNumberFormat="1" applyFont="1" applyFill="1" applyBorder="1" applyAlignment="1">
      <alignment/>
    </xf>
    <xf numFmtId="167" fontId="7" fillId="0" borderId="0" xfId="28" applyNumberFormat="1" applyFont="1" applyFill="1" applyAlignment="1">
      <alignment/>
    </xf>
    <xf numFmtId="41" fontId="7" fillId="0" borderId="0" xfId="15" applyNumberFormat="1" applyFont="1" applyFill="1" applyBorder="1" applyAlignment="1" applyProtection="1">
      <alignment/>
      <protection locked="0"/>
    </xf>
    <xf numFmtId="42" fontId="7" fillId="0" borderId="0" xfId="18" applyNumberFormat="1" applyFont="1" applyFill="1" applyAlignment="1" applyProtection="1">
      <alignment/>
      <protection locked="0"/>
    </xf>
    <xf numFmtId="41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18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0" fontId="7" fillId="0" borderId="0" xfId="0" applyFont="1" applyFill="1" applyBorder="1" applyAlignment="1" quotePrefix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 applyProtection="1">
      <alignment horizontal="center"/>
      <protection locked="0"/>
    </xf>
    <xf numFmtId="42" fontId="7" fillId="0" borderId="2" xfId="18" applyNumberFormat="1" applyFont="1" applyFill="1" applyBorder="1" applyAlignment="1" applyProtection="1">
      <alignment/>
      <protection locked="0"/>
    </xf>
    <xf numFmtId="42" fontId="7" fillId="0" borderId="2" xfId="18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quotePrefix="1">
      <alignment horizontal="right"/>
    </xf>
    <xf numFmtId="42" fontId="7" fillId="0" borderId="0" xfId="18" applyNumberFormat="1" applyFont="1" applyFill="1" applyBorder="1" applyAlignment="1" applyProtection="1">
      <alignment/>
      <protection locked="0"/>
    </xf>
    <xf numFmtId="42" fontId="7" fillId="0" borderId="0" xfId="18" applyNumberFormat="1" applyFont="1" applyFill="1" applyBorder="1" applyAlignment="1">
      <alignment/>
    </xf>
    <xf numFmtId="0" fontId="7" fillId="0" borderId="0" xfId="18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18" applyNumberFormat="1" applyFont="1" applyFill="1" applyBorder="1" applyAlignment="1" applyProtection="1">
      <alignment/>
      <protection locked="0"/>
    </xf>
    <xf numFmtId="0" fontId="7" fillId="0" borderId="0" xfId="18" applyNumberFormat="1" applyFont="1" applyFill="1" applyAlignment="1" applyProtection="1" quotePrefix="1">
      <alignment/>
      <protection locked="0"/>
    </xf>
    <xf numFmtId="0" fontId="7" fillId="0" borderId="0" xfId="18" applyNumberFormat="1" applyFont="1" applyFill="1" applyBorder="1" applyAlignment="1" applyProtection="1" quotePrefix="1">
      <alignment/>
      <protection locked="0"/>
    </xf>
    <xf numFmtId="41" fontId="7" fillId="0" borderId="3" xfId="0" applyNumberFormat="1" applyFont="1" applyFill="1" applyBorder="1" applyAlignment="1" applyProtection="1">
      <alignment/>
      <protection locked="0"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18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167" fontId="7" fillId="0" borderId="3" xfId="28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7" fillId="0" borderId="0" xfId="15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42" fontId="7" fillId="0" borderId="0" xfId="18" applyNumberFormat="1" applyFont="1" applyFill="1" applyAlignment="1">
      <alignment horizontal="left"/>
    </xf>
    <xf numFmtId="42" fontId="7" fillId="0" borderId="0" xfId="18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3" xfId="0" applyNumberFormat="1" applyFont="1" applyFill="1" applyBorder="1" applyAlignment="1">
      <alignment horizontal="right"/>
    </xf>
    <xf numFmtId="41" fontId="7" fillId="0" borderId="0" xfId="18" applyNumberFormat="1" applyFont="1" applyFill="1" applyAlignment="1">
      <alignment horizontal="right"/>
    </xf>
    <xf numFmtId="184" fontId="7" fillId="0" borderId="0" xfId="0" applyNumberFormat="1" applyFont="1" applyFill="1" applyAlignment="1">
      <alignment/>
    </xf>
    <xf numFmtId="6" fontId="7" fillId="0" borderId="0" xfId="18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67" fontId="7" fillId="0" borderId="0" xfId="28" applyNumberFormat="1" applyFont="1" applyFill="1" applyBorder="1" applyAlignment="1">
      <alignment vertical="top"/>
    </xf>
    <xf numFmtId="9" fontId="7" fillId="0" borderId="0" xfId="28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8" fontId="7" fillId="0" borderId="0" xfId="28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4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41" fontId="7" fillId="0" borderId="3" xfId="15" applyNumberFormat="1" applyFont="1" applyFill="1" applyBorder="1" applyAlignment="1">
      <alignment/>
    </xf>
    <xf numFmtId="6" fontId="7" fillId="0" borderId="0" xfId="18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8" fillId="0" borderId="0" xfId="15" applyNumberFormat="1" applyFont="1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3" fontId="8" fillId="0" borderId="0" xfId="15" applyNumberFormat="1" applyFont="1" applyFill="1" applyAlignment="1">
      <alignment/>
    </xf>
    <xf numFmtId="3" fontId="8" fillId="0" borderId="3" xfId="15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fill"/>
      <protection locked="0"/>
    </xf>
    <xf numFmtId="0" fontId="7" fillId="0" borderId="3" xfId="0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79" fontId="7" fillId="0" borderId="0" xfId="0" applyNumberFormat="1" applyFont="1" applyFill="1" applyBorder="1" applyAlignment="1">
      <alignment/>
    </xf>
    <xf numFmtId="9" fontId="7" fillId="0" borderId="3" xfId="28" applyFont="1" applyFill="1" applyBorder="1" applyAlignment="1">
      <alignment/>
    </xf>
    <xf numFmtId="0" fontId="7" fillId="0" borderId="0" xfId="0" applyFont="1" applyFill="1" applyAlignment="1" quotePrefix="1">
      <alignment horizontal="fill"/>
    </xf>
    <xf numFmtId="37" fontId="7" fillId="0" borderId="0" xfId="15" applyNumberFormat="1" applyFont="1" applyFill="1" applyAlignment="1">
      <alignment/>
    </xf>
    <xf numFmtId="0" fontId="7" fillId="0" borderId="0" xfId="0" applyFont="1" applyFill="1" applyAlignment="1" applyProtection="1" quotePrefix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37" fontId="7" fillId="0" borderId="0" xfId="15" applyNumberFormat="1" applyFont="1" applyFill="1" applyBorder="1" applyAlignment="1" applyProtection="1">
      <alignment/>
      <protection locked="0"/>
    </xf>
    <xf numFmtId="9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3" xfId="15" applyNumberFormat="1" applyFont="1" applyFill="1" applyBorder="1" applyAlignment="1">
      <alignment/>
    </xf>
    <xf numFmtId="9" fontId="7" fillId="0" borderId="0" xfId="28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41" fontId="7" fillId="0" borderId="0" xfId="18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quotePrefix="1">
      <alignment horizontal="left"/>
    </xf>
    <xf numFmtId="37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42" fontId="7" fillId="0" borderId="0" xfId="18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 vertical="top"/>
      <protection locked="0"/>
    </xf>
    <xf numFmtId="9" fontId="7" fillId="0" borderId="0" xfId="28" applyNumberFormat="1" applyFont="1" applyFill="1" applyAlignment="1">
      <alignment/>
    </xf>
    <xf numFmtId="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quotePrefix="1">
      <alignment horizontal="left"/>
    </xf>
    <xf numFmtId="37" fontId="7" fillId="0" borderId="0" xfId="0" applyNumberFormat="1" applyFont="1" applyFill="1" applyBorder="1" applyAlignment="1">
      <alignment/>
    </xf>
    <xf numFmtId="6" fontId="7" fillId="0" borderId="0" xfId="18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15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5" fontId="7" fillId="0" borderId="0" xfId="0" applyNumberFormat="1" applyFont="1" applyFill="1" applyAlignment="1">
      <alignment/>
    </xf>
    <xf numFmtId="10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25" applyFont="1" applyFill="1" applyAlignment="1">
      <alignment horizontal="centerContinuous"/>
      <protection/>
    </xf>
    <xf numFmtId="0" fontId="8" fillId="0" borderId="0" xfId="25" applyFont="1" applyFill="1" applyAlignment="1">
      <alignment horizontal="centerContinuous"/>
      <protection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>
      <alignment/>
      <protection/>
    </xf>
    <xf numFmtId="0" fontId="10" fillId="0" borderId="0" xfId="25" applyFont="1" applyFill="1" applyAlignment="1">
      <alignment horizontal="centerContinuous"/>
      <protection/>
    </xf>
    <xf numFmtId="0" fontId="7" fillId="0" borderId="0" xfId="25" applyFont="1" applyFill="1" applyBorder="1" applyAlignment="1">
      <alignment horizontal="center"/>
      <protection/>
    </xf>
    <xf numFmtId="0" fontId="10" fillId="0" borderId="0" xfId="25" applyFont="1" applyFill="1" applyBorder="1" applyAlignment="1">
      <alignment horizontal="centerContinuous"/>
      <protection/>
    </xf>
    <xf numFmtId="0" fontId="7" fillId="0" borderId="0" xfId="25" applyFont="1" applyFill="1" applyBorder="1">
      <alignment/>
      <protection/>
    </xf>
    <xf numFmtId="174" fontId="7" fillId="0" borderId="0" xfId="25" applyNumberFormat="1" applyFont="1" applyFill="1" applyBorder="1" applyAlignment="1">
      <alignment horizontal="center"/>
      <protection/>
    </xf>
    <xf numFmtId="5" fontId="7" fillId="0" borderId="0" xfId="25" applyNumberFormat="1" applyFont="1" applyFill="1" applyBorder="1">
      <alignment/>
      <protection/>
    </xf>
    <xf numFmtId="37" fontId="7" fillId="0" borderId="0" xfId="25" applyNumberFormat="1" applyFont="1" applyFill="1" applyBorder="1">
      <alignment/>
      <protection/>
    </xf>
    <xf numFmtId="177" fontId="7" fillId="0" borderId="0" xfId="25" applyNumberFormat="1" applyFont="1" applyFill="1" applyBorder="1">
      <alignment/>
      <protection/>
    </xf>
    <xf numFmtId="7" fontId="7" fillId="0" borderId="0" xfId="25" applyNumberFormat="1" applyFont="1" applyFill="1" applyBorder="1">
      <alignment/>
      <protection/>
    </xf>
    <xf numFmtId="0" fontId="8" fillId="0" borderId="0" xfId="25" applyFont="1" applyFill="1" applyBorder="1" applyAlignment="1">
      <alignment horizontal="centerContinuous"/>
      <protection/>
    </xf>
    <xf numFmtId="0" fontId="7" fillId="0" borderId="0" xfId="25" applyFont="1" applyFill="1" applyBorder="1" applyAlignment="1">
      <alignment horizontal="centerContinuous"/>
      <protection/>
    </xf>
    <xf numFmtId="5" fontId="7" fillId="0" borderId="0" xfId="25" applyNumberFormat="1" applyFont="1" applyFill="1" applyBorder="1" applyAlignment="1">
      <alignment horizontal="centerContinuous"/>
      <protection/>
    </xf>
    <xf numFmtId="176" fontId="7" fillId="0" borderId="0" xfId="25" applyNumberFormat="1" applyFont="1" applyFill="1" applyBorder="1" applyAlignment="1">
      <alignment horizontal="centerContinuous"/>
      <protection/>
    </xf>
    <xf numFmtId="176" fontId="7" fillId="0" borderId="0" xfId="25" applyNumberFormat="1" applyFont="1" applyFill="1" applyBorder="1">
      <alignment/>
      <protection/>
    </xf>
    <xf numFmtId="170" fontId="7" fillId="0" borderId="0" xfId="25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horizontal="centerContinuous"/>
      <protection/>
    </xf>
    <xf numFmtId="0" fontId="7" fillId="0" borderId="0" xfId="26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 applyBorder="1">
      <alignment/>
      <protection/>
    </xf>
    <xf numFmtId="174" fontId="7" fillId="0" borderId="0" xfId="26" applyNumberFormat="1" applyFont="1" applyFill="1" applyBorder="1" applyAlignment="1">
      <alignment horizontal="center"/>
      <protection/>
    </xf>
    <xf numFmtId="5" fontId="7" fillId="0" borderId="0" xfId="26" applyNumberFormat="1" applyFont="1" applyFill="1" applyBorder="1">
      <alignment/>
      <protection/>
    </xf>
    <xf numFmtId="37" fontId="7" fillId="0" borderId="0" xfId="26" applyNumberFormat="1" applyFont="1" applyFill="1" applyBorder="1">
      <alignment/>
      <protection/>
    </xf>
    <xf numFmtId="175" fontId="7" fillId="0" borderId="0" xfId="26" applyNumberFormat="1" applyFont="1" applyFill="1" applyBorder="1">
      <alignment/>
      <protection/>
    </xf>
    <xf numFmtId="176" fontId="7" fillId="0" borderId="0" xfId="26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4" fontId="7" fillId="0" borderId="0" xfId="15" applyFont="1" applyFill="1" applyAlignment="1">
      <alignment/>
    </xf>
    <xf numFmtId="0" fontId="7" fillId="0" borderId="0" xfId="0" applyFont="1" applyFill="1" applyBorder="1" applyAlignment="1">
      <alignment vertical="center"/>
    </xf>
    <xf numFmtId="14" fontId="1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28" applyFont="1" applyFill="1" applyAlignment="1">
      <alignment horizontal="left"/>
    </xf>
    <xf numFmtId="37" fontId="7" fillId="0" borderId="0" xfId="15" applyNumberFormat="1" applyFont="1" applyFill="1" applyAlignment="1">
      <alignment vertical="top"/>
    </xf>
    <xf numFmtId="41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8" fillId="0" borderId="3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78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 quotePrefix="1">
      <alignment horizontal="left"/>
      <protection locked="0"/>
    </xf>
    <xf numFmtId="41" fontId="7" fillId="0" borderId="0" xfId="15" applyNumberFormat="1" applyFont="1" applyFill="1" applyBorder="1" applyAlignment="1">
      <alignment horizontal="center"/>
    </xf>
    <xf numFmtId="42" fontId="7" fillId="0" borderId="0" xfId="15" applyNumberFormat="1" applyFont="1" applyFill="1" applyBorder="1" applyAlignment="1">
      <alignment/>
    </xf>
    <xf numFmtId="9" fontId="7" fillId="0" borderId="0" xfId="15" applyNumberFormat="1" applyFont="1" applyFill="1" applyBorder="1" applyAlignment="1">
      <alignment horizontal="center"/>
    </xf>
    <xf numFmtId="9" fontId="7" fillId="0" borderId="0" xfId="28" applyFont="1" applyFill="1" applyAlignment="1">
      <alignment/>
    </xf>
    <xf numFmtId="10" fontId="7" fillId="0" borderId="0" xfId="28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 horizontal="right"/>
    </xf>
    <xf numFmtId="10" fontId="7" fillId="0" borderId="5" xfId="28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>
      <alignment/>
    </xf>
    <xf numFmtId="42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Continuous"/>
    </xf>
    <xf numFmtId="0" fontId="8" fillId="0" borderId="3" xfId="0" applyFont="1" applyFill="1" applyBorder="1" applyAlignment="1">
      <alignment/>
    </xf>
    <xf numFmtId="179" fontId="7" fillId="0" borderId="0" xfId="18" applyNumberFormat="1" applyFont="1" applyFill="1" applyBorder="1" applyAlignment="1">
      <alignment/>
    </xf>
    <xf numFmtId="42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179" fontId="7" fillId="0" borderId="0" xfId="15" applyNumberFormat="1" applyFont="1" applyFill="1" applyBorder="1" applyAlignment="1">
      <alignment/>
    </xf>
    <xf numFmtId="0" fontId="7" fillId="0" borderId="0" xfId="27" applyFont="1" applyBorder="1">
      <alignment/>
      <protection/>
    </xf>
    <xf numFmtId="0" fontId="8" fillId="0" borderId="6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8" fillId="0" borderId="8" xfId="27" applyFont="1" applyBorder="1" applyAlignment="1">
      <alignment horizontal="center"/>
      <protection/>
    </xf>
    <xf numFmtId="0" fontId="8" fillId="0" borderId="9" xfId="27" applyFont="1" applyBorder="1" applyAlignment="1">
      <alignment horizontal="center"/>
      <protection/>
    </xf>
    <xf numFmtId="0" fontId="7" fillId="0" borderId="3" xfId="27" applyFont="1" applyBorder="1">
      <alignment/>
      <protection/>
    </xf>
    <xf numFmtId="0" fontId="8" fillId="0" borderId="10" xfId="27" applyFont="1" applyFill="1" applyBorder="1" applyAlignment="1">
      <alignment horizontal="center"/>
      <protection/>
    </xf>
    <xf numFmtId="0" fontId="9" fillId="0" borderId="0" xfId="27" applyFont="1" applyBorder="1" applyAlignment="1">
      <alignment horizontal="left"/>
      <protection/>
    </xf>
    <xf numFmtId="0" fontId="7" fillId="0" borderId="0" xfId="27" applyFont="1" applyBorder="1" applyAlignment="1">
      <alignment horizontal="left"/>
      <protection/>
    </xf>
    <xf numFmtId="0" fontId="7" fillId="0" borderId="0" xfId="27" applyFont="1" applyFill="1" applyBorder="1" applyAlignment="1">
      <alignment horizontal="left"/>
      <protection/>
    </xf>
    <xf numFmtId="0" fontId="7" fillId="0" borderId="0" xfId="27" applyFont="1" applyBorder="1" applyAlignment="1">
      <alignment horizontal="left" vertical="center"/>
      <protection/>
    </xf>
    <xf numFmtId="0" fontId="8" fillId="0" borderId="0" xfId="18" applyNumberFormat="1" applyFont="1" applyFill="1" applyAlignment="1" applyProtection="1">
      <alignment/>
      <protection locked="0"/>
    </xf>
    <xf numFmtId="0" fontId="8" fillId="0" borderId="0" xfId="18" applyNumberFormat="1" applyFont="1" applyFill="1" applyAlignment="1" applyProtection="1" quotePrefix="1">
      <alignment/>
      <protection locked="0"/>
    </xf>
    <xf numFmtId="37" fontId="7" fillId="0" borderId="2" xfId="15" applyNumberFormat="1" applyFont="1" applyFill="1" applyBorder="1" applyAlignment="1">
      <alignment/>
    </xf>
    <xf numFmtId="37" fontId="7" fillId="0" borderId="0" xfId="15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right"/>
    </xf>
    <xf numFmtId="42" fontId="7" fillId="0" borderId="0" xfId="18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2" fontId="8" fillId="0" borderId="11" xfId="18" applyNumberFormat="1" applyFont="1" applyFill="1" applyBorder="1" applyAlignment="1">
      <alignment/>
    </xf>
    <xf numFmtId="42" fontId="8" fillId="0" borderId="11" xfId="15" applyNumberFormat="1" applyFont="1" applyFill="1" applyBorder="1" applyAlignment="1">
      <alignment/>
    </xf>
    <xf numFmtId="42" fontId="8" fillId="0" borderId="11" xfId="0" applyNumberFormat="1" applyFont="1" applyFill="1" applyBorder="1" applyAlignment="1">
      <alignment/>
    </xf>
    <xf numFmtId="5" fontId="8" fillId="0" borderId="11" xfId="18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9" fillId="0" borderId="0" xfId="0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7" fillId="0" borderId="0" xfId="15" applyNumberFormat="1" applyFon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/>
    </xf>
    <xf numFmtId="165" fontId="7" fillId="0" borderId="12" xfId="28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Alignment="1">
      <alignment horizontal="right"/>
    </xf>
    <xf numFmtId="173" fontId="7" fillId="0" borderId="0" xfId="28" applyNumberFormat="1" applyFont="1" applyFill="1" applyBorder="1" applyAlignment="1">
      <alignment horizontal="right"/>
    </xf>
    <xf numFmtId="173" fontId="7" fillId="0" borderId="3" xfId="28" applyNumberFormat="1" applyFont="1" applyFill="1" applyBorder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3" fontId="8" fillId="0" borderId="0" xfId="28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83" fontId="7" fillId="0" borderId="0" xfId="28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/>
      <protection locked="0"/>
    </xf>
    <xf numFmtId="42" fontId="7" fillId="0" borderId="2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18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22" fontId="7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2" fontId="8" fillId="0" borderId="3" xfId="0" applyNumberFormat="1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171" fontId="7" fillId="0" borderId="0" xfId="0" applyNumberFormat="1" applyFont="1" applyFill="1" applyAlignment="1" applyProtection="1">
      <alignment/>
      <protection locked="0"/>
    </xf>
    <xf numFmtId="42" fontId="7" fillId="0" borderId="0" xfId="18" applyNumberFormat="1" applyFont="1" applyFill="1" applyBorder="1" applyAlignment="1" applyProtection="1">
      <alignment horizontal="right"/>
      <protection locked="0"/>
    </xf>
    <xf numFmtId="178" fontId="7" fillId="0" borderId="0" xfId="15" applyNumberFormat="1" applyFont="1" applyFill="1" applyAlignment="1">
      <alignment/>
    </xf>
    <xf numFmtId="3" fontId="7" fillId="0" borderId="0" xfId="15" applyNumberFormat="1" applyFont="1" applyFill="1" applyAlignment="1">
      <alignment horizontal="right"/>
    </xf>
    <xf numFmtId="179" fontId="7" fillId="0" borderId="0" xfId="18" applyNumberFormat="1" applyFont="1" applyFill="1" applyAlignment="1">
      <alignment/>
    </xf>
    <xf numFmtId="17" fontId="9" fillId="0" borderId="0" xfId="0" applyNumberFormat="1" applyFont="1" applyFill="1" applyBorder="1" applyAlignment="1">
      <alignment horizontal="left"/>
    </xf>
    <xf numFmtId="173" fontId="7" fillId="0" borderId="3" xfId="0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/>
    </xf>
    <xf numFmtId="179" fontId="7" fillId="0" borderId="0" xfId="18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9" fontId="7" fillId="0" borderId="2" xfId="18" applyNumberFormat="1" applyFont="1" applyFill="1" applyBorder="1" applyAlignment="1">
      <alignment/>
    </xf>
    <xf numFmtId="41" fontId="7" fillId="0" borderId="3" xfId="0" applyNumberFormat="1" applyFont="1" applyFill="1" applyBorder="1" applyAlignment="1" applyProtection="1">
      <alignment vertical="center"/>
      <protection locked="0"/>
    </xf>
    <xf numFmtId="179" fontId="8" fillId="0" borderId="11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vertical="top"/>
    </xf>
    <xf numFmtId="169" fontId="7" fillId="0" borderId="0" xfId="0" applyNumberFormat="1" applyFont="1" applyFill="1" applyBorder="1" applyAlignment="1">
      <alignment vertical="top"/>
    </xf>
    <xf numFmtId="178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41" fontId="7" fillId="0" borderId="0" xfId="0" applyNumberFormat="1" applyFont="1" applyFill="1" applyAlignment="1" applyProtection="1">
      <alignment vertical="center"/>
      <protection locked="0"/>
    </xf>
    <xf numFmtId="9" fontId="7" fillId="0" borderId="0" xfId="28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79" fontId="8" fillId="0" borderId="11" xfId="18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4" fontId="7" fillId="0" borderId="0" xfId="18" applyNumberFormat="1" applyFont="1" applyFill="1" applyBorder="1" applyAlignment="1">
      <alignment/>
    </xf>
    <xf numFmtId="8" fontId="7" fillId="0" borderId="0" xfId="18" applyFont="1" applyFill="1" applyBorder="1" applyAlignment="1">
      <alignment/>
    </xf>
    <xf numFmtId="168" fontId="7" fillId="0" borderId="3" xfId="28" applyNumberFormat="1" applyFont="1" applyFill="1" applyBorder="1" applyAlignment="1" applyProtection="1">
      <alignment/>
      <protection locked="0"/>
    </xf>
    <xf numFmtId="171" fontId="8" fillId="0" borderId="0" xfId="0" applyNumberFormat="1" applyFont="1" applyFill="1" applyAlignment="1">
      <alignment/>
    </xf>
    <xf numFmtId="0" fontId="8" fillId="0" borderId="3" xfId="0" applyFont="1" applyFill="1" applyBorder="1" applyAlignment="1" applyProtection="1" quotePrefix="1">
      <alignment horizontal="center"/>
      <protection locked="0"/>
    </xf>
    <xf numFmtId="3" fontId="7" fillId="0" borderId="0" xfId="15" applyNumberFormat="1" applyFont="1" applyFill="1" applyAlignment="1">
      <alignment/>
    </xf>
    <xf numFmtId="3" fontId="7" fillId="0" borderId="2" xfId="15" applyNumberFormat="1" applyFont="1" applyFill="1" applyBorder="1" applyAlignment="1">
      <alignment/>
    </xf>
    <xf numFmtId="42" fontId="7" fillId="0" borderId="11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15" applyNumberFormat="1" applyFont="1" applyFill="1" applyAlignment="1">
      <alignment/>
    </xf>
    <xf numFmtId="41" fontId="7" fillId="0" borderId="0" xfId="15" applyNumberFormat="1" applyFont="1" applyFill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9" fontId="7" fillId="0" borderId="0" xfId="28" applyFont="1" applyFill="1" applyAlignment="1">
      <alignment/>
    </xf>
    <xf numFmtId="170" fontId="7" fillId="0" borderId="3" xfId="0" applyFont="1" applyFill="1" applyBorder="1" applyAlignment="1">
      <alignment horizontal="left"/>
    </xf>
    <xf numFmtId="170" fontId="7" fillId="0" borderId="0" xfId="0" applyFont="1" applyFill="1" applyAlignment="1">
      <alignment horizontal="left"/>
    </xf>
    <xf numFmtId="170" fontId="11" fillId="0" borderId="0" xfId="0" applyAlignment="1">
      <alignment horizontal="left" wrapText="1"/>
    </xf>
    <xf numFmtId="6" fontId="7" fillId="0" borderId="2" xfId="18" applyNumberFormat="1" applyFont="1" applyFill="1" applyBorder="1" applyAlignment="1">
      <alignment/>
    </xf>
    <xf numFmtId="170" fontId="7" fillId="0" borderId="0" xfId="0" applyFont="1" applyFill="1" applyBorder="1" applyAlignment="1">
      <alignment horizontal="left" wrapText="1"/>
    </xf>
    <xf numFmtId="170" fontId="7" fillId="0" borderId="0" xfId="0" applyFont="1" applyAlignment="1">
      <alignment horizontal="left" wrapText="1"/>
    </xf>
    <xf numFmtId="37" fontId="7" fillId="0" borderId="0" xfId="0" applyNumberFormat="1" applyFont="1" applyFill="1" applyAlignment="1">
      <alignment horizontal="left" wrapText="1"/>
    </xf>
    <xf numFmtId="170" fontId="7" fillId="0" borderId="0" xfId="0" applyFont="1" applyAlignment="1">
      <alignment horizontal="left"/>
    </xf>
    <xf numFmtId="170" fontId="7" fillId="0" borderId="3" xfId="0" applyFont="1" applyBorder="1" applyAlignment="1">
      <alignment horizontal="left"/>
    </xf>
    <xf numFmtId="170" fontId="7" fillId="0" borderId="0" xfId="0" applyFont="1" applyAlignment="1">
      <alignment/>
    </xf>
    <xf numFmtId="42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170" fontId="8" fillId="0" borderId="0" xfId="0" applyFont="1" applyFill="1" applyAlignment="1">
      <alignment/>
    </xf>
    <xf numFmtId="170" fontId="7" fillId="0" borderId="0" xfId="0" applyFont="1" applyFill="1" applyAlignment="1">
      <alignment/>
    </xf>
    <xf numFmtId="170" fontId="8" fillId="0" borderId="0" xfId="0" applyFont="1" applyFill="1" applyAlignment="1">
      <alignment horizontal="right"/>
    </xf>
    <xf numFmtId="170" fontId="8" fillId="0" borderId="0" xfId="0" applyFont="1" applyFill="1" applyAlignment="1">
      <alignment horizontal="left"/>
    </xf>
    <xf numFmtId="170" fontId="8" fillId="0" borderId="0" xfId="0" applyFont="1" applyFill="1" applyAlignment="1" applyProtection="1">
      <alignment horizontal="centerContinuous"/>
      <protection locked="0"/>
    </xf>
    <xf numFmtId="170" fontId="8" fillId="0" borderId="0" xfId="0" applyFont="1" applyFill="1" applyAlignment="1">
      <alignment horizontal="centerContinuous"/>
    </xf>
    <xf numFmtId="170" fontId="8" fillId="0" borderId="0" xfId="0" applyFont="1" applyFill="1" applyBorder="1" applyAlignment="1">
      <alignment horizontal="centerContinuous"/>
    </xf>
    <xf numFmtId="170" fontId="8" fillId="0" borderId="0" xfId="0" applyFont="1" applyFill="1" applyAlignment="1">
      <alignment horizontal="center"/>
    </xf>
    <xf numFmtId="170" fontId="8" fillId="0" borderId="3" xfId="0" applyFont="1" applyFill="1" applyBorder="1" applyAlignment="1">
      <alignment horizontal="center"/>
    </xf>
    <xf numFmtId="170" fontId="8" fillId="0" borderId="3" xfId="0" applyFont="1" applyFill="1" applyBorder="1" applyAlignment="1">
      <alignment horizontal="left"/>
    </xf>
    <xf numFmtId="170" fontId="8" fillId="0" borderId="3" xfId="0" applyFont="1" applyFill="1" applyBorder="1" applyAlignment="1">
      <alignment horizontal="centerContinuous"/>
    </xf>
    <xf numFmtId="170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2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170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1" xfId="0" applyNumberFormat="1" applyFont="1" applyFill="1" applyBorder="1" applyAlignment="1">
      <alignment horizontal="right"/>
    </xf>
    <xf numFmtId="170" fontId="8" fillId="0" borderId="0" xfId="0" applyFont="1" applyFill="1" applyBorder="1" applyAlignment="1" quotePrefix="1">
      <alignment horizontal="right"/>
    </xf>
    <xf numFmtId="171" fontId="7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Font="1" applyFill="1" applyBorder="1" applyAlignment="1">
      <alignment/>
    </xf>
    <xf numFmtId="15" fontId="8" fillId="0" borderId="0" xfId="0" applyNumberFormat="1" applyFont="1" applyFill="1" applyAlignment="1">
      <alignment/>
    </xf>
    <xf numFmtId="18" fontId="8" fillId="0" borderId="0" xfId="0" applyNumberFormat="1" applyFont="1" applyFill="1" applyAlignment="1">
      <alignment/>
    </xf>
    <xf numFmtId="170" fontId="8" fillId="0" borderId="3" xfId="0" applyFont="1" applyFill="1" applyBorder="1" applyAlignment="1">
      <alignment/>
    </xf>
    <xf numFmtId="37" fontId="7" fillId="0" borderId="0" xfId="18" applyNumberFormat="1" applyFont="1" applyFill="1" applyAlignment="1">
      <alignment/>
    </xf>
    <xf numFmtId="42" fontId="7" fillId="0" borderId="0" xfId="15" applyNumberFormat="1" applyFont="1" applyFill="1" applyBorder="1" applyAlignment="1">
      <alignment horizontal="left" indent="1"/>
    </xf>
    <xf numFmtId="41" fontId="7" fillId="0" borderId="0" xfId="15" applyNumberFormat="1" applyFont="1" applyFill="1" applyBorder="1" applyAlignment="1">
      <alignment horizontal="left" indent="1"/>
    </xf>
    <xf numFmtId="42" fontId="7" fillId="0" borderId="2" xfId="18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9" fontId="7" fillId="0" borderId="0" xfId="28" applyFont="1" applyFill="1" applyBorder="1" applyAlignment="1">
      <alignment/>
    </xf>
    <xf numFmtId="10" fontId="7" fillId="0" borderId="0" xfId="28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70" fontId="18" fillId="0" borderId="0" xfId="0" applyFont="1" applyFill="1" applyBorder="1" applyAlignment="1">
      <alignment horizontal="right"/>
    </xf>
    <xf numFmtId="37" fontId="7" fillId="0" borderId="0" xfId="18" applyNumberFormat="1" applyFont="1" applyFill="1" applyBorder="1" applyAlignment="1" applyProtection="1">
      <alignment/>
      <protection locked="0"/>
    </xf>
    <xf numFmtId="37" fontId="7" fillId="0" borderId="3" xfId="18" applyNumberFormat="1" applyFont="1" applyFill="1" applyBorder="1" applyAlignment="1" applyProtection="1">
      <alignment/>
      <protection locked="0"/>
    </xf>
    <xf numFmtId="17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70" fontId="7" fillId="0" borderId="0" xfId="0" applyFont="1" applyFill="1" applyAlignment="1">
      <alignment vertical="center"/>
    </xf>
    <xf numFmtId="37" fontId="7" fillId="0" borderId="0" xfId="18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70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179" fontId="8" fillId="0" borderId="11" xfId="18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7" fillId="0" borderId="0" xfId="18" applyNumberFormat="1" applyFont="1" applyFill="1" applyAlignment="1" applyProtection="1">
      <alignment/>
      <protection locked="0"/>
    </xf>
    <xf numFmtId="41" fontId="7" fillId="0" borderId="3" xfId="18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>
      <alignment horizontal="center"/>
    </xf>
    <xf numFmtId="178" fontId="11" fillId="0" borderId="0" xfId="15" applyNumberFormat="1" applyFont="1" applyFill="1" applyAlignment="1">
      <alignment/>
    </xf>
    <xf numFmtId="41" fontId="7" fillId="0" borderId="0" xfId="15" applyNumberFormat="1" applyFont="1" applyFill="1" applyAlignment="1" applyProtection="1">
      <alignment/>
      <protection locked="0"/>
    </xf>
    <xf numFmtId="41" fontId="7" fillId="0" borderId="3" xfId="15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70" fontId="11" fillId="0" borderId="0" xfId="0" applyFont="1" applyAlignment="1">
      <alignment horizontal="left" wrapText="1"/>
    </xf>
    <xf numFmtId="42" fontId="7" fillId="0" borderId="0" xfId="15" applyNumberFormat="1" applyFont="1" applyFill="1" applyAlignment="1">
      <alignment horizontal="right"/>
    </xf>
    <xf numFmtId="4" fontId="0" fillId="0" borderId="0" xfId="15" applyFont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3" xfId="15" applyNumberFormat="1" applyFont="1" applyFill="1" applyBorder="1" applyAlignment="1">
      <alignment horizontal="right"/>
    </xf>
    <xf numFmtId="170" fontId="11" fillId="0" borderId="2" xfId="0" applyFont="1" applyBorder="1" applyAlignment="1">
      <alignment horizontal="left" wrapText="1"/>
    </xf>
    <xf numFmtId="37" fontId="7" fillId="0" borderId="0" xfId="0" applyNumberFormat="1" applyFont="1" applyFill="1" applyAlignment="1" applyProtection="1">
      <alignment horizontal="left"/>
      <protection/>
    </xf>
    <xf numFmtId="10" fontId="0" fillId="0" borderId="0" xfId="28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2" fontId="7" fillId="0" borderId="0" xfId="18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18" applyNumberFormat="1" applyFont="1" applyFill="1" applyBorder="1" applyAlignment="1" applyProtection="1">
      <alignment/>
      <protection/>
    </xf>
    <xf numFmtId="42" fontId="7" fillId="0" borderId="2" xfId="18" applyNumberFormat="1" applyFont="1" applyFill="1" applyBorder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11" xfId="18" applyNumberFormat="1" applyFont="1" applyFill="1" applyBorder="1" applyAlignment="1" applyProtection="1">
      <alignment/>
      <protection/>
    </xf>
    <xf numFmtId="42" fontId="7" fillId="0" borderId="12" xfId="1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6" fontId="7" fillId="0" borderId="0" xfId="18" applyNumberFormat="1" applyFont="1" applyFill="1" applyAlignment="1">
      <alignment/>
    </xf>
    <xf numFmtId="178" fontId="7" fillId="0" borderId="0" xfId="15" applyNumberFormat="1" applyFont="1" applyFill="1" applyBorder="1" applyAlignment="1">
      <alignment/>
    </xf>
    <xf numFmtId="178" fontId="7" fillId="0" borderId="0" xfId="18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/>
    </xf>
    <xf numFmtId="178" fontId="7" fillId="0" borderId="0" xfId="15" applyNumberFormat="1" applyFont="1" applyBorder="1" applyAlignment="1">
      <alignment/>
    </xf>
    <xf numFmtId="0" fontId="8" fillId="0" borderId="0" xfId="0" applyFont="1" applyFill="1" applyBorder="1" applyAlignment="1" quotePrefix="1">
      <alignment/>
    </xf>
    <xf numFmtId="179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9" fontId="7" fillId="0" borderId="2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170" fontId="7" fillId="0" borderId="2" xfId="0" applyFont="1" applyFill="1" applyBorder="1" applyAlignment="1">
      <alignment/>
    </xf>
    <xf numFmtId="179" fontId="7" fillId="0" borderId="12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10" fontId="7" fillId="0" borderId="10" xfId="28" applyNumberFormat="1" applyFont="1" applyFill="1" applyBorder="1" applyAlignment="1" applyProtection="1">
      <alignment/>
      <protection locked="0"/>
    </xf>
    <xf numFmtId="38" fontId="7" fillId="0" borderId="7" xfId="27" applyNumberFormat="1" applyFont="1" applyBorder="1">
      <alignment/>
      <protection/>
    </xf>
    <xf numFmtId="0" fontId="8" fillId="0" borderId="13" xfId="27" applyFont="1" applyBorder="1" applyAlignment="1">
      <alignment horizontal="center"/>
      <protection/>
    </xf>
    <xf numFmtId="10" fontId="7" fillId="0" borderId="9" xfId="28" applyNumberFormat="1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3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0" xfId="15" applyAlignment="1">
      <alignment/>
    </xf>
    <xf numFmtId="186" fontId="0" fillId="0" borderId="0" xfId="15" applyNumberFormat="1" applyAlignment="1">
      <alignment/>
    </xf>
    <xf numFmtId="3" fontId="0" fillId="0" borderId="0" xfId="15" applyNumberFormat="1" applyAlignment="1">
      <alignment/>
    </xf>
    <xf numFmtId="4" fontId="0" fillId="0" borderId="7" xfId="15" applyBorder="1" applyAlignment="1">
      <alignment/>
    </xf>
    <xf numFmtId="3" fontId="0" fillId="0" borderId="7" xfId="15" applyNumberFormat="1" applyBorder="1" applyAlignment="1">
      <alignment/>
    </xf>
    <xf numFmtId="10" fontId="0" fillId="0" borderId="10" xfId="28" applyNumberFormat="1" applyBorder="1" applyAlignment="1">
      <alignment/>
    </xf>
    <xf numFmtId="179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41" fontId="7" fillId="0" borderId="0" xfId="15" applyNumberFormat="1" applyFont="1" applyFill="1" applyAlignment="1">
      <alignment horizontal="left" vertical="top"/>
    </xf>
    <xf numFmtId="170" fontId="7" fillId="0" borderId="0" xfId="0" applyFont="1" applyFill="1" applyAlignment="1">
      <alignment horizontal="center"/>
    </xf>
    <xf numFmtId="170" fontId="7" fillId="0" borderId="3" xfId="0" applyFont="1" applyFill="1" applyBorder="1" applyAlignment="1">
      <alignment horizontal="center"/>
    </xf>
    <xf numFmtId="170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70" fontId="7" fillId="0" borderId="3" xfId="0" applyFont="1" applyFill="1" applyBorder="1" applyAlignment="1">
      <alignment horizontal="center" vertical="top"/>
    </xf>
    <xf numFmtId="170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70" fontId="7" fillId="0" borderId="0" xfId="0" applyFont="1" applyFill="1" applyAlignment="1">
      <alignment horizontal="left" vertical="center"/>
    </xf>
    <xf numFmtId="170" fontId="7" fillId="0" borderId="0" xfId="0" applyFont="1" applyFill="1" applyAlignment="1">
      <alignment horizontal="center" vertical="center"/>
    </xf>
    <xf numFmtId="170" fontId="7" fillId="0" borderId="0" xfId="24" applyFont="1" applyFill="1">
      <alignment horizontal="left" wrapText="1"/>
      <protection/>
    </xf>
    <xf numFmtId="17" fontId="8" fillId="0" borderId="0" xfId="24" applyNumberFormat="1" applyFont="1" applyFill="1">
      <alignment horizontal="left" wrapText="1"/>
      <protection/>
    </xf>
    <xf numFmtId="165" fontId="7" fillId="0" borderId="0" xfId="24" applyNumberFormat="1" applyFont="1" applyFill="1">
      <alignment horizontal="left" wrapText="1"/>
      <protection/>
    </xf>
    <xf numFmtId="41" fontId="7" fillId="0" borderId="0" xfId="24" applyNumberFormat="1" applyFont="1" applyFill="1">
      <alignment horizontal="left" wrapText="1"/>
      <protection/>
    </xf>
    <xf numFmtId="41" fontId="7" fillId="0" borderId="3" xfId="24" applyNumberFormat="1" applyFont="1" applyFill="1" applyBorder="1">
      <alignment horizontal="left" wrapText="1"/>
      <protection/>
    </xf>
    <xf numFmtId="170" fontId="11" fillId="0" borderId="0" xfId="24">
      <alignment horizontal="left" wrapText="1"/>
      <protection/>
    </xf>
    <xf numFmtId="42" fontId="8" fillId="0" borderId="0" xfId="24" applyNumberFormat="1" applyFont="1" applyFill="1" applyBorder="1" applyAlignment="1" applyProtection="1">
      <alignment horizontal="center"/>
      <protection locked="0"/>
    </xf>
    <xf numFmtId="42" fontId="7" fillId="0" borderId="0" xfId="24" applyNumberFormat="1" applyFont="1" applyFill="1" applyBorder="1" applyAlignment="1" applyProtection="1">
      <alignment horizontal="center"/>
      <protection locked="0"/>
    </xf>
    <xf numFmtId="42" fontId="7" fillId="0" borderId="0" xfId="24" applyNumberFormat="1" applyFont="1" applyFill="1" applyBorder="1">
      <alignment horizontal="left" wrapText="1"/>
      <protection/>
    </xf>
    <xf numFmtId="41" fontId="7" fillId="0" borderId="2" xfId="24" applyNumberFormat="1" applyFont="1" applyFill="1" applyBorder="1">
      <alignment horizontal="left" wrapText="1"/>
      <protection/>
    </xf>
    <xf numFmtId="42" fontId="7" fillId="0" borderId="2" xfId="24" applyNumberFormat="1" applyFont="1" applyFill="1" applyBorder="1">
      <alignment horizontal="left" wrapText="1"/>
      <protection/>
    </xf>
    <xf numFmtId="170" fontId="8" fillId="0" borderId="0" xfId="24" applyFont="1" applyFill="1">
      <alignment horizontal="left" wrapText="1"/>
      <protection/>
    </xf>
    <xf numFmtId="37" fontId="7" fillId="0" borderId="0" xfId="18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37" fontId="7" fillId="0" borderId="2" xfId="18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179" fontId="7" fillId="0" borderId="0" xfId="24" applyNumberFormat="1" applyFont="1" applyFill="1">
      <alignment horizontal="left" wrapText="1"/>
      <protection/>
    </xf>
    <xf numFmtId="37" fontId="7" fillId="0" borderId="3" xfId="18" applyNumberFormat="1" applyFont="1" applyFill="1" applyBorder="1" applyAlignment="1">
      <alignment/>
    </xf>
    <xf numFmtId="179" fontId="8" fillId="0" borderId="0" xfId="18" applyNumberFormat="1" applyFont="1" applyFill="1" applyBorder="1" applyAlignment="1">
      <alignment/>
    </xf>
    <xf numFmtId="170" fontId="7" fillId="0" borderId="0" xfId="24" applyFont="1" applyFill="1" applyAlignment="1">
      <alignment horizontal="left"/>
      <protection/>
    </xf>
    <xf numFmtId="170" fontId="7" fillId="0" borderId="0" xfId="24" applyFont="1" applyFill="1" applyAlignment="1" quotePrefix="1">
      <alignment horizontal="left"/>
      <protection/>
    </xf>
    <xf numFmtId="178" fontId="7" fillId="0" borderId="0" xfId="18" applyNumberFormat="1" applyFont="1" applyFill="1" applyBorder="1" applyAlignment="1">
      <alignment/>
    </xf>
    <xf numFmtId="42" fontId="8" fillId="0" borderId="12" xfId="18" applyNumberFormat="1" applyFont="1" applyFill="1" applyBorder="1" applyAlignment="1">
      <alignment/>
    </xf>
    <xf numFmtId="14" fontId="23" fillId="0" borderId="0" xfId="0" applyNumberFormat="1" applyFont="1" applyAlignment="1">
      <alignment horizontal="center"/>
    </xf>
    <xf numFmtId="170" fontId="17" fillId="0" borderId="0" xfId="0" applyFont="1" applyAlignment="1">
      <alignment horizontal="center"/>
    </xf>
    <xf numFmtId="37" fontId="11" fillId="0" borderId="0" xfId="0" applyNumberFormat="1" applyAlignment="1">
      <alignment horizontal="left" wrapText="1"/>
    </xf>
    <xf numFmtId="37" fontId="11" fillId="0" borderId="3" xfId="0" applyNumberFormat="1" applyBorder="1" applyAlignment="1">
      <alignment horizontal="left" wrapText="1"/>
    </xf>
    <xf numFmtId="37" fontId="11" fillId="0" borderId="14" xfId="0" applyNumberFormat="1" applyBorder="1" applyAlignment="1">
      <alignment horizontal="left" wrapText="1"/>
    </xf>
    <xf numFmtId="37" fontId="11" fillId="0" borderId="0" xfId="0" applyNumberFormat="1" applyBorder="1" applyAlignment="1">
      <alignment horizontal="left" wrapText="1"/>
    </xf>
    <xf numFmtId="9" fontId="11" fillId="0" borderId="0" xfId="28" applyAlignment="1">
      <alignment horizontal="left" wrapText="1"/>
    </xf>
    <xf numFmtId="37" fontId="24" fillId="0" borderId="0" xfId="0" applyNumberFormat="1" applyFont="1" applyAlignment="1">
      <alignment horizontal="left" wrapText="1"/>
    </xf>
    <xf numFmtId="187" fontId="11" fillId="0" borderId="0" xfId="0" applyNumberFormat="1" applyAlignment="1">
      <alignment horizontal="right" wrapText="1"/>
    </xf>
    <xf numFmtId="37" fontId="25" fillId="0" borderId="0" xfId="0" applyNumberFormat="1" applyFont="1" applyAlignment="1">
      <alignment horizontal="right" wrapText="1"/>
    </xf>
    <xf numFmtId="170" fontId="26" fillId="0" borderId="0" xfId="0" applyFont="1" applyAlignment="1">
      <alignment horizontal="center"/>
    </xf>
    <xf numFmtId="170" fontId="23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left" wrapText="1"/>
    </xf>
    <xf numFmtId="37" fontId="20" fillId="0" borderId="0" xfId="0" applyNumberFormat="1" applyFont="1" applyBorder="1" applyAlignment="1">
      <alignment horizontal="left" wrapText="1"/>
    </xf>
    <xf numFmtId="170" fontId="20" fillId="0" borderId="0" xfId="0" applyFont="1" applyBorder="1" applyAlignment="1">
      <alignment horizontal="left" wrapText="1"/>
    </xf>
    <xf numFmtId="170" fontId="11" fillId="0" borderId="0" xfId="0" applyBorder="1" applyAlignment="1">
      <alignment horizontal="left" wrapText="1"/>
    </xf>
    <xf numFmtId="37" fontId="11" fillId="0" borderId="11" xfId="0" applyNumberFormat="1" applyBorder="1" applyAlignment="1">
      <alignment horizontal="left" wrapText="1"/>
    </xf>
    <xf numFmtId="183" fontId="0" fillId="0" borderId="0" xfId="28" applyNumberFormat="1" applyAlignment="1">
      <alignment/>
    </xf>
    <xf numFmtId="188" fontId="0" fillId="0" borderId="0" xfId="0" applyNumberFormat="1" applyAlignment="1">
      <alignment/>
    </xf>
    <xf numFmtId="3" fontId="0" fillId="2" borderId="0" xfId="15" applyNumberFormat="1" applyFill="1" applyAlignment="1">
      <alignment/>
    </xf>
    <xf numFmtId="3" fontId="0" fillId="0" borderId="0" xfId="15" applyNumberFormat="1" applyBorder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15" xfId="28" applyNumberFormat="1" applyBorder="1" applyAlignment="1">
      <alignment horizontal="center"/>
    </xf>
    <xf numFmtId="4" fontId="0" fillId="0" borderId="6" xfId="15" applyBorder="1" applyAlignment="1">
      <alignment horizontal="center"/>
    </xf>
    <xf numFmtId="3" fontId="0" fillId="0" borderId="6" xfId="15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3" fontId="0" fillId="0" borderId="16" xfId="28" applyNumberFormat="1" applyBorder="1" applyAlignment="1">
      <alignment horizontal="center"/>
    </xf>
    <xf numFmtId="4" fontId="0" fillId="0" borderId="7" xfId="15" applyBorder="1" applyAlignment="1">
      <alignment horizontal="center"/>
    </xf>
    <xf numFmtId="3" fontId="0" fillId="0" borderId="7" xfId="15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83" fontId="0" fillId="0" borderId="17" xfId="28" applyNumberFormat="1" applyBorder="1" applyAlignment="1">
      <alignment horizontal="center"/>
    </xf>
    <xf numFmtId="4" fontId="0" fillId="0" borderId="10" xfId="15" applyBorder="1" applyAlignment="1">
      <alignment horizontal="center"/>
    </xf>
    <xf numFmtId="38" fontId="7" fillId="0" borderId="8" xfId="27" applyNumberFormat="1" applyFont="1" applyFill="1" applyBorder="1">
      <alignment/>
      <protection/>
    </xf>
    <xf numFmtId="183" fontId="0" fillId="0" borderId="16" xfId="28" applyNumberFormat="1" applyBorder="1" applyAlignment="1">
      <alignment/>
    </xf>
    <xf numFmtId="38" fontId="0" fillId="0" borderId="0" xfId="0" applyNumberFormat="1" applyAlignment="1">
      <alignment/>
    </xf>
    <xf numFmtId="190" fontId="7" fillId="0" borderId="8" xfId="27" applyNumberFormat="1" applyFont="1" applyFill="1" applyBorder="1">
      <alignment/>
      <protection/>
    </xf>
    <xf numFmtId="190" fontId="0" fillId="0" borderId="7" xfId="0" applyNumberFormat="1" applyBorder="1" applyAlignment="1">
      <alignment/>
    </xf>
    <xf numFmtId="190" fontId="7" fillId="0" borderId="7" xfId="27" applyNumberFormat="1" applyFont="1" applyFill="1" applyBorder="1">
      <alignment/>
      <protection/>
    </xf>
    <xf numFmtId="190" fontId="0" fillId="0" borderId="8" xfId="0" applyNumberFormat="1" applyBorder="1" applyAlignment="1">
      <alignment/>
    </xf>
    <xf numFmtId="190" fontId="0" fillId="0" borderId="7" xfId="15" applyNumberFormat="1" applyBorder="1" applyAlignment="1">
      <alignment/>
    </xf>
    <xf numFmtId="190" fontId="0" fillId="0" borderId="0" xfId="0" applyNumberFormat="1" applyAlignment="1">
      <alignment/>
    </xf>
    <xf numFmtId="38" fontId="7" fillId="0" borderId="7" xfId="27" applyNumberFormat="1" applyFont="1" applyFill="1" applyBorder="1">
      <alignment/>
      <protection/>
    </xf>
    <xf numFmtId="190" fontId="7" fillId="0" borderId="8" xfId="27" applyNumberFormat="1" applyFont="1" applyFill="1" applyBorder="1" applyProtection="1">
      <alignment/>
      <protection locked="0"/>
    </xf>
    <xf numFmtId="190" fontId="7" fillId="0" borderId="7" xfId="27" applyNumberFormat="1" applyFont="1" applyFill="1" applyBorder="1" applyProtection="1">
      <alignment/>
      <protection locked="0"/>
    </xf>
    <xf numFmtId="38" fontId="7" fillId="0" borderId="7" xfId="27" applyNumberFormat="1" applyFont="1" applyFill="1" applyBorder="1" applyProtection="1">
      <alignment/>
      <protection locked="0"/>
    </xf>
    <xf numFmtId="38" fontId="7" fillId="0" borderId="8" xfId="15" applyNumberFormat="1" applyFont="1" applyFill="1" applyBorder="1" applyAlignment="1" applyProtection="1">
      <alignment/>
      <protection locked="0"/>
    </xf>
    <xf numFmtId="38" fontId="0" fillId="0" borderId="7" xfId="15" applyNumberFormat="1" applyBorder="1" applyAlignment="1">
      <alignment/>
    </xf>
    <xf numFmtId="38" fontId="7" fillId="0" borderId="7" xfId="15" applyNumberFormat="1" applyFont="1" applyFill="1" applyBorder="1" applyAlignment="1" applyProtection="1">
      <alignment/>
      <protection locked="0"/>
    </xf>
    <xf numFmtId="38" fontId="0" fillId="0" borderId="8" xfId="15" applyNumberFormat="1" applyBorder="1" applyAlignment="1">
      <alignment/>
    </xf>
    <xf numFmtId="38" fontId="0" fillId="0" borderId="0" xfId="15" applyNumberFormat="1" applyAlignment="1">
      <alignment/>
    </xf>
    <xf numFmtId="38" fontId="0" fillId="0" borderId="10" xfId="15" applyNumberFormat="1" applyBorder="1" applyAlignment="1">
      <alignment/>
    </xf>
    <xf numFmtId="38" fontId="7" fillId="0" borderId="10" xfId="15" applyNumberFormat="1" applyFont="1" applyFill="1" applyBorder="1" applyAlignment="1" applyProtection="1">
      <alignment/>
      <protection locked="0"/>
    </xf>
    <xf numFmtId="38" fontId="0" fillId="0" borderId="9" xfId="15" applyNumberFormat="1" applyBorder="1" applyAlignment="1">
      <alignment/>
    </xf>
    <xf numFmtId="38" fontId="7" fillId="0" borderId="13" xfId="15" applyNumberFormat="1" applyFont="1" applyFill="1" applyBorder="1" applyAlignment="1" applyProtection="1">
      <alignment/>
      <protection locked="0"/>
    </xf>
    <xf numFmtId="38" fontId="0" fillId="0" borderId="6" xfId="15" applyNumberFormat="1" applyBorder="1" applyAlignment="1">
      <alignment/>
    </xf>
    <xf numFmtId="38" fontId="0" fillId="0" borderId="16" xfId="15" applyNumberFormat="1" applyBorder="1" applyAlignment="1">
      <alignment/>
    </xf>
    <xf numFmtId="38" fontId="7" fillId="0" borderId="7" xfId="15" applyNumberFormat="1" applyFont="1" applyBorder="1" applyAlignment="1">
      <alignment/>
    </xf>
    <xf numFmtId="38" fontId="7" fillId="0" borderId="8" xfId="15" applyNumberFormat="1" applyFont="1" applyFill="1" applyBorder="1" applyAlignment="1">
      <alignment/>
    </xf>
    <xf numFmtId="183" fontId="0" fillId="0" borderId="17" xfId="28" applyNumberFormat="1" applyBorder="1" applyAlignment="1">
      <alignment/>
    </xf>
    <xf numFmtId="38" fontId="7" fillId="0" borderId="13" xfId="15" applyNumberFormat="1" applyFont="1" applyFill="1" applyBorder="1" applyAlignment="1">
      <alignment/>
    </xf>
    <xf numFmtId="38" fontId="7" fillId="0" borderId="7" xfId="15" applyNumberFormat="1" applyFont="1" applyFill="1" applyBorder="1" applyAlignment="1">
      <alignment/>
    </xf>
    <xf numFmtId="38" fontId="7" fillId="0" borderId="9" xfId="15" applyNumberFormat="1" applyFont="1" applyFill="1" applyBorder="1" applyAlignment="1" applyProtection="1">
      <alignment/>
      <protection locked="0"/>
    </xf>
    <xf numFmtId="183" fontId="0" fillId="0" borderId="10" xfId="28" applyNumberFormat="1" applyBorder="1" applyAlignment="1">
      <alignment/>
    </xf>
    <xf numFmtId="38" fontId="7" fillId="0" borderId="8" xfId="15" applyNumberFormat="1" applyFont="1" applyFill="1" applyBorder="1" applyAlignment="1">
      <alignment horizontal="left"/>
    </xf>
    <xf numFmtId="38" fontId="7" fillId="0" borderId="7" xfId="15" applyNumberFormat="1" applyFont="1" applyBorder="1" applyAlignment="1">
      <alignment horizontal="left"/>
    </xf>
    <xf numFmtId="10" fontId="0" fillId="0" borderId="9" xfId="28" applyNumberFormat="1" applyBorder="1" applyAlignment="1">
      <alignment/>
    </xf>
    <xf numFmtId="10" fontId="0" fillId="0" borderId="17" xfId="28" applyNumberFormat="1" applyBorder="1" applyAlignment="1">
      <alignment/>
    </xf>
    <xf numFmtId="38" fontId="0" fillId="0" borderId="18" xfId="15" applyNumberFormat="1" applyBorder="1" applyAlignment="1">
      <alignment/>
    </xf>
    <xf numFmtId="38" fontId="7" fillId="0" borderId="18" xfId="15" applyNumberFormat="1" applyFont="1" applyBorder="1" applyAlignment="1">
      <alignment/>
    </xf>
    <xf numFmtId="38" fontId="0" fillId="0" borderId="19" xfId="15" applyNumberFormat="1" applyBorder="1" applyAlignment="1">
      <alignment/>
    </xf>
    <xf numFmtId="183" fontId="0" fillId="0" borderId="20" xfId="28" applyNumberFormat="1" applyBorder="1" applyAlignment="1">
      <alignment/>
    </xf>
    <xf numFmtId="38" fontId="7" fillId="0" borderId="19" xfId="15" applyNumberFormat="1" applyFont="1" applyFill="1" applyBorder="1" applyAlignment="1">
      <alignment/>
    </xf>
    <xf numFmtId="38" fontId="7" fillId="0" borderId="10" xfId="15" applyNumberFormat="1" applyFont="1" applyBorder="1" applyAlignment="1">
      <alignment/>
    </xf>
    <xf numFmtId="183" fontId="0" fillId="0" borderId="0" xfId="28" applyNumberFormat="1" applyBorder="1" applyAlignment="1">
      <alignment/>
    </xf>
    <xf numFmtId="38" fontId="11" fillId="0" borderId="0" xfId="15" applyNumberFormat="1" applyFill="1" applyBorder="1" applyAlignment="1">
      <alignment horizontal="left" wrapText="1"/>
    </xf>
    <xf numFmtId="3" fontId="11" fillId="0" borderId="3" xfId="15" applyNumberFormat="1" applyFill="1" applyBorder="1" applyAlignment="1">
      <alignment horizontal="left" wrapText="1"/>
    </xf>
    <xf numFmtId="170" fontId="7" fillId="0" borderId="21" xfId="0" applyFont="1" applyFill="1" applyBorder="1" applyAlignment="1">
      <alignment horizontal="left"/>
    </xf>
    <xf numFmtId="10" fontId="11" fillId="0" borderId="0" xfId="28" applyNumberFormat="1" applyBorder="1" applyAlignment="1">
      <alignment horizontal="left" wrapText="1"/>
    </xf>
    <xf numFmtId="10" fontId="0" fillId="0" borderId="0" xfId="28" applyNumberFormat="1" applyAlignment="1">
      <alignment/>
    </xf>
    <xf numFmtId="10" fontId="11" fillId="0" borderId="14" xfId="28" applyNumberFormat="1" applyBorder="1" applyAlignment="1">
      <alignment horizontal="left" wrapText="1"/>
    </xf>
    <xf numFmtId="170" fontId="7" fillId="0" borderId="22" xfId="0" applyFont="1" applyFill="1" applyBorder="1" applyAlignment="1">
      <alignment horizontal="left" wrapText="1"/>
    </xf>
    <xf numFmtId="170" fontId="7" fillId="0" borderId="23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70" fontId="7" fillId="0" borderId="0" xfId="0" applyNumberFormat="1" applyFont="1" applyFill="1" applyBorder="1" applyAlignment="1">
      <alignment horizontal="right" wrapText="1"/>
    </xf>
    <xf numFmtId="10" fontId="11" fillId="0" borderId="18" xfId="28" applyNumberFormat="1" applyFill="1" applyBorder="1" applyAlignment="1">
      <alignment horizontal="left" wrapText="1"/>
    </xf>
    <xf numFmtId="38" fontId="0" fillId="0" borderId="0" xfId="15" applyNumberFormat="1" applyBorder="1" applyAlignment="1">
      <alignment/>
    </xf>
    <xf numFmtId="38" fontId="7" fillId="0" borderId="0" xfId="15" applyNumberFormat="1" applyFont="1" applyFill="1" applyBorder="1" applyAlignment="1" applyProtection="1">
      <alignment/>
      <protection locked="0"/>
    </xf>
    <xf numFmtId="178" fontId="7" fillId="0" borderId="0" xfId="18" applyNumberFormat="1" applyFont="1" applyFill="1" applyAlignment="1">
      <alignment/>
    </xf>
    <xf numFmtId="179" fontId="7" fillId="0" borderId="0" xfId="18" applyNumberFormat="1" applyFont="1" applyFill="1" applyBorder="1" applyAlignment="1" applyProtection="1">
      <alignment/>
      <protection locked="0"/>
    </xf>
    <xf numFmtId="42" fontId="7" fillId="0" borderId="12" xfId="0" applyNumberFormat="1" applyFont="1" applyFill="1" applyBorder="1" applyAlignment="1" applyProtection="1">
      <alignment horizontal="left" wrapText="1"/>
      <protection locked="0"/>
    </xf>
    <xf numFmtId="170" fontId="7" fillId="0" borderId="2" xfId="0" applyFont="1" applyFill="1" applyBorder="1" applyAlignment="1">
      <alignment horizontal="left" wrapText="1"/>
    </xf>
    <xf numFmtId="37" fontId="7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indent="1"/>
    </xf>
    <xf numFmtId="41" fontId="7" fillId="0" borderId="3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 applyProtection="1">
      <alignment horizontal="right"/>
      <protection locked="0"/>
    </xf>
    <xf numFmtId="165" fontId="7" fillId="0" borderId="3" xfId="28" applyNumberFormat="1" applyFont="1" applyFill="1" applyBorder="1" applyAlignment="1" applyProtection="1">
      <alignment horizontal="right"/>
      <protection locked="0"/>
    </xf>
    <xf numFmtId="37" fontId="7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2" fontId="7" fillId="0" borderId="0" xfId="0" applyNumberFormat="1" applyFont="1" applyFill="1" applyBorder="1" applyAlignment="1">
      <alignment vertical="center"/>
    </xf>
    <xf numFmtId="191" fontId="7" fillId="0" borderId="0" xfId="15" applyNumberFormat="1" applyFont="1" applyFill="1" applyAlignment="1">
      <alignment/>
    </xf>
    <xf numFmtId="9" fontId="7" fillId="0" borderId="0" xfId="28" applyFont="1" applyFill="1" applyAlignment="1" applyProtection="1">
      <alignment horizontal="centerContinuous"/>
      <protection locked="0"/>
    </xf>
    <xf numFmtId="183" fontId="7" fillId="0" borderId="0" xfId="0" applyNumberFormat="1" applyFont="1" applyFill="1" applyAlignment="1">
      <alignment vertical="top"/>
    </xf>
    <xf numFmtId="183" fontId="7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centerContinuous"/>
      <protection locked="0"/>
    </xf>
    <xf numFmtId="10" fontId="7" fillId="0" borderId="0" xfId="28" applyNumberFormat="1" applyFont="1" applyFill="1" applyBorder="1" applyAlignment="1" applyProtection="1">
      <alignment horizontal="right"/>
      <protection locked="0"/>
    </xf>
    <xf numFmtId="165" fontId="7" fillId="0" borderId="0" xfId="28" applyNumberFormat="1" applyFont="1" applyFill="1" applyBorder="1" applyAlignment="1" applyProtection="1">
      <alignment horizontal="right"/>
      <protection locked="0"/>
    </xf>
    <xf numFmtId="14" fontId="0" fillId="0" borderId="0" xfId="15" applyNumberFormat="1" applyAlignment="1">
      <alignment horizontal="center"/>
    </xf>
    <xf numFmtId="38" fontId="0" fillId="0" borderId="0" xfId="15" applyNumberFormat="1" applyAlignment="1">
      <alignment horizontal="center"/>
    </xf>
    <xf numFmtId="10" fontId="7" fillId="0" borderId="2" xfId="0" applyNumberFormat="1" applyFont="1" applyFill="1" applyBorder="1" applyAlignment="1">
      <alignment/>
    </xf>
    <xf numFmtId="1" fontId="8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179" fontId="7" fillId="0" borderId="11" xfId="18" applyNumberFormat="1" applyFont="1" applyFill="1" applyBorder="1" applyAlignment="1">
      <alignment/>
    </xf>
    <xf numFmtId="42" fontId="11" fillId="0" borderId="0" xfId="0" applyNumberFormat="1" applyFont="1" applyBorder="1" applyAlignment="1">
      <alignment horizontal="left" wrapText="1"/>
    </xf>
    <xf numFmtId="3" fontId="11" fillId="0" borderId="0" xfId="15" applyNumberFormat="1" applyFont="1" applyAlignment="1">
      <alignment/>
    </xf>
    <xf numFmtId="170" fontId="11" fillId="0" borderId="0" xfId="0" applyFont="1" applyAlignment="1">
      <alignment horizontal="left" wrapText="1"/>
    </xf>
    <xf numFmtId="3" fontId="11" fillId="0" borderId="0" xfId="15" applyNumberFormat="1" applyFont="1" applyBorder="1" applyAlignment="1">
      <alignment/>
    </xf>
    <xf numFmtId="37" fontId="11" fillId="0" borderId="0" xfId="0" applyNumberFormat="1" applyFont="1" applyAlignment="1">
      <alignment horizontal="left" wrapText="1"/>
    </xf>
    <xf numFmtId="170" fontId="11" fillId="0" borderId="0" xfId="0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38" fontId="7" fillId="0" borderId="14" xfId="27" applyNumberFormat="1" applyFont="1" applyFill="1" applyBorder="1">
      <alignment/>
      <protection/>
    </xf>
    <xf numFmtId="41" fontId="7" fillId="0" borderId="14" xfId="0" applyNumberFormat="1" applyFont="1" applyBorder="1" applyAlignment="1">
      <alignment horizontal="left" wrapText="1"/>
    </xf>
    <xf numFmtId="182" fontId="11" fillId="0" borderId="0" xfId="0" applyNumberFormat="1" applyFont="1" applyBorder="1" applyAlignment="1">
      <alignment horizontal="right" wrapText="1"/>
    </xf>
    <xf numFmtId="41" fontId="11" fillId="0" borderId="0" xfId="0" applyNumberFormat="1" applyFont="1" applyBorder="1" applyAlignment="1">
      <alignment horizontal="left" wrapText="1"/>
    </xf>
    <xf numFmtId="170" fontId="11" fillId="0" borderId="0" xfId="0" applyFont="1" applyBorder="1" applyAlignment="1">
      <alignment horizontal="right" wrapText="1"/>
    </xf>
    <xf numFmtId="0" fontId="11" fillId="0" borderId="0" xfId="0" applyNumberFormat="1" applyFont="1" applyAlignment="1">
      <alignment horizontal="left" wrapText="1"/>
    </xf>
    <xf numFmtId="182" fontId="7" fillId="0" borderId="14" xfId="0" applyNumberFormat="1" applyFont="1" applyBorder="1" applyAlignment="1">
      <alignment horizontal="right" wrapText="1"/>
    </xf>
    <xf numFmtId="170" fontId="7" fillId="0" borderId="0" xfId="0" applyFont="1" applyBorder="1" applyAlignment="1">
      <alignment horizontal="center"/>
    </xf>
    <xf numFmtId="170" fontId="7" fillId="0" borderId="0" xfId="0" applyFont="1" applyBorder="1" applyAlignment="1">
      <alignment horizontal="left" wrapText="1"/>
    </xf>
    <xf numFmtId="15" fontId="7" fillId="0" borderId="0" xfId="0" applyNumberFormat="1" applyFont="1" applyAlignment="1">
      <alignment horizontal="center"/>
    </xf>
    <xf numFmtId="192" fontId="7" fillId="0" borderId="0" xfId="17" applyNumberFormat="1" applyFont="1" applyFill="1" applyBorder="1" applyAlignment="1">
      <alignment horizontal="center"/>
    </xf>
    <xf numFmtId="42" fontId="7" fillId="0" borderId="0" xfId="0" applyNumberFormat="1" applyFont="1" applyBorder="1" applyAlignment="1">
      <alignment horizontal="left" wrapText="1"/>
    </xf>
    <xf numFmtId="182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Border="1" applyAlignment="1">
      <alignment horizontal="left" wrapText="1"/>
    </xf>
    <xf numFmtId="4" fontId="7" fillId="0" borderId="0" xfId="15" applyFont="1" applyBorder="1" applyAlignment="1">
      <alignment/>
    </xf>
    <xf numFmtId="41" fontId="7" fillId="0" borderId="3" xfId="0" applyNumberFormat="1" applyFont="1" applyBorder="1" applyAlignment="1">
      <alignment horizontal="left" wrapText="1"/>
    </xf>
    <xf numFmtId="182" fontId="7" fillId="0" borderId="3" xfId="0" applyNumberFormat="1" applyFont="1" applyBorder="1" applyAlignment="1">
      <alignment horizontal="right" wrapText="1"/>
    </xf>
    <xf numFmtId="3" fontId="7" fillId="0" borderId="0" xfId="15" applyNumberFormat="1" applyFont="1" applyBorder="1" applyAlignment="1">
      <alignment/>
    </xf>
    <xf numFmtId="3" fontId="7" fillId="0" borderId="14" xfId="15" applyNumberFormat="1" applyFont="1" applyBorder="1" applyAlignment="1">
      <alignment/>
    </xf>
    <xf numFmtId="10" fontId="7" fillId="0" borderId="3" xfId="28" applyNumberFormat="1" applyFont="1" applyBorder="1" applyAlignment="1">
      <alignment horizontal="right" wrapText="1"/>
    </xf>
    <xf numFmtId="170" fontId="7" fillId="0" borderId="0" xfId="0" applyFont="1" applyBorder="1" applyAlignment="1">
      <alignment horizontal="right" wrapText="1"/>
    </xf>
    <xf numFmtId="42" fontId="7" fillId="0" borderId="11" xfId="0" applyNumberFormat="1" applyFont="1" applyBorder="1" applyAlignment="1">
      <alignment horizontal="left" wrapText="1"/>
    </xf>
    <xf numFmtId="42" fontId="8" fillId="0" borderId="0" xfId="18" applyNumberFormat="1" applyFont="1" applyFill="1" applyBorder="1" applyAlignment="1">
      <alignment/>
    </xf>
    <xf numFmtId="14" fontId="8" fillId="0" borderId="0" xfId="0" applyNumberFormat="1" applyFont="1" applyFill="1" applyAlignment="1">
      <alignment horizontal="center"/>
    </xf>
    <xf numFmtId="170" fontId="7" fillId="0" borderId="14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42" fontId="7" fillId="0" borderId="3" xfId="0" applyNumberFormat="1" applyFont="1" applyBorder="1" applyAlignment="1">
      <alignment horizontal="left" wrapText="1"/>
    </xf>
    <xf numFmtId="10" fontId="7" fillId="0" borderId="0" xfId="28" applyNumberFormat="1" applyFont="1" applyBorder="1" applyAlignment="1">
      <alignment horizontal="right" wrapText="1"/>
    </xf>
    <xf numFmtId="0" fontId="8" fillId="0" borderId="18" xfId="0" applyFont="1" applyFill="1" applyBorder="1" applyAlignment="1">
      <alignment horizontal="right"/>
    </xf>
    <xf numFmtId="38" fontId="7" fillId="0" borderId="14" xfId="15" applyNumberFormat="1" applyFont="1" applyBorder="1" applyAlignment="1">
      <alignment/>
    </xf>
    <xf numFmtId="38" fontId="7" fillId="0" borderId="3" xfId="15" applyNumberFormat="1" applyFont="1" applyBorder="1" applyAlignment="1">
      <alignment/>
    </xf>
    <xf numFmtId="10" fontId="7" fillId="0" borderId="14" xfId="28" applyNumberFormat="1" applyFont="1" applyBorder="1" applyAlignment="1">
      <alignment horizontal="center"/>
    </xf>
    <xf numFmtId="42" fontId="7" fillId="0" borderId="3" xfId="18" applyNumberFormat="1" applyFont="1" applyBorder="1" applyAlignment="1">
      <alignment horizontal="right" wrapText="1"/>
    </xf>
    <xf numFmtId="41" fontId="0" fillId="0" borderId="0" xfId="0" applyNumberFormat="1" applyAlignment="1">
      <alignment/>
    </xf>
    <xf numFmtId="3" fontId="0" fillId="0" borderId="0" xfId="15" applyNumberFormat="1" applyFont="1" applyFill="1" applyAlignment="1">
      <alignment/>
    </xf>
    <xf numFmtId="17" fontId="8" fillId="0" borderId="0" xfId="24" applyNumberFormat="1" applyFont="1" applyFill="1" applyAlignment="1">
      <alignment horizontal="left"/>
      <protection/>
    </xf>
    <xf numFmtId="41" fontId="7" fillId="0" borderId="2" xfId="24" applyNumberFormat="1" applyFont="1" applyFill="1" applyBorder="1" applyAlignment="1">
      <alignment horizontal="left"/>
      <protection/>
    </xf>
    <xf numFmtId="166" fontId="11" fillId="0" borderId="0" xfId="0" applyNumberFormat="1" applyAlignment="1">
      <alignment horizontal="left" wrapText="1"/>
    </xf>
    <xf numFmtId="1" fontId="23" fillId="0" borderId="0" xfId="0" applyNumberFormat="1" applyFont="1" applyAlignment="1">
      <alignment horizontal="center"/>
    </xf>
    <xf numFmtId="170" fontId="30" fillId="0" borderId="0" xfId="0" applyFont="1" applyAlignment="1">
      <alignment horizontal="left" wrapText="1"/>
    </xf>
    <xf numFmtId="170" fontId="31" fillId="0" borderId="0" xfId="0" applyFont="1" applyAlignment="1">
      <alignment horizontal="center"/>
    </xf>
    <xf numFmtId="9" fontId="31" fillId="0" borderId="0" xfId="28" applyFont="1" applyAlignment="1">
      <alignment horizontal="center"/>
    </xf>
    <xf numFmtId="9" fontId="32" fillId="0" borderId="0" xfId="28" applyFont="1" applyAlignment="1">
      <alignment horizontal="center"/>
    </xf>
    <xf numFmtId="170" fontId="33" fillId="0" borderId="0" xfId="0" applyFont="1" applyAlignment="1">
      <alignment horizontal="center"/>
    </xf>
    <xf numFmtId="170" fontId="34" fillId="0" borderId="0" xfId="0" applyFont="1" applyAlignment="1">
      <alignment horizontal="center"/>
    </xf>
    <xf numFmtId="9" fontId="34" fillId="0" borderId="0" xfId="28" applyFont="1" applyAlignment="1">
      <alignment horizontal="center"/>
    </xf>
    <xf numFmtId="170" fontId="33" fillId="0" borderId="0" xfId="0" applyFont="1" applyAlignment="1">
      <alignment horizontal="left" wrapText="1"/>
    </xf>
    <xf numFmtId="10" fontId="33" fillId="0" borderId="0" xfId="0" applyNumberFormat="1" applyFont="1" applyAlignment="1">
      <alignment/>
    </xf>
    <xf numFmtId="10" fontId="9" fillId="0" borderId="0" xfId="0" applyNumberFormat="1" applyFont="1" applyFill="1" applyAlignment="1">
      <alignment/>
    </xf>
    <xf numFmtId="170" fontId="31" fillId="0" borderId="0" xfId="0" applyFont="1" applyAlignment="1">
      <alignment horizontal="left" wrapText="1"/>
    </xf>
    <xf numFmtId="10" fontId="31" fillId="0" borderId="0" xfId="0" applyNumberFormat="1" applyFont="1" applyAlignment="1">
      <alignment/>
    </xf>
    <xf numFmtId="10" fontId="8" fillId="0" borderId="0" xfId="0" applyNumberFormat="1" applyFont="1" applyFill="1" applyAlignment="1">
      <alignment/>
    </xf>
    <xf numFmtId="10" fontId="31" fillId="4" borderId="0" xfId="0" applyNumberFormat="1" applyFont="1" applyFill="1" applyAlignment="1">
      <alignment/>
    </xf>
    <xf numFmtId="170" fontId="31" fillId="2" borderId="0" xfId="0" applyFont="1" applyFill="1" applyAlignment="1">
      <alignment horizontal="left" wrapText="1"/>
    </xf>
    <xf numFmtId="170" fontId="7" fillId="2" borderId="0" xfId="0" applyFont="1" applyFill="1" applyAlignment="1">
      <alignment/>
    </xf>
    <xf numFmtId="179" fontId="11" fillId="0" borderId="18" xfId="18" applyNumberFormat="1" applyBorder="1" applyAlignment="1">
      <alignment/>
    </xf>
    <xf numFmtId="10" fontId="31" fillId="5" borderId="0" xfId="0" applyNumberFormat="1" applyFont="1" applyFill="1" applyAlignment="1">
      <alignment/>
    </xf>
    <xf numFmtId="10" fontId="7" fillId="5" borderId="0" xfId="0" applyNumberFormat="1" applyFont="1" applyFill="1" applyAlignment="1">
      <alignment/>
    </xf>
    <xf numFmtId="10" fontId="9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42" fontId="36" fillId="0" borderId="0" xfId="0" applyNumberFormat="1" applyFont="1" applyFill="1" applyAlignment="1">
      <alignment/>
    </xf>
    <xf numFmtId="10" fontId="36" fillId="0" borderId="0" xfId="0" applyNumberFormat="1" applyFont="1" applyFill="1" applyAlignment="1">
      <alignment/>
    </xf>
    <xf numFmtId="170" fontId="23" fillId="0" borderId="0" xfId="0" applyFont="1" applyAlignment="1">
      <alignment horizontal="right"/>
    </xf>
    <xf numFmtId="170" fontId="17" fillId="0" borderId="3" xfId="0" applyFont="1" applyBorder="1" applyAlignment="1">
      <alignment horizontal="center"/>
    </xf>
    <xf numFmtId="170" fontId="11" fillId="0" borderId="0" xfId="0" applyFont="1" applyBorder="1" applyAlignment="1">
      <alignment horizontal="center"/>
    </xf>
    <xf numFmtId="170" fontId="17" fillId="0" borderId="0" xfId="0" applyFont="1" applyBorder="1" applyAlignment="1">
      <alignment horizontal="center"/>
    </xf>
    <xf numFmtId="170" fontId="11" fillId="0" borderId="0" xfId="0" applyFill="1" applyAlignment="1">
      <alignment horizontal="left" wrapText="1"/>
    </xf>
    <xf numFmtId="170" fontId="11" fillId="0" borderId="0" xfId="0" applyFill="1" applyAlignment="1">
      <alignment horizontal="center"/>
    </xf>
    <xf numFmtId="170" fontId="17" fillId="0" borderId="0" xfId="0" applyFont="1" applyFill="1" applyAlignment="1">
      <alignment horizontal="center"/>
    </xf>
    <xf numFmtId="5" fontId="11" fillId="0" borderId="0" xfId="0" applyNumberFormat="1" applyFont="1" applyBorder="1" applyAlignment="1">
      <alignment horizontal="right"/>
    </xf>
    <xf numFmtId="5" fontId="17" fillId="0" borderId="0" xfId="0" applyNumberFormat="1" applyFont="1" applyBorder="1" applyAlignment="1">
      <alignment horizontal="right"/>
    </xf>
    <xf numFmtId="170" fontId="17" fillId="0" borderId="0" xfId="0" applyFont="1" applyAlignment="1">
      <alignment horizontal="right" wrapText="1"/>
    </xf>
    <xf numFmtId="5" fontId="17" fillId="0" borderId="11" xfId="0" applyNumberFormat="1" applyFont="1" applyBorder="1" applyAlignment="1">
      <alignment horizontal="right" wrapText="1"/>
    </xf>
    <xf numFmtId="1" fontId="11" fillId="0" borderId="0" xfId="0" applyNumberFormat="1" applyAlignment="1">
      <alignment horizontal="left" wrapText="1"/>
    </xf>
    <xf numFmtId="170" fontId="38" fillId="0" borderId="0" xfId="0" applyFont="1" applyAlignment="1">
      <alignment horizontal="center"/>
    </xf>
    <xf numFmtId="170" fontId="11" fillId="0" borderId="0" xfId="0" applyFont="1" applyAlignment="1">
      <alignment horizontal="center" wrapText="1"/>
    </xf>
    <xf numFmtId="170" fontId="11" fillId="0" borderId="0" xfId="0" applyAlignment="1">
      <alignment horizontal="center" wrapText="1"/>
    </xf>
    <xf numFmtId="7" fontId="17" fillId="0" borderId="0" xfId="0" applyNumberFormat="1" applyFont="1" applyAlignment="1">
      <alignment horizontal="center" wrapText="1"/>
    </xf>
    <xf numFmtId="170" fontId="11" fillId="0" borderId="0" xfId="0" applyFont="1" applyBorder="1" applyAlignment="1">
      <alignment horizontal="center" wrapText="1"/>
    </xf>
    <xf numFmtId="170" fontId="17" fillId="0" borderId="3" xfId="0" applyFont="1" applyFill="1" applyBorder="1" applyAlignment="1">
      <alignment horizontal="center"/>
    </xf>
    <xf numFmtId="170" fontId="11" fillId="0" borderId="3" xfId="0" applyFont="1" applyBorder="1" applyAlignment="1">
      <alignment horizontal="center" wrapText="1"/>
    </xf>
    <xf numFmtId="170" fontId="11" fillId="0" borderId="0" xfId="0" applyFont="1" applyFill="1" applyAlignment="1">
      <alignment/>
    </xf>
    <xf numFmtId="170" fontId="11" fillId="0" borderId="0" xfId="0" applyFont="1" applyBorder="1" applyAlignment="1">
      <alignment horizontal="left" wrapText="1"/>
    </xf>
    <xf numFmtId="178" fontId="20" fillId="0" borderId="0" xfId="15" applyNumberFormat="1" applyFont="1" applyAlignment="1">
      <alignment/>
    </xf>
    <xf numFmtId="169" fontId="20" fillId="0" borderId="0" xfId="15" applyNumberFormat="1" applyFont="1" applyAlignment="1">
      <alignment/>
    </xf>
    <xf numFmtId="10" fontId="39" fillId="0" borderId="0" xfId="15" applyNumberFormat="1" applyFont="1" applyAlignment="1">
      <alignment horizontal="right"/>
    </xf>
    <xf numFmtId="170" fontId="17" fillId="0" borderId="0" xfId="0" applyFont="1" applyAlignment="1">
      <alignment horizontal="left" wrapText="1"/>
    </xf>
    <xf numFmtId="1" fontId="11" fillId="0" borderId="0" xfId="0" applyNumberForma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170" fontId="13" fillId="0" borderId="0" xfId="0" applyFont="1" applyAlignment="1">
      <alignment wrapText="1"/>
    </xf>
    <xf numFmtId="170" fontId="17" fillId="0" borderId="0" xfId="0" applyFont="1" applyAlignment="1">
      <alignment wrapText="1"/>
    </xf>
    <xf numFmtId="5" fontId="11" fillId="0" borderId="0" xfId="0" applyNumberFormat="1" applyFont="1" applyFill="1" applyAlignment="1">
      <alignment horizontal="right" wrapText="1"/>
    </xf>
    <xf numFmtId="5" fontId="11" fillId="0" borderId="0" xfId="0" applyNumberFormat="1" applyFont="1" applyFill="1" applyAlignment="1">
      <alignment horizontal="right" wrapText="1"/>
    </xf>
    <xf numFmtId="5" fontId="17" fillId="0" borderId="12" xfId="0" applyNumberFormat="1" applyFont="1" applyFill="1" applyBorder="1" applyAlignment="1">
      <alignment horizontal="right" wrapText="1"/>
    </xf>
    <xf numFmtId="178" fontId="17" fillId="0" borderId="14" xfId="15" applyNumberFormat="1" applyFont="1" applyFill="1" applyBorder="1" applyAlignment="1">
      <alignment horizontal="right"/>
    </xf>
    <xf numFmtId="5" fontId="17" fillId="0" borderId="11" xfId="0" applyNumberFormat="1" applyFont="1" applyFill="1" applyBorder="1" applyAlignment="1">
      <alignment horizontal="right" wrapText="1"/>
    </xf>
    <xf numFmtId="170" fontId="11" fillId="0" borderId="0" xfId="0" applyFont="1" applyFill="1" applyAlignment="1">
      <alignment horizontal="left" wrapText="1"/>
    </xf>
    <xf numFmtId="10" fontId="39" fillId="0" borderId="0" xfId="15" applyNumberFormat="1" applyFont="1" applyFill="1" applyAlignment="1">
      <alignment horizontal="right"/>
    </xf>
    <xf numFmtId="169" fontId="20" fillId="0" borderId="0" xfId="15" applyNumberFormat="1" applyFont="1" applyFill="1" applyAlignment="1">
      <alignment/>
    </xf>
    <xf numFmtId="178" fontId="20" fillId="0" borderId="0" xfId="15" applyNumberFormat="1" applyFont="1" applyAlignment="1">
      <alignment horizontal="right"/>
    </xf>
    <xf numFmtId="37" fontId="11" fillId="0" borderId="0" xfId="0" applyNumberFormat="1" applyFont="1" applyFill="1" applyAlignment="1">
      <alignment horizontal="right"/>
    </xf>
    <xf numFmtId="178" fontId="20" fillId="0" borderId="3" xfId="15" applyNumberFormat="1" applyFont="1" applyBorder="1" applyAlignment="1">
      <alignment horizontal="right"/>
    </xf>
    <xf numFmtId="37" fontId="11" fillId="0" borderId="3" xfId="0" applyNumberFormat="1" applyFont="1" applyFill="1" applyBorder="1" applyAlignment="1">
      <alignment horizontal="right"/>
    </xf>
    <xf numFmtId="5" fontId="20" fillId="0" borderId="12" xfId="15" applyNumberFormat="1" applyFont="1" applyBorder="1" applyAlignment="1">
      <alignment horizontal="right"/>
    </xf>
    <xf numFmtId="5" fontId="11" fillId="0" borderId="3" xfId="0" applyNumberFormat="1" applyFont="1" applyFill="1" applyBorder="1" applyAlignment="1">
      <alignment horizontal="right" wrapText="1"/>
    </xf>
    <xf numFmtId="5" fontId="11" fillId="0" borderId="0" xfId="0" applyNumberFormat="1" applyAlignment="1">
      <alignment horizontal="left" wrapText="1"/>
    </xf>
    <xf numFmtId="5" fontId="11" fillId="0" borderId="0" xfId="0" applyNumberFormat="1" applyFont="1" applyAlignment="1">
      <alignment horizontal="left" wrapText="1"/>
    </xf>
    <xf numFmtId="5" fontId="11" fillId="0" borderId="3" xfId="0" applyNumberFormat="1" applyBorder="1" applyAlignment="1">
      <alignment horizontal="left" wrapText="1"/>
    </xf>
    <xf numFmtId="5" fontId="11" fillId="0" borderId="0" xfId="0" applyNumberFormat="1" applyAlignment="1">
      <alignment horizontal="right" wrapText="1"/>
    </xf>
    <xf numFmtId="170" fontId="25" fillId="0" borderId="0" xfId="0" applyFont="1" applyAlignment="1">
      <alignment horizontal="right" wrapText="1"/>
    </xf>
    <xf numFmtId="5" fontId="25" fillId="0" borderId="0" xfId="0" applyNumberFormat="1" applyFont="1" applyAlignment="1">
      <alignment horizontal="right" wrapText="1"/>
    </xf>
    <xf numFmtId="170" fontId="17" fillId="0" borderId="0" xfId="0" applyFont="1" applyAlignment="1">
      <alignment horizontal="left" wrapText="1"/>
    </xf>
    <xf numFmtId="170" fontId="11" fillId="0" borderId="0" xfId="0" applyBorder="1" applyAlignment="1" quotePrefix="1">
      <alignment horizontal="left" wrapText="1"/>
    </xf>
    <xf numFmtId="170" fontId="11" fillId="0" borderId="0" xfId="0" applyAlignment="1">
      <alignment horizontal="center"/>
    </xf>
    <xf numFmtId="170" fontId="17" fillId="0" borderId="18" xfId="0" applyFont="1" applyBorder="1" applyAlignment="1">
      <alignment horizontal="left" wrapText="1"/>
    </xf>
    <xf numFmtId="170" fontId="17" fillId="0" borderId="18" xfId="0" applyFont="1" applyBorder="1" applyAlignment="1">
      <alignment horizontal="center"/>
    </xf>
    <xf numFmtId="193" fontId="17" fillId="0" borderId="18" xfId="0" applyNumberFormat="1" applyFont="1" applyBorder="1" applyAlignment="1">
      <alignment horizontal="left" wrapText="1"/>
    </xf>
    <xf numFmtId="170" fontId="11" fillId="0" borderId="18" xfId="0" applyFont="1" applyBorder="1" applyAlignment="1">
      <alignment horizontal="left" wrapText="1"/>
    </xf>
    <xf numFmtId="170" fontId="11" fillId="0" borderId="18" xfId="0" applyBorder="1" applyAlignment="1">
      <alignment horizontal="center"/>
    </xf>
    <xf numFmtId="179" fontId="11" fillId="0" borderId="18" xfId="0" applyNumberFormat="1" applyFont="1" applyBorder="1" applyAlignment="1">
      <alignment horizontal="left" wrapText="1"/>
    </xf>
    <xf numFmtId="179" fontId="11" fillId="0" borderId="0" xfId="0" applyNumberFormat="1" applyFont="1" applyAlignment="1">
      <alignment horizontal="left" wrapText="1"/>
    </xf>
    <xf numFmtId="170" fontId="11" fillId="0" borderId="18" xfId="0" applyBorder="1" applyAlignment="1">
      <alignment horizontal="left" wrapText="1"/>
    </xf>
    <xf numFmtId="179" fontId="11" fillId="0" borderId="18" xfId="0" applyNumberFormat="1" applyBorder="1" applyAlignment="1">
      <alignment horizontal="left" wrapText="1"/>
    </xf>
    <xf numFmtId="170" fontId="11" fillId="0" borderId="18" xfId="0" applyBorder="1" applyAlignment="1">
      <alignment wrapText="1"/>
    </xf>
    <xf numFmtId="179" fontId="0" fillId="0" borderId="18" xfId="18" applyNumberFormat="1" applyBorder="1" applyAlignment="1">
      <alignment/>
    </xf>
    <xf numFmtId="179" fontId="11" fillId="0" borderId="0" xfId="0" applyNumberFormat="1" applyAlignment="1">
      <alignment horizontal="left" wrapText="1"/>
    </xf>
    <xf numFmtId="170" fontId="11" fillId="0" borderId="18" xfId="0" applyFont="1" applyBorder="1" applyAlignment="1">
      <alignment horizontal="center"/>
    </xf>
    <xf numFmtId="179" fontId="0" fillId="0" borderId="18" xfId="18" applyNumberFormat="1" applyFont="1" applyFill="1" applyBorder="1" applyAlignment="1">
      <alignment/>
    </xf>
    <xf numFmtId="6" fontId="11" fillId="0" borderId="18" xfId="0" applyNumberFormat="1" applyFont="1" applyBorder="1" applyAlignment="1">
      <alignment horizontal="left" wrapText="1"/>
    </xf>
    <xf numFmtId="6" fontId="11" fillId="0" borderId="0" xfId="0" applyNumberFormat="1" applyAlignment="1">
      <alignment horizontal="left" wrapText="1"/>
    </xf>
    <xf numFmtId="179" fontId="0" fillId="0" borderId="18" xfId="18" applyNumberFormat="1" applyFont="1" applyBorder="1" applyAlignment="1">
      <alignment/>
    </xf>
    <xf numFmtId="179" fontId="11" fillId="0" borderId="24" xfId="0" applyNumberFormat="1" applyBorder="1" applyAlignment="1">
      <alignment horizontal="left" wrapText="1"/>
    </xf>
    <xf numFmtId="179" fontId="11" fillId="0" borderId="11" xfId="0" applyNumberFormat="1" applyBorder="1" applyAlignment="1">
      <alignment horizontal="left" wrapText="1"/>
    </xf>
    <xf numFmtId="1" fontId="11" fillId="0" borderId="18" xfId="0" applyNumberFormat="1" applyBorder="1" applyAlignment="1">
      <alignment horizontal="right" wrapText="1"/>
    </xf>
    <xf numFmtId="1" fontId="11" fillId="0" borderId="18" xfId="0" applyNumberFormat="1" applyBorder="1" applyAlignment="1">
      <alignment horizontal="right"/>
    </xf>
    <xf numFmtId="1" fontId="11" fillId="0" borderId="18" xfId="0" applyNumberFormat="1" applyFont="1" applyBorder="1" applyAlignment="1">
      <alignment horizontal="right" wrapText="1"/>
    </xf>
    <xf numFmtId="1" fontId="11" fillId="0" borderId="0" xfId="0" applyNumberFormat="1" applyAlignment="1">
      <alignment horizontal="right" wrapText="1"/>
    </xf>
    <xf numFmtId="1" fontId="17" fillId="0" borderId="18" xfId="0" applyNumberFormat="1" applyFont="1" applyBorder="1" applyAlignment="1">
      <alignment horizontal="right" wrapText="1"/>
    </xf>
    <xf numFmtId="9" fontId="7" fillId="0" borderId="0" xfId="0" applyNumberFormat="1" applyFont="1" applyFill="1" applyBorder="1" applyAlignment="1">
      <alignment horizontal="left"/>
    </xf>
    <xf numFmtId="3" fontId="7" fillId="0" borderId="0" xfId="15" applyNumberFormat="1" applyFont="1" applyFill="1" applyBorder="1" applyAlignment="1" applyProtection="1">
      <alignment/>
      <protection locked="0"/>
    </xf>
    <xf numFmtId="42" fontId="8" fillId="0" borderId="0" xfId="0" applyNumberFormat="1" applyFont="1" applyFill="1" applyBorder="1" applyAlignment="1">
      <alignment horizontal="right"/>
    </xf>
    <xf numFmtId="170" fontId="40" fillId="0" borderId="0" xfId="0" applyFont="1" applyFill="1" applyAlignment="1">
      <alignment horizontal="center" wrapText="1"/>
    </xf>
    <xf numFmtId="198" fontId="11" fillId="0" borderId="0" xfId="0" applyNumberFormat="1" applyFont="1" applyBorder="1" applyAlignment="1">
      <alignment horizontal="right"/>
    </xf>
    <xf numFmtId="0" fontId="36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0" fontId="8" fillId="0" borderId="0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170" fontId="17" fillId="0" borderId="0" xfId="0" applyFont="1" applyAlignment="1">
      <alignment/>
    </xf>
    <xf numFmtId="5" fontId="17" fillId="0" borderId="0" xfId="0" applyNumberFormat="1" applyFont="1" applyFill="1" applyAlignment="1">
      <alignment horizontal="right" wrapText="1"/>
    </xf>
    <xf numFmtId="170" fontId="17" fillId="0" borderId="0" xfId="0" applyFont="1" applyAlignment="1">
      <alignment horizontal="center" wrapText="1"/>
    </xf>
    <xf numFmtId="170" fontId="17" fillId="0" borderId="3" xfId="0" applyFont="1" applyBorder="1" applyAlignment="1">
      <alignment horizontal="center" wrapText="1"/>
    </xf>
    <xf numFmtId="1" fontId="11" fillId="0" borderId="0" xfId="0" applyNumberFormat="1" applyFill="1" applyAlignment="1">
      <alignment horizontal="center" wrapText="1"/>
    </xf>
    <xf numFmtId="178" fontId="20" fillId="0" borderId="0" xfId="15" applyNumberFormat="1" applyFont="1" applyFill="1" applyAlignment="1">
      <alignment horizontal="right"/>
    </xf>
    <xf numFmtId="5" fontId="11" fillId="0" borderId="0" xfId="0" applyNumberFormat="1" applyFill="1" applyAlignment="1">
      <alignment horizontal="left" wrapText="1"/>
    </xf>
    <xf numFmtId="5" fontId="11" fillId="0" borderId="0" xfId="0" applyNumberFormat="1" applyFill="1" applyAlignment="1">
      <alignment horizontal="right" wrapText="1"/>
    </xf>
    <xf numFmtId="37" fontId="7" fillId="0" borderId="11" xfId="18" applyNumberFormat="1" applyFont="1" applyFill="1" applyBorder="1" applyAlignment="1" applyProtection="1">
      <alignment/>
      <protection locked="0"/>
    </xf>
    <xf numFmtId="41" fontId="41" fillId="0" borderId="0" xfId="0" applyNumberFormat="1" applyFont="1" applyFill="1" applyBorder="1" applyAlignment="1">
      <alignment horizontal="right"/>
    </xf>
    <xf numFmtId="5" fontId="41" fillId="0" borderId="0" xfId="0" applyNumberFormat="1" applyFont="1" applyFill="1" applyBorder="1" applyAlignment="1">
      <alignment/>
    </xf>
    <xf numFmtId="42" fontId="8" fillId="4" borderId="0" xfId="0" applyNumberFormat="1" applyFont="1" applyFill="1" applyAlignment="1" applyProtection="1">
      <alignment horizontal="right"/>
      <protection locked="0"/>
    </xf>
    <xf numFmtId="10" fontId="8" fillId="4" borderId="3" xfId="28" applyNumberFormat="1" applyFont="1" applyFill="1" applyBorder="1" applyAlignment="1" applyProtection="1">
      <alignment horizontal="right"/>
      <protection locked="0"/>
    </xf>
    <xf numFmtId="42" fontId="8" fillId="4" borderId="0" xfId="18" applyNumberFormat="1" applyFont="1" applyFill="1" applyAlignment="1">
      <alignment/>
    </xf>
    <xf numFmtId="41" fontId="8" fillId="4" borderId="3" xfId="18" applyNumberFormat="1" applyFont="1" applyFill="1" applyBorder="1" applyAlignment="1" applyProtection="1">
      <alignment/>
      <protection locked="0"/>
    </xf>
    <xf numFmtId="10" fontId="8" fillId="4" borderId="3" xfId="28" applyNumberFormat="1" applyFont="1" applyFill="1" applyBorder="1" applyAlignment="1">
      <alignment horizontal="right"/>
    </xf>
    <xf numFmtId="42" fontId="8" fillId="4" borderId="12" xfId="0" applyNumberFormat="1" applyFont="1" applyFill="1" applyBorder="1" applyAlignment="1" applyProtection="1">
      <alignment horizontal="left" wrapText="1"/>
      <protection locked="0"/>
    </xf>
    <xf numFmtId="170" fontId="42" fillId="0" borderId="0" xfId="0" applyFont="1" applyAlignment="1">
      <alignment horizontal="left" wrapText="1"/>
    </xf>
    <xf numFmtId="170" fontId="43" fillId="0" borderId="0" xfId="0" applyFont="1" applyAlignment="1">
      <alignment horizontal="left"/>
    </xf>
    <xf numFmtId="1" fontId="11" fillId="4" borderId="0" xfId="0" applyNumberFormat="1" applyFill="1" applyAlignment="1">
      <alignment horizontal="center" wrapText="1"/>
    </xf>
    <xf numFmtId="170" fontId="37" fillId="4" borderId="0" xfId="0" applyFont="1" applyFill="1" applyAlignment="1">
      <alignment horizontal="left" wrapText="1"/>
    </xf>
    <xf numFmtId="178" fontId="20" fillId="4" borderId="0" xfId="15" applyNumberFormat="1" applyFont="1" applyFill="1" applyAlignment="1">
      <alignment horizontal="right"/>
    </xf>
    <xf numFmtId="37" fontId="11" fillId="4" borderId="0" xfId="0" applyNumberFormat="1" applyFont="1" applyFill="1" applyAlignment="1">
      <alignment horizontal="right"/>
    </xf>
    <xf numFmtId="170" fontId="11" fillId="4" borderId="0" xfId="0" applyFont="1" applyFill="1" applyAlignment="1">
      <alignment horizontal="left" wrapText="1"/>
    </xf>
    <xf numFmtId="5" fontId="11" fillId="4" borderId="0" xfId="0" applyNumberFormat="1" applyFont="1" applyFill="1" applyAlignment="1">
      <alignment horizontal="right" wrapText="1"/>
    </xf>
    <xf numFmtId="170" fontId="11" fillId="4" borderId="0" xfId="0" applyFill="1" applyAlignment="1">
      <alignment horizontal="left" wrapText="1"/>
    </xf>
    <xf numFmtId="5" fontId="11" fillId="4" borderId="0" xfId="0" applyNumberFormat="1" applyFill="1" applyAlignment="1">
      <alignment horizontal="left" wrapText="1"/>
    </xf>
    <xf numFmtId="5" fontId="11" fillId="4" borderId="0" xfId="0" applyNumberFormat="1" applyFill="1" applyAlignment="1">
      <alignment horizontal="right" wrapText="1"/>
    </xf>
    <xf numFmtId="2" fontId="11" fillId="0" borderId="0" xfId="0" applyNumberFormat="1" applyFont="1" applyAlignment="1">
      <alignment horizontal="center"/>
    </xf>
    <xf numFmtId="2" fontId="11" fillId="4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0" fontId="8" fillId="4" borderId="0" xfId="0" applyNumberFormat="1" applyFont="1" applyFill="1" applyBorder="1" applyAlignment="1">
      <alignment/>
    </xf>
    <xf numFmtId="10" fontId="8" fillId="4" borderId="3" xfId="0" applyNumberFormat="1" applyFont="1" applyFill="1" applyBorder="1" applyAlignment="1">
      <alignment/>
    </xf>
    <xf numFmtId="10" fontId="8" fillId="4" borderId="0" xfId="0" applyNumberFormat="1" applyFont="1" applyFill="1" applyAlignment="1">
      <alignment/>
    </xf>
    <xf numFmtId="3" fontId="8" fillId="0" borderId="0" xfId="15" applyNumberFormat="1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 applyProtection="1">
      <alignment horizontal="center"/>
      <protection locked="0"/>
    </xf>
    <xf numFmtId="41" fontId="8" fillId="0" borderId="0" xfId="0" applyNumberFormat="1" applyFont="1" applyFill="1" applyAlignment="1" applyProtection="1">
      <alignment horizontal="center"/>
      <protection locked="0"/>
    </xf>
    <xf numFmtId="171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70" fontId="8" fillId="0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183" fontId="0" fillId="4" borderId="16" xfId="28" applyNumberFormat="1" applyFont="1" applyFill="1" applyBorder="1" applyAlignment="1">
      <alignment/>
    </xf>
    <xf numFmtId="183" fontId="0" fillId="4" borderId="16" xfId="28" applyNumberFormat="1" applyFill="1" applyBorder="1" applyAlignment="1">
      <alignment/>
    </xf>
    <xf numFmtId="38" fontId="0" fillId="0" borderId="7" xfId="0" applyNumberFormat="1" applyFill="1" applyBorder="1" applyAlignment="1">
      <alignment/>
    </xf>
    <xf numFmtId="3" fontId="0" fillId="6" borderId="0" xfId="28" applyNumberFormat="1" applyFill="1" applyAlignment="1">
      <alignment/>
    </xf>
    <xf numFmtId="3" fontId="0" fillId="7" borderId="0" xfId="28" applyNumberFormat="1" applyFill="1" applyAlignment="1">
      <alignment/>
    </xf>
    <xf numFmtId="183" fontId="0" fillId="7" borderId="0" xfId="28" applyNumberFormat="1" applyFont="1" applyFill="1" applyAlignment="1">
      <alignment/>
    </xf>
    <xf numFmtId="183" fontId="0" fillId="7" borderId="0" xfId="28" applyNumberFormat="1" applyFill="1" applyAlignment="1">
      <alignment/>
    </xf>
    <xf numFmtId="3" fontId="0" fillId="7" borderId="3" xfId="28" applyNumberFormat="1" applyFill="1" applyBorder="1" applyAlignment="1">
      <alignment/>
    </xf>
    <xf numFmtId="5" fontId="20" fillId="4" borderId="0" xfId="15" applyNumberFormat="1" applyFont="1" applyFill="1" applyAlignment="1">
      <alignment horizontal="right"/>
    </xf>
    <xf numFmtId="0" fontId="20" fillId="4" borderId="0" xfId="15" applyNumberFormat="1" applyFont="1" applyFill="1" applyAlignment="1">
      <alignment horizontal="right"/>
    </xf>
    <xf numFmtId="5" fontId="11" fillId="4" borderId="0" xfId="0" applyNumberFormat="1" applyFont="1" applyFill="1" applyAlignment="1">
      <alignment horizontal="right"/>
    </xf>
    <xf numFmtId="42" fontId="44" fillId="0" borderId="2" xfId="18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>
      <alignment horizontal="right"/>
    </xf>
    <xf numFmtId="42" fontId="44" fillId="4" borderId="0" xfId="18" applyNumberFormat="1" applyFont="1" applyFill="1" applyBorder="1" applyAlignment="1">
      <alignment horizontal="right"/>
    </xf>
    <xf numFmtId="42" fontId="44" fillId="4" borderId="0" xfId="15" applyNumberFormat="1" applyFont="1" applyFill="1" applyAlignment="1">
      <alignment/>
    </xf>
    <xf numFmtId="37" fontId="44" fillId="4" borderId="0" xfId="15" applyNumberFormat="1" applyFont="1" applyFill="1" applyAlignment="1">
      <alignment/>
    </xf>
    <xf numFmtId="37" fontId="44" fillId="4" borderId="3" xfId="15" applyNumberFormat="1" applyFont="1" applyFill="1" applyBorder="1" applyAlignment="1">
      <alignment/>
    </xf>
    <xf numFmtId="42" fontId="44" fillId="0" borderId="0" xfId="18" applyNumberFormat="1" applyFont="1" applyFill="1" applyAlignment="1">
      <alignment/>
    </xf>
    <xf numFmtId="41" fontId="44" fillId="0" borderId="0" xfId="0" applyNumberFormat="1" applyFont="1" applyFill="1" applyAlignment="1">
      <alignment vertical="center"/>
    </xf>
    <xf numFmtId="4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2" fontId="44" fillId="0" borderId="2" xfId="18" applyNumberFormat="1" applyFont="1" applyFill="1" applyBorder="1" applyAlignment="1">
      <alignment/>
    </xf>
    <xf numFmtId="42" fontId="44" fillId="0" borderId="0" xfId="18" applyNumberFormat="1" applyFont="1" applyFill="1" applyAlignment="1" applyProtection="1">
      <alignment/>
      <protection locked="0"/>
    </xf>
    <xf numFmtId="42" fontId="44" fillId="0" borderId="0" xfId="0" applyNumberFormat="1" applyFont="1" applyFill="1" applyBorder="1" applyAlignment="1">
      <alignment/>
    </xf>
    <xf numFmtId="41" fontId="44" fillId="0" borderId="3" xfId="0" applyNumberFormat="1" applyFont="1" applyFill="1" applyBorder="1" applyAlignment="1">
      <alignment/>
    </xf>
    <xf numFmtId="171" fontId="44" fillId="0" borderId="0" xfId="0" applyNumberFormat="1" applyFont="1" applyFill="1" applyBorder="1" applyAlignment="1">
      <alignment/>
    </xf>
    <xf numFmtId="42" fontId="44" fillId="0" borderId="0" xfId="18" applyNumberFormat="1" applyFont="1" applyFill="1" applyAlignment="1">
      <alignment horizontal="right"/>
    </xf>
    <xf numFmtId="41" fontId="44" fillId="0" borderId="0" xfId="0" applyNumberFormat="1" applyFont="1" applyFill="1" applyAlignment="1">
      <alignment horizontal="right"/>
    </xf>
    <xf numFmtId="41" fontId="44" fillId="0" borderId="3" xfId="0" applyNumberFormat="1" applyFont="1" applyFill="1" applyBorder="1" applyAlignment="1">
      <alignment horizontal="right"/>
    </xf>
    <xf numFmtId="42" fontId="44" fillId="0" borderId="0" xfId="0" applyNumberFormat="1" applyFont="1" applyFill="1" applyAlignment="1">
      <alignment/>
    </xf>
    <xf numFmtId="171" fontId="44" fillId="0" borderId="0" xfId="0" applyNumberFormat="1" applyFont="1" applyFill="1" applyAlignment="1">
      <alignment/>
    </xf>
    <xf numFmtId="41" fontId="44" fillId="0" borderId="0" xfId="18" applyNumberFormat="1" applyFont="1" applyFill="1" applyAlignment="1">
      <alignment horizontal="right"/>
    </xf>
    <xf numFmtId="171" fontId="44" fillId="0" borderId="0" xfId="0" applyNumberFormat="1" applyFont="1" applyFill="1" applyAlignment="1">
      <alignment vertical="top"/>
    </xf>
    <xf numFmtId="37" fontId="44" fillId="0" borderId="0" xfId="15" applyNumberFormat="1" applyFont="1" applyFill="1" applyAlignment="1">
      <alignment/>
    </xf>
    <xf numFmtId="10" fontId="44" fillId="0" borderId="0" xfId="0" applyNumberFormat="1" applyFont="1" applyFill="1" applyAlignment="1">
      <alignment/>
    </xf>
    <xf numFmtId="42" fontId="45" fillId="4" borderId="0" xfId="15" applyNumberFormat="1" applyFont="1" applyFill="1" applyAlignment="1">
      <alignment horizontal="right"/>
    </xf>
    <xf numFmtId="0" fontId="45" fillId="4" borderId="0" xfId="15" applyNumberFormat="1" applyFont="1" applyFill="1" applyAlignment="1">
      <alignment horizontal="right"/>
    </xf>
    <xf numFmtId="5" fontId="46" fillId="4" borderId="0" xfId="0" applyNumberFormat="1" applyFont="1" applyFill="1" applyAlignment="1">
      <alignment horizontal="right" wrapText="1"/>
    </xf>
    <xf numFmtId="170" fontId="46" fillId="4" borderId="0" xfId="0" applyFont="1" applyFill="1" applyAlignment="1">
      <alignment horizontal="left" wrapText="1"/>
    </xf>
    <xf numFmtId="5" fontId="46" fillId="4" borderId="0" xfId="0" applyNumberFormat="1" applyFont="1" applyFill="1" applyAlignment="1">
      <alignment horizontal="left" wrapText="1"/>
    </xf>
    <xf numFmtId="178" fontId="45" fillId="4" borderId="0" xfId="15" applyNumberFormat="1" applyFont="1" applyFill="1" applyAlignment="1">
      <alignment horizontal="right"/>
    </xf>
    <xf numFmtId="5" fontId="45" fillId="0" borderId="12" xfId="15" applyNumberFormat="1" applyFont="1" applyBorder="1" applyAlignment="1">
      <alignment horizontal="right"/>
    </xf>
    <xf numFmtId="5" fontId="46" fillId="0" borderId="12" xfId="0" applyNumberFormat="1" applyFont="1" applyFill="1" applyBorder="1" applyAlignment="1">
      <alignment horizontal="right" wrapText="1"/>
    </xf>
    <xf numFmtId="178" fontId="46" fillId="0" borderId="14" xfId="15" applyNumberFormat="1" applyFont="1" applyBorder="1" applyAlignment="1">
      <alignment horizontal="right"/>
    </xf>
    <xf numFmtId="5" fontId="46" fillId="0" borderId="11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171" fontId="44" fillId="0" borderId="3" xfId="0" applyNumberFormat="1" applyFont="1" applyFill="1" applyBorder="1" applyAlignment="1">
      <alignment/>
    </xf>
    <xf numFmtId="6" fontId="44" fillId="0" borderId="25" xfId="18" applyNumberFormat="1" applyFont="1" applyFill="1" applyBorder="1" applyAlignment="1">
      <alignment vertical="top"/>
    </xf>
  </cellXfs>
  <cellStyles count="17">
    <cellStyle name="Normal" xfId="0"/>
    <cellStyle name="Comma" xfId="15"/>
    <cellStyle name="Comma [0]" xfId="16"/>
    <cellStyle name="Comma_PCA Adj Agrmt Exhibit A3" xfId="17"/>
    <cellStyle name="Currency" xfId="18"/>
    <cellStyle name="Currency [0]" xfId="19"/>
    <cellStyle name="Followed Hyperlink" xfId="20"/>
    <cellStyle name="Heading1" xfId="21"/>
    <cellStyle name="Heading2" xfId="22"/>
    <cellStyle name="Hyperlink" xfId="23"/>
    <cellStyle name="Normal_2.01G Revenue &amp; Purchased Gas" xfId="24"/>
    <cellStyle name="Normal_BASECOST" xfId="25"/>
    <cellStyle name="Normal_RESCOST" xfId="26"/>
    <cellStyle name="Normal_Unit Cost Gas 2003 to 2001" xfId="27"/>
    <cellStyle name="Percent" xfId="28"/>
    <cellStyle name="StmtTtl1" xfId="29"/>
    <cellStyle name="StmtTtl2" xfId="30"/>
  </cellStyles>
  <dxfs count="2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46424850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MR%20Electric%20Revenue%20Requirement%20(HC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CASE\PSE%202006%20GRC\E&amp;G%20Staff%20Assignments%20(PSE%20GRC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ff%20Adj%20D&amp;O%20I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as%20Stats%209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ff%20Response%20to%20PSE%20DR%2013%20&amp;%2014%20-%20Attachment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C) (HC)"/>
      <sheetName val="model"/>
      <sheetName val="Electric Case Comparison"/>
      <sheetName val="Attrition"/>
      <sheetName val="Ex A-1"/>
      <sheetName val="EX A-2"/>
      <sheetName val="Ex A-4 Prod Adj"/>
      <sheetName val="Ex A-5 PC"/>
      <sheetName val="WH-RevReq"/>
      <sheetName val="DFIT on PTCs (HC)"/>
      <sheetName val="Restated TY"/>
      <sheetName val="P Tax 06"/>
      <sheetName val="P Tax Accr 06"/>
      <sheetName val="Prod Plant Prem E"/>
      <sheetName val="Prod Plant Prem C"/>
      <sheetName val="Beg Prod Plant"/>
      <sheetName val="Production Adjustment"/>
      <sheetName val="Production Factor"/>
      <sheetName val="Pwr Csts"/>
      <sheetName val="DEM-14"/>
      <sheetName val="AURORA FERC Summary"/>
      <sheetName val="Wild Horse GRC (HC)"/>
      <sheetName val="Prod O&amp;M (C)"/>
      <sheetName val="PC Recon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1">
        <row r="79">
          <cell r="FP79">
            <v>0.43</v>
          </cell>
          <cell r="FQ79">
            <v>0.09375</v>
          </cell>
        </row>
        <row r="80">
          <cell r="FP80">
            <v>0.0375</v>
          </cell>
          <cell r="FQ80">
            <v>0.0761</v>
          </cell>
        </row>
        <row r="82">
          <cell r="FP82">
            <v>0.007</v>
          </cell>
          <cell r="FQ82">
            <v>0.0854</v>
          </cell>
        </row>
        <row r="83">
          <cell r="FP83">
            <v>0.4788</v>
          </cell>
          <cell r="FQ83">
            <v>0.0664</v>
          </cell>
        </row>
        <row r="84">
          <cell r="FP84">
            <v>0.0467</v>
          </cell>
          <cell r="FQ84">
            <v>0.0619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Sheet3"/>
    </sheetNames>
    <sheetDataSet>
      <sheetData sheetId="1">
        <row r="11">
          <cell r="D11">
            <v>72496462</v>
          </cell>
        </row>
        <row r="42">
          <cell r="D42">
            <v>0.0876</v>
          </cell>
        </row>
        <row r="43">
          <cell r="D43">
            <v>0.6216003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&amp;O 4.12-4.20"/>
      <sheetName val="Sheet1"/>
      <sheetName val="Sheet2"/>
    </sheetNames>
    <sheetDataSet>
      <sheetData sheetId="0">
        <row r="68">
          <cell r="M68">
            <v>429446.6863165214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cade"/>
      <sheetName val="Northwest"/>
      <sheetName val="PSE"/>
      <sheetName val="WWP"/>
      <sheetName val="O&amp;M and Other stats"/>
      <sheetName val="Graphs"/>
      <sheetName val="Combined "/>
      <sheetName val="Graph I"/>
      <sheetName val="Graph II"/>
      <sheetName val="Graph III "/>
      <sheetName val="Graph IV"/>
      <sheetName val="Graph V"/>
      <sheetName val="Graph VI"/>
      <sheetName val="Graph VII"/>
    </sheetNames>
    <sheetDataSet>
      <sheetData sheetId="2">
        <row r="336">
          <cell r="AH336">
            <v>0.15242848758423466</v>
          </cell>
        </row>
        <row r="338">
          <cell r="AF338">
            <v>0.1782263997348827</v>
          </cell>
        </row>
        <row r="339">
          <cell r="AF339">
            <v>0.056605410534574296</v>
          </cell>
        </row>
        <row r="340">
          <cell r="AF340">
            <v>0.12558064681587988</v>
          </cell>
        </row>
        <row r="341">
          <cell r="AF341">
            <v>0.19717844398299103</v>
          </cell>
        </row>
        <row r="343">
          <cell r="AF343">
            <v>0.06125956340653617</v>
          </cell>
        </row>
        <row r="347">
          <cell r="AF347">
            <v>0.06731455034860771</v>
          </cell>
        </row>
        <row r="348">
          <cell r="AF348">
            <v>0.26942429809976076</v>
          </cell>
        </row>
        <row r="349">
          <cell r="AF349">
            <v>0.09531276376899014</v>
          </cell>
        </row>
        <row r="531">
          <cell r="AF531">
            <v>0.032637929528860604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ff E.27"/>
      <sheetName val="Staff G.15"/>
      <sheetName val="Staff 4 yr avg 2005&amp;2006"/>
      <sheetName val="4.27E"/>
      <sheetName val="4.15G"/>
      <sheetName val="Factors"/>
      <sheetName val="2002-5 Extract"/>
      <sheetName val="Sheet2"/>
      <sheetName val="Sheet3"/>
    </sheetNames>
    <sheetDataSet>
      <sheetData sheetId="1">
        <row r="13">
          <cell r="D13">
            <v>4565.179195454525</v>
          </cell>
        </row>
        <row r="14">
          <cell r="D14">
            <v>22825.895977272627</v>
          </cell>
        </row>
        <row r="15">
          <cell r="D15">
            <v>27806.09146322302</v>
          </cell>
        </row>
        <row r="16">
          <cell r="D16">
            <v>11827.96427913218</v>
          </cell>
        </row>
        <row r="17">
          <cell r="D17">
            <v>1008074.5696144584</v>
          </cell>
        </row>
        <row r="18">
          <cell r="D18">
            <v>372892.1370105355</v>
          </cell>
        </row>
        <row r="19">
          <cell r="D19">
            <v>48556.90598801632</v>
          </cell>
        </row>
        <row r="20">
          <cell r="D20">
            <v>22825.895977272627</v>
          </cell>
        </row>
        <row r="21">
          <cell r="D21">
            <v>516565.785022291</v>
          </cell>
        </row>
        <row r="24">
          <cell r="D24">
            <v>144425.66909256132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HT327"/>
  <sheetViews>
    <sheetView tabSelected="1" zoomScale="70" zoomScaleNormal="70" workbookViewId="0" topLeftCell="EV1">
      <selection activeCell="EV2" sqref="EV2"/>
    </sheetView>
  </sheetViews>
  <sheetFormatPr defaultColWidth="9.332031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4.83203125" style="3" bestFit="1" customWidth="1"/>
    <col min="5" max="5" width="24.5" style="3" bestFit="1" customWidth="1"/>
    <col min="6" max="6" width="19.83203125" style="3" customWidth="1"/>
    <col min="7" max="7" width="6.83203125" style="3" customWidth="1"/>
    <col min="8" max="10" width="23" style="3" customWidth="1"/>
    <col min="11" max="11" width="20" style="3" customWidth="1"/>
    <col min="12" max="12" width="6.83203125" style="3" customWidth="1"/>
    <col min="13" max="13" width="46.16015625" style="3" customWidth="1"/>
    <col min="14" max="14" width="21.5" style="3" customWidth="1"/>
    <col min="15" max="15" width="22.16015625" style="3" customWidth="1"/>
    <col min="16" max="16" width="6.83203125" style="3" customWidth="1"/>
    <col min="17" max="17" width="5.83203125" style="3" bestFit="1" customWidth="1"/>
    <col min="18" max="18" width="87.5" style="3" bestFit="1" customWidth="1"/>
    <col min="19" max="19" width="16.16015625" style="3" customWidth="1"/>
    <col min="20" max="20" width="18.16015625" style="3" customWidth="1"/>
    <col min="21" max="21" width="6.83203125" style="3" customWidth="1"/>
    <col min="22" max="22" width="51.16015625" style="3" customWidth="1"/>
    <col min="23" max="23" width="15.83203125" style="3" customWidth="1"/>
    <col min="24" max="24" width="15.66015625" style="3" customWidth="1"/>
    <col min="25" max="25" width="17" style="3" customWidth="1"/>
    <col min="26" max="26" width="15.33203125" style="3" customWidth="1"/>
    <col min="27" max="27" width="6.83203125" style="3" customWidth="1"/>
    <col min="28" max="28" width="63.83203125" style="3" customWidth="1"/>
    <col min="29" max="29" width="18.16015625" style="3" customWidth="1"/>
    <col min="30" max="30" width="17.16015625" style="3" customWidth="1"/>
    <col min="31" max="31" width="18.5" style="3" customWidth="1"/>
    <col min="32" max="32" width="6.83203125" style="3" customWidth="1"/>
    <col min="33" max="33" width="45.5" style="3" bestFit="1" customWidth="1"/>
    <col min="34" max="34" width="19.66015625" style="3" customWidth="1"/>
    <col min="35" max="35" width="7.33203125" style="3" customWidth="1"/>
    <col min="36" max="36" width="15.66015625" style="3" bestFit="1" customWidth="1"/>
    <col min="37" max="37" width="6.83203125" style="3" customWidth="1"/>
    <col min="38" max="38" width="5.83203125" style="3" bestFit="1" customWidth="1"/>
    <col min="39" max="39" width="40.83203125" style="3" bestFit="1" customWidth="1"/>
    <col min="40" max="40" width="14" style="3" customWidth="1"/>
    <col min="41" max="41" width="17.83203125" style="55" customWidth="1"/>
    <col min="42" max="42" width="5.83203125" style="55" bestFit="1" customWidth="1"/>
    <col min="43" max="43" width="93.33203125" style="55" customWidth="1"/>
    <col min="44" max="45" width="20.16015625" style="55" customWidth="1"/>
    <col min="46" max="46" width="6.83203125" style="3" customWidth="1"/>
    <col min="47" max="47" width="5.83203125" style="3" bestFit="1" customWidth="1"/>
    <col min="48" max="48" width="43.83203125" style="3" bestFit="1" customWidth="1"/>
    <col min="49" max="50" width="17.33203125" style="3" customWidth="1"/>
    <col min="51" max="51" width="17.33203125" style="3" bestFit="1" customWidth="1"/>
    <col min="52" max="52" width="5.83203125" style="3" bestFit="1" customWidth="1"/>
    <col min="53" max="53" width="43.83203125" style="3" bestFit="1" customWidth="1"/>
    <col min="54" max="55" width="17.33203125" style="3" customWidth="1"/>
    <col min="56" max="56" width="19.16015625" style="3" customWidth="1"/>
    <col min="57" max="57" width="6.83203125" style="3" customWidth="1"/>
    <col min="58" max="58" width="42.83203125" style="3" customWidth="1"/>
    <col min="59" max="59" width="4.83203125" style="3" customWidth="1"/>
    <col min="60" max="60" width="15.66015625" style="3" bestFit="1" customWidth="1"/>
    <col min="61" max="63" width="18" style="3" customWidth="1"/>
    <col min="64" max="64" width="5.83203125" style="3" bestFit="1" customWidth="1"/>
    <col min="65" max="65" width="55.5" style="3" bestFit="1" customWidth="1"/>
    <col min="66" max="68" width="18" style="3" customWidth="1"/>
    <col min="69" max="69" width="6.83203125" style="3" customWidth="1"/>
    <col min="70" max="70" width="45.5" style="3" customWidth="1"/>
    <col min="71" max="71" width="13.66015625" style="3" customWidth="1"/>
    <col min="72" max="72" width="18.33203125" style="3" customWidth="1"/>
    <col min="73" max="73" width="7.33203125" style="3" bestFit="1" customWidth="1"/>
    <col min="74" max="74" width="45.83203125" style="3" customWidth="1"/>
    <col min="75" max="75" width="17.33203125" style="3" customWidth="1"/>
    <col min="76" max="77" width="18.33203125" style="3" customWidth="1"/>
    <col min="78" max="78" width="7.5" style="3" bestFit="1" customWidth="1"/>
    <col min="79" max="79" width="41.16015625" style="3" customWidth="1"/>
    <col min="80" max="82" width="18.33203125" style="3" customWidth="1"/>
    <col min="83" max="83" width="5.66015625" style="3" customWidth="1"/>
    <col min="84" max="84" width="5.83203125" style="3" customWidth="1"/>
    <col min="85" max="85" width="91.5" style="3" bestFit="1" customWidth="1"/>
    <col min="86" max="86" width="26.66015625" style="3" customWidth="1"/>
    <col min="87" max="87" width="6.5" style="3" customWidth="1"/>
    <col min="88" max="88" width="7.33203125" style="3" bestFit="1" customWidth="1"/>
    <col min="89" max="89" width="74.16015625" style="3" bestFit="1" customWidth="1"/>
    <col min="90" max="92" width="18.33203125" style="3" customWidth="1"/>
    <col min="93" max="94" width="7.16015625" style="3" customWidth="1"/>
    <col min="95" max="95" width="66.33203125" style="3" customWidth="1"/>
    <col min="96" max="96" width="16.66015625" style="3" bestFit="1" customWidth="1"/>
    <col min="97" max="97" width="18.83203125" style="3" bestFit="1" customWidth="1"/>
    <col min="98" max="98" width="7.16015625" style="3" customWidth="1"/>
    <col min="99" max="99" width="7.33203125" style="3" bestFit="1" customWidth="1"/>
    <col min="100" max="100" width="42" style="3" bestFit="1" customWidth="1"/>
    <col min="101" max="101" width="15.66015625" style="3" bestFit="1" customWidth="1"/>
    <col min="102" max="102" width="15.33203125" style="3" bestFit="1" customWidth="1"/>
    <col min="103" max="103" width="20" style="3" customWidth="1"/>
    <col min="104" max="104" width="5.33203125" style="3" customWidth="1"/>
    <col min="105" max="105" width="9.33203125" style="3" customWidth="1"/>
    <col min="106" max="106" width="48.33203125" style="3" customWidth="1"/>
    <col min="107" max="107" width="13.66015625" style="3" customWidth="1"/>
    <col min="108" max="108" width="20.66015625" style="3" customWidth="1"/>
    <col min="109" max="109" width="4.16015625" style="3" customWidth="1"/>
    <col min="110" max="110" width="7.33203125" style="3" bestFit="1" customWidth="1"/>
    <col min="111" max="111" width="54" style="3" bestFit="1" customWidth="1"/>
    <col min="112" max="112" width="5.33203125" style="3" bestFit="1" customWidth="1"/>
    <col min="113" max="113" width="36.16015625" style="3" bestFit="1" customWidth="1"/>
    <col min="114" max="114" width="7.16015625" style="3" customWidth="1"/>
    <col min="115" max="115" width="6.83203125" style="3" customWidth="1"/>
    <col min="116" max="116" width="42.66015625" style="3" customWidth="1"/>
    <col min="117" max="117" width="17.66015625" style="3" customWidth="1"/>
    <col min="118" max="118" width="22.33203125" style="3" customWidth="1"/>
    <col min="119" max="119" width="21.5" style="3" customWidth="1"/>
    <col min="120" max="120" width="15.16015625" style="3" customWidth="1"/>
    <col min="121" max="121" width="7.33203125" style="3" bestFit="1" customWidth="1"/>
    <col min="122" max="122" width="56.5" style="3" customWidth="1"/>
    <col min="123" max="123" width="30.83203125" style="3" customWidth="1"/>
    <col min="124" max="124" width="26.33203125" style="3" customWidth="1"/>
    <col min="125" max="125" width="18.66015625" style="3" customWidth="1"/>
    <col min="126" max="126" width="30.16015625" style="3" customWidth="1"/>
    <col min="127" max="127" width="23.66015625" style="3" customWidth="1"/>
    <col min="128" max="128" width="16.83203125" style="3" customWidth="1"/>
    <col min="129" max="129" width="31.33203125" style="3" customWidth="1"/>
    <col min="130" max="130" width="22.33203125" style="3" customWidth="1"/>
    <col min="131" max="131" width="11.5" style="3" customWidth="1"/>
    <col min="132" max="132" width="56.5" style="3" customWidth="1"/>
    <col min="133" max="134" width="22.33203125" style="3" customWidth="1"/>
    <col min="135" max="135" width="23.66015625" style="3" customWidth="1"/>
    <col min="136" max="137" width="22.33203125" style="3" customWidth="1"/>
    <col min="138" max="138" width="22.5" style="3" customWidth="1"/>
    <col min="139" max="139" width="22.16015625" style="3" customWidth="1"/>
    <col min="140" max="140" width="21.83203125" style="3" customWidth="1"/>
    <col min="141" max="141" width="11.33203125" style="3" customWidth="1"/>
    <col min="142" max="142" width="56.5" style="3" bestFit="1" customWidth="1"/>
    <col min="143" max="143" width="27.5" style="3" customWidth="1"/>
    <col min="144" max="144" width="28.16015625" style="3" bestFit="1" customWidth="1"/>
    <col min="145" max="145" width="23.5" style="3" bestFit="1" customWidth="1"/>
    <col min="146" max="146" width="19.66015625" style="3" customWidth="1"/>
    <col min="147" max="148" width="16.66015625" style="3" customWidth="1"/>
    <col min="149" max="149" width="23" style="3" customWidth="1"/>
    <col min="150" max="150" width="26.16015625" style="3" bestFit="1" customWidth="1"/>
    <col min="151" max="151" width="26.83203125" style="3" bestFit="1" customWidth="1"/>
    <col min="152" max="152" width="10.83203125" style="3" customWidth="1"/>
    <col min="153" max="153" width="56.5" style="3" bestFit="1" customWidth="1"/>
    <col min="154" max="154" width="19.83203125" style="3" bestFit="1" customWidth="1"/>
    <col min="155" max="155" width="19.5" style="3" customWidth="1"/>
    <col min="156" max="156" width="20.5" style="3" bestFit="1" customWidth="1"/>
    <col min="157" max="158" width="20.16015625" style="3" customWidth="1"/>
    <col min="159" max="159" width="2.83203125" style="3" customWidth="1"/>
    <col min="160" max="160" width="15.5" style="3" customWidth="1"/>
    <col min="161" max="161" width="13.66015625" style="397" bestFit="1" customWidth="1"/>
    <col min="162" max="162" width="18" style="397" customWidth="1"/>
    <col min="163" max="163" width="16.83203125" style="397" bestFit="1" customWidth="1"/>
    <col min="164" max="165" width="15.33203125" style="3" customWidth="1"/>
    <col min="166" max="167" width="14.16015625" style="3" customWidth="1"/>
    <col min="168" max="168" width="17.16015625" style="3" bestFit="1" customWidth="1"/>
    <col min="169" max="169" width="14.66015625" style="3" customWidth="1"/>
    <col min="170" max="170" width="14.16015625" style="3" customWidth="1"/>
    <col min="171" max="171" width="21" style="3" customWidth="1"/>
    <col min="172" max="228" width="10.83203125" style="3" customWidth="1"/>
    <col min="229" max="230" width="21.16015625" style="3" customWidth="1"/>
    <col min="231" max="231" width="20" style="3" customWidth="1"/>
    <col min="232" max="232" width="9.33203125" style="3" customWidth="1"/>
    <col min="233" max="235" width="21.16015625" style="3" customWidth="1"/>
    <col min="236" max="236" width="20" style="3" customWidth="1"/>
    <col min="237" max="237" width="9.33203125" style="3" customWidth="1"/>
    <col min="238" max="240" width="21.16015625" style="3" customWidth="1"/>
    <col min="241" max="241" width="20" style="3" customWidth="1"/>
    <col min="242" max="242" width="9.33203125" style="3" customWidth="1"/>
    <col min="243" max="246" width="21.16015625" style="3" customWidth="1"/>
    <col min="247" max="247" width="20" style="3" customWidth="1"/>
    <col min="248" max="248" width="9.33203125" style="3" customWidth="1"/>
    <col min="249" max="251" width="21.16015625" style="3" customWidth="1"/>
    <col min="252" max="252" width="20" style="3" customWidth="1"/>
    <col min="253" max="253" width="9.33203125" style="3" customWidth="1"/>
    <col min="254" max="16384" width="21.16015625" style="3" customWidth="1"/>
  </cols>
  <sheetData>
    <row r="1" spans="1:163" s="609" customFormat="1" ht="12.75" customHeight="1">
      <c r="A1" s="609">
        <f>SUM(B1:DI1)</f>
        <v>0</v>
      </c>
      <c r="B1" s="609">
        <f>EU63</f>
        <v>0</v>
      </c>
      <c r="F1" s="609">
        <f>ROUND(F45-DT47,0)</f>
        <v>0</v>
      </c>
      <c r="K1" s="609">
        <f>ROUND(K34-DU47,0)</f>
        <v>0</v>
      </c>
      <c r="O1" s="609">
        <f>ROUND(O32-DV47,0)</f>
        <v>0</v>
      </c>
      <c r="T1" s="609">
        <f>ROUND(T29-DW47,0)</f>
        <v>0</v>
      </c>
      <c r="Z1" s="609">
        <f>ROUND(Z28-DX47,0)</f>
        <v>0</v>
      </c>
      <c r="AD1" s="609">
        <f>ROUND(AE33-DY49,0)</f>
        <v>0</v>
      </c>
      <c r="AE1" s="609">
        <f>ROUND(AE26-DY47,0)</f>
        <v>0</v>
      </c>
      <c r="AJ1" s="609">
        <f>ROUND(AJ19-DZ47,0)</f>
        <v>0</v>
      </c>
      <c r="AO1" s="609">
        <f>ROUND(AO25-EC47,0)</f>
        <v>0</v>
      </c>
      <c r="AS1" s="609">
        <f>ROUND(AS46-ED47,0)</f>
        <v>0</v>
      </c>
      <c r="AY1" s="609">
        <f>ROUND(AY20-EE47,0)</f>
        <v>0</v>
      </c>
      <c r="BD1" s="609">
        <f>ROUND(BD21-EF47,0)</f>
        <v>0</v>
      </c>
      <c r="BK1" s="609">
        <f>ROUND(BK31-EG47,0)</f>
        <v>0</v>
      </c>
      <c r="BP1" s="609">
        <f>ROUND(BP36-EH47,0)</f>
        <v>0</v>
      </c>
      <c r="BT1" s="609">
        <f>ROUND(BT25-EI47,0)</f>
        <v>0</v>
      </c>
      <c r="BY1" s="609">
        <f>ROUND(BY32-EJ47,0)</f>
        <v>0</v>
      </c>
      <c r="CD1" s="609">
        <f>ROUND(CD16-EM47,0)</f>
        <v>0</v>
      </c>
      <c r="CH1" s="609">
        <f>ROUND(CH26-EN47,0)</f>
        <v>0</v>
      </c>
      <c r="CM1" s="609">
        <f>ROUND(CN46-EO49,0)</f>
        <v>0</v>
      </c>
      <c r="CN1" s="609">
        <f>ROUND(CN33-EO47,0)</f>
        <v>0</v>
      </c>
      <c r="CS1" s="609">
        <f>ROUND(CS23-EP47,0)</f>
        <v>0</v>
      </c>
      <c r="CY1" s="609">
        <f>ROUND(CY21-EQ47,0)</f>
        <v>0</v>
      </c>
      <c r="DD1" s="609">
        <f>ROUND(DD39-ER47,0)</f>
        <v>0</v>
      </c>
      <c r="DH1" s="609">
        <f>ROUND(DI25-ES49,0)</f>
        <v>0</v>
      </c>
      <c r="DI1" s="609">
        <f>ROUND(DI21-ES47,0)</f>
        <v>0</v>
      </c>
      <c r="FE1" s="610"/>
      <c r="FF1" s="610"/>
      <c r="FG1" s="610"/>
    </row>
    <row r="2" spans="5:158" ht="14.25" customHeight="1">
      <c r="E2" s="200"/>
      <c r="F2" s="347" t="s">
        <v>496</v>
      </c>
      <c r="J2" s="200"/>
      <c r="K2" s="347" t="s">
        <v>496</v>
      </c>
      <c r="N2" s="200"/>
      <c r="O2" s="347" t="s">
        <v>496</v>
      </c>
      <c r="S2" s="200"/>
      <c r="T2" s="347" t="s">
        <v>496</v>
      </c>
      <c r="Y2" s="200"/>
      <c r="Z2" s="347" t="s">
        <v>496</v>
      </c>
      <c r="AD2" s="200"/>
      <c r="AE2" s="347" t="s">
        <v>496</v>
      </c>
      <c r="AI2" s="200"/>
      <c r="AJ2" s="347" t="s">
        <v>496</v>
      </c>
      <c r="AN2" s="200"/>
      <c r="AO2" s="347" t="s">
        <v>496</v>
      </c>
      <c r="AR2" s="200"/>
      <c r="AS2" s="347" t="s">
        <v>496</v>
      </c>
      <c r="AX2" s="200"/>
      <c r="AY2" s="347" t="s">
        <v>496</v>
      </c>
      <c r="BC2" s="200"/>
      <c r="BD2" s="347" t="s">
        <v>496</v>
      </c>
      <c r="BJ2" s="200"/>
      <c r="BK2" s="347" t="s">
        <v>496</v>
      </c>
      <c r="BO2" s="200"/>
      <c r="BP2" s="347" t="s">
        <v>496</v>
      </c>
      <c r="BS2" s="200"/>
      <c r="BT2" s="347" t="s">
        <v>496</v>
      </c>
      <c r="BX2" s="200"/>
      <c r="BY2" s="347" t="s">
        <v>496</v>
      </c>
      <c r="CC2" s="200"/>
      <c r="CD2" s="347" t="s">
        <v>496</v>
      </c>
      <c r="CG2" s="200"/>
      <c r="CH2" s="347" t="s">
        <v>496</v>
      </c>
      <c r="CM2" s="200"/>
      <c r="CN2" s="347" t="s">
        <v>496</v>
      </c>
      <c r="CR2" s="200"/>
      <c r="CS2" s="347" t="s">
        <v>496</v>
      </c>
      <c r="CX2" s="200"/>
      <c r="CY2" s="347" t="s">
        <v>496</v>
      </c>
      <c r="DC2" s="200"/>
      <c r="DD2" s="347" t="s">
        <v>496</v>
      </c>
      <c r="DH2" s="200"/>
      <c r="DI2" s="347" t="s">
        <v>496</v>
      </c>
      <c r="DN2" s="200"/>
      <c r="DO2" s="347" t="s">
        <v>496</v>
      </c>
      <c r="DY2" s="200"/>
      <c r="DZ2" s="347" t="s">
        <v>496</v>
      </c>
      <c r="ED2" s="223"/>
      <c r="EI2" s="200"/>
      <c r="EJ2" s="347" t="s">
        <v>496</v>
      </c>
      <c r="EM2" s="223"/>
      <c r="EN2" s="223"/>
      <c r="EO2" s="223"/>
      <c r="EP2" s="223"/>
      <c r="EQ2" s="223"/>
      <c r="ER2" s="223"/>
      <c r="ES2" s="1"/>
      <c r="ET2" s="200"/>
      <c r="EU2" s="347" t="s">
        <v>496</v>
      </c>
      <c r="EZ2" s="223"/>
      <c r="FA2" s="200"/>
      <c r="FB2" s="347" t="s">
        <v>496</v>
      </c>
    </row>
    <row r="3" spans="1:228" ht="14.25" customHeight="1">
      <c r="A3" s="114"/>
      <c r="F3" s="347" t="s">
        <v>565</v>
      </c>
      <c r="K3" s="347" t="str">
        <f>F3</f>
        <v>Exhibit No. ____ (JMR-4)</v>
      </c>
      <c r="O3" s="347" t="str">
        <f>K3</f>
        <v>Exhibit No. ____ (JMR-4)</v>
      </c>
      <c r="Q3" s="114"/>
      <c r="T3" s="347" t="str">
        <f>O3</f>
        <v>Exhibit No. ____ (JMR-4)</v>
      </c>
      <c r="U3" s="114"/>
      <c r="V3" s="92"/>
      <c r="W3" s="92"/>
      <c r="X3" s="92"/>
      <c r="Z3" s="347" t="str">
        <f>T3</f>
        <v>Exhibit No. ____ (JMR-4)</v>
      </c>
      <c r="AA3" s="114"/>
      <c r="AC3" s="23"/>
      <c r="AE3" s="347" t="str">
        <f>Z3</f>
        <v>Exhibit No. ____ (JMR-4)</v>
      </c>
      <c r="AF3" s="114"/>
      <c r="AJ3" s="347" t="str">
        <f>AE3</f>
        <v>Exhibit No. ____ (JMR-4)</v>
      </c>
      <c r="AK3" s="114"/>
      <c r="AL3" s="114"/>
      <c r="AO3" s="347" t="str">
        <f>AJ3</f>
        <v>Exhibit No. ____ (JMR-4)</v>
      </c>
      <c r="AP3" s="114"/>
      <c r="AR3" s="3"/>
      <c r="AS3" s="347" t="str">
        <f>AO3</f>
        <v>Exhibit No. ____ (JMR-4)</v>
      </c>
      <c r="AT3" s="397"/>
      <c r="AU3" s="114"/>
      <c r="AY3" s="347" t="str">
        <f>AS3</f>
        <v>Exhibit No. ____ (JMR-4)</v>
      </c>
      <c r="AZ3" s="114"/>
      <c r="BD3" s="347" t="str">
        <f>AY3</f>
        <v>Exhibit No. ____ (JMR-4)</v>
      </c>
      <c r="BE3" s="114"/>
      <c r="BK3" s="347" t="str">
        <f>BD3</f>
        <v>Exhibit No. ____ (JMR-4)</v>
      </c>
      <c r="BL3" s="114"/>
      <c r="BP3" s="347" t="str">
        <f>BK3</f>
        <v>Exhibit No. ____ (JMR-4)</v>
      </c>
      <c r="BQ3" s="114"/>
      <c r="BT3" s="347" t="str">
        <f>BP3</f>
        <v>Exhibit No. ____ (JMR-4)</v>
      </c>
      <c r="BU3" s="114"/>
      <c r="BY3" s="347" t="str">
        <f>BT3</f>
        <v>Exhibit No. ____ (JMR-4)</v>
      </c>
      <c r="BZ3" s="114"/>
      <c r="CA3" s="200"/>
      <c r="CB3" s="200"/>
      <c r="CD3" s="347" t="str">
        <f>BY3</f>
        <v>Exhibit No. ____ (JMR-4)</v>
      </c>
      <c r="CE3" s="1"/>
      <c r="CF3" s="1"/>
      <c r="CH3" s="347" t="str">
        <f>CD3</f>
        <v>Exhibit No. ____ (JMR-4)</v>
      </c>
      <c r="CJ3" s="114"/>
      <c r="CK3" s="200"/>
      <c r="CL3" s="200"/>
      <c r="CN3" s="347" t="str">
        <f>CH3</f>
        <v>Exhibit No. ____ (JMR-4)</v>
      </c>
      <c r="CO3" s="200"/>
      <c r="CP3" s="200"/>
      <c r="CQ3" s="200"/>
      <c r="CS3" s="347" t="str">
        <f>CN3</f>
        <v>Exhibit No. ____ (JMR-4)</v>
      </c>
      <c r="CT3" s="200"/>
      <c r="CU3" s="345"/>
      <c r="CV3" s="346"/>
      <c r="CW3" s="346"/>
      <c r="CY3" s="347" t="str">
        <f>CS3</f>
        <v>Exhibit No. ____ (JMR-4)</v>
      </c>
      <c r="CZ3" s="347"/>
      <c r="DA3" s="347"/>
      <c r="DB3" s="347"/>
      <c r="DD3" s="347" t="str">
        <f>CY3</f>
        <v>Exhibit No. ____ (JMR-4)</v>
      </c>
      <c r="DE3" s="347"/>
      <c r="DF3" s="114"/>
      <c r="DG3" s="1"/>
      <c r="DI3" s="347" t="str">
        <f>DD3</f>
        <v>Exhibit No. ____ (JMR-4)</v>
      </c>
      <c r="DJ3" s="347"/>
      <c r="DK3" s="114"/>
      <c r="DL3" s="1"/>
      <c r="DM3" s="255"/>
      <c r="DO3" s="347" t="str">
        <f>DI3</f>
        <v>Exhibit No. ____ (JMR-4)</v>
      </c>
      <c r="DQ3" s="114"/>
      <c r="DZ3" s="347" t="str">
        <f>DO3</f>
        <v>Exhibit No. ____ (JMR-4)</v>
      </c>
      <c r="EG3" s="13"/>
      <c r="EH3" s="13"/>
      <c r="EJ3" s="347" t="str">
        <f>DZ3</f>
        <v>Exhibit No. ____ (JMR-4)</v>
      </c>
      <c r="EM3" s="13"/>
      <c r="EN3" s="13"/>
      <c r="EO3" s="13"/>
      <c r="EP3" s="13"/>
      <c r="EQ3" s="13"/>
      <c r="ER3" s="13"/>
      <c r="EU3" s="347" t="str">
        <f>EJ3</f>
        <v>Exhibit No. ____ (JMR-4)</v>
      </c>
      <c r="EZ3" s="80"/>
      <c r="FB3" s="347" t="str">
        <f>EU3</f>
        <v>Exhibit No. ____ (JMR-4)</v>
      </c>
      <c r="FC3" s="20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</row>
    <row r="4" spans="5:228" ht="14.25" customHeight="1">
      <c r="E4" s="1" t="s">
        <v>497</v>
      </c>
      <c r="F4" s="765">
        <f>EU4+1</f>
        <v>5</v>
      </c>
      <c r="J4" s="1" t="s">
        <v>497</v>
      </c>
      <c r="K4" s="765">
        <f>F4+1</f>
        <v>6</v>
      </c>
      <c r="M4" s="279" t="s">
        <v>21</v>
      </c>
      <c r="N4" s="1" t="s">
        <v>497</v>
      </c>
      <c r="O4" s="765">
        <f>K4+1</f>
        <v>7</v>
      </c>
      <c r="S4" s="1" t="s">
        <v>497</v>
      </c>
      <c r="T4" s="765">
        <f>O4+1</f>
        <v>8</v>
      </c>
      <c r="V4" s="92"/>
      <c r="W4" s="92"/>
      <c r="X4" s="92"/>
      <c r="Y4" s="1" t="s">
        <v>497</v>
      </c>
      <c r="Z4" s="765">
        <f>T4+1</f>
        <v>9</v>
      </c>
      <c r="AC4" s="23"/>
      <c r="AD4" s="1" t="s">
        <v>497</v>
      </c>
      <c r="AE4" s="765">
        <f>Z4+1</f>
        <v>10</v>
      </c>
      <c r="AI4" s="1" t="s">
        <v>497</v>
      </c>
      <c r="AJ4" s="765">
        <f>AE4+1</f>
        <v>11</v>
      </c>
      <c r="AN4" s="1" t="s">
        <v>497</v>
      </c>
      <c r="AO4" s="765">
        <f>AJ4+1</f>
        <v>12</v>
      </c>
      <c r="AR4" s="1" t="s">
        <v>497</v>
      </c>
      <c r="AS4" s="765">
        <f>AO4+1</f>
        <v>13</v>
      </c>
      <c r="AT4" s="397"/>
      <c r="AX4" s="1" t="s">
        <v>497</v>
      </c>
      <c r="AY4" s="765">
        <f>AS4+1</f>
        <v>14</v>
      </c>
      <c r="BC4" s="1" t="s">
        <v>497</v>
      </c>
      <c r="BD4" s="765">
        <f>AY4+1</f>
        <v>15</v>
      </c>
      <c r="BJ4" s="1" t="s">
        <v>497</v>
      </c>
      <c r="BK4" s="765">
        <f>BD4+1</f>
        <v>16</v>
      </c>
      <c r="BO4" s="1" t="s">
        <v>497</v>
      </c>
      <c r="BP4" s="765">
        <f>BK4+1</f>
        <v>17</v>
      </c>
      <c r="BS4" s="1" t="s">
        <v>497</v>
      </c>
      <c r="BT4" s="765">
        <f>BP4+1</f>
        <v>18</v>
      </c>
      <c r="BU4" s="60"/>
      <c r="BV4" s="60"/>
      <c r="BW4" s="60"/>
      <c r="BX4" s="1" t="s">
        <v>497</v>
      </c>
      <c r="BY4" s="765">
        <f>BT4+1</f>
        <v>19</v>
      </c>
      <c r="CA4" s="246"/>
      <c r="CB4" s="246"/>
      <c r="CC4" s="1" t="s">
        <v>497</v>
      </c>
      <c r="CD4" s="765">
        <f>BY4+1</f>
        <v>20</v>
      </c>
      <c r="CE4" s="1"/>
      <c r="CF4" s="1"/>
      <c r="CG4" s="1" t="s">
        <v>497</v>
      </c>
      <c r="CH4" s="765">
        <f>CD4+1</f>
        <v>21</v>
      </c>
      <c r="CK4" s="246"/>
      <c r="CL4" s="246"/>
      <c r="CM4" s="1" t="s">
        <v>497</v>
      </c>
      <c r="CN4" s="765">
        <f>CH4+1</f>
        <v>22</v>
      </c>
      <c r="CR4" s="1" t="s">
        <v>497</v>
      </c>
      <c r="CS4" s="765">
        <f>CN4+1</f>
        <v>23</v>
      </c>
      <c r="CU4" s="346"/>
      <c r="CV4" s="323"/>
      <c r="CW4" s="323"/>
      <c r="CX4" s="1" t="s">
        <v>497</v>
      </c>
      <c r="CY4" s="765">
        <f>CS4+1</f>
        <v>24</v>
      </c>
      <c r="CZ4" s="1"/>
      <c r="DA4" s="347"/>
      <c r="DB4" s="347"/>
      <c r="DC4" s="1" t="s">
        <v>497</v>
      </c>
      <c r="DD4" s="765">
        <f>CY4+1</f>
        <v>25</v>
      </c>
      <c r="DE4" s="347"/>
      <c r="DH4" s="1" t="s">
        <v>497</v>
      </c>
      <c r="DI4" s="765">
        <f>DD4+1</f>
        <v>26</v>
      </c>
      <c r="DJ4" s="347"/>
      <c r="DN4" s="1" t="s">
        <v>497</v>
      </c>
      <c r="DO4" s="765">
        <f>DO36+1</f>
        <v>29</v>
      </c>
      <c r="DY4" s="1" t="s">
        <v>497</v>
      </c>
      <c r="DZ4" s="765">
        <f>FB4+1</f>
        <v>2</v>
      </c>
      <c r="EG4" s="13"/>
      <c r="EH4" s="13"/>
      <c r="EI4" s="1" t="s">
        <v>497</v>
      </c>
      <c r="EJ4" s="765">
        <f>DZ4+1</f>
        <v>3</v>
      </c>
      <c r="ET4" s="1" t="s">
        <v>497</v>
      </c>
      <c r="EU4" s="765">
        <f>EJ4+1</f>
        <v>4</v>
      </c>
      <c r="EV4" s="13"/>
      <c r="EW4" s="13"/>
      <c r="EX4" s="13"/>
      <c r="EY4" s="13"/>
      <c r="FA4" s="1" t="s">
        <v>497</v>
      </c>
      <c r="FB4" s="765">
        <v>1</v>
      </c>
      <c r="FC4" s="38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</row>
    <row r="5" spans="1:228" s="40" customFormat="1" ht="14.25" customHeight="1">
      <c r="A5" s="40" t="s">
        <v>21</v>
      </c>
      <c r="F5" s="823" t="s">
        <v>566</v>
      </c>
      <c r="T5" s="60"/>
      <c r="U5" s="117"/>
      <c r="Z5" s="60"/>
      <c r="AA5" s="117"/>
      <c r="AB5" s="117"/>
      <c r="AC5" s="280"/>
      <c r="AD5" s="117"/>
      <c r="AE5" s="60"/>
      <c r="AF5" s="117"/>
      <c r="AG5" s="117"/>
      <c r="AH5" s="117"/>
      <c r="AI5" s="117"/>
      <c r="AJ5" s="60"/>
      <c r="AK5" s="117"/>
      <c r="AL5" s="398"/>
      <c r="AM5" s="60"/>
      <c r="AN5" s="60"/>
      <c r="AO5" s="60"/>
      <c r="AP5" s="117"/>
      <c r="AQ5" s="117"/>
      <c r="AR5" s="117"/>
      <c r="AS5" s="60"/>
      <c r="AT5" s="398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117"/>
      <c r="BF5" s="117"/>
      <c r="BG5" s="117"/>
      <c r="BH5" s="117"/>
      <c r="BI5" s="117"/>
      <c r="BJ5" s="117"/>
      <c r="BK5" s="60"/>
      <c r="BL5" s="117"/>
      <c r="BM5" s="117"/>
      <c r="BN5" s="117"/>
      <c r="BO5" s="117"/>
      <c r="BP5" s="60"/>
      <c r="BQ5" s="117"/>
      <c r="BR5" s="117"/>
      <c r="BS5" s="117"/>
      <c r="BT5" s="60"/>
      <c r="BU5" s="766"/>
      <c r="BV5" s="766"/>
      <c r="BW5" s="766"/>
      <c r="BX5" s="766"/>
      <c r="BY5" s="823" t="s">
        <v>566</v>
      </c>
      <c r="BZ5" s="117"/>
      <c r="CA5" s="766"/>
      <c r="CB5" s="766"/>
      <c r="CC5" s="766"/>
      <c r="CD5" s="60"/>
      <c r="CE5" s="60"/>
      <c r="CF5" s="60"/>
      <c r="CG5" s="60"/>
      <c r="CH5" s="60"/>
      <c r="CI5" s="117"/>
      <c r="CJ5" s="117"/>
      <c r="CK5" s="766"/>
      <c r="CL5" s="766"/>
      <c r="CM5" s="766"/>
      <c r="CN5" s="60"/>
      <c r="CO5" s="766"/>
      <c r="CP5" s="766"/>
      <c r="CQ5" s="766"/>
      <c r="CR5" s="766"/>
      <c r="CS5" s="365"/>
      <c r="CT5" s="766"/>
      <c r="CU5" s="367"/>
      <c r="CV5" s="767"/>
      <c r="CW5" s="767"/>
      <c r="CX5" s="767"/>
      <c r="CY5" s="365"/>
      <c r="CZ5" s="365"/>
      <c r="DA5" s="365"/>
      <c r="DB5" s="365"/>
      <c r="DC5" s="365"/>
      <c r="DD5" s="60"/>
      <c r="DE5" s="365"/>
      <c r="DF5" s="117"/>
      <c r="DG5" s="768"/>
      <c r="DH5" s="769"/>
      <c r="DI5" s="60"/>
      <c r="DJ5" s="365"/>
      <c r="DK5" s="117"/>
      <c r="DL5" s="189"/>
      <c r="DM5" s="117"/>
      <c r="DN5" s="117"/>
      <c r="DO5" s="60"/>
      <c r="DP5" s="60"/>
      <c r="DQ5" s="256" t="s">
        <v>22</v>
      </c>
      <c r="DR5" s="257"/>
      <c r="DS5" s="257"/>
      <c r="DT5" s="257"/>
      <c r="DU5" s="257"/>
      <c r="DV5" s="257"/>
      <c r="DW5" s="257"/>
      <c r="DX5" s="257"/>
      <c r="DY5" s="257"/>
      <c r="DZ5" s="823" t="s">
        <v>566</v>
      </c>
      <c r="EA5" s="256" t="s">
        <v>22</v>
      </c>
      <c r="EB5" s="257"/>
      <c r="EC5" s="257"/>
      <c r="ED5" s="257"/>
      <c r="EE5" s="257"/>
      <c r="EF5" s="256"/>
      <c r="EG5" s="257"/>
      <c r="EH5" s="257"/>
      <c r="EI5" s="257"/>
      <c r="EJ5" s="823" t="s">
        <v>566</v>
      </c>
      <c r="EK5" s="256" t="s">
        <v>22</v>
      </c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39" t="str">
        <f>PSE</f>
        <v>PUGET SOUND ENERGY-GAS </v>
      </c>
      <c r="EW5" s="257"/>
      <c r="EX5" s="257"/>
      <c r="EY5" s="257"/>
      <c r="EZ5" s="259"/>
      <c r="FA5" s="257"/>
      <c r="FB5" s="823" t="s">
        <v>566</v>
      </c>
      <c r="FC5" s="6"/>
      <c r="FD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</row>
    <row r="6" spans="1:228" s="40" customFormat="1" ht="14.25" customHeight="1">
      <c r="A6" s="39" t="s">
        <v>23</v>
      </c>
      <c r="B6" s="6"/>
      <c r="C6" s="6"/>
      <c r="D6" s="6"/>
      <c r="E6" s="6"/>
      <c r="F6" s="6"/>
      <c r="G6" s="39" t="str">
        <f>PSE</f>
        <v>PUGET SOUND ENERGY-GAS </v>
      </c>
      <c r="H6" s="6"/>
      <c r="I6" s="6"/>
      <c r="J6" s="6"/>
      <c r="K6" s="118"/>
      <c r="L6" s="39" t="str">
        <f>PSE</f>
        <v>PUGET SOUND ENERGY-GAS </v>
      </c>
      <c r="M6" s="6"/>
      <c r="N6" s="6"/>
      <c r="O6" s="6"/>
      <c r="Q6" s="39" t="str">
        <f>PSE</f>
        <v>PUGET SOUND ENERGY-GAS </v>
      </c>
      <c r="R6" s="6"/>
      <c r="S6" s="6"/>
      <c r="T6" s="204"/>
      <c r="U6" s="39" t="str">
        <f>PSE</f>
        <v>PUGET SOUND ENERGY-GAS </v>
      </c>
      <c r="V6" s="6"/>
      <c r="W6" s="6"/>
      <c r="X6" s="6"/>
      <c r="Y6" s="6"/>
      <c r="Z6" s="6"/>
      <c r="AA6" s="39" t="str">
        <f>PSE</f>
        <v>PUGET SOUND ENERGY-GAS </v>
      </c>
      <c r="AB6" s="6"/>
      <c r="AC6" s="281"/>
      <c r="AD6" s="6"/>
      <c r="AE6" s="6"/>
      <c r="AF6" s="39" t="str">
        <f>PSE</f>
        <v>PUGET SOUND ENERGY-GAS </v>
      </c>
      <c r="AG6" s="6"/>
      <c r="AH6" s="6"/>
      <c r="AI6" s="6"/>
      <c r="AJ6" s="6"/>
      <c r="AK6" s="397"/>
      <c r="AL6" s="39" t="str">
        <f>PSE</f>
        <v>PUGET SOUND ENERGY-GAS </v>
      </c>
      <c r="AM6" s="6"/>
      <c r="AN6" s="6"/>
      <c r="AO6" s="6"/>
      <c r="AP6" s="39" t="str">
        <f>PSE</f>
        <v>PUGET SOUND ENERGY-GAS </v>
      </c>
      <c r="AQ6" s="6"/>
      <c r="AR6" s="6"/>
      <c r="AS6" s="6"/>
      <c r="AT6" s="397"/>
      <c r="AU6" s="39" t="str">
        <f>PSE</f>
        <v>PUGET SOUND ENERGY-GAS </v>
      </c>
      <c r="AV6" s="6"/>
      <c r="AW6" s="6"/>
      <c r="AX6" s="6"/>
      <c r="AY6" s="6"/>
      <c r="AZ6" s="39" t="str">
        <f>PSE</f>
        <v>PUGET SOUND ENERGY-GAS </v>
      </c>
      <c r="BA6" s="6"/>
      <c r="BB6" s="6"/>
      <c r="BC6" s="6"/>
      <c r="BD6" s="6"/>
      <c r="BE6" s="39" t="str">
        <f>PSE</f>
        <v>PUGET SOUND ENERGY-GAS </v>
      </c>
      <c r="BF6" s="6"/>
      <c r="BG6" s="6"/>
      <c r="BH6" s="6"/>
      <c r="BI6" s="6"/>
      <c r="BJ6" s="6"/>
      <c r="BK6" s="6"/>
      <c r="BL6" s="39" t="str">
        <f>PSE</f>
        <v>PUGET SOUND ENERGY-GAS </v>
      </c>
      <c r="BM6" s="39"/>
      <c r="BN6" s="39"/>
      <c r="BO6" s="39"/>
      <c r="BP6" s="6"/>
      <c r="BQ6" s="39" t="str">
        <f>PSE</f>
        <v>PUGET SOUND ENERGY-GAS </v>
      </c>
      <c r="BR6" s="39"/>
      <c r="BS6" s="39"/>
      <c r="BT6" s="39"/>
      <c r="BU6" s="39" t="str">
        <f>PSE</f>
        <v>PUGET SOUND ENERGY-GAS </v>
      </c>
      <c r="BV6" s="224"/>
      <c r="BW6" s="224"/>
      <c r="BX6" s="224"/>
      <c r="BY6" s="224"/>
      <c r="BZ6" s="39" t="str">
        <f>PSE</f>
        <v>PUGET SOUND ENERGY-GAS </v>
      </c>
      <c r="CA6" s="224"/>
      <c r="CB6" s="224"/>
      <c r="CC6" s="224"/>
      <c r="CD6" s="224"/>
      <c r="CE6" s="434"/>
      <c r="CF6" s="39" t="str">
        <f>PSE</f>
        <v>PUGET SOUND ENERGY-GAS </v>
      </c>
      <c r="CG6" s="224"/>
      <c r="CH6" s="224"/>
      <c r="CI6" s="434"/>
      <c r="CJ6" s="39" t="str">
        <f>PSE</f>
        <v>PUGET SOUND ENERGY-GAS </v>
      </c>
      <c r="CK6" s="224"/>
      <c r="CL6" s="224"/>
      <c r="CM6" s="224"/>
      <c r="CN6" s="224"/>
      <c r="CO6" s="344"/>
      <c r="CP6" s="39" t="str">
        <f>PSE</f>
        <v>PUGET SOUND ENERGY-GAS </v>
      </c>
      <c r="CQ6" s="224"/>
      <c r="CR6" s="224"/>
      <c r="CS6" s="224"/>
      <c r="CT6" s="344"/>
      <c r="CU6" s="39" t="str">
        <f>PSE</f>
        <v>PUGET SOUND ENERGY-GAS </v>
      </c>
      <c r="CV6" s="350"/>
      <c r="CW6" s="350"/>
      <c r="CX6" s="350"/>
      <c r="CY6" s="351"/>
      <c r="CZ6" s="351"/>
      <c r="DA6" s="39" t="str">
        <f>PSE</f>
        <v>PUGET SOUND ENERGY-GAS </v>
      </c>
      <c r="DB6" s="6"/>
      <c r="DC6" s="6"/>
      <c r="DD6" s="6"/>
      <c r="DE6" s="6"/>
      <c r="DF6" s="39" t="str">
        <f>PSE</f>
        <v>PUGET SOUND ENERGY-GAS </v>
      </c>
      <c r="DG6" s="6"/>
      <c r="DH6" s="6"/>
      <c r="DI6" s="6"/>
      <c r="DJ6" s="367"/>
      <c r="DK6" s="39" t="str">
        <f>PSE</f>
        <v>PUGET SOUND ENERGY-GAS </v>
      </c>
      <c r="DL6" s="6"/>
      <c r="DM6" s="6"/>
      <c r="DN6" s="6"/>
      <c r="DO6" s="6"/>
      <c r="DP6" s="223"/>
      <c r="DQ6" s="256" t="s">
        <v>131</v>
      </c>
      <c r="DR6" s="257"/>
      <c r="DS6" s="257"/>
      <c r="DT6" s="258"/>
      <c r="DU6" s="257"/>
      <c r="DV6" s="256"/>
      <c r="DW6" s="256"/>
      <c r="DX6" s="256"/>
      <c r="DY6" s="257"/>
      <c r="DZ6" s="258"/>
      <c r="EA6" s="256" t="s">
        <v>131</v>
      </c>
      <c r="EB6" s="257"/>
      <c r="EC6" s="256"/>
      <c r="ED6" s="256"/>
      <c r="EE6" s="256"/>
      <c r="EF6" s="256"/>
      <c r="EG6" s="257"/>
      <c r="EH6" s="257"/>
      <c r="EI6" s="257"/>
      <c r="EJ6" s="257"/>
      <c r="EK6" s="256" t="s">
        <v>131</v>
      </c>
      <c r="EL6" s="257"/>
      <c r="EM6" s="257"/>
      <c r="EN6" s="257"/>
      <c r="EO6" s="257"/>
      <c r="EP6" s="257"/>
      <c r="EQ6" s="257"/>
      <c r="ER6" s="257"/>
      <c r="ES6" s="256"/>
      <c r="ET6" s="256"/>
      <c r="EU6" s="257"/>
      <c r="EV6" s="256" t="s">
        <v>26</v>
      </c>
      <c r="EW6" s="256"/>
      <c r="EX6" s="256"/>
      <c r="EY6" s="256"/>
      <c r="EZ6" s="256"/>
      <c r="FA6" s="257"/>
      <c r="FB6" s="257"/>
      <c r="FC6" s="6"/>
      <c r="FD6" s="119" t="s">
        <v>20</v>
      </c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1:228" s="40" customFormat="1" ht="14.25" customHeight="1">
      <c r="A7" s="39" t="s">
        <v>510</v>
      </c>
      <c r="B7" s="39"/>
      <c r="C7" s="39"/>
      <c r="D7" s="39"/>
      <c r="E7" s="6"/>
      <c r="F7" s="282"/>
      <c r="G7" s="6" t="s">
        <v>511</v>
      </c>
      <c r="H7" s="6"/>
      <c r="I7" s="6"/>
      <c r="J7" s="6"/>
      <c r="K7" s="118"/>
      <c r="L7" s="6" t="s">
        <v>512</v>
      </c>
      <c r="M7" s="6"/>
      <c r="N7" s="6"/>
      <c r="O7" s="41"/>
      <c r="Q7" s="6" t="s">
        <v>513</v>
      </c>
      <c r="R7" s="6"/>
      <c r="S7" s="41"/>
      <c r="T7" s="204"/>
      <c r="U7" s="39" t="s">
        <v>514</v>
      </c>
      <c r="V7" s="6"/>
      <c r="W7" s="6"/>
      <c r="X7" s="6"/>
      <c r="Y7" s="6"/>
      <c r="Z7" s="6"/>
      <c r="AA7" s="6" t="s">
        <v>515</v>
      </c>
      <c r="AB7" s="6"/>
      <c r="AC7" s="281"/>
      <c r="AD7" s="6"/>
      <c r="AE7" s="41"/>
      <c r="AF7" s="6" t="s">
        <v>516</v>
      </c>
      <c r="AG7" s="6"/>
      <c r="AH7" s="6"/>
      <c r="AI7" s="6"/>
      <c r="AJ7" s="41"/>
      <c r="AK7" s="397"/>
      <c r="AL7" s="39" t="s">
        <v>517</v>
      </c>
      <c r="AM7" s="41"/>
      <c r="AN7" s="41"/>
      <c r="AO7" s="41"/>
      <c r="AP7" s="6" t="s">
        <v>518</v>
      </c>
      <c r="AQ7" s="6"/>
      <c r="AR7" s="6"/>
      <c r="AS7" s="41"/>
      <c r="AT7" s="397"/>
      <c r="AU7" s="39" t="s">
        <v>520</v>
      </c>
      <c r="AV7" s="41"/>
      <c r="AW7" s="41"/>
      <c r="AX7" s="41"/>
      <c r="AY7" s="41"/>
      <c r="AZ7" s="39" t="s">
        <v>519</v>
      </c>
      <c r="BA7" s="41"/>
      <c r="BB7" s="41"/>
      <c r="BC7" s="41"/>
      <c r="BD7" s="41"/>
      <c r="BE7" s="6" t="s">
        <v>521</v>
      </c>
      <c r="BF7" s="6"/>
      <c r="BG7" s="6"/>
      <c r="BH7" s="6"/>
      <c r="BI7" s="6"/>
      <c r="BJ7" s="6"/>
      <c r="BK7" s="41"/>
      <c r="BL7" s="6" t="s">
        <v>522</v>
      </c>
      <c r="BM7" s="6"/>
      <c r="BN7" s="6"/>
      <c r="BO7" s="6"/>
      <c r="BP7" s="6"/>
      <c r="BQ7" s="6" t="s">
        <v>523</v>
      </c>
      <c r="BR7" s="6"/>
      <c r="BS7" s="6"/>
      <c r="BT7" s="6"/>
      <c r="BU7" s="6" t="s">
        <v>524</v>
      </c>
      <c r="BV7" s="224"/>
      <c r="BW7" s="224"/>
      <c r="BX7" s="224"/>
      <c r="BY7" s="224"/>
      <c r="BZ7" s="6" t="s">
        <v>525</v>
      </c>
      <c r="CA7" s="224"/>
      <c r="CB7" s="224"/>
      <c r="CC7" s="224"/>
      <c r="CD7" s="224"/>
      <c r="CE7" s="434"/>
      <c r="CF7" s="349" t="s">
        <v>526</v>
      </c>
      <c r="CG7" s="224"/>
      <c r="CH7" s="224"/>
      <c r="CI7" s="434"/>
      <c r="CJ7" s="6" t="s">
        <v>527</v>
      </c>
      <c r="CK7" s="224"/>
      <c r="CL7" s="224"/>
      <c r="CM7" s="224"/>
      <c r="CN7" s="224"/>
      <c r="CO7" s="344"/>
      <c r="CP7" s="6" t="s">
        <v>528</v>
      </c>
      <c r="CQ7" s="224"/>
      <c r="CR7" s="224"/>
      <c r="CS7" s="224"/>
      <c r="CT7" s="344"/>
      <c r="CU7" s="349" t="s">
        <v>529</v>
      </c>
      <c r="CV7" s="350"/>
      <c r="CW7" s="350"/>
      <c r="CX7" s="350"/>
      <c r="CY7" s="41"/>
      <c r="CZ7" s="41"/>
      <c r="DA7" s="39" t="s">
        <v>530</v>
      </c>
      <c r="DB7" s="6"/>
      <c r="DC7" s="6"/>
      <c r="DD7" s="6"/>
      <c r="DE7" s="6"/>
      <c r="DF7" s="39" t="s">
        <v>531</v>
      </c>
      <c r="DG7" s="6"/>
      <c r="DH7" s="39"/>
      <c r="DI7" s="6"/>
      <c r="DJ7" s="368"/>
      <c r="DK7" s="6" t="s">
        <v>25</v>
      </c>
      <c r="DL7" s="6"/>
      <c r="DM7" s="6"/>
      <c r="DN7" s="6"/>
      <c r="DO7" s="6"/>
      <c r="DP7" s="223"/>
      <c r="DQ7" s="257" t="str">
        <f>TESTYEAR</f>
        <v>FOR THE TWELVE MONTHS ENDED SEPTEMBER 30, 2005</v>
      </c>
      <c r="DR7" s="257"/>
      <c r="DS7" s="257"/>
      <c r="DT7" s="257"/>
      <c r="DU7" s="257"/>
      <c r="DV7" s="256"/>
      <c r="DW7" s="256"/>
      <c r="DX7" s="256"/>
      <c r="DY7" s="257"/>
      <c r="DZ7" s="257"/>
      <c r="EA7" s="257" t="str">
        <f>TESTYEAR</f>
        <v>FOR THE TWELVE MONTHS ENDED SEPTEMBER 30, 2005</v>
      </c>
      <c r="EB7" s="257"/>
      <c r="EC7" s="256"/>
      <c r="ED7" s="256"/>
      <c r="EE7" s="256"/>
      <c r="EF7" s="257"/>
      <c r="EG7" s="257"/>
      <c r="EH7" s="257"/>
      <c r="EI7" s="257"/>
      <c r="EJ7" s="257"/>
      <c r="EK7" s="257" t="str">
        <f>TESTYEAR</f>
        <v>FOR THE TWELVE MONTHS ENDED SEPTEMBER 30, 2005</v>
      </c>
      <c r="EL7" s="257"/>
      <c r="EM7" s="257"/>
      <c r="EN7" s="257"/>
      <c r="EO7" s="257"/>
      <c r="EP7" s="257"/>
      <c r="EQ7" s="257"/>
      <c r="ER7" s="257"/>
      <c r="ES7" s="256"/>
      <c r="ET7" s="256"/>
      <c r="EU7" s="257"/>
      <c r="EV7" s="257" t="str">
        <f>TESTYEAR</f>
        <v>FOR THE TWELVE MONTHS ENDED SEPTEMBER 30, 2005</v>
      </c>
      <c r="EW7" s="256"/>
      <c r="EX7" s="256"/>
      <c r="EY7" s="256"/>
      <c r="EZ7" s="256"/>
      <c r="FA7" s="257"/>
      <c r="FB7" s="257"/>
      <c r="FC7" s="6"/>
      <c r="FD7" s="119" t="s">
        <v>20</v>
      </c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1:228" s="40" customFormat="1" ht="14.25" customHeight="1">
      <c r="A8" s="6" t="s">
        <v>260</v>
      </c>
      <c r="B8" s="39"/>
      <c r="C8" s="39"/>
      <c r="D8" s="39"/>
      <c r="E8" s="6"/>
      <c r="F8" s="42"/>
      <c r="G8" s="6" t="str">
        <f>TESTYEAR</f>
        <v>FOR THE TWELVE MONTHS ENDED SEPTEMBER 30, 2005</v>
      </c>
      <c r="H8" s="6"/>
      <c r="I8" s="6"/>
      <c r="J8" s="6"/>
      <c r="K8" s="118"/>
      <c r="L8" s="6" t="str">
        <f>TESTYEAR</f>
        <v>FOR THE TWELVE MONTHS ENDED SEPTEMBER 30, 2005</v>
      </c>
      <c r="M8" s="6"/>
      <c r="N8" s="6"/>
      <c r="O8" s="42"/>
      <c r="Q8" s="6" t="str">
        <f>TESTYEAR</f>
        <v>FOR THE TWELVE MONTHS ENDED SEPTEMBER 30, 2005</v>
      </c>
      <c r="R8" s="6"/>
      <c r="S8" s="42"/>
      <c r="T8" s="204"/>
      <c r="U8" s="39" t="str">
        <f>TESTYEAR</f>
        <v>FOR THE TWELVE MONTHS ENDED SEPTEMBER 30, 2005</v>
      </c>
      <c r="V8" s="6"/>
      <c r="W8" s="6"/>
      <c r="X8" s="6"/>
      <c r="Y8" s="6"/>
      <c r="Z8" s="6"/>
      <c r="AA8" s="6" t="str">
        <f>TESTYEAR</f>
        <v>FOR THE TWELVE MONTHS ENDED SEPTEMBER 30, 2005</v>
      </c>
      <c r="AB8" s="6"/>
      <c r="AC8" s="281"/>
      <c r="AD8" s="6"/>
      <c r="AE8" s="42"/>
      <c r="AF8" s="6" t="str">
        <f>TESTYEAR</f>
        <v>FOR THE TWELVE MONTHS ENDED SEPTEMBER 30, 2005</v>
      </c>
      <c r="AG8" s="39"/>
      <c r="AH8" s="6"/>
      <c r="AI8" s="6"/>
      <c r="AJ8" s="201"/>
      <c r="AK8" s="397"/>
      <c r="AL8" s="6" t="str">
        <f>TESTYEAR</f>
        <v>FOR THE TWELVE MONTHS ENDED SEPTEMBER 30, 2005</v>
      </c>
      <c r="AM8" s="42"/>
      <c r="AN8" s="42"/>
      <c r="AO8" s="42"/>
      <c r="AP8" s="6" t="str">
        <f>TESTYEAR</f>
        <v>FOR THE TWELVE MONTHS ENDED SEPTEMBER 30, 2005</v>
      </c>
      <c r="AQ8" s="39"/>
      <c r="AR8" s="6"/>
      <c r="AS8" s="42"/>
      <c r="AT8" s="397"/>
      <c r="AU8" s="6" t="str">
        <f>TESTYEAR</f>
        <v>FOR THE TWELVE MONTHS ENDED SEPTEMBER 30, 2005</v>
      </c>
      <c r="AV8" s="42"/>
      <c r="AW8" s="42"/>
      <c r="AX8" s="42"/>
      <c r="AY8" s="42"/>
      <c r="AZ8" s="6" t="str">
        <f>TESTYEAR</f>
        <v>FOR THE TWELVE MONTHS ENDED SEPTEMBER 30, 2005</v>
      </c>
      <c r="BA8" s="42"/>
      <c r="BB8" s="42"/>
      <c r="BC8" s="42"/>
      <c r="BD8" s="42"/>
      <c r="BE8" s="6" t="str">
        <f>TESTYEAR</f>
        <v>FOR THE TWELVE MONTHS ENDED SEPTEMBER 30, 2005</v>
      </c>
      <c r="BF8" s="6"/>
      <c r="BG8" s="6"/>
      <c r="BH8" s="6"/>
      <c r="BI8" s="6"/>
      <c r="BJ8" s="6"/>
      <c r="BK8" s="42"/>
      <c r="BL8" s="6" t="str">
        <f>TESTYEAR</f>
        <v>FOR THE TWELVE MONTHS ENDED SEPTEMBER 30, 2005</v>
      </c>
      <c r="BM8" s="6"/>
      <c r="BN8" s="6"/>
      <c r="BO8" s="6"/>
      <c r="BP8" s="6"/>
      <c r="BQ8" s="6" t="str">
        <f>TESTYEAR</f>
        <v>FOR THE TWELVE MONTHS ENDED SEPTEMBER 30, 2005</v>
      </c>
      <c r="BR8" s="6"/>
      <c r="BS8" s="6"/>
      <c r="BT8" s="6"/>
      <c r="BU8" s="6" t="str">
        <f>TESTYEAR</f>
        <v>FOR THE TWELVE MONTHS ENDED SEPTEMBER 30, 2005</v>
      </c>
      <c r="BV8" s="224"/>
      <c r="BW8" s="224"/>
      <c r="BX8" s="224"/>
      <c r="BY8" s="224"/>
      <c r="BZ8" s="6" t="str">
        <f>TESTYEAR</f>
        <v>FOR THE TWELVE MONTHS ENDED SEPTEMBER 30, 2005</v>
      </c>
      <c r="CA8" s="224"/>
      <c r="CB8" s="224"/>
      <c r="CC8" s="224"/>
      <c r="CD8" s="224"/>
      <c r="CE8" s="434"/>
      <c r="CF8" s="6" t="str">
        <f>TESTYEAR</f>
        <v>FOR THE TWELVE MONTHS ENDED SEPTEMBER 30, 2005</v>
      </c>
      <c r="CG8" s="224"/>
      <c r="CH8" s="224"/>
      <c r="CI8" s="434"/>
      <c r="CJ8" s="6" t="str">
        <f>TESTYEAR</f>
        <v>FOR THE TWELVE MONTHS ENDED SEPTEMBER 30, 2005</v>
      </c>
      <c r="CK8" s="224"/>
      <c r="CL8" s="224"/>
      <c r="CM8" s="224"/>
      <c r="CN8" s="224"/>
      <c r="CO8" s="344"/>
      <c r="CP8" s="6" t="str">
        <f>TESTYEAR</f>
        <v>FOR THE TWELVE MONTHS ENDED SEPTEMBER 30, 2005</v>
      </c>
      <c r="CQ8" s="224"/>
      <c r="CR8" s="224"/>
      <c r="CS8" s="224"/>
      <c r="CT8" s="344"/>
      <c r="CU8" s="6" t="str">
        <f>TESTYEAR</f>
        <v>FOR THE TWELVE MONTHS ENDED SEPTEMBER 30, 2005</v>
      </c>
      <c r="CV8" s="350"/>
      <c r="CW8" s="350"/>
      <c r="CX8" s="350"/>
      <c r="CY8" s="42"/>
      <c r="CZ8" s="42"/>
      <c r="DA8" s="39" t="str">
        <f>TESTYEAR</f>
        <v>FOR THE TWELVE MONTHS ENDED SEPTEMBER 30, 2005</v>
      </c>
      <c r="DB8" s="6"/>
      <c r="DC8" s="6"/>
      <c r="DD8" s="6"/>
      <c r="DE8" s="6"/>
      <c r="DF8" s="6" t="str">
        <f>TESTYEAR</f>
        <v>FOR THE TWELVE MONTHS ENDED SEPTEMBER 30, 2005</v>
      </c>
      <c r="DG8" s="6"/>
      <c r="DH8" s="39"/>
      <c r="DI8" s="6"/>
      <c r="DJ8" s="369"/>
      <c r="DK8" s="6" t="str">
        <f>TESTYEAR</f>
        <v>FOR THE TWELVE MONTHS ENDED SEPTEMBER 30, 2005</v>
      </c>
      <c r="DL8" s="6"/>
      <c r="DM8" s="6"/>
      <c r="DN8" s="6"/>
      <c r="DO8" s="6"/>
      <c r="DP8" s="223"/>
      <c r="DQ8" s="256" t="s">
        <v>177</v>
      </c>
      <c r="DR8" s="257"/>
      <c r="DS8" s="257"/>
      <c r="DT8" s="257"/>
      <c r="DU8" s="257"/>
      <c r="DV8" s="257"/>
      <c r="DW8" s="257"/>
      <c r="DX8" s="257"/>
      <c r="DY8" s="257"/>
      <c r="DZ8" s="257"/>
      <c r="EA8" s="256" t="s">
        <v>177</v>
      </c>
      <c r="EB8" s="257"/>
      <c r="EC8" s="257"/>
      <c r="ED8" s="257"/>
      <c r="EE8" s="257"/>
      <c r="EF8" s="256"/>
      <c r="EG8" s="257"/>
      <c r="EH8" s="257"/>
      <c r="EI8" s="257"/>
      <c r="EJ8" s="257"/>
      <c r="EK8" s="256" t="s">
        <v>177</v>
      </c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 t="str">
        <f>DOCKET</f>
        <v>GENERAL RATE INCREASE</v>
      </c>
      <c r="EW8" s="257"/>
      <c r="EX8" s="257"/>
      <c r="EY8" s="257"/>
      <c r="EZ8" s="257"/>
      <c r="FA8" s="257"/>
      <c r="FB8" s="257"/>
      <c r="FC8" s="6"/>
      <c r="FD8" s="119" t="s">
        <v>20</v>
      </c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1:228" s="40" customFormat="1" ht="14.25" customHeight="1">
      <c r="A9" s="39" t="s">
        <v>126</v>
      </c>
      <c r="B9" s="39"/>
      <c r="C9" s="39"/>
      <c r="D9" s="39"/>
      <c r="E9" s="6"/>
      <c r="F9" s="6"/>
      <c r="G9" s="6" t="str">
        <f>DOCKET</f>
        <v>GENERAL RATE INCREASE</v>
      </c>
      <c r="H9" s="39"/>
      <c r="I9" s="6"/>
      <c r="J9" s="39"/>
      <c r="K9" s="118"/>
      <c r="L9" s="39" t="str">
        <f>DOCKET</f>
        <v>GENERAL RATE INCREASE</v>
      </c>
      <c r="M9" s="6"/>
      <c r="N9" s="6"/>
      <c r="O9" s="42"/>
      <c r="Q9" s="39" t="str">
        <f>DOCKET</f>
        <v>GENERAL RATE INCREASE</v>
      </c>
      <c r="R9" s="39"/>
      <c r="S9" s="6"/>
      <c r="T9" s="204"/>
      <c r="U9" s="39" t="str">
        <f>DOCKET</f>
        <v>GENERAL RATE INCREASE</v>
      </c>
      <c r="V9" s="6"/>
      <c r="W9" s="6"/>
      <c r="X9" s="6"/>
      <c r="Y9" s="6"/>
      <c r="Z9" s="6"/>
      <c r="AA9" s="6" t="str">
        <f>DOCKET</f>
        <v>GENERAL RATE INCREASE</v>
      </c>
      <c r="AB9" s="6"/>
      <c r="AC9" s="281"/>
      <c r="AD9" s="6"/>
      <c r="AE9" s="6"/>
      <c r="AF9" s="6" t="str">
        <f>DOCKET</f>
        <v>GENERAL RATE INCREASE</v>
      </c>
      <c r="AG9" s="39"/>
      <c r="AH9" s="39"/>
      <c r="AI9" s="6"/>
      <c r="AJ9" s="201"/>
      <c r="AK9" s="397"/>
      <c r="AL9" s="39" t="str">
        <f>DOCKET</f>
        <v>GENERAL RATE INCREASE</v>
      </c>
      <c r="AM9" s="6"/>
      <c r="AN9" s="6"/>
      <c r="AO9" s="6"/>
      <c r="AP9" s="39" t="str">
        <f>DOCKET</f>
        <v>GENERAL RATE INCREASE</v>
      </c>
      <c r="AQ9" s="39"/>
      <c r="AR9" s="6"/>
      <c r="AS9" s="6"/>
      <c r="AT9" s="397"/>
      <c r="AU9" s="39" t="str">
        <f>DOCKET</f>
        <v>GENERAL RATE INCREASE</v>
      </c>
      <c r="AV9" s="6"/>
      <c r="AW9" s="6"/>
      <c r="AX9" s="6"/>
      <c r="AY9" s="6"/>
      <c r="AZ9" s="39" t="str">
        <f>DOCKET</f>
        <v>GENERAL RATE INCREASE</v>
      </c>
      <c r="BA9" s="6"/>
      <c r="BB9" s="6"/>
      <c r="BC9" s="6"/>
      <c r="BD9" s="6"/>
      <c r="BE9" s="39" t="str">
        <f>DOCKET</f>
        <v>GENERAL RATE INCREASE</v>
      </c>
      <c r="BF9" s="6"/>
      <c r="BG9" s="6"/>
      <c r="BH9" s="6"/>
      <c r="BI9" s="6"/>
      <c r="BJ9" s="6"/>
      <c r="BK9" s="42"/>
      <c r="BL9" s="6" t="str">
        <f>DOCKET</f>
        <v>GENERAL RATE INCREASE</v>
      </c>
      <c r="BM9" s="6"/>
      <c r="BN9" s="6"/>
      <c r="BO9" s="6"/>
      <c r="BP9" s="6"/>
      <c r="BQ9" s="39" t="str">
        <f>DOCKET</f>
        <v>GENERAL RATE INCREASE</v>
      </c>
      <c r="BR9" s="39"/>
      <c r="BS9" s="39"/>
      <c r="BT9" s="39"/>
      <c r="BU9" s="39" t="str">
        <f>DOCKET</f>
        <v>GENERAL RATE INCREASE</v>
      </c>
      <c r="BV9" s="224"/>
      <c r="BW9" s="224"/>
      <c r="BX9" s="224"/>
      <c r="BY9" s="224"/>
      <c r="BZ9" s="39" t="str">
        <f>DOCKET</f>
        <v>GENERAL RATE INCREASE</v>
      </c>
      <c r="CA9" s="224"/>
      <c r="CB9" s="224"/>
      <c r="CC9" s="224"/>
      <c r="CD9" s="224"/>
      <c r="CE9" s="434"/>
      <c r="CF9" s="39" t="str">
        <f>DOCKET</f>
        <v>GENERAL RATE INCREASE</v>
      </c>
      <c r="CG9" s="224"/>
      <c r="CH9" s="224"/>
      <c r="CI9" s="434"/>
      <c r="CJ9" s="39" t="str">
        <f>DOCKET</f>
        <v>GENERAL RATE INCREASE</v>
      </c>
      <c r="CK9" s="224"/>
      <c r="CL9" s="224"/>
      <c r="CM9" s="224"/>
      <c r="CN9" s="224"/>
      <c r="CO9" s="344"/>
      <c r="CP9" s="39" t="str">
        <f>DOCKET</f>
        <v>GENERAL RATE INCREASE</v>
      </c>
      <c r="CQ9" s="224"/>
      <c r="CR9" s="224"/>
      <c r="CS9" s="224"/>
      <c r="CT9" s="344"/>
      <c r="CU9" s="39" t="str">
        <f>DOCKET</f>
        <v>GENERAL RATE INCREASE</v>
      </c>
      <c r="CV9" s="350"/>
      <c r="CW9" s="350"/>
      <c r="CX9" s="349"/>
      <c r="CY9" s="42"/>
      <c r="CZ9" s="42"/>
      <c r="DA9" s="39" t="str">
        <f>DOCKET</f>
        <v>GENERAL RATE INCREASE</v>
      </c>
      <c r="DB9" s="6"/>
      <c r="DC9" s="6"/>
      <c r="DD9" s="6"/>
      <c r="DE9" s="6"/>
      <c r="DF9" s="39" t="str">
        <f>DOCKET</f>
        <v>GENERAL RATE INCREASE</v>
      </c>
      <c r="DG9" s="6"/>
      <c r="DH9" s="39"/>
      <c r="DI9" s="39"/>
      <c r="DJ9" s="369"/>
      <c r="DK9" s="39" t="str">
        <f>DOCKET</f>
        <v>GENERAL RATE INCREASE</v>
      </c>
      <c r="DL9" s="6"/>
      <c r="DM9" s="6"/>
      <c r="DN9" s="6"/>
      <c r="DO9" s="6"/>
      <c r="DP9" s="223"/>
      <c r="DQ9" s="120"/>
      <c r="DR9" s="6"/>
      <c r="DS9" s="6"/>
      <c r="DT9" s="38"/>
      <c r="DU9" s="351"/>
      <c r="DV9" s="351"/>
      <c r="DW9" s="351"/>
      <c r="DX9" s="351"/>
      <c r="DY9" s="351"/>
      <c r="DZ9" s="351"/>
      <c r="EA9" s="271"/>
      <c r="EB9" s="271"/>
      <c r="EC9" s="351"/>
      <c r="ED9" s="351"/>
      <c r="EE9" s="351"/>
      <c r="EF9" s="351"/>
      <c r="EG9" s="351"/>
      <c r="EH9" s="351"/>
      <c r="EI9" s="351"/>
      <c r="EJ9" s="351"/>
      <c r="EK9" s="38"/>
      <c r="EL9" s="38"/>
      <c r="EM9" s="351"/>
      <c r="EN9" s="351"/>
      <c r="EO9" s="351"/>
      <c r="EP9" s="351"/>
      <c r="EQ9" s="351"/>
      <c r="ER9" s="351"/>
      <c r="ES9" s="351"/>
      <c r="ET9" s="271"/>
      <c r="EU9" s="38"/>
      <c r="EV9" s="38"/>
      <c r="EW9" s="38"/>
      <c r="EX9" s="38"/>
      <c r="EY9" s="38"/>
      <c r="EZ9" s="38"/>
      <c r="FA9" s="38"/>
      <c r="FB9" s="38"/>
      <c r="FC9" s="189"/>
      <c r="FD9" s="344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11:151" s="52" customFormat="1" ht="14.25" customHeight="1">
      <c r="K10" s="804"/>
      <c r="N10" s="271"/>
      <c r="O10" s="271"/>
      <c r="Q10" s="805"/>
      <c r="T10" s="806"/>
      <c r="AA10" s="31"/>
      <c r="AC10" s="807"/>
      <c r="AK10" s="52" t="s">
        <v>21</v>
      </c>
      <c r="AT10" s="808"/>
      <c r="CU10" s="809"/>
      <c r="CV10" s="809"/>
      <c r="CW10" s="809"/>
      <c r="CX10" s="809"/>
      <c r="CY10" s="809"/>
      <c r="CZ10" s="809"/>
      <c r="DA10" s="809"/>
      <c r="DB10" s="809"/>
      <c r="DC10" s="809"/>
      <c r="DD10" s="809"/>
      <c r="DE10" s="809"/>
      <c r="DJ10" s="809"/>
      <c r="DS10" s="52" t="s">
        <v>561</v>
      </c>
      <c r="DT10" s="810" t="s">
        <v>560</v>
      </c>
      <c r="DU10" s="52" t="s">
        <v>561</v>
      </c>
      <c r="DV10" s="810" t="s">
        <v>560</v>
      </c>
      <c r="DW10" s="52" t="s">
        <v>561</v>
      </c>
      <c r="DX10" s="52" t="s">
        <v>561</v>
      </c>
      <c r="DY10" s="52" t="s">
        <v>561</v>
      </c>
      <c r="DZ10" s="52" t="s">
        <v>561</v>
      </c>
      <c r="EC10" s="52" t="s">
        <v>561</v>
      </c>
      <c r="ED10" s="810" t="s">
        <v>560</v>
      </c>
      <c r="EE10" s="52" t="s">
        <v>561</v>
      </c>
      <c r="EF10" s="52" t="s">
        <v>561</v>
      </c>
      <c r="EG10" s="52" t="s">
        <v>561</v>
      </c>
      <c r="EH10" s="52" t="s">
        <v>561</v>
      </c>
      <c r="EI10" s="52" t="s">
        <v>561</v>
      </c>
      <c r="EJ10" s="810" t="s">
        <v>560</v>
      </c>
      <c r="EL10" s="52" t="s">
        <v>561</v>
      </c>
      <c r="EM10" s="52" t="s">
        <v>561</v>
      </c>
      <c r="EN10" s="52" t="s">
        <v>561</v>
      </c>
      <c r="EO10" s="52" t="s">
        <v>561</v>
      </c>
      <c r="EP10" s="52" t="s">
        <v>561</v>
      </c>
      <c r="EQ10" s="810" t="s">
        <v>560</v>
      </c>
      <c r="ER10" s="810" t="s">
        <v>560</v>
      </c>
      <c r="ES10" s="810" t="s">
        <v>560</v>
      </c>
      <c r="ET10" s="52" t="s">
        <v>561</v>
      </c>
      <c r="EU10" s="52" t="s">
        <v>561</v>
      </c>
    </row>
    <row r="11" spans="1:228" s="40" customFormat="1" ht="14.25" customHeight="1">
      <c r="A11" s="52" t="s">
        <v>27</v>
      </c>
      <c r="B11" s="43"/>
      <c r="C11" s="43"/>
      <c r="D11" s="43"/>
      <c r="F11" s="52"/>
      <c r="G11" s="52" t="s">
        <v>27</v>
      </c>
      <c r="K11" s="121"/>
      <c r="L11" s="52" t="s">
        <v>27</v>
      </c>
      <c r="O11" s="14" t="s">
        <v>21</v>
      </c>
      <c r="Q11" s="14" t="s">
        <v>27</v>
      </c>
      <c r="S11" s="205"/>
      <c r="T11" s="206"/>
      <c r="U11" s="52" t="s">
        <v>27</v>
      </c>
      <c r="V11" s="43"/>
      <c r="W11" s="52" t="s">
        <v>232</v>
      </c>
      <c r="X11" s="52" t="s">
        <v>233</v>
      </c>
      <c r="Y11" s="52" t="s">
        <v>232</v>
      </c>
      <c r="AA11" s="283" t="s">
        <v>29</v>
      </c>
      <c r="AC11" s="280"/>
      <c r="AD11" s="52" t="s">
        <v>187</v>
      </c>
      <c r="AE11" s="52"/>
      <c r="AF11" s="14" t="s">
        <v>27</v>
      </c>
      <c r="AK11" s="52"/>
      <c r="AL11" s="52" t="s">
        <v>27</v>
      </c>
      <c r="AP11" s="14" t="s">
        <v>27</v>
      </c>
      <c r="AT11" s="397"/>
      <c r="AU11" s="52" t="s">
        <v>27</v>
      </c>
      <c r="AZ11" s="52" t="s">
        <v>27</v>
      </c>
      <c r="BE11" s="14" t="s">
        <v>27</v>
      </c>
      <c r="BI11" s="14"/>
      <c r="BK11" s="14"/>
      <c r="BL11" s="14" t="s">
        <v>27</v>
      </c>
      <c r="BP11" s="14"/>
      <c r="BQ11" s="14" t="s">
        <v>27</v>
      </c>
      <c r="BU11" s="52" t="s">
        <v>27</v>
      </c>
      <c r="BV11" s="223"/>
      <c r="BW11" s="321"/>
      <c r="BX11" s="52" t="s">
        <v>39</v>
      </c>
      <c r="BY11" s="52"/>
      <c r="BZ11" s="14" t="s">
        <v>27</v>
      </c>
      <c r="CA11" s="14"/>
      <c r="CB11" s="14"/>
      <c r="CC11" s="14"/>
      <c r="CD11" s="14"/>
      <c r="CE11" s="14"/>
      <c r="CF11" s="14"/>
      <c r="CG11" s="14"/>
      <c r="CH11" s="14"/>
      <c r="CI11" s="14"/>
      <c r="CJ11" s="14" t="s">
        <v>27</v>
      </c>
      <c r="CK11" s="14"/>
      <c r="CL11" s="14"/>
      <c r="CM11" s="14" t="s">
        <v>39</v>
      </c>
      <c r="CN11" s="14"/>
      <c r="CO11" s="14"/>
      <c r="CP11" s="14" t="s">
        <v>27</v>
      </c>
      <c r="CQ11" s="14"/>
      <c r="CR11" s="14"/>
      <c r="CS11" s="14"/>
      <c r="CT11" s="14"/>
      <c r="CU11" s="352" t="s">
        <v>27</v>
      </c>
      <c r="CV11" s="348"/>
      <c r="CW11" s="352"/>
      <c r="CX11" s="348"/>
      <c r="CY11" s="348"/>
      <c r="CZ11" s="348"/>
      <c r="DA11" s="345" t="s">
        <v>27</v>
      </c>
      <c r="DB11" s="345"/>
      <c r="DC11" s="345"/>
      <c r="DD11" s="345"/>
      <c r="DE11" s="345"/>
      <c r="DF11" s="14" t="s">
        <v>27</v>
      </c>
      <c r="DG11" s="43"/>
      <c r="DH11" s="110"/>
      <c r="DI11" s="52"/>
      <c r="DJ11" s="345"/>
      <c r="DK11" s="14" t="s">
        <v>27</v>
      </c>
      <c r="DS11" s="14" t="s">
        <v>30</v>
      </c>
      <c r="DT11" s="38" t="s">
        <v>173</v>
      </c>
      <c r="DU11" s="38" t="s">
        <v>31</v>
      </c>
      <c r="DV11" s="38" t="s">
        <v>32</v>
      </c>
      <c r="DW11" s="14" t="s">
        <v>36</v>
      </c>
      <c r="DX11" s="38" t="s">
        <v>33</v>
      </c>
      <c r="DY11" s="271" t="s">
        <v>34</v>
      </c>
      <c r="DZ11" s="38" t="s">
        <v>35</v>
      </c>
      <c r="EA11" s="38"/>
      <c r="EB11" s="38"/>
      <c r="EC11" s="14" t="s">
        <v>175</v>
      </c>
      <c r="ED11" s="14" t="s">
        <v>40</v>
      </c>
      <c r="EE11" s="14" t="s">
        <v>164</v>
      </c>
      <c r="EF11" s="14" t="s">
        <v>178</v>
      </c>
      <c r="EG11" s="14" t="s">
        <v>150</v>
      </c>
      <c r="EH11" s="14" t="s">
        <v>38</v>
      </c>
      <c r="EI11" s="14" t="s">
        <v>37</v>
      </c>
      <c r="EJ11" s="14" t="s">
        <v>225</v>
      </c>
      <c r="EK11" s="14"/>
      <c r="EL11" s="14"/>
      <c r="EM11" s="14" t="s">
        <v>284</v>
      </c>
      <c r="EN11" s="14" t="s">
        <v>255</v>
      </c>
      <c r="EO11" s="352" t="s">
        <v>352</v>
      </c>
      <c r="EP11" s="14" t="s">
        <v>198</v>
      </c>
      <c r="EQ11" s="14" t="s">
        <v>259</v>
      </c>
      <c r="ER11" s="14" t="s">
        <v>357</v>
      </c>
      <c r="ES11" s="38" t="s">
        <v>490</v>
      </c>
      <c r="ET11" s="14" t="s">
        <v>42</v>
      </c>
      <c r="EU11" s="14" t="s">
        <v>157</v>
      </c>
      <c r="EX11" s="14" t="s">
        <v>41</v>
      </c>
      <c r="EY11" s="14"/>
      <c r="EZ11" s="14" t="s">
        <v>157</v>
      </c>
      <c r="FA11" s="14" t="s">
        <v>158</v>
      </c>
      <c r="FB11" s="14" t="s">
        <v>159</v>
      </c>
      <c r="FC11" s="14"/>
      <c r="FD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</row>
    <row r="12" spans="1:228" s="40" customFormat="1" ht="14.25" customHeight="1">
      <c r="A12" s="76" t="s">
        <v>43</v>
      </c>
      <c r="B12" s="44" t="s">
        <v>44</v>
      </c>
      <c r="C12" s="44"/>
      <c r="D12" s="284" t="s">
        <v>41</v>
      </c>
      <c r="E12" s="284" t="s">
        <v>45</v>
      </c>
      <c r="F12" s="284" t="s">
        <v>47</v>
      </c>
      <c r="G12" s="76" t="s">
        <v>43</v>
      </c>
      <c r="H12" s="47" t="s">
        <v>44</v>
      </c>
      <c r="I12" s="44"/>
      <c r="J12" s="44"/>
      <c r="K12" s="122" t="s">
        <v>46</v>
      </c>
      <c r="L12" s="76" t="s">
        <v>43</v>
      </c>
      <c r="M12" s="47" t="s">
        <v>44</v>
      </c>
      <c r="N12" s="26"/>
      <c r="O12" s="26" t="s">
        <v>46</v>
      </c>
      <c r="Q12" s="26" t="s">
        <v>43</v>
      </c>
      <c r="R12" s="46" t="s">
        <v>44</v>
      </c>
      <c r="S12" s="26"/>
      <c r="T12" s="207" t="s">
        <v>47</v>
      </c>
      <c r="U12" s="76" t="s">
        <v>43</v>
      </c>
      <c r="V12" s="46" t="s">
        <v>44</v>
      </c>
      <c r="W12" s="26" t="s">
        <v>234</v>
      </c>
      <c r="X12" s="26" t="s">
        <v>235</v>
      </c>
      <c r="Y12" s="26" t="s">
        <v>235</v>
      </c>
      <c r="Z12" s="45" t="s">
        <v>46</v>
      </c>
      <c r="AA12" s="285" t="s">
        <v>43</v>
      </c>
      <c r="AB12" s="47" t="s">
        <v>44</v>
      </c>
      <c r="AC12" s="286" t="s">
        <v>41</v>
      </c>
      <c r="AD12" s="76" t="s">
        <v>39</v>
      </c>
      <c r="AE12" s="76" t="s">
        <v>47</v>
      </c>
      <c r="AF12" s="26" t="s">
        <v>43</v>
      </c>
      <c r="AG12" s="47" t="s">
        <v>44</v>
      </c>
      <c r="AH12" s="45" t="s">
        <v>21</v>
      </c>
      <c r="AI12" s="45"/>
      <c r="AJ12" s="26" t="s">
        <v>46</v>
      </c>
      <c r="AK12" s="397"/>
      <c r="AL12" s="26" t="s">
        <v>43</v>
      </c>
      <c r="AM12" s="46" t="s">
        <v>44</v>
      </c>
      <c r="AN12" s="46"/>
      <c r="AO12" s="76" t="s">
        <v>46</v>
      </c>
      <c r="AP12" s="26" t="s">
        <v>43</v>
      </c>
      <c r="AQ12" s="46" t="s">
        <v>44</v>
      </c>
      <c r="AR12" s="47"/>
      <c r="AS12" s="45" t="s">
        <v>46</v>
      </c>
      <c r="AT12" s="397"/>
      <c r="AU12" s="26" t="s">
        <v>43</v>
      </c>
      <c r="AV12" s="46" t="s">
        <v>44</v>
      </c>
      <c r="AW12" s="89" t="s">
        <v>41</v>
      </c>
      <c r="AX12" s="89" t="s">
        <v>39</v>
      </c>
      <c r="AY12" s="89" t="s">
        <v>47</v>
      </c>
      <c r="AZ12" s="26" t="s">
        <v>43</v>
      </c>
      <c r="BA12" s="46" t="s">
        <v>44</v>
      </c>
      <c r="BB12" s="89" t="s">
        <v>41</v>
      </c>
      <c r="BC12" s="89" t="s">
        <v>45</v>
      </c>
      <c r="BD12" s="89" t="s">
        <v>47</v>
      </c>
      <c r="BE12" s="76" t="s">
        <v>43</v>
      </c>
      <c r="BF12" s="44" t="s">
        <v>44</v>
      </c>
      <c r="BG12" s="44"/>
      <c r="BH12" s="44"/>
      <c r="BI12" s="26" t="s">
        <v>48</v>
      </c>
      <c r="BJ12" s="26" t="s">
        <v>49</v>
      </c>
      <c r="BK12" s="26" t="s">
        <v>47</v>
      </c>
      <c r="BL12" s="26" t="s">
        <v>43</v>
      </c>
      <c r="BM12" s="44" t="s">
        <v>44</v>
      </c>
      <c r="BN12" s="26"/>
      <c r="BO12" s="26"/>
      <c r="BP12" s="89" t="s">
        <v>46</v>
      </c>
      <c r="BQ12" s="26" t="s">
        <v>43</v>
      </c>
      <c r="BR12" s="44" t="s">
        <v>44</v>
      </c>
      <c r="BS12" s="26"/>
      <c r="BT12" s="89" t="s">
        <v>46</v>
      </c>
      <c r="BU12" s="26" t="s">
        <v>43</v>
      </c>
      <c r="BV12" s="225" t="s">
        <v>44</v>
      </c>
      <c r="BW12" s="286" t="s">
        <v>41</v>
      </c>
      <c r="BX12" s="322" t="s">
        <v>45</v>
      </c>
      <c r="BY12" s="76" t="s">
        <v>47</v>
      </c>
      <c r="BZ12" s="26" t="s">
        <v>43</v>
      </c>
      <c r="CA12" s="225" t="s">
        <v>44</v>
      </c>
      <c r="CB12" s="26"/>
      <c r="CC12" s="26"/>
      <c r="CD12" s="26" t="s">
        <v>47</v>
      </c>
      <c r="CE12" s="26"/>
      <c r="CF12" s="26"/>
      <c r="CG12" s="26"/>
      <c r="CH12" s="26"/>
      <c r="CI12" s="26"/>
      <c r="CJ12" s="26" t="s">
        <v>43</v>
      </c>
      <c r="CK12" s="26" t="s">
        <v>44</v>
      </c>
      <c r="CL12" s="26" t="s">
        <v>41</v>
      </c>
      <c r="CM12" s="26" t="s">
        <v>45</v>
      </c>
      <c r="CN12" s="26" t="s">
        <v>47</v>
      </c>
      <c r="CO12" s="26"/>
      <c r="CP12" s="26" t="s">
        <v>43</v>
      </c>
      <c r="CQ12" s="26" t="s">
        <v>44</v>
      </c>
      <c r="CR12" s="26"/>
      <c r="CS12" s="26" t="s">
        <v>47</v>
      </c>
      <c r="CT12" s="26"/>
      <c r="CU12" s="353" t="s">
        <v>43</v>
      </c>
      <c r="CV12" s="354" t="s">
        <v>44</v>
      </c>
      <c r="CW12" s="353" t="s">
        <v>48</v>
      </c>
      <c r="CX12" s="353" t="s">
        <v>45</v>
      </c>
      <c r="CY12" s="353" t="s">
        <v>47</v>
      </c>
      <c r="CZ12" s="355"/>
      <c r="DA12" s="370" t="s">
        <v>43</v>
      </c>
      <c r="DB12" s="370" t="s">
        <v>44</v>
      </c>
      <c r="DC12" s="370"/>
      <c r="DD12" s="370" t="s">
        <v>47</v>
      </c>
      <c r="DE12" s="370"/>
      <c r="DF12" s="26" t="s">
        <v>43</v>
      </c>
      <c r="DG12" s="44" t="s">
        <v>44</v>
      </c>
      <c r="DH12" s="89"/>
      <c r="DI12" s="76" t="s">
        <v>47</v>
      </c>
      <c r="DJ12" s="370"/>
      <c r="DK12" s="26" t="s">
        <v>43</v>
      </c>
      <c r="DL12" s="47" t="s">
        <v>44</v>
      </c>
      <c r="DM12" s="26" t="s">
        <v>62</v>
      </c>
      <c r="DN12" s="26" t="s">
        <v>63</v>
      </c>
      <c r="DO12" s="26" t="s">
        <v>46</v>
      </c>
      <c r="DP12" s="38"/>
      <c r="DQ12" s="14" t="s">
        <v>27</v>
      </c>
      <c r="DS12" s="14" t="s">
        <v>50</v>
      </c>
      <c r="DT12" s="38" t="s">
        <v>60</v>
      </c>
      <c r="DU12" s="38" t="s">
        <v>52</v>
      </c>
      <c r="DV12" s="38" t="s">
        <v>174</v>
      </c>
      <c r="DW12" s="14"/>
      <c r="DX12" s="38" t="s">
        <v>53</v>
      </c>
      <c r="DY12" s="271" t="s">
        <v>92</v>
      </c>
      <c r="DZ12" s="38" t="s">
        <v>55</v>
      </c>
      <c r="EA12" s="14" t="s">
        <v>27</v>
      </c>
      <c r="EC12" s="14" t="s">
        <v>176</v>
      </c>
      <c r="ED12" s="14" t="s">
        <v>60</v>
      </c>
      <c r="EE12" s="14" t="s">
        <v>165</v>
      </c>
      <c r="EF12" s="14" t="s">
        <v>59</v>
      </c>
      <c r="EG12" s="14" t="s">
        <v>28</v>
      </c>
      <c r="EH12" s="14" t="s">
        <v>59</v>
      </c>
      <c r="EI12" s="14" t="s">
        <v>58</v>
      </c>
      <c r="EJ12" s="14"/>
      <c r="EK12" s="14" t="s">
        <v>27</v>
      </c>
      <c r="EM12" s="14" t="s">
        <v>285</v>
      </c>
      <c r="EN12" s="14" t="s">
        <v>256</v>
      </c>
      <c r="EO12" s="352" t="s">
        <v>353</v>
      </c>
      <c r="EP12" s="14" t="s">
        <v>51</v>
      </c>
      <c r="EQ12" s="14" t="s">
        <v>58</v>
      </c>
      <c r="ER12" s="14" t="s">
        <v>358</v>
      </c>
      <c r="ES12" s="38" t="s">
        <v>47</v>
      </c>
      <c r="ET12" s="38" t="s">
        <v>54</v>
      </c>
      <c r="EU12" s="14" t="s">
        <v>61</v>
      </c>
      <c r="EV12" s="14" t="s">
        <v>27</v>
      </c>
      <c r="EX12" s="14" t="s">
        <v>61</v>
      </c>
      <c r="EY12" s="14" t="s">
        <v>42</v>
      </c>
      <c r="EZ12" s="14" t="s">
        <v>61</v>
      </c>
      <c r="FA12" s="14" t="s">
        <v>160</v>
      </c>
      <c r="FB12" s="14" t="s">
        <v>63</v>
      </c>
      <c r="FC12" s="14"/>
      <c r="FD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</row>
    <row r="13" spans="1:228" ht="14.25" customHeight="1">
      <c r="A13" s="15"/>
      <c r="B13" s="82"/>
      <c r="C13" s="82"/>
      <c r="D13" s="2"/>
      <c r="K13" s="80"/>
      <c r="L13" s="15"/>
      <c r="M13" s="287"/>
      <c r="N13" s="288"/>
      <c r="O13" s="289"/>
      <c r="Q13" s="15"/>
      <c r="R13" s="208"/>
      <c r="S13" s="209"/>
      <c r="T13" s="210"/>
      <c r="AA13" s="77">
        <v>1</v>
      </c>
      <c r="AB13" s="78" t="s">
        <v>383</v>
      </c>
      <c r="AC13" s="23"/>
      <c r="AO13" s="3"/>
      <c r="AP13" s="3"/>
      <c r="AQ13" s="3"/>
      <c r="AR13" s="3"/>
      <c r="AS13" s="3"/>
      <c r="AT13" s="397"/>
      <c r="BE13" s="15"/>
      <c r="BF13" s="16"/>
      <c r="BG13" s="16"/>
      <c r="BH13" s="16"/>
      <c r="BL13" s="5"/>
      <c r="BM13" s="5"/>
      <c r="BN13" s="5"/>
      <c r="BO13" s="5"/>
      <c r="BP13" s="5"/>
      <c r="BU13" s="145"/>
      <c r="BV13" s="145"/>
      <c r="BW13" s="145"/>
      <c r="BX13" s="145"/>
      <c r="BY13" s="145"/>
      <c r="CA13" s="145"/>
      <c r="CB13" s="145"/>
      <c r="CC13" s="145"/>
      <c r="CD13" s="145"/>
      <c r="CE13" s="145"/>
      <c r="CF13" s="145"/>
      <c r="CG13" s="145"/>
      <c r="CH13" s="145"/>
      <c r="CI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356"/>
      <c r="CV13" s="333"/>
      <c r="CW13" s="333"/>
      <c r="CX13" s="333"/>
      <c r="CY13" s="333"/>
      <c r="CZ13" s="333"/>
      <c r="DA13" s="333"/>
      <c r="DF13" s="5"/>
      <c r="DG13" s="123"/>
      <c r="DH13" s="123"/>
      <c r="DI13" s="123"/>
      <c r="DJ13" s="333"/>
      <c r="DQ13" s="14" t="s">
        <v>43</v>
      </c>
      <c r="DR13" s="40"/>
      <c r="DS13" s="14" t="s">
        <v>373</v>
      </c>
      <c r="DT13" s="4" t="s">
        <v>532</v>
      </c>
      <c r="DU13" s="4" t="s">
        <v>533</v>
      </c>
      <c r="DV13" s="4" t="s">
        <v>534</v>
      </c>
      <c r="DW13" s="31" t="s">
        <v>535</v>
      </c>
      <c r="DX13" s="4" t="s">
        <v>536</v>
      </c>
      <c r="DY13" s="4" t="s">
        <v>537</v>
      </c>
      <c r="DZ13" s="4" t="s">
        <v>538</v>
      </c>
      <c r="EA13" s="14" t="s">
        <v>43</v>
      </c>
      <c r="EB13" s="40"/>
      <c r="EC13" s="31" t="s">
        <v>539</v>
      </c>
      <c r="ED13" s="31" t="s">
        <v>540</v>
      </c>
      <c r="EE13" s="31" t="s">
        <v>551</v>
      </c>
      <c r="EF13" s="31" t="s">
        <v>541</v>
      </c>
      <c r="EG13" s="31" t="s">
        <v>542</v>
      </c>
      <c r="EH13" s="31" t="s">
        <v>543</v>
      </c>
      <c r="EI13" s="31" t="s">
        <v>544</v>
      </c>
      <c r="EJ13" s="31" t="s">
        <v>545</v>
      </c>
      <c r="EK13" s="14" t="s">
        <v>43</v>
      </c>
      <c r="EL13" s="40"/>
      <c r="EM13" s="31" t="s">
        <v>546</v>
      </c>
      <c r="EN13" s="31" t="s">
        <v>547</v>
      </c>
      <c r="EO13" s="31" t="s">
        <v>548</v>
      </c>
      <c r="EP13" s="31" t="s">
        <v>549</v>
      </c>
      <c r="EQ13" s="31" t="s">
        <v>550</v>
      </c>
      <c r="ER13" s="31" t="s">
        <v>552</v>
      </c>
      <c r="ES13" s="4" t="s">
        <v>553</v>
      </c>
      <c r="ET13" s="38"/>
      <c r="EU13" s="38" t="s">
        <v>50</v>
      </c>
      <c r="EV13" s="26" t="s">
        <v>43</v>
      </c>
      <c r="EW13" s="124"/>
      <c r="EX13" s="26" t="s">
        <v>50</v>
      </c>
      <c r="EY13" s="26" t="s">
        <v>54</v>
      </c>
      <c r="EZ13" s="26" t="s">
        <v>50</v>
      </c>
      <c r="FA13" s="26" t="s">
        <v>161</v>
      </c>
      <c r="FB13" s="26" t="s">
        <v>28</v>
      </c>
      <c r="FC13" s="38"/>
      <c r="FD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</row>
    <row r="14" spans="1:151" ht="14.25" customHeight="1" thickBot="1">
      <c r="A14" s="15">
        <v>1</v>
      </c>
      <c r="B14" s="654" t="s">
        <v>266</v>
      </c>
      <c r="C14" s="470"/>
      <c r="D14" s="32">
        <v>829271796</v>
      </c>
      <c r="E14" s="824">
        <f>943562555+300649-E17</f>
        <v>851390447</v>
      </c>
      <c r="F14" s="32">
        <f>E14-D14</f>
        <v>22118651</v>
      </c>
      <c r="G14" s="15">
        <v>1</v>
      </c>
      <c r="H14" s="125" t="s">
        <v>65</v>
      </c>
      <c r="I14" s="125"/>
      <c r="J14" s="125"/>
      <c r="K14" s="11">
        <v>-9041218</v>
      </c>
      <c r="L14" s="15">
        <v>1</v>
      </c>
      <c r="M14" s="287" t="s">
        <v>127</v>
      </c>
      <c r="N14" s="290">
        <f>FB49</f>
        <v>1180351743.494883</v>
      </c>
      <c r="O14" s="289">
        <f>IF(N14=EU49,"","NEEDS UPDATING")</f>
      </c>
      <c r="Q14" s="15">
        <v>1</v>
      </c>
      <c r="R14" s="211" t="s">
        <v>56</v>
      </c>
      <c r="T14" s="55"/>
      <c r="U14" s="48" t="s">
        <v>64</v>
      </c>
      <c r="V14" s="2" t="s">
        <v>210</v>
      </c>
      <c r="W14" s="33">
        <v>3466158</v>
      </c>
      <c r="X14" s="262">
        <v>780673537</v>
      </c>
      <c r="Y14" s="262">
        <v>780673537</v>
      </c>
      <c r="Z14" s="263">
        <f>ROUND(W14/Y14,9)</f>
        <v>0.004439958</v>
      </c>
      <c r="AA14" s="77">
        <f>AA13+1</f>
        <v>2</v>
      </c>
      <c r="AC14" s="23"/>
      <c r="AD14" s="28"/>
      <c r="AE14" s="23"/>
      <c r="AF14" s="15">
        <v>1</v>
      </c>
      <c r="AG14" s="125" t="s">
        <v>24</v>
      </c>
      <c r="AH14" s="397"/>
      <c r="AI14" s="11"/>
      <c r="AJ14" s="11">
        <v>12158947</v>
      </c>
      <c r="AK14" s="15"/>
      <c r="AL14" s="15">
        <v>1</v>
      </c>
      <c r="AM14" s="242" t="s">
        <v>166</v>
      </c>
      <c r="AN14" s="63"/>
      <c r="AO14" s="11">
        <v>32603568</v>
      </c>
      <c r="AP14" s="48">
        <v>1</v>
      </c>
      <c r="AQ14" s="378" t="s">
        <v>273</v>
      </c>
      <c r="AR14" s="379"/>
      <c r="AS14" s="379"/>
      <c r="AT14" s="397"/>
      <c r="AU14" s="15">
        <v>1</v>
      </c>
      <c r="AV14" s="40" t="s">
        <v>162</v>
      </c>
      <c r="AW14" s="11">
        <v>527181</v>
      </c>
      <c r="AX14" s="399">
        <v>281698</v>
      </c>
      <c r="AY14" s="11">
        <f>+AX14-AW14</f>
        <v>-245483</v>
      </c>
      <c r="AZ14" s="15">
        <v>1</v>
      </c>
      <c r="BA14" s="37" t="s">
        <v>128</v>
      </c>
      <c r="BB14" s="11">
        <v>-941988</v>
      </c>
      <c r="BC14" s="11">
        <v>1589166</v>
      </c>
      <c r="BD14" s="11">
        <f>+BC14-BB14</f>
        <v>2531154</v>
      </c>
      <c r="BE14" s="15">
        <v>1</v>
      </c>
      <c r="BF14" s="3" t="s">
        <v>133</v>
      </c>
      <c r="BI14" s="84"/>
      <c r="BJ14" s="85"/>
      <c r="BK14" s="84"/>
      <c r="BL14" s="15">
        <v>1</v>
      </c>
      <c r="BM14" s="460" t="s">
        <v>183</v>
      </c>
      <c r="BN14" s="461"/>
      <c r="BO14" s="461"/>
      <c r="BP14" s="462"/>
      <c r="BQ14" s="15">
        <v>1</v>
      </c>
      <c r="BR14" s="79" t="s">
        <v>132</v>
      </c>
      <c r="BS14" s="24"/>
      <c r="BT14" s="24"/>
      <c r="BU14" s="15">
        <v>1</v>
      </c>
      <c r="BV14" s="113" t="s">
        <v>74</v>
      </c>
      <c r="BZ14" s="15">
        <v>1</v>
      </c>
      <c r="CA14" s="226" t="s">
        <v>286</v>
      </c>
      <c r="CB14" s="226"/>
      <c r="CD14" s="226">
        <v>131750</v>
      </c>
      <c r="CE14" s="429"/>
      <c r="CF14" s="343">
        <v>1</v>
      </c>
      <c r="CG14" s="429" t="s">
        <v>376</v>
      </c>
      <c r="CH14" s="435">
        <v>-2923694.88</v>
      </c>
      <c r="CI14" s="429"/>
      <c r="CJ14" s="343">
        <v>1</v>
      </c>
      <c r="CK14" s="332" t="s">
        <v>236</v>
      </c>
      <c r="CL14" s="327"/>
      <c r="CM14" s="327"/>
      <c r="CN14" s="327"/>
      <c r="CO14" s="226"/>
      <c r="CP14" s="15">
        <v>1</v>
      </c>
      <c r="CQ14" s="226" t="s">
        <v>56</v>
      </c>
      <c r="CR14" s="226"/>
      <c r="CS14" s="226"/>
      <c r="CT14" s="226"/>
      <c r="CU14" s="15">
        <v>1</v>
      </c>
      <c r="CV14" s="333" t="s">
        <v>257</v>
      </c>
      <c r="CW14" s="357">
        <v>756214</v>
      </c>
      <c r="CX14" s="781">
        <f>'[3]D&amp;O 4.12-4.20'!$M$68</f>
        <v>429446.6863165214</v>
      </c>
      <c r="CY14" s="357">
        <f>+CX14-CW14</f>
        <v>-326767.3136834786</v>
      </c>
      <c r="CZ14" s="357"/>
      <c r="DA14" s="15">
        <v>1</v>
      </c>
      <c r="DB14" s="597" t="s">
        <v>359</v>
      </c>
      <c r="DC14" s="357"/>
      <c r="DD14" s="357"/>
      <c r="DE14" s="357"/>
      <c r="DF14" s="15">
        <v>1</v>
      </c>
      <c r="DG14" s="126" t="s">
        <v>45</v>
      </c>
      <c r="DJ14" s="357"/>
      <c r="DK14" s="15">
        <v>1</v>
      </c>
      <c r="DL14" s="16" t="s">
        <v>70</v>
      </c>
      <c r="DO14" s="128">
        <v>1</v>
      </c>
      <c r="DP14" s="105"/>
      <c r="DQ14" s="5" t="s">
        <v>67</v>
      </c>
      <c r="DR14" s="5" t="s">
        <v>67</v>
      </c>
      <c r="DS14" s="123" t="s">
        <v>67</v>
      </c>
      <c r="DT14" s="5" t="s">
        <v>67</v>
      </c>
      <c r="DU14" s="5" t="s">
        <v>67</v>
      </c>
      <c r="DV14" s="5" t="s">
        <v>67</v>
      </c>
      <c r="DW14" s="5" t="s">
        <v>67</v>
      </c>
      <c r="DX14" s="129" t="s">
        <v>67</v>
      </c>
      <c r="DY14" s="5" t="s">
        <v>67</v>
      </c>
      <c r="DZ14" s="5" t="s">
        <v>67</v>
      </c>
      <c r="EA14" s="5" t="s">
        <v>67</v>
      </c>
      <c r="EB14" s="5" t="s">
        <v>67</v>
      </c>
      <c r="EC14" s="5"/>
      <c r="ED14" s="5" t="s">
        <v>67</v>
      </c>
      <c r="EE14" s="5"/>
      <c r="EF14" s="5" t="s">
        <v>67</v>
      </c>
      <c r="EG14" s="5" t="s">
        <v>67</v>
      </c>
      <c r="EH14" s="5" t="s">
        <v>67</v>
      </c>
      <c r="EI14" s="5" t="s">
        <v>67</v>
      </c>
      <c r="EJ14" s="5"/>
      <c r="EK14" s="5" t="s">
        <v>67</v>
      </c>
      <c r="EL14" s="5" t="s">
        <v>67</v>
      </c>
      <c r="EM14" s="5"/>
      <c r="EN14" s="5"/>
      <c r="EO14" s="5"/>
      <c r="EP14" s="5"/>
      <c r="EQ14" s="5"/>
      <c r="ER14" s="5"/>
      <c r="ES14" s="5" t="s">
        <v>67</v>
      </c>
      <c r="ET14" s="5" t="s">
        <v>67</v>
      </c>
      <c r="EU14" s="5" t="s">
        <v>67</v>
      </c>
    </row>
    <row r="15" spans="1:160" ht="14.25" customHeight="1">
      <c r="A15" s="15">
        <v>2</v>
      </c>
      <c r="B15" s="468" t="s">
        <v>309</v>
      </c>
      <c r="C15" s="470"/>
      <c r="D15" s="471">
        <v>34376447</v>
      </c>
      <c r="E15" s="471">
        <v>0</v>
      </c>
      <c r="F15" s="69">
        <f>E15-D15</f>
        <v>-34376447</v>
      </c>
      <c r="G15" s="15">
        <f>G14+1</f>
        <v>2</v>
      </c>
      <c r="H15" s="16"/>
      <c r="I15" s="16"/>
      <c r="J15" s="16"/>
      <c r="K15" s="130"/>
      <c r="L15" s="15">
        <f>+L14+1</f>
        <v>2</v>
      </c>
      <c r="M15" s="287" t="s">
        <v>172</v>
      </c>
      <c r="N15" s="10">
        <v>15940446</v>
      </c>
      <c r="O15" s="109" t="s">
        <v>21</v>
      </c>
      <c r="Q15" s="15">
        <v>2</v>
      </c>
      <c r="R15" s="37" t="s">
        <v>503</v>
      </c>
      <c r="S15" s="33">
        <f>2811260+279572</f>
        <v>3090832</v>
      </c>
      <c r="T15" s="55"/>
      <c r="U15" s="48">
        <f aca="true" t="shared" si="0" ref="U15:U28">1+U14</f>
        <v>2</v>
      </c>
      <c r="V15" s="132" t="s">
        <v>211</v>
      </c>
      <c r="W15" s="33">
        <v>2014372</v>
      </c>
      <c r="X15" s="262">
        <v>736127073</v>
      </c>
      <c r="Y15" s="262">
        <v>736127073</v>
      </c>
      <c r="Z15" s="263">
        <f>ROUND(W15/Y15,9)</f>
        <v>0.002736446</v>
      </c>
      <c r="AA15" s="77">
        <f>AA14+1</f>
        <v>3</v>
      </c>
      <c r="AB15" s="113" t="s">
        <v>502</v>
      </c>
      <c r="AC15" s="58">
        <v>536</v>
      </c>
      <c r="AD15" s="455">
        <v>0</v>
      </c>
      <c r="AE15" s="455">
        <f>AD15-AC15</f>
        <v>-536</v>
      </c>
      <c r="AF15" s="15">
        <f>AF14+1</f>
        <v>2</v>
      </c>
      <c r="AG15" s="16" t="s">
        <v>68</v>
      </c>
      <c r="AH15" s="397"/>
      <c r="AI15" s="397"/>
      <c r="AJ15" s="68">
        <v>12881140</v>
      </c>
      <c r="AK15" s="15"/>
      <c r="AL15" s="15">
        <v>2</v>
      </c>
      <c r="AM15" s="64" t="s">
        <v>167</v>
      </c>
      <c r="AN15" s="64"/>
      <c r="AO15" s="68">
        <v>33200986</v>
      </c>
      <c r="AP15" s="48">
        <v>2</v>
      </c>
      <c r="AQ15" s="275"/>
      <c r="AR15" s="379"/>
      <c r="AS15" s="379"/>
      <c r="AT15" s="397"/>
      <c r="AU15" s="15">
        <f aca="true" t="shared" si="1" ref="AU15:AU20">AU14+1</f>
        <v>2</v>
      </c>
      <c r="AV15" s="40" t="s">
        <v>163</v>
      </c>
      <c r="AW15" s="17">
        <v>886977</v>
      </c>
      <c r="AX15" s="17">
        <v>941780</v>
      </c>
      <c r="AY15" s="59">
        <f>+AX15-AW15</f>
        <v>54803</v>
      </c>
      <c r="AZ15" s="15">
        <v>2</v>
      </c>
      <c r="BA15" s="16" t="s">
        <v>195</v>
      </c>
      <c r="BB15" s="11">
        <v>1492418</v>
      </c>
      <c r="BC15" s="11">
        <v>1428204</v>
      </c>
      <c r="BD15" s="11">
        <f>+BC15-BB15</f>
        <v>-64214</v>
      </c>
      <c r="BE15" s="15">
        <f aca="true" t="shared" si="2" ref="BE15:BE26">BE14+1</f>
        <v>2</v>
      </c>
      <c r="BF15" s="16" t="s">
        <v>135</v>
      </c>
      <c r="BG15" s="16"/>
      <c r="BH15" s="16"/>
      <c r="BI15" s="111">
        <v>71748</v>
      </c>
      <c r="BJ15" s="111">
        <v>76669</v>
      </c>
      <c r="BK15" s="111">
        <f aca="true" t="shared" si="3" ref="BK15:BK23">BJ15-BI15</f>
        <v>4921</v>
      </c>
      <c r="BL15" s="15">
        <f aca="true" t="shared" si="4" ref="BL15:BL36">BL14+1</f>
        <v>2</v>
      </c>
      <c r="BM15" s="333" t="s">
        <v>139</v>
      </c>
      <c r="BN15" s="459"/>
      <c r="BO15" s="584">
        <v>1794911</v>
      </c>
      <c r="BQ15" s="15">
        <v>2</v>
      </c>
      <c r="BR15" s="16" t="s">
        <v>97</v>
      </c>
      <c r="BS15" s="18"/>
      <c r="BT15" s="33">
        <v>3852538</v>
      </c>
      <c r="BU15" s="15">
        <f aca="true" t="shared" si="5" ref="BU15:BU32">BU14+1</f>
        <v>2</v>
      </c>
      <c r="BV15" s="589" t="s">
        <v>135</v>
      </c>
      <c r="BW15" s="327">
        <v>6230</v>
      </c>
      <c r="BX15" s="825">
        <f>'[5]Staff G.15'!D13</f>
        <v>4565.179195454525</v>
      </c>
      <c r="BY15" s="327">
        <f aca="true" t="shared" si="6" ref="BY15:BY23">BX15-BW15</f>
        <v>-1664.8208045454749</v>
      </c>
      <c r="BZ15" s="15">
        <v>2</v>
      </c>
      <c r="CA15" s="394"/>
      <c r="CB15" s="228"/>
      <c r="CD15" s="330"/>
      <c r="CE15" s="430"/>
      <c r="CF15" s="343">
        <f>CF14+1</f>
        <v>2</v>
      </c>
      <c r="CG15" s="430" t="s">
        <v>287</v>
      </c>
      <c r="CH15" s="436">
        <v>815015</v>
      </c>
      <c r="CI15" s="430"/>
      <c r="CJ15" s="343">
        <f>CJ14+1</f>
        <v>2</v>
      </c>
      <c r="CK15" s="333" t="s">
        <v>237</v>
      </c>
      <c r="CL15" s="297">
        <v>79692</v>
      </c>
      <c r="CM15" s="297">
        <v>0</v>
      </c>
      <c r="CN15" s="297">
        <f aca="true" t="shared" si="7" ref="CN15:CN20">CM15-CL15</f>
        <v>-79692</v>
      </c>
      <c r="CO15" s="227"/>
      <c r="CP15" s="15">
        <f aca="true" t="shared" si="8" ref="CP15:CP23">CP14+1</f>
        <v>2</v>
      </c>
      <c r="CQ15" s="372" t="s">
        <v>264</v>
      </c>
      <c r="CR15" s="227">
        <v>2095062</v>
      </c>
      <c r="CS15" s="227"/>
      <c r="CT15" s="227"/>
      <c r="CU15" s="15">
        <f aca="true" t="shared" si="9" ref="CU15:CU21">CU14+1</f>
        <v>2</v>
      </c>
      <c r="CV15" s="333"/>
      <c r="CW15" s="358"/>
      <c r="CX15" s="358"/>
      <c r="CY15" s="358"/>
      <c r="CZ15" s="366"/>
      <c r="DA15" s="15">
        <f>DA14+1</f>
        <v>2</v>
      </c>
      <c r="DB15" s="132" t="s">
        <v>233</v>
      </c>
      <c r="DC15" s="366"/>
      <c r="DD15" s="357">
        <v>29545951</v>
      </c>
      <c r="DE15" s="357"/>
      <c r="DF15" s="15">
        <v>2</v>
      </c>
      <c r="DG15" s="132" t="s">
        <v>493</v>
      </c>
      <c r="DI15" s="783">
        <f>'Spirit Ridge Adj'!Q20</f>
        <v>760714.3900000001</v>
      </c>
      <c r="DJ15" s="366"/>
      <c r="DK15" s="15">
        <f aca="true" t="shared" si="10" ref="DK15:DK25">+DK14+1</f>
        <v>2</v>
      </c>
      <c r="DL15" s="16"/>
      <c r="DO15" s="106"/>
      <c r="DP15" s="106"/>
      <c r="DQ15" s="15">
        <v>1</v>
      </c>
      <c r="DR15" s="16" t="s">
        <v>69</v>
      </c>
      <c r="DS15" s="84"/>
      <c r="DT15" s="28"/>
      <c r="DU15" s="28"/>
      <c r="DV15" s="28"/>
      <c r="DX15" s="28"/>
      <c r="DZ15" s="28"/>
      <c r="EA15" s="15">
        <v>1</v>
      </c>
      <c r="EB15" s="16" t="s">
        <v>69</v>
      </c>
      <c r="EG15" s="28"/>
      <c r="EK15" s="15">
        <v>1</v>
      </c>
      <c r="EL15" s="16" t="s">
        <v>69</v>
      </c>
      <c r="ER15" s="33"/>
      <c r="ES15" s="28"/>
      <c r="ET15" s="33"/>
      <c r="EU15" s="28"/>
      <c r="EV15" s="15">
        <v>1</v>
      </c>
      <c r="EW15" s="78" t="s">
        <v>0</v>
      </c>
      <c r="EX15" s="28"/>
      <c r="FD15" s="219" t="s">
        <v>196</v>
      </c>
    </row>
    <row r="16" spans="1:228" ht="14.25" customHeight="1" thickBot="1">
      <c r="A16" s="15">
        <v>3</v>
      </c>
      <c r="B16" s="468" t="s">
        <v>310</v>
      </c>
      <c r="C16" s="470" t="s">
        <v>21</v>
      </c>
      <c r="D16" s="471"/>
      <c r="E16" s="471">
        <v>0</v>
      </c>
      <c r="F16" s="69">
        <f>E16-D16</f>
        <v>0</v>
      </c>
      <c r="G16" s="15">
        <f aca="true" t="shared" si="11" ref="G16:G21">G15+1</f>
        <v>3</v>
      </c>
      <c r="H16" s="16" t="s">
        <v>73</v>
      </c>
      <c r="I16" s="19"/>
      <c r="J16" s="19"/>
      <c r="K16" s="133"/>
      <c r="L16" s="15">
        <f aca="true" t="shared" si="12" ref="L16:L32">+L15+1</f>
        <v>3</v>
      </c>
      <c r="M16" s="3" t="s">
        <v>371</v>
      </c>
      <c r="N16" s="272">
        <f>SUM(N14:N15)</f>
        <v>1196292189.494883</v>
      </c>
      <c r="Q16" s="15">
        <v>3</v>
      </c>
      <c r="R16" s="3" t="s">
        <v>504</v>
      </c>
      <c r="S16" s="56">
        <v>0</v>
      </c>
      <c r="T16" s="55"/>
      <c r="U16" s="48">
        <f t="shared" si="0"/>
        <v>3</v>
      </c>
      <c r="V16" s="3" t="s">
        <v>212</v>
      </c>
      <c r="W16" s="33">
        <v>2666611</v>
      </c>
      <c r="X16" s="262">
        <v>879440289</v>
      </c>
      <c r="Y16" s="262">
        <v>879440289</v>
      </c>
      <c r="Z16" s="264">
        <f>ROUND(W16/Y16,9)</f>
        <v>0.003032168</v>
      </c>
      <c r="AA16" s="77">
        <f aca="true" t="shared" si="13" ref="AA16:AA34">AA15+1</f>
        <v>4</v>
      </c>
      <c r="AB16" s="333" t="s">
        <v>350</v>
      </c>
      <c r="AD16" s="18">
        <v>1267159</v>
      </c>
      <c r="AE16" s="291">
        <f>AD16-AC17</f>
        <v>1267159</v>
      </c>
      <c r="AF16" s="15">
        <f>AF15+1</f>
        <v>3</v>
      </c>
      <c r="AG16" s="16" t="s">
        <v>72</v>
      </c>
      <c r="AH16" s="397"/>
      <c r="AI16" s="397"/>
      <c r="AJ16" s="11">
        <f>-(AJ15-AJ14)</f>
        <v>-722193</v>
      </c>
      <c r="AK16" s="15"/>
      <c r="AL16" s="15">
        <v>3</v>
      </c>
      <c r="AM16" s="65" t="s">
        <v>168</v>
      </c>
      <c r="AN16" s="65"/>
      <c r="AO16" s="61">
        <f>AO14-AO15</f>
        <v>-597418</v>
      </c>
      <c r="AP16" s="48">
        <v>3</v>
      </c>
      <c r="AQ16" s="278" t="s">
        <v>274</v>
      </c>
      <c r="AR16" s="380">
        <v>833877</v>
      </c>
      <c r="AT16" s="397"/>
      <c r="AU16" s="15">
        <f t="shared" si="1"/>
        <v>3</v>
      </c>
      <c r="AV16" s="16" t="s">
        <v>72</v>
      </c>
      <c r="AW16" s="53">
        <f>SUM(AW14:AW15)</f>
        <v>1414158</v>
      </c>
      <c r="AX16" s="53">
        <f>AW16+AY16</f>
        <v>1223478</v>
      </c>
      <c r="AY16" s="53">
        <f>SUM(AY14:AY15)</f>
        <v>-190680</v>
      </c>
      <c r="AZ16" s="15">
        <v>3</v>
      </c>
      <c r="BB16" s="17"/>
      <c r="BC16" s="17"/>
      <c r="BD16" s="59"/>
      <c r="BE16" s="15">
        <f t="shared" si="2"/>
        <v>3</v>
      </c>
      <c r="BF16" s="16" t="s">
        <v>136</v>
      </c>
      <c r="BG16" s="16"/>
      <c r="BH16" s="16"/>
      <c r="BI16" s="59">
        <v>372798</v>
      </c>
      <c r="BJ16" s="59">
        <v>392779</v>
      </c>
      <c r="BK16" s="59">
        <f t="shared" si="3"/>
        <v>19981</v>
      </c>
      <c r="BL16" s="15">
        <f t="shared" si="4"/>
        <v>3</v>
      </c>
      <c r="BM16" s="461" t="s">
        <v>82</v>
      </c>
      <c r="BN16" s="401">
        <v>0.0491</v>
      </c>
      <c r="BO16" s="137">
        <v>88130</v>
      </c>
      <c r="BQ16" s="15">
        <v>3</v>
      </c>
      <c r="BR16" s="16" t="s">
        <v>100</v>
      </c>
      <c r="BS16" s="18"/>
      <c r="BT16" s="56">
        <v>3696775</v>
      </c>
      <c r="BU16" s="15">
        <f t="shared" si="5"/>
        <v>3</v>
      </c>
      <c r="BV16" s="589" t="s">
        <v>136</v>
      </c>
      <c r="BW16" s="146">
        <v>32932</v>
      </c>
      <c r="BX16" s="826">
        <f>'[5]Staff G.15'!D14</f>
        <v>22825.895977272627</v>
      </c>
      <c r="BY16" s="55">
        <f t="shared" si="6"/>
        <v>-10106.104022727373</v>
      </c>
      <c r="BZ16" s="15">
        <f>+BZ15+1</f>
        <v>3</v>
      </c>
      <c r="CA16" s="394" t="s">
        <v>88</v>
      </c>
      <c r="CB16" s="394"/>
      <c r="CD16" s="342">
        <f>-CD14</f>
        <v>-131750</v>
      </c>
      <c r="CE16" s="346"/>
      <c r="CF16" s="343">
        <f aca="true" t="shared" si="14" ref="CF16:CF26">CF15+1</f>
        <v>3</v>
      </c>
      <c r="CG16" s="346" t="s">
        <v>377</v>
      </c>
      <c r="CH16" s="437">
        <f>SUM(CH14:CH15)</f>
        <v>-2108679.88</v>
      </c>
      <c r="CI16" s="346"/>
      <c r="CJ16" s="343">
        <f aca="true" t="shared" si="15" ref="CJ16:CJ46">CJ15+1</f>
        <v>3</v>
      </c>
      <c r="CK16" s="333" t="s">
        <v>238</v>
      </c>
      <c r="CL16" s="228">
        <v>2840</v>
      </c>
      <c r="CM16" s="228">
        <v>0</v>
      </c>
      <c r="CN16" s="305">
        <f t="shared" si="7"/>
        <v>-2840</v>
      </c>
      <c r="CO16" s="228"/>
      <c r="CP16" s="15">
        <f t="shared" si="8"/>
        <v>3</v>
      </c>
      <c r="CQ16" s="373" t="s">
        <v>407</v>
      </c>
      <c r="CR16" s="228">
        <v>0</v>
      </c>
      <c r="CS16" s="228"/>
      <c r="CT16" s="228"/>
      <c r="CU16" s="15">
        <f t="shared" si="9"/>
        <v>3</v>
      </c>
      <c r="CV16" s="333" t="s">
        <v>258</v>
      </c>
      <c r="CW16" s="359">
        <f>SUM(CW14:CW15)</f>
        <v>756214</v>
      </c>
      <c r="CX16" s="359">
        <f>SUM(CX14:CX15)</f>
        <v>429446.6863165214</v>
      </c>
      <c r="CY16" s="360">
        <f>SUM(CY14:CY15)</f>
        <v>-326767.3136834786</v>
      </c>
      <c r="CZ16" s="360"/>
      <c r="DA16" s="15">
        <f aca="true" t="shared" si="16" ref="DA16:DA39">DA15+1</f>
        <v>3</v>
      </c>
      <c r="DB16" s="131" t="s">
        <v>360</v>
      </c>
      <c r="DC16" s="360"/>
      <c r="DD16" s="591">
        <v>-310269</v>
      </c>
      <c r="DE16" s="591"/>
      <c r="DF16" s="15">
        <v>3</v>
      </c>
      <c r="DG16" s="131" t="s">
        <v>491</v>
      </c>
      <c r="DH16" s="11"/>
      <c r="DI16" s="784">
        <v>0</v>
      </c>
      <c r="DJ16" s="360"/>
      <c r="DK16" s="15">
        <f t="shared" si="10"/>
        <v>3</v>
      </c>
      <c r="DL16" s="16" t="s">
        <v>77</v>
      </c>
      <c r="DN16" s="107"/>
      <c r="DO16" s="106"/>
      <c r="DP16" s="106"/>
      <c r="DQ16" s="15">
        <f aca="true" t="shared" si="17" ref="DQ16:DQ40">+DQ15+1</f>
        <v>2</v>
      </c>
      <c r="DR16" s="16" t="s">
        <v>1</v>
      </c>
      <c r="DS16" s="11">
        <f>D14</f>
        <v>829271796</v>
      </c>
      <c r="DT16" s="828">
        <f>F14+F16+F17</f>
        <v>114591408</v>
      </c>
      <c r="DU16" s="32">
        <v>0</v>
      </c>
      <c r="DV16" s="32">
        <v>0</v>
      </c>
      <c r="DW16" s="32">
        <v>0</v>
      </c>
      <c r="DX16" s="32">
        <v>0</v>
      </c>
      <c r="DY16" s="32">
        <v>0</v>
      </c>
      <c r="DZ16" s="32">
        <v>0</v>
      </c>
      <c r="EA16" s="15">
        <f aca="true" t="shared" si="18" ref="EA16:EA40">+EA15+1</f>
        <v>2</v>
      </c>
      <c r="EB16" s="16" t="s">
        <v>1</v>
      </c>
      <c r="EC16" s="33">
        <v>0</v>
      </c>
      <c r="ED16" s="33">
        <v>0</v>
      </c>
      <c r="EE16" s="33">
        <v>0</v>
      </c>
      <c r="EF16" s="33">
        <v>0</v>
      </c>
      <c r="EG16" s="32">
        <v>0</v>
      </c>
      <c r="EH16" s="33">
        <v>0</v>
      </c>
      <c r="EI16" s="32">
        <v>0</v>
      </c>
      <c r="EJ16" s="32">
        <v>0</v>
      </c>
      <c r="EK16" s="15">
        <f aca="true" t="shared" si="19" ref="EK16:EK40">+EK15+1</f>
        <v>2</v>
      </c>
      <c r="EL16" s="16" t="s">
        <v>1</v>
      </c>
      <c r="EM16" s="32">
        <v>0</v>
      </c>
      <c r="EN16" s="32"/>
      <c r="EO16" s="32"/>
      <c r="EP16" s="32"/>
      <c r="EQ16" s="32"/>
      <c r="ER16" s="32">
        <f>DD28</f>
        <v>-90772.6228795643</v>
      </c>
      <c r="ES16" s="32">
        <v>0</v>
      </c>
      <c r="ET16" s="33">
        <f>SUM(DT16:ES16)-EK16-EA16</f>
        <v>114500635.37712044</v>
      </c>
      <c r="EU16" s="33">
        <f>DS16+ET16</f>
        <v>943772431.3771205</v>
      </c>
      <c r="EV16" s="15">
        <f aca="true" t="shared" si="20" ref="EV16:EV40">+EV15+1</f>
        <v>2</v>
      </c>
      <c r="EW16" s="16" t="s">
        <v>1</v>
      </c>
      <c r="EX16" s="32">
        <f>DS16</f>
        <v>829271796</v>
      </c>
      <c r="EY16" s="828">
        <f>ET16</f>
        <v>114500635.37712044</v>
      </c>
      <c r="EZ16" s="96">
        <f>EX16+EY16</f>
        <v>943772431.3771205</v>
      </c>
      <c r="FA16" s="837">
        <f>+FA19-FA18-FA17</f>
        <v>19348874</v>
      </c>
      <c r="FB16" s="96">
        <f>EZ16+FA16</f>
        <v>963121305.3771205</v>
      </c>
      <c r="FC16" s="96"/>
      <c r="FD16" s="220">
        <f>+FA16/EZ16</f>
        <v>0.020501630855826954</v>
      </c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</row>
    <row r="17" spans="1:228" ht="14.25" customHeight="1" thickTop="1">
      <c r="A17" s="15">
        <v>4</v>
      </c>
      <c r="B17" s="468" t="s">
        <v>265</v>
      </c>
      <c r="C17" s="468"/>
      <c r="D17" s="472"/>
      <c r="E17" s="472">
        <v>92472757</v>
      </c>
      <c r="F17" s="115">
        <f>E17-D17</f>
        <v>92472757</v>
      </c>
      <c r="G17" s="15">
        <f t="shared" si="11"/>
        <v>4</v>
      </c>
      <c r="H17" s="16" t="s">
        <v>75</v>
      </c>
      <c r="I17" s="148">
        <f>_FEDERAL_INCOME_TAX</f>
        <v>0.35</v>
      </c>
      <c r="J17" s="16"/>
      <c r="K17" s="10">
        <f>+K14*I17</f>
        <v>-3164426.3</v>
      </c>
      <c r="L17" s="15">
        <f t="shared" si="12"/>
        <v>4</v>
      </c>
      <c r="Q17" s="15">
        <v>4</v>
      </c>
      <c r="R17" s="3" t="s">
        <v>262</v>
      </c>
      <c r="S17" s="55">
        <f>S16-S15</f>
        <v>-3090832</v>
      </c>
      <c r="T17" s="55"/>
      <c r="U17" s="48">
        <f t="shared" si="0"/>
        <v>4</v>
      </c>
      <c r="V17" s="265" t="s">
        <v>213</v>
      </c>
      <c r="W17" s="402"/>
      <c r="X17" s="402"/>
      <c r="Y17" s="291"/>
      <c r="Z17" s="266">
        <f>ROUND(SUM(Z14:Z16)/3,9)</f>
        <v>0.003402857</v>
      </c>
      <c r="AA17" s="77">
        <f t="shared" si="13"/>
        <v>5</v>
      </c>
      <c r="AB17" s="333" t="s">
        <v>393</v>
      </c>
      <c r="AC17" s="18"/>
      <c r="AD17" s="18">
        <v>153724</v>
      </c>
      <c r="AE17" s="18">
        <f>AD17-AC19</f>
        <v>153724</v>
      </c>
      <c r="AF17" s="15">
        <f>AF16+1</f>
        <v>4</v>
      </c>
      <c r="AH17" s="28"/>
      <c r="AI17" s="28"/>
      <c r="AJ17" s="28"/>
      <c r="AK17" s="15"/>
      <c r="AL17" s="15">
        <v>4</v>
      </c>
      <c r="AM17" s="135"/>
      <c r="AN17" s="135"/>
      <c r="AP17" s="48">
        <v>4</v>
      </c>
      <c r="AQ17" s="276" t="s">
        <v>275</v>
      </c>
      <c r="AR17" s="137">
        <v>431310</v>
      </c>
      <c r="AT17" s="397"/>
      <c r="AU17" s="15">
        <f t="shared" si="1"/>
        <v>4</v>
      </c>
      <c r="AV17" s="16"/>
      <c r="AY17" s="55"/>
      <c r="AZ17" s="15">
        <v>4</v>
      </c>
      <c r="BA17" s="16" t="s">
        <v>72</v>
      </c>
      <c r="BB17" s="53">
        <f>SUM(BB14:BB16)</f>
        <v>550430</v>
      </c>
      <c r="BC17" s="53">
        <f>SUM(BC14:BC16)</f>
        <v>3017370</v>
      </c>
      <c r="BD17" s="53">
        <f>SUM(BD14:BD16)</f>
        <v>2466940</v>
      </c>
      <c r="BE17" s="15">
        <f t="shared" si="2"/>
        <v>4</v>
      </c>
      <c r="BF17" s="16" t="s">
        <v>137</v>
      </c>
      <c r="BG17" s="16"/>
      <c r="BH17" s="16"/>
      <c r="BI17" s="59">
        <v>449217</v>
      </c>
      <c r="BJ17" s="59">
        <v>476528</v>
      </c>
      <c r="BK17" s="59">
        <f t="shared" si="3"/>
        <v>27311</v>
      </c>
      <c r="BL17" s="15">
        <f t="shared" si="4"/>
        <v>4</v>
      </c>
      <c r="BM17" s="387" t="s">
        <v>140</v>
      </c>
      <c r="BN17" s="459"/>
      <c r="BO17" s="459"/>
      <c r="BP17" s="142">
        <f>SUM(BO15:BO16)</f>
        <v>1883041</v>
      </c>
      <c r="BQ17" s="15">
        <v>4</v>
      </c>
      <c r="BR17" s="3" t="s">
        <v>104</v>
      </c>
      <c r="BS17" s="18"/>
      <c r="BT17" s="74">
        <f>SUM(BT15:BT16)</f>
        <v>7549313</v>
      </c>
      <c r="BU17" s="15">
        <f t="shared" si="5"/>
        <v>4</v>
      </c>
      <c r="BV17" s="589" t="s">
        <v>137</v>
      </c>
      <c r="BW17" s="146">
        <v>39756</v>
      </c>
      <c r="BX17" s="826">
        <f>'[5]Staff G.15'!D15</f>
        <v>27806.09146322302</v>
      </c>
      <c r="BY17" s="55">
        <f t="shared" si="6"/>
        <v>-11949.90853677698</v>
      </c>
      <c r="BZ17" s="15"/>
      <c r="CA17" s="25"/>
      <c r="CB17" s="25"/>
      <c r="CC17" s="2"/>
      <c r="CD17" s="25"/>
      <c r="CE17" s="431"/>
      <c r="CF17" s="343">
        <f t="shared" si="14"/>
        <v>4</v>
      </c>
      <c r="CG17" s="431"/>
      <c r="CH17" s="346"/>
      <c r="CI17" s="431"/>
      <c r="CJ17" s="343">
        <f t="shared" si="15"/>
        <v>4</v>
      </c>
      <c r="CK17" s="333" t="s">
        <v>239</v>
      </c>
      <c r="CL17" s="328">
        <v>63446</v>
      </c>
      <c r="CM17" s="328">
        <v>0</v>
      </c>
      <c r="CN17" s="305">
        <f t="shared" si="7"/>
        <v>-63446</v>
      </c>
      <c r="CO17" s="247"/>
      <c r="CP17" s="15">
        <f t="shared" si="8"/>
        <v>4</v>
      </c>
      <c r="CQ17" s="247" t="s">
        <v>71</v>
      </c>
      <c r="CR17" s="374">
        <f>CR16-CR15</f>
        <v>-2095062</v>
      </c>
      <c r="CS17" s="247"/>
      <c r="CT17" s="247"/>
      <c r="CU17" s="15">
        <f t="shared" si="9"/>
        <v>4</v>
      </c>
      <c r="CV17" s="333"/>
      <c r="CW17" s="361"/>
      <c r="CX17" s="361"/>
      <c r="CY17" s="361"/>
      <c r="CZ17" s="361"/>
      <c r="DA17" s="15">
        <f t="shared" si="16"/>
        <v>4</v>
      </c>
      <c r="DB17" s="131" t="s">
        <v>361</v>
      </c>
      <c r="DC17" s="361"/>
      <c r="DD17" s="593">
        <v>-4965562</v>
      </c>
      <c r="DE17" s="592"/>
      <c r="DF17" s="15">
        <v>4</v>
      </c>
      <c r="DG17" s="131" t="s">
        <v>492</v>
      </c>
      <c r="DI17" s="55">
        <f>DI16-DI15</f>
        <v>-760714.3900000001</v>
      </c>
      <c r="DJ17" s="361"/>
      <c r="DK17" s="15">
        <f t="shared" si="10"/>
        <v>4</v>
      </c>
      <c r="DL17" s="16" t="s">
        <v>84</v>
      </c>
      <c r="DO17" s="269">
        <f>Z17</f>
        <v>0.003402857</v>
      </c>
      <c r="DP17" s="8"/>
      <c r="DQ17" s="15">
        <f t="shared" si="17"/>
        <v>3</v>
      </c>
      <c r="DR17" s="16" t="s">
        <v>76</v>
      </c>
      <c r="DS17" s="59">
        <f>D15+D23</f>
        <v>34729596</v>
      </c>
      <c r="DT17" s="55">
        <f>F15+F23</f>
        <v>-34729596</v>
      </c>
      <c r="DU17" s="55"/>
      <c r="DV17" s="55"/>
      <c r="DW17" s="55"/>
      <c r="DX17" s="55"/>
      <c r="DY17" s="59"/>
      <c r="DZ17" s="55"/>
      <c r="EA17" s="15">
        <f t="shared" si="18"/>
        <v>3</v>
      </c>
      <c r="EB17" s="16" t="s">
        <v>76</v>
      </c>
      <c r="EC17" s="55"/>
      <c r="ED17" s="55"/>
      <c r="EE17" s="55"/>
      <c r="EF17" s="55"/>
      <c r="EG17" s="55"/>
      <c r="EH17" s="55"/>
      <c r="EI17" s="55"/>
      <c r="EJ17" s="55"/>
      <c r="EK17" s="15">
        <f t="shared" si="19"/>
        <v>3</v>
      </c>
      <c r="EL17" s="16" t="s">
        <v>76</v>
      </c>
      <c r="EM17" s="55"/>
      <c r="EN17" s="55"/>
      <c r="EO17" s="55"/>
      <c r="EP17" s="55"/>
      <c r="EQ17" s="55"/>
      <c r="ER17" s="55"/>
      <c r="ES17" s="55"/>
      <c r="ET17" s="55">
        <f>SUM(DT17:ES17)-EK17-EA17</f>
        <v>-34729596</v>
      </c>
      <c r="EU17" s="55">
        <f>DS17+ET17</f>
        <v>0</v>
      </c>
      <c r="EV17" s="15">
        <f t="shared" si="20"/>
        <v>3</v>
      </c>
      <c r="EW17" s="16" t="str">
        <f>DR17</f>
        <v>MUNICIPAL ADDITIONS</v>
      </c>
      <c r="EX17" s="12">
        <f>DS17</f>
        <v>34729596</v>
      </c>
      <c r="EY17" s="130">
        <f>ET17</f>
        <v>-34729596</v>
      </c>
      <c r="EZ17" s="97">
        <f>+EX17+EY17</f>
        <v>0</v>
      </c>
      <c r="FA17" s="838">
        <f>+FA$19*(EZ17/EZ$19)</f>
        <v>0</v>
      </c>
      <c r="FB17" s="97">
        <f>+EZ17+FA17</f>
        <v>0</v>
      </c>
      <c r="FC17" s="97"/>
      <c r="FD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</row>
    <row r="18" spans="1:228" ht="14.25" customHeight="1" thickBot="1">
      <c r="A18" s="15">
        <v>5</v>
      </c>
      <c r="B18" s="468"/>
      <c r="C18" s="468"/>
      <c r="D18" s="473"/>
      <c r="E18" s="473"/>
      <c r="F18" s="474"/>
      <c r="G18" s="15">
        <f t="shared" si="11"/>
        <v>5</v>
      </c>
      <c r="H18" s="16" t="s">
        <v>81</v>
      </c>
      <c r="I18" s="16"/>
      <c r="J18" s="16"/>
      <c r="K18" s="12">
        <v>37129750</v>
      </c>
      <c r="L18" s="15">
        <f t="shared" si="12"/>
        <v>5</v>
      </c>
      <c r="M18" s="287" t="s">
        <v>142</v>
      </c>
      <c r="N18" s="785">
        <f>DO46</f>
        <v>0.0353</v>
      </c>
      <c r="O18" s="109" t="s">
        <v>21</v>
      </c>
      <c r="Q18" s="15">
        <v>5</v>
      </c>
      <c r="R18" s="131" t="s">
        <v>194</v>
      </c>
      <c r="S18" s="55"/>
      <c r="T18" s="33">
        <f>S17</f>
        <v>-3090832</v>
      </c>
      <c r="U18" s="48">
        <f t="shared" si="0"/>
        <v>5</v>
      </c>
      <c r="AA18" s="77">
        <f t="shared" si="13"/>
        <v>6</v>
      </c>
      <c r="AB18" s="333" t="s">
        <v>381</v>
      </c>
      <c r="AC18" s="18"/>
      <c r="AD18" s="18">
        <v>85323.97685912448</v>
      </c>
      <c r="AE18" s="18">
        <f>AD18-AC20</f>
        <v>85323.97685912448</v>
      </c>
      <c r="AF18" s="15">
        <f>AF17+1</f>
        <v>5</v>
      </c>
      <c r="AG18" s="16" t="s">
        <v>80</v>
      </c>
      <c r="AH18" s="19">
        <f>_FEDERAL_INCOME_TAX</f>
        <v>0.35</v>
      </c>
      <c r="AJ18" s="210">
        <f>-AJ16*AH18</f>
        <v>252767.55</v>
      </c>
      <c r="AK18" s="15"/>
      <c r="AL18" s="15">
        <v>5</v>
      </c>
      <c r="AM18" s="243" t="s">
        <v>170</v>
      </c>
      <c r="AN18" s="66"/>
      <c r="AO18" s="33">
        <v>1664073</v>
      </c>
      <c r="AP18" s="48">
        <v>5</v>
      </c>
      <c r="AQ18" s="276" t="s">
        <v>276</v>
      </c>
      <c r="AR18" s="778">
        <f>AR16-AR17</f>
        <v>402567</v>
      </c>
      <c r="AS18" s="585"/>
      <c r="AT18" s="397"/>
      <c r="AU18" s="15">
        <f t="shared" si="1"/>
        <v>5</v>
      </c>
      <c r="AY18" s="18"/>
      <c r="AZ18" s="15">
        <v>5</v>
      </c>
      <c r="BA18" s="16"/>
      <c r="BD18" s="55"/>
      <c r="BE18" s="15">
        <f t="shared" si="2"/>
        <v>5</v>
      </c>
      <c r="BF18" s="16" t="s">
        <v>90</v>
      </c>
      <c r="BG18" s="16"/>
      <c r="BH18" s="16"/>
      <c r="BI18" s="59">
        <v>190460</v>
      </c>
      <c r="BJ18" s="59">
        <v>202334</v>
      </c>
      <c r="BK18" s="59">
        <f t="shared" si="3"/>
        <v>11874</v>
      </c>
      <c r="BL18" s="15">
        <f t="shared" si="4"/>
        <v>5</v>
      </c>
      <c r="BM18" s="461"/>
      <c r="BN18" s="461"/>
      <c r="BO18" s="461"/>
      <c r="BP18" s="130"/>
      <c r="BQ18" s="15">
        <v>5</v>
      </c>
      <c r="BS18" s="18"/>
      <c r="BT18" s="55"/>
      <c r="BU18" s="15">
        <f t="shared" si="5"/>
        <v>5</v>
      </c>
      <c r="BV18" s="589" t="s">
        <v>90</v>
      </c>
      <c r="BW18" s="146">
        <v>16911</v>
      </c>
      <c r="BX18" s="826">
        <f>'[5]Staff G.15'!D16</f>
        <v>11827.96427913218</v>
      </c>
      <c r="BY18" s="55">
        <f t="shared" si="6"/>
        <v>-5083.03572086782</v>
      </c>
      <c r="BZ18" s="15"/>
      <c r="CA18" s="395"/>
      <c r="CB18" s="395"/>
      <c r="CC18" s="2"/>
      <c r="CD18" s="74"/>
      <c r="CE18" s="432"/>
      <c r="CF18" s="343">
        <f t="shared" si="14"/>
        <v>5</v>
      </c>
      <c r="CG18" s="432" t="s">
        <v>378</v>
      </c>
      <c r="CH18" s="438">
        <f>CH16/3</f>
        <v>-702893.2933333333</v>
      </c>
      <c r="CI18" s="432"/>
      <c r="CJ18" s="343">
        <f t="shared" si="15"/>
        <v>5</v>
      </c>
      <c r="CK18" s="333" t="s">
        <v>240</v>
      </c>
      <c r="CL18" s="328">
        <v>17158</v>
      </c>
      <c r="CM18" s="328">
        <v>0</v>
      </c>
      <c r="CN18" s="305">
        <f t="shared" si="7"/>
        <v>-17158</v>
      </c>
      <c r="CO18" s="145"/>
      <c r="CP18" s="15">
        <f t="shared" si="8"/>
        <v>5</v>
      </c>
      <c r="CQ18" s="145"/>
      <c r="CR18" s="145"/>
      <c r="CS18" s="145"/>
      <c r="CT18" s="145"/>
      <c r="CU18" s="15">
        <f>CU17+1</f>
        <v>5</v>
      </c>
      <c r="CV18" s="333" t="s">
        <v>71</v>
      </c>
      <c r="CW18" s="361"/>
      <c r="CX18" s="361"/>
      <c r="CY18" s="97">
        <f>CY16</f>
        <v>-326767.3136834786</v>
      </c>
      <c r="CZ18" s="97"/>
      <c r="DA18" s="15">
        <f t="shared" si="16"/>
        <v>5</v>
      </c>
      <c r="DB18" s="3" t="s">
        <v>362</v>
      </c>
      <c r="DC18" s="97"/>
      <c r="DD18" s="17">
        <f>SUM(DD15:DD17)</f>
        <v>24270120</v>
      </c>
      <c r="DE18" s="297"/>
      <c r="DF18" s="15">
        <v>5</v>
      </c>
      <c r="DI18" s="221"/>
      <c r="DJ18" s="97"/>
      <c r="DK18" s="15">
        <f t="shared" si="10"/>
        <v>5</v>
      </c>
      <c r="DL18" s="3" t="s">
        <v>87</v>
      </c>
      <c r="DO18" s="106"/>
      <c r="DP18" s="106"/>
      <c r="DQ18" s="15">
        <f t="shared" si="17"/>
        <v>4</v>
      </c>
      <c r="DR18" s="16" t="s">
        <v>2</v>
      </c>
      <c r="DS18" s="59">
        <f>15792046-D23</f>
        <v>15438897</v>
      </c>
      <c r="DT18" s="55">
        <f>F22</f>
        <v>1616195</v>
      </c>
      <c r="DU18" s="55"/>
      <c r="DV18" s="397"/>
      <c r="DW18" s="56"/>
      <c r="DX18" s="55"/>
      <c r="DY18" s="68"/>
      <c r="DZ18" s="56"/>
      <c r="EA18" s="15">
        <f t="shared" si="18"/>
        <v>4</v>
      </c>
      <c r="EB18" s="16" t="s">
        <v>2</v>
      </c>
      <c r="EC18" s="56"/>
      <c r="ED18" s="56"/>
      <c r="EE18" s="56"/>
      <c r="EF18" s="56"/>
      <c r="EG18" s="56"/>
      <c r="EH18" s="56"/>
      <c r="EI18" s="56"/>
      <c r="EJ18" s="56"/>
      <c r="EK18" s="15">
        <f t="shared" si="19"/>
        <v>4</v>
      </c>
      <c r="EL18" s="16" t="s">
        <v>2</v>
      </c>
      <c r="EM18" s="56" t="s">
        <v>21</v>
      </c>
      <c r="EN18" s="56"/>
      <c r="EO18" s="56"/>
      <c r="EP18" s="56"/>
      <c r="EQ18" s="56"/>
      <c r="ER18" s="56"/>
      <c r="ES18" s="55"/>
      <c r="ET18" s="56">
        <f>SUM(DT18:ES18)-EK18-EA18</f>
        <v>1616195</v>
      </c>
      <c r="EU18" s="56">
        <f>DS18+ET18</f>
        <v>17055092</v>
      </c>
      <c r="EV18" s="15">
        <f t="shared" si="20"/>
        <v>4</v>
      </c>
      <c r="EW18" s="16" t="s">
        <v>2</v>
      </c>
      <c r="EX18" s="115">
        <f>DS18</f>
        <v>15438897</v>
      </c>
      <c r="EY18" s="137">
        <f>ET18</f>
        <v>1616195</v>
      </c>
      <c r="EZ18" s="98">
        <f>+EX18+EY18</f>
        <v>17055092</v>
      </c>
      <c r="FA18" s="839">
        <v>0</v>
      </c>
      <c r="FB18" s="98">
        <f>+EZ18+FA18</f>
        <v>17055092</v>
      </c>
      <c r="FC18" s="70"/>
      <c r="FD18" s="7"/>
      <c r="FE18" s="653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</row>
    <row r="19" spans="1:228" ht="14.25" customHeight="1" thickBot="1" thickTop="1">
      <c r="A19" s="15">
        <v>6</v>
      </c>
      <c r="B19" s="468" t="s">
        <v>199</v>
      </c>
      <c r="C19" s="470" t="s">
        <v>21</v>
      </c>
      <c r="D19" s="475">
        <f>SUM(D14:D18)</f>
        <v>863648243</v>
      </c>
      <c r="E19" s="475">
        <f>SUM(E14:E18)</f>
        <v>943863204</v>
      </c>
      <c r="F19" s="476">
        <f>SUM(F14:F18)</f>
        <v>80214961</v>
      </c>
      <c r="G19" s="15">
        <f t="shared" si="11"/>
        <v>6</v>
      </c>
      <c r="H19" s="3" t="s">
        <v>86</v>
      </c>
      <c r="K19" s="403">
        <v>-27846700</v>
      </c>
      <c r="L19" s="15">
        <f t="shared" si="12"/>
        <v>6</v>
      </c>
      <c r="M19" s="287" t="s">
        <v>372</v>
      </c>
      <c r="N19" s="397"/>
      <c r="O19" s="290">
        <f>N16*N18</f>
        <v>42229114.28916937</v>
      </c>
      <c r="Q19" s="15">
        <v>6</v>
      </c>
      <c r="T19" s="55"/>
      <c r="U19" s="48">
        <f>1+U18</f>
        <v>6</v>
      </c>
      <c r="V19" s="267" t="s">
        <v>214</v>
      </c>
      <c r="X19" s="262">
        <f>X16</f>
        <v>879440289</v>
      </c>
      <c r="Y19" s="262">
        <f>Y16</f>
        <v>879440289</v>
      </c>
      <c r="AA19" s="77">
        <f t="shared" si="13"/>
        <v>7</v>
      </c>
      <c r="AB19" s="336"/>
      <c r="AC19" s="18"/>
      <c r="AD19" s="18"/>
      <c r="AE19" s="18"/>
      <c r="AF19" s="15">
        <f>AF18+1</f>
        <v>6</v>
      </c>
      <c r="AG19" s="16" t="s">
        <v>85</v>
      </c>
      <c r="AH19" s="30"/>
      <c r="AI19" s="28"/>
      <c r="AJ19" s="250">
        <f>-AJ16-AJ18</f>
        <v>469425.45</v>
      </c>
      <c r="AK19" s="15"/>
      <c r="AL19" s="15">
        <v>6</v>
      </c>
      <c r="AM19" s="64" t="s">
        <v>167</v>
      </c>
      <c r="AN19" s="64"/>
      <c r="AO19" s="68">
        <v>1665617</v>
      </c>
      <c r="AP19" s="48">
        <v>6</v>
      </c>
      <c r="AQ19" s="276"/>
      <c r="AR19" s="381"/>
      <c r="AS19" s="382"/>
      <c r="AT19" s="397"/>
      <c r="AU19" s="15">
        <f t="shared" si="1"/>
        <v>6</v>
      </c>
      <c r="AV19" s="16" t="s">
        <v>78</v>
      </c>
      <c r="AW19" s="81">
        <f>_FEDERAL_INCOME_TAX</f>
        <v>0.35</v>
      </c>
      <c r="AX19" s="19"/>
      <c r="AY19" s="59">
        <f>AW19*-AY16</f>
        <v>66738</v>
      </c>
      <c r="AZ19" s="15">
        <v>6</v>
      </c>
      <c r="BD19" s="18"/>
      <c r="BE19" s="15">
        <f t="shared" si="2"/>
        <v>6</v>
      </c>
      <c r="BF19" s="16" t="s">
        <v>94</v>
      </c>
      <c r="BG19" s="16"/>
      <c r="BH19" s="16"/>
      <c r="BI19" s="59">
        <v>16263342</v>
      </c>
      <c r="BJ19" s="59">
        <v>17317011</v>
      </c>
      <c r="BK19" s="59">
        <f t="shared" si="3"/>
        <v>1053669</v>
      </c>
      <c r="BL19" s="15">
        <f t="shared" si="4"/>
        <v>6</v>
      </c>
      <c r="BM19" s="460" t="s">
        <v>299</v>
      </c>
      <c r="BN19" s="90"/>
      <c r="BO19" s="90"/>
      <c r="BP19" s="130"/>
      <c r="BQ19" s="15">
        <v>6</v>
      </c>
      <c r="BR19" s="92" t="s">
        <v>107</v>
      </c>
      <c r="BS19" s="401">
        <v>0.6232</v>
      </c>
      <c r="BT19" s="55">
        <f>BT17*BS19</f>
        <v>4704731.8615999995</v>
      </c>
      <c r="BU19" s="15">
        <f t="shared" si="5"/>
        <v>6</v>
      </c>
      <c r="BV19" s="589" t="s">
        <v>94</v>
      </c>
      <c r="BW19" s="146">
        <v>1435055</v>
      </c>
      <c r="BX19" s="826">
        <f>'[5]Staff G.15'!D17</f>
        <v>1008074.5696144584</v>
      </c>
      <c r="BY19" s="55">
        <f t="shared" si="6"/>
        <v>-426980.43038554164</v>
      </c>
      <c r="BZ19" s="15"/>
      <c r="CA19" s="248"/>
      <c r="CB19" s="248"/>
      <c r="CC19" s="2"/>
      <c r="CD19" s="248"/>
      <c r="CE19" s="430"/>
      <c r="CF19" s="343">
        <f t="shared" si="14"/>
        <v>6</v>
      </c>
      <c r="CG19" s="430"/>
      <c r="CH19" s="346"/>
      <c r="CI19" s="430"/>
      <c r="CJ19" s="343">
        <f t="shared" si="15"/>
        <v>6</v>
      </c>
      <c r="CK19" s="333" t="s">
        <v>241</v>
      </c>
      <c r="CL19" s="328">
        <v>602</v>
      </c>
      <c r="CM19" s="328">
        <v>0</v>
      </c>
      <c r="CN19" s="305">
        <f t="shared" si="7"/>
        <v>-602</v>
      </c>
      <c r="CO19" s="229"/>
      <c r="CP19" s="15">
        <f t="shared" si="8"/>
        <v>6</v>
      </c>
      <c r="CQ19" s="229" t="s">
        <v>194</v>
      </c>
      <c r="CR19" s="229"/>
      <c r="CS19" s="229">
        <f>CR17</f>
        <v>-2095062</v>
      </c>
      <c r="CT19" s="229"/>
      <c r="CU19" s="15">
        <f t="shared" si="9"/>
        <v>6</v>
      </c>
      <c r="CV19" s="333"/>
      <c r="CW19" s="361"/>
      <c r="CX19" s="361"/>
      <c r="CY19" s="97"/>
      <c r="CZ19" s="97"/>
      <c r="DA19" s="15">
        <f t="shared" si="16"/>
        <v>6</v>
      </c>
      <c r="DB19" s="131"/>
      <c r="DC19" s="97"/>
      <c r="DD19" s="254"/>
      <c r="DE19" s="254"/>
      <c r="DF19" s="15">
        <v>6</v>
      </c>
      <c r="DG19" s="131" t="s">
        <v>129</v>
      </c>
      <c r="DI19" s="55">
        <f>-DI17</f>
        <v>760714.3900000001</v>
      </c>
      <c r="DJ19" s="97"/>
      <c r="DK19" s="15">
        <f t="shared" si="10"/>
        <v>6</v>
      </c>
      <c r="DL19" s="16" t="s">
        <v>91</v>
      </c>
      <c r="DM19" s="7">
        <v>1</v>
      </c>
      <c r="DO19" s="106"/>
      <c r="DP19" s="106"/>
      <c r="DQ19" s="15">
        <f t="shared" si="17"/>
        <v>5</v>
      </c>
      <c r="DR19" s="16" t="s">
        <v>3</v>
      </c>
      <c r="DS19" s="53">
        <f aca="true" t="shared" si="21" ref="DS19:DZ19">SUM(DS16:DS18)</f>
        <v>879440289</v>
      </c>
      <c r="DT19" s="53">
        <f t="shared" si="21"/>
        <v>81478007</v>
      </c>
      <c r="DU19" s="53">
        <f t="shared" si="21"/>
        <v>0</v>
      </c>
      <c r="DV19" s="53">
        <f t="shared" si="21"/>
        <v>0</v>
      </c>
      <c r="DW19" s="53">
        <f t="shared" si="21"/>
        <v>0</v>
      </c>
      <c r="DX19" s="53">
        <f t="shared" si="21"/>
        <v>0</v>
      </c>
      <c r="DY19" s="53">
        <f t="shared" si="21"/>
        <v>0</v>
      </c>
      <c r="DZ19" s="53">
        <f t="shared" si="21"/>
        <v>0</v>
      </c>
      <c r="EA19" s="15">
        <f t="shared" si="18"/>
        <v>5</v>
      </c>
      <c r="EB19" s="16" t="s">
        <v>3</v>
      </c>
      <c r="EC19" s="27">
        <f aca="true" t="shared" si="22" ref="EC19:EJ19">SUM(EC16:EC18)</f>
        <v>0</v>
      </c>
      <c r="ED19" s="27">
        <f t="shared" si="22"/>
        <v>0</v>
      </c>
      <c r="EE19" s="27">
        <f t="shared" si="22"/>
        <v>0</v>
      </c>
      <c r="EF19" s="27">
        <f t="shared" si="22"/>
        <v>0</v>
      </c>
      <c r="EG19" s="53">
        <f t="shared" si="22"/>
        <v>0</v>
      </c>
      <c r="EH19" s="27">
        <f t="shared" si="22"/>
        <v>0</v>
      </c>
      <c r="EI19" s="53">
        <f t="shared" si="22"/>
        <v>0</v>
      </c>
      <c r="EJ19" s="53">
        <f t="shared" si="22"/>
        <v>0</v>
      </c>
      <c r="EK19" s="15">
        <f t="shared" si="19"/>
        <v>5</v>
      </c>
      <c r="EL19" s="16" t="s">
        <v>3</v>
      </c>
      <c r="EM19" s="53">
        <f>SUM(EM16:EM18)</f>
        <v>0</v>
      </c>
      <c r="EN19" s="53">
        <f>SUM(EN16:EN18)</f>
        <v>0</v>
      </c>
      <c r="EO19" s="61">
        <f>SUM(EO15:EO18)</f>
        <v>0</v>
      </c>
      <c r="EP19" s="61"/>
      <c r="EQ19" s="61">
        <f>SUM(EQ15:EQ18)</f>
        <v>0</v>
      </c>
      <c r="ER19" s="61">
        <f>SUM(ER15:ER18)</f>
        <v>-90772.6228795643</v>
      </c>
      <c r="ES19" s="53">
        <f>SUM(ES16:ES18)</f>
        <v>0</v>
      </c>
      <c r="ET19" s="33">
        <f>SUM(ET16:ET18)</f>
        <v>81387234.37712044</v>
      </c>
      <c r="EU19" s="33">
        <f>DS19+ET19</f>
        <v>960827523.3771205</v>
      </c>
      <c r="EV19" s="15">
        <f t="shared" si="20"/>
        <v>5</v>
      </c>
      <c r="EW19" s="16" t="s">
        <v>3</v>
      </c>
      <c r="EX19" s="32">
        <f>SUM(EX16:EX18)</f>
        <v>879440289</v>
      </c>
      <c r="EY19" s="32">
        <f>SUM(EY16:EY18)</f>
        <v>81387234.37712044</v>
      </c>
      <c r="EZ19" s="53">
        <f>SUM(EZ16:EZ18)</f>
        <v>960827523.3771205</v>
      </c>
      <c r="FA19" s="822">
        <f>DO76</f>
        <v>19348874</v>
      </c>
      <c r="FB19" s="53">
        <f>SUM(FB16:FB18)</f>
        <v>980176397.3771205</v>
      </c>
      <c r="FC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</row>
    <row r="20" spans="1:162" ht="14.25" customHeight="1" thickBot="1" thickTop="1">
      <c r="A20" s="15">
        <v>7</v>
      </c>
      <c r="B20" s="468"/>
      <c r="C20" s="470"/>
      <c r="D20" s="477"/>
      <c r="E20" s="477"/>
      <c r="F20" s="478"/>
      <c r="G20" s="15">
        <f t="shared" si="11"/>
        <v>7</v>
      </c>
      <c r="H20" s="3" t="s">
        <v>89</v>
      </c>
      <c r="K20" s="404">
        <v>-1103000</v>
      </c>
      <c r="L20" s="15">
        <f t="shared" si="12"/>
        <v>7</v>
      </c>
      <c r="M20" s="287"/>
      <c r="N20" s="292"/>
      <c r="O20" s="109" t="s">
        <v>21</v>
      </c>
      <c r="Q20" s="15">
        <v>7</v>
      </c>
      <c r="R20" s="79" t="s">
        <v>39</v>
      </c>
      <c r="T20" s="55"/>
      <c r="U20" s="48">
        <f>1+U19</f>
        <v>7</v>
      </c>
      <c r="V20" s="145"/>
      <c r="AA20" s="77">
        <f t="shared" si="13"/>
        <v>8</v>
      </c>
      <c r="AC20" s="221"/>
      <c r="AD20" s="221"/>
      <c r="AE20" s="221"/>
      <c r="AF20" s="28"/>
      <c r="AG20" s="28"/>
      <c r="AH20" s="28"/>
      <c r="AI20" s="28"/>
      <c r="AJ20" s="28"/>
      <c r="AK20" s="15"/>
      <c r="AL20" s="15">
        <v>7</v>
      </c>
      <c r="AM20" s="67" t="s">
        <v>169</v>
      </c>
      <c r="AN20" s="67"/>
      <c r="AO20" s="62">
        <f>AO18-AO19</f>
        <v>-1544</v>
      </c>
      <c r="AP20" s="48">
        <v>7</v>
      </c>
      <c r="AQ20" s="276" t="s">
        <v>507</v>
      </c>
      <c r="AR20" s="382">
        <f>AR18/2</f>
        <v>201283.5</v>
      </c>
      <c r="AT20" s="397"/>
      <c r="AU20" s="15">
        <f t="shared" si="1"/>
        <v>7</v>
      </c>
      <c r="AV20" s="16" t="s">
        <v>88</v>
      </c>
      <c r="AY20" s="250">
        <f>-AY16-AY19</f>
        <v>123942</v>
      </c>
      <c r="AZ20" s="15">
        <v>7</v>
      </c>
      <c r="BA20" s="16" t="s">
        <v>78</v>
      </c>
      <c r="BB20" s="81">
        <f>_FEDERAL_INCOME_TAX</f>
        <v>0.35</v>
      </c>
      <c r="BC20" s="19"/>
      <c r="BD20" s="59">
        <f>BB20*-BD17</f>
        <v>-863429</v>
      </c>
      <c r="BE20" s="15">
        <f>BE19+1</f>
        <v>7</v>
      </c>
      <c r="BF20" s="16" t="s">
        <v>96</v>
      </c>
      <c r="BG20" s="16"/>
      <c r="BH20" s="16"/>
      <c r="BI20" s="59">
        <v>6021503</v>
      </c>
      <c r="BJ20" s="59">
        <v>6404448</v>
      </c>
      <c r="BK20" s="59">
        <f t="shared" si="3"/>
        <v>382945</v>
      </c>
      <c r="BL20" s="15">
        <f t="shared" si="4"/>
        <v>7</v>
      </c>
      <c r="BM20" s="333" t="s">
        <v>300</v>
      </c>
      <c r="BN20" s="459"/>
      <c r="BO20" s="130">
        <v>442541</v>
      </c>
      <c r="BQ20" s="15">
        <v>7</v>
      </c>
      <c r="BR20" s="37" t="s">
        <v>186</v>
      </c>
      <c r="BS20" s="19"/>
      <c r="BT20" s="56">
        <v>4060907</v>
      </c>
      <c r="BU20" s="15">
        <f>BU19+1</f>
        <v>7</v>
      </c>
      <c r="BV20" s="589" t="s">
        <v>96</v>
      </c>
      <c r="BW20" s="146">
        <v>531359</v>
      </c>
      <c r="BX20" s="826">
        <f>'[5]Staff G.15'!D18</f>
        <v>372892.1370105355</v>
      </c>
      <c r="BY20" s="55">
        <f t="shared" si="6"/>
        <v>-158466.86298946448</v>
      </c>
      <c r="BZ20" s="15"/>
      <c r="CA20" s="2"/>
      <c r="CB20" s="2"/>
      <c r="CC20" s="218"/>
      <c r="CD20" s="74"/>
      <c r="CE20" s="323"/>
      <c r="CF20" s="343">
        <f t="shared" si="14"/>
        <v>7</v>
      </c>
      <c r="CG20" s="323" t="s">
        <v>379</v>
      </c>
      <c r="CH20" s="438">
        <v>0</v>
      </c>
      <c r="CI20" s="323"/>
      <c r="CJ20" s="343">
        <f>CJ19+1</f>
        <v>7</v>
      </c>
      <c r="CK20" s="333" t="s">
        <v>242</v>
      </c>
      <c r="CL20" s="229">
        <v>63839</v>
      </c>
      <c r="CM20" s="229">
        <v>0</v>
      </c>
      <c r="CN20" s="298">
        <f t="shared" si="7"/>
        <v>-63839</v>
      </c>
      <c r="CO20" s="146"/>
      <c r="CP20" s="15">
        <f t="shared" si="8"/>
        <v>7</v>
      </c>
      <c r="CQ20" s="146"/>
      <c r="CR20" s="146"/>
      <c r="CS20" s="146"/>
      <c r="CT20" s="146"/>
      <c r="CU20" s="15">
        <f>CU19+1</f>
        <v>7</v>
      </c>
      <c r="CV20" s="333" t="s">
        <v>78</v>
      </c>
      <c r="CW20" s="361"/>
      <c r="CX20" s="362">
        <f>_FEDERAL_INCOME_TAX</f>
        <v>0.35</v>
      </c>
      <c r="CY20" s="363">
        <f>-CY18*CX20</f>
        <v>114368.55978921751</v>
      </c>
      <c r="CZ20" s="363"/>
      <c r="DA20" s="15">
        <f t="shared" si="16"/>
        <v>7</v>
      </c>
      <c r="DB20" s="132" t="s">
        <v>19</v>
      </c>
      <c r="DC20" s="363"/>
      <c r="DD20" s="782">
        <f>DO54</f>
        <v>0.0661</v>
      </c>
      <c r="DE20" s="604"/>
      <c r="DF20" s="15">
        <v>7</v>
      </c>
      <c r="DG20" s="132" t="s">
        <v>171</v>
      </c>
      <c r="DH20" s="134">
        <v>0.35</v>
      </c>
      <c r="DI20" s="212">
        <f>-DI19*DH20</f>
        <v>-266250.03650000005</v>
      </c>
      <c r="DJ20" s="363"/>
      <c r="DK20" s="15">
        <f>+DK19+1</f>
        <v>7</v>
      </c>
      <c r="DM20" s="9">
        <f>-DO17</f>
        <v>-0.003402857</v>
      </c>
      <c r="DO20" s="106"/>
      <c r="DP20" s="106"/>
      <c r="DQ20" s="15">
        <f>+DQ19+1</f>
        <v>6</v>
      </c>
      <c r="DW20" s="21"/>
      <c r="EA20" s="15">
        <f>+EA19+1</f>
        <v>6</v>
      </c>
      <c r="EC20" s="21"/>
      <c r="ED20" s="21"/>
      <c r="EE20" s="21"/>
      <c r="EF20" s="21"/>
      <c r="EG20" s="21"/>
      <c r="EH20" s="21"/>
      <c r="EI20" s="21"/>
      <c r="EJ20" s="21"/>
      <c r="EK20" s="15">
        <f>+EK19+1</f>
        <v>6</v>
      </c>
      <c r="EM20" s="21"/>
      <c r="EN20" s="21"/>
      <c r="EO20" s="21"/>
      <c r="EP20" s="21"/>
      <c r="EQ20" s="21"/>
      <c r="ER20" s="21"/>
      <c r="ET20" s="28"/>
      <c r="EU20" s="28"/>
      <c r="EV20" s="15">
        <f>+EV19+1</f>
        <v>6</v>
      </c>
      <c r="FA20" s="840" t="s">
        <v>21</v>
      </c>
      <c r="FF20" s="405"/>
    </row>
    <row r="21" spans="1:228" ht="14.25" customHeight="1" thickBot="1" thickTop="1">
      <c r="A21" s="15">
        <v>8</v>
      </c>
      <c r="B21" s="479" t="s">
        <v>200</v>
      </c>
      <c r="C21" s="470"/>
      <c r="D21" s="471"/>
      <c r="E21" s="471"/>
      <c r="F21" s="476"/>
      <c r="G21" s="15">
        <f t="shared" si="11"/>
        <v>8</v>
      </c>
      <c r="H21" s="3" t="s">
        <v>93</v>
      </c>
      <c r="K21" s="11">
        <f>SUM(K17:K20)</f>
        <v>5015623.700000003</v>
      </c>
      <c r="L21" s="15">
        <f t="shared" si="12"/>
        <v>8</v>
      </c>
      <c r="M21" s="294" t="s">
        <v>66</v>
      </c>
      <c r="N21" s="292"/>
      <c r="O21" s="109" t="s">
        <v>21</v>
      </c>
      <c r="Q21" s="15">
        <v>8</v>
      </c>
      <c r="R21" s="213" t="s">
        <v>188</v>
      </c>
      <c r="S21" s="406">
        <v>642901</v>
      </c>
      <c r="T21" s="55"/>
      <c r="U21" s="48">
        <f>1+U20</f>
        <v>8</v>
      </c>
      <c r="V21" s="145" t="s">
        <v>215</v>
      </c>
      <c r="Y21" s="295">
        <f>Z17</f>
        <v>0.003402857</v>
      </c>
      <c r="AA21" s="77">
        <f t="shared" si="13"/>
        <v>9</v>
      </c>
      <c r="AB21" s="16" t="s">
        <v>83</v>
      </c>
      <c r="AC21" s="62">
        <f>SUM(AC15:AC19)</f>
        <v>536</v>
      </c>
      <c r="AD21" s="62">
        <f>SUM(AD15:AD20)</f>
        <v>1506206.9768591244</v>
      </c>
      <c r="AE21" s="62">
        <f>SUM(AE15:AE20)</f>
        <v>1505670.9768591244</v>
      </c>
      <c r="AF21" s="23"/>
      <c r="AG21" s="23"/>
      <c r="AH21" s="23"/>
      <c r="AI21" s="23"/>
      <c r="AJ21" s="23"/>
      <c r="AK21" s="15"/>
      <c r="AL21" s="15">
        <v>8</v>
      </c>
      <c r="AM21" s="135"/>
      <c r="AN21" s="135"/>
      <c r="AO21" s="3"/>
      <c r="AP21" s="48">
        <v>8</v>
      </c>
      <c r="AQ21" s="276" t="s">
        <v>506</v>
      </c>
      <c r="AR21" s="383">
        <v>451668</v>
      </c>
      <c r="AS21" s="585"/>
      <c r="AT21" s="397"/>
      <c r="AZ21" s="15">
        <v>8</v>
      </c>
      <c r="BA21" s="16" t="s">
        <v>88</v>
      </c>
      <c r="BD21" s="250">
        <f>-BD17-BD20</f>
        <v>-1603511</v>
      </c>
      <c r="BE21" s="15">
        <f t="shared" si="2"/>
        <v>8</v>
      </c>
      <c r="BF21" s="16" t="s">
        <v>99</v>
      </c>
      <c r="BG21" s="16"/>
      <c r="BH21" s="16"/>
      <c r="BI21" s="59">
        <v>790797</v>
      </c>
      <c r="BJ21" s="59">
        <v>834227</v>
      </c>
      <c r="BK21" s="59">
        <f t="shared" si="3"/>
        <v>43430</v>
      </c>
      <c r="BL21" s="15">
        <f t="shared" si="4"/>
        <v>8</v>
      </c>
      <c r="BM21" s="461" t="s">
        <v>301</v>
      </c>
      <c r="BN21" s="407">
        <v>0.069</v>
      </c>
      <c r="BO21" s="137">
        <v>30523</v>
      </c>
      <c r="BQ21" s="15">
        <v>8</v>
      </c>
      <c r="BR21" s="16" t="s">
        <v>72</v>
      </c>
      <c r="BS21" s="15"/>
      <c r="BT21" s="74">
        <f>BT19-BT20</f>
        <v>643824.8615999995</v>
      </c>
      <c r="BU21" s="15">
        <f t="shared" si="5"/>
        <v>8</v>
      </c>
      <c r="BV21" s="589" t="s">
        <v>99</v>
      </c>
      <c r="BW21" s="146">
        <v>69720</v>
      </c>
      <c r="BX21" s="826">
        <f>'[5]Staff G.15'!D19</f>
        <v>48556.90598801632</v>
      </c>
      <c r="BY21" s="55">
        <f t="shared" si="6"/>
        <v>-21163.09401198368</v>
      </c>
      <c r="BZ21" s="15"/>
      <c r="CA21" s="210"/>
      <c r="CB21" s="210"/>
      <c r="CC21" s="2"/>
      <c r="CD21" s="210"/>
      <c r="CE21" s="430"/>
      <c r="CF21" s="343">
        <f t="shared" si="14"/>
        <v>8</v>
      </c>
      <c r="CG21" s="430"/>
      <c r="CH21" s="436"/>
      <c r="CI21" s="430"/>
      <c r="CJ21" s="343">
        <f t="shared" si="15"/>
        <v>8</v>
      </c>
      <c r="CK21" s="408"/>
      <c r="CL21" s="299">
        <f>SUM(CL15:CL20)</f>
        <v>227577</v>
      </c>
      <c r="CM21" s="335">
        <f>SUM(CM15:CM20)</f>
        <v>0</v>
      </c>
      <c r="CN21" s="297">
        <f>SUM(CN15:CN20)</f>
        <v>-227577</v>
      </c>
      <c r="CO21" s="248"/>
      <c r="CP21" s="15">
        <f t="shared" si="8"/>
        <v>8</v>
      </c>
      <c r="CQ21" s="375" t="s">
        <v>171</v>
      </c>
      <c r="CR21" s="376">
        <f>_FEDERAL_INCOME_TAX</f>
        <v>0.35</v>
      </c>
      <c r="CS21" s="375">
        <f>-CS19*CR21</f>
        <v>733271.7</v>
      </c>
      <c r="CT21" s="248"/>
      <c r="CU21" s="15">
        <f t="shared" si="9"/>
        <v>8</v>
      </c>
      <c r="CV21" s="333" t="s">
        <v>88</v>
      </c>
      <c r="CW21" s="361"/>
      <c r="CX21" s="361"/>
      <c r="CY21" s="364">
        <f>-CY18-CY20</f>
        <v>212398.7538942611</v>
      </c>
      <c r="CZ21" s="359"/>
      <c r="DA21" s="15">
        <f t="shared" si="16"/>
        <v>8</v>
      </c>
      <c r="DB21" s="132" t="s">
        <v>363</v>
      </c>
      <c r="DC21" s="359"/>
      <c r="DD21" s="592">
        <f>DD18*DD20</f>
        <v>1604254.932</v>
      </c>
      <c r="DE21" s="592"/>
      <c r="DF21" s="15">
        <v>8</v>
      </c>
      <c r="DG21" s="132" t="s">
        <v>88</v>
      </c>
      <c r="DI21" s="260">
        <f>SUM(DI19:DI20)</f>
        <v>494464.3535000001</v>
      </c>
      <c r="DJ21" s="359"/>
      <c r="DK21" s="15">
        <f t="shared" si="10"/>
        <v>8</v>
      </c>
      <c r="DQ21" s="15">
        <f t="shared" si="17"/>
        <v>7</v>
      </c>
      <c r="DS21" s="84"/>
      <c r="DT21" s="30"/>
      <c r="DU21" s="30" t="s">
        <v>21</v>
      </c>
      <c r="DV21" s="30" t="s">
        <v>21</v>
      </c>
      <c r="DW21" s="30" t="s">
        <v>21</v>
      </c>
      <c r="DX21" s="30" t="s">
        <v>21</v>
      </c>
      <c r="DY21" s="273" t="s">
        <v>21</v>
      </c>
      <c r="DZ21" s="30"/>
      <c r="EA21" s="15">
        <f t="shared" si="18"/>
        <v>7</v>
      </c>
      <c r="EG21" s="30" t="s">
        <v>21</v>
      </c>
      <c r="EH21" s="20" t="s">
        <v>21</v>
      </c>
      <c r="EI21" s="30" t="s">
        <v>21</v>
      </c>
      <c r="EJ21" s="30"/>
      <c r="EK21" s="15">
        <f t="shared" si="19"/>
        <v>7</v>
      </c>
      <c r="EM21" s="30"/>
      <c r="EN21" s="30"/>
      <c r="EO21" s="30"/>
      <c r="EP21" s="30"/>
      <c r="EQ21" s="30"/>
      <c r="ER21" s="30"/>
      <c r="ES21" s="30" t="s">
        <v>21</v>
      </c>
      <c r="ET21" s="28"/>
      <c r="EU21" s="28"/>
      <c r="EV21" s="15">
        <f t="shared" si="20"/>
        <v>7</v>
      </c>
      <c r="EX21" s="28"/>
      <c r="EY21" s="28"/>
      <c r="EZ21" s="28"/>
      <c r="FA21" s="841"/>
      <c r="FB21" s="28"/>
      <c r="FC21" s="28"/>
      <c r="FD21" s="28"/>
      <c r="FF21" s="405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</row>
    <row r="22" spans="1:228" ht="14.25" customHeight="1" thickBot="1" thickTop="1">
      <c r="A22" s="15">
        <v>9</v>
      </c>
      <c r="B22" s="468" t="s">
        <v>200</v>
      </c>
      <c r="C22" s="468"/>
      <c r="D22" s="293">
        <v>15438897</v>
      </c>
      <c r="E22" s="293">
        <v>17055092</v>
      </c>
      <c r="F22" s="480">
        <f>E22-D22</f>
        <v>1616195</v>
      </c>
      <c r="G22" s="15">
        <f aca="true" t="shared" si="23" ref="G22:G27">G21+1</f>
        <v>9</v>
      </c>
      <c r="L22" s="15">
        <f t="shared" si="12"/>
        <v>9</v>
      </c>
      <c r="M22" s="3" t="s">
        <v>143</v>
      </c>
      <c r="N22" s="409">
        <v>57350782</v>
      </c>
      <c r="O22" s="109"/>
      <c r="Q22" s="15">
        <v>9</v>
      </c>
      <c r="R22" s="37" t="s">
        <v>261</v>
      </c>
      <c r="S22" s="115">
        <v>0</v>
      </c>
      <c r="U22" s="48">
        <f t="shared" si="0"/>
        <v>9</v>
      </c>
      <c r="V22" s="145" t="s">
        <v>216</v>
      </c>
      <c r="Y22" s="262">
        <f>Y19*Y21</f>
        <v>2992609.543505673</v>
      </c>
      <c r="AA22" s="77">
        <f t="shared" si="13"/>
        <v>10</v>
      </c>
      <c r="AB22" s="37"/>
      <c r="AC22" s="296"/>
      <c r="AD22" s="80"/>
      <c r="AE22" s="23"/>
      <c r="AK22" s="15"/>
      <c r="AL22" s="15">
        <v>9</v>
      </c>
      <c r="AM22" s="135" t="s">
        <v>192</v>
      </c>
      <c r="AN22" s="135"/>
      <c r="AO22" s="33">
        <f>(AO16+AO20)</f>
        <v>-598962</v>
      </c>
      <c r="AP22" s="48">
        <v>9</v>
      </c>
      <c r="AQ22" s="278" t="s">
        <v>71</v>
      </c>
      <c r="AR22" s="778">
        <f>AR20-AR21</f>
        <v>-250384.5</v>
      </c>
      <c r="AS22" s="585">
        <f>AR22</f>
        <v>-250384.5</v>
      </c>
      <c r="AT22" s="397"/>
      <c r="AZ22" s="127"/>
      <c r="BA22" s="127"/>
      <c r="BB22" s="127"/>
      <c r="BC22" s="127"/>
      <c r="BD22" s="127"/>
      <c r="BE22" s="15">
        <f t="shared" si="2"/>
        <v>9</v>
      </c>
      <c r="BF22" s="16" t="s">
        <v>57</v>
      </c>
      <c r="BG22" s="16"/>
      <c r="BH22" s="16"/>
      <c r="BI22" s="59">
        <v>374113</v>
      </c>
      <c r="BJ22" s="59">
        <v>392485</v>
      </c>
      <c r="BK22" s="59">
        <f t="shared" si="3"/>
        <v>18372</v>
      </c>
      <c r="BL22" s="15">
        <f t="shared" si="4"/>
        <v>9</v>
      </c>
      <c r="BM22" s="387" t="s">
        <v>302</v>
      </c>
      <c r="BN22" s="387"/>
      <c r="BO22" s="387"/>
      <c r="BP22" s="142">
        <f>SUM(BO20:BO21)</f>
        <v>473064</v>
      </c>
      <c r="BQ22" s="15">
        <v>9</v>
      </c>
      <c r="BS22" s="15"/>
      <c r="BT22" s="55"/>
      <c r="BU22" s="15">
        <f t="shared" si="5"/>
        <v>9</v>
      </c>
      <c r="BV22" s="589" t="s">
        <v>57</v>
      </c>
      <c r="BW22" s="146">
        <v>32932</v>
      </c>
      <c r="BX22" s="826">
        <f>'[5]Staff G.15'!D20</f>
        <v>22825.895977272627</v>
      </c>
      <c r="BY22" s="55">
        <f t="shared" si="6"/>
        <v>-10106.104022727373</v>
      </c>
      <c r="BZ22" s="15"/>
      <c r="CA22" s="74"/>
      <c r="CB22" s="74"/>
      <c r="CC22" s="2"/>
      <c r="CD22" s="226"/>
      <c r="CE22" s="433"/>
      <c r="CF22" s="343">
        <f t="shared" si="14"/>
        <v>9</v>
      </c>
      <c r="CG22" s="433" t="s">
        <v>289</v>
      </c>
      <c r="CH22" s="437">
        <f>CH18-CH20</f>
        <v>-702893.2933333333</v>
      </c>
      <c r="CI22" s="433"/>
      <c r="CJ22" s="343">
        <f t="shared" si="15"/>
        <v>9</v>
      </c>
      <c r="CK22" s="408"/>
      <c r="CL22" s="324"/>
      <c r="CM22" s="324"/>
      <c r="CN22" s="324"/>
      <c r="CO22" s="55"/>
      <c r="CP22" s="15">
        <f t="shared" si="8"/>
        <v>9</v>
      </c>
      <c r="CQ22" s="55"/>
      <c r="CR22" s="55"/>
      <c r="CS22" s="249"/>
      <c r="CT22" s="55"/>
      <c r="CU22" s="55"/>
      <c r="CV22" s="55"/>
      <c r="CW22" s="55"/>
      <c r="CX22" s="55"/>
      <c r="CY22" s="55"/>
      <c r="CZ22" s="55"/>
      <c r="DA22" s="15">
        <f t="shared" si="16"/>
        <v>9</v>
      </c>
      <c r="DB22" s="3" t="s">
        <v>25</v>
      </c>
      <c r="DC22" s="55"/>
      <c r="DD22" s="595">
        <f>DO30</f>
        <v>0.6216003</v>
      </c>
      <c r="DE22" s="605"/>
      <c r="DF22" s="15">
        <v>9</v>
      </c>
      <c r="DI22" s="55"/>
      <c r="DJ22" s="55"/>
      <c r="DK22" s="15">
        <f t="shared" si="10"/>
        <v>9</v>
      </c>
      <c r="DL22" s="3" t="s">
        <v>101</v>
      </c>
      <c r="DM22" s="72">
        <f>DM19+DM20</f>
        <v>0.996597143</v>
      </c>
      <c r="DN22" s="9">
        <v>0.03852</v>
      </c>
      <c r="DO22" s="269">
        <f>DM22*DN22</f>
        <v>0.03838892194836</v>
      </c>
      <c r="DP22" s="9"/>
      <c r="DQ22" s="15">
        <f t="shared" si="17"/>
        <v>8</v>
      </c>
      <c r="DR22" s="16" t="s">
        <v>4</v>
      </c>
      <c r="DS22" s="84"/>
      <c r="DT22" s="28"/>
      <c r="DU22" s="28"/>
      <c r="DV22" s="28"/>
      <c r="DW22" s="28"/>
      <c r="DX22" s="28"/>
      <c r="DY22" s="84"/>
      <c r="DZ22" s="28"/>
      <c r="EA22" s="15">
        <f t="shared" si="18"/>
        <v>8</v>
      </c>
      <c r="EB22" s="16" t="s">
        <v>4</v>
      </c>
      <c r="EG22" s="28"/>
      <c r="EH22" s="23"/>
      <c r="EI22" s="28"/>
      <c r="EJ22" s="28"/>
      <c r="EK22" s="15">
        <f t="shared" si="19"/>
        <v>8</v>
      </c>
      <c r="EL22" s="16" t="s">
        <v>4</v>
      </c>
      <c r="EM22" s="28"/>
      <c r="EN22" s="28"/>
      <c r="EO22" s="28"/>
      <c r="EP22" s="28"/>
      <c r="EQ22" s="28"/>
      <c r="ER22" s="28"/>
      <c r="ES22" s="28"/>
      <c r="ET22" s="28"/>
      <c r="EU22" s="28"/>
      <c r="EV22" s="15">
        <f t="shared" si="20"/>
        <v>8</v>
      </c>
      <c r="EW22" s="113" t="s">
        <v>4</v>
      </c>
      <c r="EX22" s="28"/>
      <c r="EY22" s="28"/>
      <c r="EZ22" s="28"/>
      <c r="FA22" s="841"/>
      <c r="FB22" s="28"/>
      <c r="FC22" s="28"/>
      <c r="FD22" s="28"/>
      <c r="FF22" s="405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</row>
    <row r="23" spans="1:228" ht="14.25" customHeight="1" thickBot="1" thickTop="1">
      <c r="A23" s="15">
        <v>10</v>
      </c>
      <c r="B23" s="468" t="s">
        <v>309</v>
      </c>
      <c r="C23" s="468"/>
      <c r="D23" s="471">
        <v>353149</v>
      </c>
      <c r="E23" s="471">
        <v>0</v>
      </c>
      <c r="F23" s="480">
        <f>E23-D23</f>
        <v>-353149</v>
      </c>
      <c r="G23" s="15">
        <f t="shared" si="23"/>
        <v>10</v>
      </c>
      <c r="H23" s="3" t="s">
        <v>98</v>
      </c>
      <c r="K23" s="130"/>
      <c r="L23" s="15">
        <f t="shared" si="12"/>
        <v>10</v>
      </c>
      <c r="M23" s="3" t="s">
        <v>380</v>
      </c>
      <c r="N23" s="456">
        <v>32467</v>
      </c>
      <c r="O23" s="109"/>
      <c r="Q23" s="15">
        <v>10</v>
      </c>
      <c r="R23" s="131" t="s">
        <v>262</v>
      </c>
      <c r="S23" s="55">
        <f>S22-S21</f>
        <v>-642901</v>
      </c>
      <c r="T23" s="29"/>
      <c r="U23" s="48">
        <f t="shared" si="0"/>
        <v>10</v>
      </c>
      <c r="V23" s="145"/>
      <c r="AA23" s="77">
        <f t="shared" si="13"/>
        <v>11</v>
      </c>
      <c r="AB23" s="16" t="s">
        <v>297</v>
      </c>
      <c r="AC23" s="23"/>
      <c r="AD23" s="28"/>
      <c r="AE23" s="28">
        <f>SUM(AE15:AE20)</f>
        <v>1505670.9768591244</v>
      </c>
      <c r="AF23" s="28"/>
      <c r="AL23" s="15">
        <v>10</v>
      </c>
      <c r="AM23" s="135"/>
      <c r="AN23" s="135"/>
      <c r="AO23" s="3"/>
      <c r="AP23" s="48">
        <v>10</v>
      </c>
      <c r="AQ23" s="278"/>
      <c r="AR23" s="381"/>
      <c r="AS23" s="382"/>
      <c r="AT23" s="397"/>
      <c r="AU23" s="29"/>
      <c r="AV23" s="29"/>
      <c r="AW23" s="29"/>
      <c r="AX23" s="29"/>
      <c r="AY23" s="29"/>
      <c r="BD23" s="3" t="s">
        <v>21</v>
      </c>
      <c r="BE23" s="15">
        <f t="shared" si="2"/>
        <v>10</v>
      </c>
      <c r="BF23" s="16" t="s">
        <v>103</v>
      </c>
      <c r="BG23" s="16"/>
      <c r="BH23" s="16"/>
      <c r="BI23" s="68">
        <v>9087991</v>
      </c>
      <c r="BJ23" s="68">
        <v>9546264</v>
      </c>
      <c r="BK23" s="68">
        <f t="shared" si="3"/>
        <v>458273</v>
      </c>
      <c r="BL23" s="15">
        <f t="shared" si="4"/>
        <v>10</v>
      </c>
      <c r="BM23" s="461"/>
      <c r="BN23" s="461"/>
      <c r="BO23" s="461"/>
      <c r="BP23" s="130"/>
      <c r="BQ23" s="15">
        <v>10</v>
      </c>
      <c r="BR23" s="16" t="s">
        <v>80</v>
      </c>
      <c r="BS23" s="19">
        <f>_FEDERAL_INCOME_TAX</f>
        <v>0.35</v>
      </c>
      <c r="BT23" s="59">
        <f>-BT21*BS23</f>
        <v>-225338.7015599998</v>
      </c>
      <c r="BU23" s="15">
        <f t="shared" si="5"/>
        <v>10</v>
      </c>
      <c r="BV23" s="589" t="s">
        <v>103</v>
      </c>
      <c r="BW23" s="590">
        <v>801934</v>
      </c>
      <c r="BX23" s="827">
        <f>'[5]Staff G.15'!D21</f>
        <v>516565.785022291</v>
      </c>
      <c r="BY23" s="56">
        <f t="shared" si="6"/>
        <v>-285368.214977709</v>
      </c>
      <c r="BZ23" s="15"/>
      <c r="CA23" s="2"/>
      <c r="CB23" s="2"/>
      <c r="CC23" s="2"/>
      <c r="CD23" s="2"/>
      <c r="CE23" s="58"/>
      <c r="CF23" s="343">
        <f t="shared" si="14"/>
        <v>10</v>
      </c>
      <c r="CG23" s="58"/>
      <c r="CH23" s="438"/>
      <c r="CI23" s="58"/>
      <c r="CJ23" s="343">
        <f t="shared" si="15"/>
        <v>10</v>
      </c>
      <c r="CK23" s="332" t="s">
        <v>243</v>
      </c>
      <c r="CL23" s="410"/>
      <c r="CM23" s="410"/>
      <c r="CN23" s="410"/>
      <c r="CO23" s="59"/>
      <c r="CP23" s="15">
        <f t="shared" si="8"/>
        <v>10</v>
      </c>
      <c r="CQ23" s="59" t="s">
        <v>88</v>
      </c>
      <c r="CR23" s="59"/>
      <c r="CS23" s="342">
        <f>-CS19-CS21</f>
        <v>1361790.3</v>
      </c>
      <c r="CT23" s="59"/>
      <c r="CU23" s="59"/>
      <c r="CV23" s="59"/>
      <c r="CW23" s="59"/>
      <c r="CX23" s="59"/>
      <c r="CY23" s="59"/>
      <c r="CZ23" s="59"/>
      <c r="DA23" s="15">
        <f t="shared" si="16"/>
        <v>10</v>
      </c>
      <c r="DB23" s="132" t="s">
        <v>364</v>
      </c>
      <c r="DC23" s="59"/>
      <c r="DD23" s="17">
        <f>DD21/DD22</f>
        <v>2580846.457120436</v>
      </c>
      <c r="DE23" s="17"/>
      <c r="DF23" s="15">
        <v>10</v>
      </c>
      <c r="DG23" s="141"/>
      <c r="DH23" s="759"/>
      <c r="DI23" s="70"/>
      <c r="DJ23" s="59"/>
      <c r="DK23" s="15">
        <f t="shared" si="10"/>
        <v>10</v>
      </c>
      <c r="DL23" s="3" t="s">
        <v>106</v>
      </c>
      <c r="DO23" s="269">
        <v>0.0019</v>
      </c>
      <c r="DP23" s="269">
        <f>ROUND(1-SUM(DO17:DO23),7)</f>
        <v>0.9563082</v>
      </c>
      <c r="DQ23" s="15">
        <f t="shared" si="17"/>
        <v>9</v>
      </c>
      <c r="EA23" s="15">
        <f t="shared" si="18"/>
        <v>9</v>
      </c>
      <c r="EH23" s="2"/>
      <c r="EK23" s="15">
        <f t="shared" si="19"/>
        <v>9</v>
      </c>
      <c r="ET23" s="28"/>
      <c r="EU23" s="28"/>
      <c r="EV23" s="15">
        <f t="shared" si="20"/>
        <v>9</v>
      </c>
      <c r="EX23" s="28"/>
      <c r="EY23" s="28"/>
      <c r="EZ23" s="28"/>
      <c r="FA23" s="841" t="s">
        <v>21</v>
      </c>
      <c r="FB23" s="28"/>
      <c r="FC23" s="28"/>
      <c r="FD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</row>
    <row r="24" spans="1:228" ht="14.25" customHeight="1" thickTop="1">
      <c r="A24" s="15">
        <v>11</v>
      </c>
      <c r="B24" s="468"/>
      <c r="C24" s="468"/>
      <c r="D24" s="655"/>
      <c r="E24" s="477"/>
      <c r="F24" s="481"/>
      <c r="G24" s="15">
        <f t="shared" si="23"/>
        <v>11</v>
      </c>
      <c r="H24" s="16" t="s">
        <v>102</v>
      </c>
      <c r="I24" s="21"/>
      <c r="J24" s="84"/>
      <c r="K24" s="32">
        <f>DS43</f>
        <v>9529694</v>
      </c>
      <c r="L24" s="15">
        <f t="shared" si="12"/>
        <v>11</v>
      </c>
      <c r="M24" s="3" t="s">
        <v>144</v>
      </c>
      <c r="N24" s="397"/>
      <c r="O24" s="109" t="s">
        <v>21</v>
      </c>
      <c r="Q24" s="15">
        <v>11</v>
      </c>
      <c r="R24" s="131" t="s">
        <v>194</v>
      </c>
      <c r="S24" s="29"/>
      <c r="T24" s="55">
        <f>S23</f>
        <v>-642901</v>
      </c>
      <c r="U24" s="48">
        <f t="shared" si="0"/>
        <v>11</v>
      </c>
      <c r="V24" s="16" t="s">
        <v>217</v>
      </c>
      <c r="Y24" s="298">
        <v>2629005</v>
      </c>
      <c r="AA24" s="77">
        <f t="shared" si="13"/>
        <v>12</v>
      </c>
      <c r="AB24" s="16" t="s">
        <v>80</v>
      </c>
      <c r="AC24" s="23"/>
      <c r="AD24" s="19">
        <f>_FEDERAL_INCOME_TAX</f>
        <v>0.35</v>
      </c>
      <c r="AE24" s="74">
        <f>-ROUND(AD24*AE23,0)</f>
        <v>-526985</v>
      </c>
      <c r="AF24" s="23"/>
      <c r="AL24" s="15">
        <v>11</v>
      </c>
      <c r="AM24" s="135" t="s">
        <v>95</v>
      </c>
      <c r="AN24" s="138">
        <f>_FEDERAL_INCOME_TAX</f>
        <v>0.35</v>
      </c>
      <c r="AO24" s="139">
        <f>-AO22*AN24</f>
        <v>209636.69999999998</v>
      </c>
      <c r="AP24" s="48">
        <v>11</v>
      </c>
      <c r="AQ24" s="278" t="s">
        <v>277</v>
      </c>
      <c r="AR24" s="380">
        <v>379326</v>
      </c>
      <c r="AT24" s="397"/>
      <c r="AU24" s="23"/>
      <c r="AV24" s="23"/>
      <c r="AW24" s="23"/>
      <c r="AX24" s="23"/>
      <c r="AY24" s="23"/>
      <c r="AZ24" s="29"/>
      <c r="BA24" s="29"/>
      <c r="BB24" s="29"/>
      <c r="BC24" s="29"/>
      <c r="BD24" s="222" t="s">
        <v>21</v>
      </c>
      <c r="BE24" s="15">
        <f t="shared" si="2"/>
        <v>11</v>
      </c>
      <c r="BF24" s="16" t="s">
        <v>105</v>
      </c>
      <c r="BG24" s="16"/>
      <c r="BH24" s="16"/>
      <c r="BI24" s="59">
        <f>SUM(BI14:BI23)</f>
        <v>33621969</v>
      </c>
      <c r="BJ24" s="59">
        <f>SUM(BJ14:BJ23)</f>
        <v>35642745</v>
      </c>
      <c r="BK24" s="59">
        <f>SUM(BK14:BK23)</f>
        <v>2020776</v>
      </c>
      <c r="BL24" s="15">
        <f t="shared" si="4"/>
        <v>11</v>
      </c>
      <c r="BM24" s="460" t="s">
        <v>303</v>
      </c>
      <c r="BN24" s="90"/>
      <c r="BO24" s="90"/>
      <c r="BP24" s="130"/>
      <c r="BQ24" s="15">
        <v>11</v>
      </c>
      <c r="BT24" s="55"/>
      <c r="BU24" s="15">
        <f t="shared" si="5"/>
        <v>11</v>
      </c>
      <c r="BV24" s="145" t="s">
        <v>351</v>
      </c>
      <c r="BW24" s="326">
        <f>SUM(BW15:BW23)</f>
        <v>2966829</v>
      </c>
      <c r="BX24" s="326">
        <f>SUM(BX15:BX23)</f>
        <v>2035940.4245276563</v>
      </c>
      <c r="BY24" s="327">
        <f>SUM(BY15:BY23)</f>
        <v>-930888.5754723438</v>
      </c>
      <c r="BZ24" s="15"/>
      <c r="CA24" s="58"/>
      <c r="CB24" s="58"/>
      <c r="CC24" s="58"/>
      <c r="CD24" s="58"/>
      <c r="CF24" s="343">
        <f t="shared" si="14"/>
        <v>11</v>
      </c>
      <c r="CG24" s="3" t="s">
        <v>288</v>
      </c>
      <c r="CH24" s="436">
        <f>-CH22*_FEDERAL_INCOME_TAX</f>
        <v>246012.65266666666</v>
      </c>
      <c r="CJ24" s="343">
        <f t="shared" si="15"/>
        <v>11</v>
      </c>
      <c r="CK24" s="336" t="s">
        <v>244</v>
      </c>
      <c r="CL24" s="297">
        <v>45564</v>
      </c>
      <c r="CM24" s="297">
        <v>1857711</v>
      </c>
      <c r="CN24" s="297">
        <f>CM24-CL24</f>
        <v>1812147</v>
      </c>
      <c r="CO24" s="55"/>
      <c r="CP24" s="1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15">
        <f t="shared" si="16"/>
        <v>11</v>
      </c>
      <c r="DB24" s="131" t="s">
        <v>365</v>
      </c>
      <c r="DC24" s="55"/>
      <c r="DD24" s="596">
        <v>663166.92</v>
      </c>
      <c r="DE24" s="153"/>
      <c r="DF24" s="15">
        <v>11</v>
      </c>
      <c r="DG24" s="213"/>
      <c r="DH24" s="760"/>
      <c r="DI24" s="10"/>
      <c r="DJ24" s="55"/>
      <c r="DK24" s="15">
        <f>+DK23+1</f>
        <v>11</v>
      </c>
      <c r="DL24" s="3" t="s">
        <v>209</v>
      </c>
      <c r="DO24" s="9"/>
      <c r="DP24" s="108"/>
      <c r="DQ24" s="15">
        <f t="shared" si="17"/>
        <v>10</v>
      </c>
      <c r="DR24" s="16" t="s">
        <v>179</v>
      </c>
      <c r="DS24" s="11"/>
      <c r="DT24" s="32"/>
      <c r="DU24" s="32"/>
      <c r="DV24" s="32"/>
      <c r="DW24" s="28"/>
      <c r="DX24" s="32"/>
      <c r="DY24" s="84"/>
      <c r="DZ24" s="28"/>
      <c r="EA24" s="15">
        <f t="shared" si="18"/>
        <v>10</v>
      </c>
      <c r="EB24" s="16" t="s">
        <v>179</v>
      </c>
      <c r="EG24" s="28"/>
      <c r="EH24" s="23"/>
      <c r="EI24" s="28"/>
      <c r="EJ24" s="28"/>
      <c r="EK24" s="15">
        <f t="shared" si="19"/>
        <v>10</v>
      </c>
      <c r="EL24" s="16" t="s">
        <v>179</v>
      </c>
      <c r="EM24" s="28"/>
      <c r="EN24" s="28"/>
      <c r="EO24" s="28"/>
      <c r="EP24" s="28"/>
      <c r="EQ24" s="28"/>
      <c r="ER24" s="28"/>
      <c r="ES24" s="32"/>
      <c r="ET24" s="28"/>
      <c r="EU24" s="28"/>
      <c r="EV24" s="15">
        <f t="shared" si="20"/>
        <v>10</v>
      </c>
      <c r="EW24" s="16" t="s">
        <v>179</v>
      </c>
      <c r="EX24" s="28"/>
      <c r="EY24" s="28"/>
      <c r="EZ24" s="28"/>
      <c r="FA24" s="841" t="s">
        <v>21</v>
      </c>
      <c r="FB24" s="28"/>
      <c r="FC24" s="28"/>
      <c r="FD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</row>
    <row r="25" spans="1:228" ht="14.25" customHeight="1" thickBot="1">
      <c r="A25" s="15">
        <v>12</v>
      </c>
      <c r="B25" s="468" t="s">
        <v>199</v>
      </c>
      <c r="C25" s="468"/>
      <c r="D25" s="293">
        <f>SUM(D22:D24)</f>
        <v>15792046</v>
      </c>
      <c r="E25" s="293">
        <f>SUM(E22:E24)</f>
        <v>17055092</v>
      </c>
      <c r="F25" s="293">
        <f>SUM(F22:F24)</f>
        <v>1263046</v>
      </c>
      <c r="G25" s="15">
        <f t="shared" si="23"/>
        <v>12</v>
      </c>
      <c r="H25" s="16" t="s">
        <v>81</v>
      </c>
      <c r="I25" s="21"/>
      <c r="J25" s="84"/>
      <c r="K25" s="12">
        <v>25329740</v>
      </c>
      <c r="L25" s="15">
        <f t="shared" si="12"/>
        <v>12</v>
      </c>
      <c r="M25" s="3" t="s">
        <v>145</v>
      </c>
      <c r="N25" s="411">
        <v>1700792</v>
      </c>
      <c r="O25" s="109"/>
      <c r="Q25" s="15">
        <v>12</v>
      </c>
      <c r="R25" s="397"/>
      <c r="T25" s="221"/>
      <c r="U25" s="48">
        <f>1+U24</f>
        <v>12</v>
      </c>
      <c r="V25" s="136" t="s">
        <v>71</v>
      </c>
      <c r="Z25" s="33">
        <f>ROUND(Y22-Y24,0)</f>
        <v>363605</v>
      </c>
      <c r="AA25" s="77">
        <f t="shared" si="13"/>
        <v>13</v>
      </c>
      <c r="AB25" s="16"/>
      <c r="AC25" s="23"/>
      <c r="AD25" s="81"/>
      <c r="AE25" s="23"/>
      <c r="AF25" s="23"/>
      <c r="AL25" s="15">
        <v>12</v>
      </c>
      <c r="AM25" s="135" t="s">
        <v>85</v>
      </c>
      <c r="AN25" s="135"/>
      <c r="AO25" s="252">
        <f>-AO22-AO24</f>
        <v>389325.30000000005</v>
      </c>
      <c r="AP25" s="48">
        <v>12</v>
      </c>
      <c r="AQ25" s="276" t="s">
        <v>278</v>
      </c>
      <c r="AR25" s="137">
        <v>192720</v>
      </c>
      <c r="AT25" s="397"/>
      <c r="AU25" s="127"/>
      <c r="AV25" s="127"/>
      <c r="AW25" s="127"/>
      <c r="AX25" s="127"/>
      <c r="AY25" s="127"/>
      <c r="AZ25" s="23"/>
      <c r="BA25" s="23"/>
      <c r="BB25" s="23"/>
      <c r="BC25" s="23"/>
      <c r="BD25" s="23"/>
      <c r="BE25" s="15">
        <f>BE24+1</f>
        <v>12</v>
      </c>
      <c r="BI25" s="59"/>
      <c r="BJ25" s="59"/>
      <c r="BK25" s="59"/>
      <c r="BL25" s="15">
        <f t="shared" si="4"/>
        <v>12</v>
      </c>
      <c r="BM25" s="333" t="s">
        <v>304</v>
      </c>
      <c r="BN25" s="459"/>
      <c r="BO25" s="130">
        <v>392715</v>
      </c>
      <c r="BQ25" s="15">
        <v>12</v>
      </c>
      <c r="BR25" s="16" t="s">
        <v>85</v>
      </c>
      <c r="BT25" s="252">
        <f>-BT21-BT23</f>
        <v>-418486.16003999964</v>
      </c>
      <c r="BU25" s="15">
        <f t="shared" si="5"/>
        <v>12</v>
      </c>
      <c r="BV25" s="55"/>
      <c r="BZ25" s="15"/>
      <c r="CA25" s="2"/>
      <c r="CB25" s="2"/>
      <c r="CC25" s="2"/>
      <c r="CD25" s="2"/>
      <c r="CF25" s="343">
        <f t="shared" si="14"/>
        <v>12</v>
      </c>
      <c r="CH25" s="439"/>
      <c r="CJ25" s="343">
        <f>CJ24+1</f>
        <v>12</v>
      </c>
      <c r="CK25" s="336" t="s">
        <v>386</v>
      </c>
      <c r="CL25" s="228">
        <v>-41490</v>
      </c>
      <c r="CM25" s="228">
        <v>-311175</v>
      </c>
      <c r="CN25" s="305">
        <f>CM25-CL25</f>
        <v>-269685</v>
      </c>
      <c r="CO25" s="58"/>
      <c r="CP25" s="15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15">
        <f t="shared" si="16"/>
        <v>12</v>
      </c>
      <c r="DB25" s="3" t="s">
        <v>230</v>
      </c>
      <c r="DC25" s="58"/>
      <c r="DD25" s="153">
        <f>SUM(DD23:DD24)</f>
        <v>3244013.3771204357</v>
      </c>
      <c r="DE25" s="153"/>
      <c r="DF25" s="15">
        <v>12</v>
      </c>
      <c r="DG25" s="2"/>
      <c r="DH25" s="760"/>
      <c r="DI25" s="761"/>
      <c r="DJ25" s="58"/>
      <c r="DK25" s="15">
        <f t="shared" si="10"/>
        <v>12</v>
      </c>
      <c r="DL25" s="3" t="s">
        <v>108</v>
      </c>
      <c r="DM25" s="72">
        <f>DO14-DO17-DO22-DO23</f>
        <v>0.95630822105164</v>
      </c>
      <c r="DN25" s="7">
        <v>0.35</v>
      </c>
      <c r="DO25" s="7">
        <f>DM25*DN25</f>
        <v>0.334707877368074</v>
      </c>
      <c r="DP25" s="7"/>
      <c r="DQ25" s="15">
        <f>+DQ24+1</f>
        <v>11</v>
      </c>
      <c r="DR25" s="16"/>
      <c r="DS25" s="140"/>
      <c r="DT25" s="71"/>
      <c r="DU25" s="71"/>
      <c r="DV25" s="71"/>
      <c r="DW25" s="71"/>
      <c r="DX25" s="71"/>
      <c r="DY25" s="71"/>
      <c r="DZ25" s="71"/>
      <c r="EA25" s="15">
        <f>+EA24+1</f>
        <v>11</v>
      </c>
      <c r="EB25" s="16"/>
      <c r="EC25" s="33"/>
      <c r="ED25" s="33"/>
      <c r="EE25" s="33"/>
      <c r="EF25" s="33"/>
      <c r="EG25" s="71"/>
      <c r="EH25" s="58"/>
      <c r="EI25" s="71"/>
      <c r="EJ25" s="71"/>
      <c r="EK25" s="15">
        <f>+EK24+1</f>
        <v>11</v>
      </c>
      <c r="EL25" s="16"/>
      <c r="EM25" s="71"/>
      <c r="EN25" s="71"/>
      <c r="EO25" s="71"/>
      <c r="EP25" s="71"/>
      <c r="EQ25" s="71"/>
      <c r="ER25" s="71"/>
      <c r="ES25" s="71"/>
      <c r="ET25" s="33"/>
      <c r="EU25" s="33"/>
      <c r="EV25" s="15">
        <f>+EV24+1</f>
        <v>11</v>
      </c>
      <c r="EW25" s="16"/>
      <c r="EX25" s="71"/>
      <c r="EY25" s="71"/>
      <c r="EZ25" s="99"/>
      <c r="FA25" s="842"/>
      <c r="FB25" s="99"/>
      <c r="FC25" s="99"/>
      <c r="FD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</row>
    <row r="26" spans="1:228" ht="14.25" customHeight="1" thickBot="1" thickTop="1">
      <c r="A26" s="15">
        <v>13</v>
      </c>
      <c r="B26" s="468"/>
      <c r="C26" s="468"/>
      <c r="D26" s="299"/>
      <c r="E26" s="299"/>
      <c r="F26" s="482"/>
      <c r="G26" s="15">
        <f t="shared" si="23"/>
        <v>13</v>
      </c>
      <c r="H26" s="3" t="s">
        <v>86</v>
      </c>
      <c r="I26" s="21"/>
      <c r="J26" s="84"/>
      <c r="K26" s="12">
        <v>-28789583</v>
      </c>
      <c r="L26" s="15">
        <f t="shared" si="12"/>
        <v>13</v>
      </c>
      <c r="M26" s="3" t="s">
        <v>146</v>
      </c>
      <c r="N26" s="456">
        <v>2643960</v>
      </c>
      <c r="Q26" s="15">
        <v>13</v>
      </c>
      <c r="R26" s="37" t="s">
        <v>71</v>
      </c>
      <c r="S26" s="397"/>
      <c r="T26" s="215">
        <f>T18+T24</f>
        <v>-3733733</v>
      </c>
      <c r="U26" s="48">
        <f t="shared" si="0"/>
        <v>13</v>
      </c>
      <c r="V26" s="268"/>
      <c r="AA26" s="77">
        <f>AA25+1</f>
        <v>14</v>
      </c>
      <c r="AB26" s="16" t="s">
        <v>85</v>
      </c>
      <c r="AC26" s="23"/>
      <c r="AD26" s="28"/>
      <c r="AE26" s="301">
        <f>-AE23-AE24</f>
        <v>-978685.9768591244</v>
      </c>
      <c r="AO26" s="3"/>
      <c r="AP26" s="48">
        <v>13</v>
      </c>
      <c r="AQ26" s="276" t="s">
        <v>279</v>
      </c>
      <c r="AR26" s="778">
        <f>AR24-AR25</f>
        <v>186606</v>
      </c>
      <c r="AS26" s="382"/>
      <c r="AT26" s="397"/>
      <c r="AU26" s="18"/>
      <c r="AV26" s="18"/>
      <c r="AW26" s="18"/>
      <c r="AX26" s="18"/>
      <c r="AY26" s="18"/>
      <c r="AZ26" s="127"/>
      <c r="BA26" s="127"/>
      <c r="BB26" s="127"/>
      <c r="BC26" s="127"/>
      <c r="BD26" s="127"/>
      <c r="BE26" s="15">
        <f t="shared" si="2"/>
        <v>13</v>
      </c>
      <c r="BF26" s="16" t="s">
        <v>189</v>
      </c>
      <c r="BG26" s="16"/>
      <c r="BH26" s="16"/>
      <c r="BI26" s="404">
        <v>2993607</v>
      </c>
      <c r="BJ26" s="404">
        <v>3117169</v>
      </c>
      <c r="BK26" s="68">
        <f>BJ26-BI26</f>
        <v>123562</v>
      </c>
      <c r="BL26" s="15">
        <f t="shared" si="4"/>
        <v>13</v>
      </c>
      <c r="BM26" s="461" t="s">
        <v>305</v>
      </c>
      <c r="BN26" s="407">
        <v>0.0689</v>
      </c>
      <c r="BO26" s="137">
        <v>27041</v>
      </c>
      <c r="BU26" s="15">
        <f t="shared" si="5"/>
        <v>13</v>
      </c>
      <c r="BV26" s="113" t="s">
        <v>79</v>
      </c>
      <c r="BW26" s="146">
        <v>206491</v>
      </c>
      <c r="BX26" s="825">
        <f>'[5]Staff G.15'!D24</f>
        <v>144425.66909256132</v>
      </c>
      <c r="BY26" s="328">
        <f>BX26-BW26</f>
        <v>-62065.33090743868</v>
      </c>
      <c r="BZ26" s="15"/>
      <c r="CA26" s="2"/>
      <c r="CB26" s="2"/>
      <c r="CC26" s="226"/>
      <c r="CD26" s="2"/>
      <c r="CF26" s="343">
        <f t="shared" si="14"/>
        <v>13</v>
      </c>
      <c r="CG26" s="3" t="s">
        <v>88</v>
      </c>
      <c r="CH26" s="440">
        <f>-CH22-CH24</f>
        <v>456880.6406666667</v>
      </c>
      <c r="CJ26" s="343">
        <f t="shared" si="15"/>
        <v>13</v>
      </c>
      <c r="CK26" s="336" t="s">
        <v>245</v>
      </c>
      <c r="CL26" s="228">
        <v>0</v>
      </c>
      <c r="CM26" s="228">
        <v>91609</v>
      </c>
      <c r="CN26" s="305">
        <f>CM26-CL26</f>
        <v>91609</v>
      </c>
      <c r="CP26" s="15"/>
      <c r="DA26" s="15">
        <f t="shared" si="16"/>
        <v>13</v>
      </c>
      <c r="DB26" s="3" t="s">
        <v>366</v>
      </c>
      <c r="DD26" s="596">
        <v>3334786</v>
      </c>
      <c r="DE26" s="153"/>
      <c r="DF26" s="15">
        <v>13</v>
      </c>
      <c r="DK26" s="15">
        <f>+DK25+1</f>
        <v>13</v>
      </c>
      <c r="DM26" s="72"/>
      <c r="DN26" s="7"/>
      <c r="DO26" s="9"/>
      <c r="DP26" s="9"/>
      <c r="DQ26" s="15">
        <f t="shared" si="17"/>
        <v>12</v>
      </c>
      <c r="DR26" s="16" t="s">
        <v>180</v>
      </c>
      <c r="DS26" s="11">
        <v>539655901</v>
      </c>
      <c r="DT26" s="32">
        <f>F30+F31</f>
        <v>91599470</v>
      </c>
      <c r="DU26" s="32">
        <v>0</v>
      </c>
      <c r="DV26" s="32">
        <v>0</v>
      </c>
      <c r="DW26" s="32">
        <v>0</v>
      </c>
      <c r="DX26" s="32">
        <v>0</v>
      </c>
      <c r="DY26" s="32">
        <v>0</v>
      </c>
      <c r="DZ26" s="32">
        <v>0</v>
      </c>
      <c r="EA26" s="15">
        <f t="shared" si="18"/>
        <v>12</v>
      </c>
      <c r="EB26" s="16" t="s">
        <v>180</v>
      </c>
      <c r="EC26" s="33">
        <v>0</v>
      </c>
      <c r="ED26" s="33">
        <v>0</v>
      </c>
      <c r="EE26" s="33">
        <v>0</v>
      </c>
      <c r="EF26" s="33">
        <v>0</v>
      </c>
      <c r="EG26" s="32">
        <v>0</v>
      </c>
      <c r="EH26" s="58">
        <v>0</v>
      </c>
      <c r="EI26" s="32">
        <v>0</v>
      </c>
      <c r="EJ26" s="32">
        <v>0</v>
      </c>
      <c r="EK26" s="15">
        <f t="shared" si="19"/>
        <v>12</v>
      </c>
      <c r="EL26" s="16" t="s">
        <v>180</v>
      </c>
      <c r="EM26" s="32">
        <v>0</v>
      </c>
      <c r="EN26" s="32"/>
      <c r="EO26" s="32"/>
      <c r="EP26" s="32"/>
      <c r="EQ26" s="32"/>
      <c r="ER26" s="32"/>
      <c r="ES26" s="32">
        <v>0</v>
      </c>
      <c r="ET26" s="33">
        <f>SUM(DT26:ES26)-EK26-EA26</f>
        <v>91599470</v>
      </c>
      <c r="EU26" s="33">
        <f>DS26+ET26</f>
        <v>631255371</v>
      </c>
      <c r="EV26" s="15">
        <f t="shared" si="20"/>
        <v>12</v>
      </c>
      <c r="EW26" s="16" t="s">
        <v>180</v>
      </c>
      <c r="EX26" s="32">
        <f>DS26</f>
        <v>539655901</v>
      </c>
      <c r="EY26" s="32">
        <f>ET26</f>
        <v>91599470</v>
      </c>
      <c r="EZ26" s="96">
        <f>+EX26+EY26</f>
        <v>631255371</v>
      </c>
      <c r="FA26" s="837">
        <v>0</v>
      </c>
      <c r="FB26" s="96">
        <f>+EZ26+FA26</f>
        <v>631255371</v>
      </c>
      <c r="FC26" s="96"/>
      <c r="FD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</row>
    <row r="27" spans="1:227" ht="14.25" customHeight="1" thickBot="1" thickTop="1">
      <c r="A27" s="15">
        <v>14</v>
      </c>
      <c r="B27" s="479" t="s">
        <v>311</v>
      </c>
      <c r="C27" s="468"/>
      <c r="D27" s="490">
        <f>D19+D25</f>
        <v>879440289</v>
      </c>
      <c r="E27" s="490">
        <f>E19+E25</f>
        <v>960918296</v>
      </c>
      <c r="F27" s="483">
        <f>F19+F25</f>
        <v>81478007</v>
      </c>
      <c r="G27" s="15">
        <f t="shared" si="23"/>
        <v>14</v>
      </c>
      <c r="H27" s="3" t="s">
        <v>89</v>
      </c>
      <c r="I27" s="21"/>
      <c r="J27" s="21"/>
      <c r="K27" s="115">
        <v>-563440</v>
      </c>
      <c r="L27" s="15">
        <f t="shared" si="12"/>
        <v>14</v>
      </c>
      <c r="M27" s="3" t="s">
        <v>298</v>
      </c>
      <c r="N27" s="412">
        <v>-131750</v>
      </c>
      <c r="P27" s="15"/>
      <c r="Q27" s="15">
        <v>14</v>
      </c>
      <c r="R27" s="37" t="s">
        <v>171</v>
      </c>
      <c r="S27" s="214"/>
      <c r="T27" s="69">
        <f>-T26*S28</f>
        <v>1306806.5499999998</v>
      </c>
      <c r="U27" s="48">
        <f t="shared" si="0"/>
        <v>14</v>
      </c>
      <c r="V27" s="136" t="s">
        <v>171</v>
      </c>
      <c r="Y27" s="19">
        <v>0.35</v>
      </c>
      <c r="Z27" s="12">
        <f>ROUND(-Z25*Y27,0)</f>
        <v>-127262</v>
      </c>
      <c r="AA27" s="77">
        <f t="shared" si="13"/>
        <v>15</v>
      </c>
      <c r="AC27" s="23"/>
      <c r="AE27" s="55"/>
      <c r="AO27" s="3"/>
      <c r="AP27" s="48">
        <v>14</v>
      </c>
      <c r="AQ27" s="278"/>
      <c r="AR27" s="381"/>
      <c r="AS27" s="382"/>
      <c r="AT27" s="397"/>
      <c r="AU27" s="18"/>
      <c r="AV27" s="18"/>
      <c r="AW27" s="18"/>
      <c r="AX27" s="18"/>
      <c r="AY27" s="254"/>
      <c r="AZ27" s="18"/>
      <c r="BA27" s="18"/>
      <c r="BB27" s="18"/>
      <c r="BC27" s="18"/>
      <c r="BD27" s="254"/>
      <c r="BE27" s="15">
        <f>BE26+1</f>
        <v>14</v>
      </c>
      <c r="BF27" s="16" t="s">
        <v>134</v>
      </c>
      <c r="BG27" s="16"/>
      <c r="BH27" s="16"/>
      <c r="BI27" s="111">
        <f>+BI26+BI24</f>
        <v>36615576</v>
      </c>
      <c r="BJ27" s="111">
        <f>+BJ26+BJ24</f>
        <v>38759914</v>
      </c>
      <c r="BK27" s="111">
        <f>BJ27-BI27</f>
        <v>2144338</v>
      </c>
      <c r="BL27" s="15">
        <f t="shared" si="4"/>
        <v>14</v>
      </c>
      <c r="BM27" s="387" t="s">
        <v>306</v>
      </c>
      <c r="BN27" s="387"/>
      <c r="BO27" s="387"/>
      <c r="BP27" s="142">
        <f>SUM(BO25:BO26)</f>
        <v>419756</v>
      </c>
      <c r="BU27" s="15">
        <f t="shared" si="5"/>
        <v>14</v>
      </c>
      <c r="BV27" s="145" t="s">
        <v>72</v>
      </c>
      <c r="BW27" s="329"/>
      <c r="BX27" s="329"/>
      <c r="BY27" s="330">
        <f>SUM(BY24:BY26)</f>
        <v>-992953.9063797825</v>
      </c>
      <c r="BZ27" s="15"/>
      <c r="CA27" s="2"/>
      <c r="CB27" s="2"/>
      <c r="CC27" s="69"/>
      <c r="CD27" s="2"/>
      <c r="CE27" s="303"/>
      <c r="CF27" s="303"/>
      <c r="CG27" s="303"/>
      <c r="CH27" s="303"/>
      <c r="CI27" s="303"/>
      <c r="CJ27" s="343">
        <f t="shared" si="15"/>
        <v>14</v>
      </c>
      <c r="CK27" s="336" t="s">
        <v>246</v>
      </c>
      <c r="CL27" s="228">
        <v>0</v>
      </c>
      <c r="CM27" s="228">
        <v>1025</v>
      </c>
      <c r="CN27" s="305">
        <f>CM27-CL27</f>
        <v>1025</v>
      </c>
      <c r="CP27" s="15"/>
      <c r="DA27" s="15">
        <f t="shared" si="16"/>
        <v>14</v>
      </c>
      <c r="DG27" s="2"/>
      <c r="DK27" s="15">
        <f>+DK26+1</f>
        <v>14</v>
      </c>
      <c r="DO27" s="107"/>
      <c r="DP27" s="107"/>
      <c r="DQ27" s="15">
        <f t="shared" si="17"/>
        <v>13</v>
      </c>
      <c r="DR27" s="16"/>
      <c r="DS27" s="59"/>
      <c r="DT27" s="55"/>
      <c r="DU27" s="55"/>
      <c r="DV27" s="55"/>
      <c r="DW27" s="56"/>
      <c r="DX27" s="55"/>
      <c r="DY27" s="59"/>
      <c r="DZ27" s="55"/>
      <c r="EA27" s="15">
        <f t="shared" si="18"/>
        <v>13</v>
      </c>
      <c r="EB27" s="16"/>
      <c r="EC27" s="56"/>
      <c r="ED27" s="56"/>
      <c r="EE27" s="56"/>
      <c r="EF27" s="56"/>
      <c r="EG27" s="56"/>
      <c r="EH27" s="56"/>
      <c r="EI27" s="56"/>
      <c r="EJ27" s="56"/>
      <c r="EK27" s="15">
        <f t="shared" si="19"/>
        <v>13</v>
      </c>
      <c r="EL27" s="16"/>
      <c r="EM27" s="56"/>
      <c r="EN27" s="56"/>
      <c r="EO27" s="56"/>
      <c r="EP27" s="56"/>
      <c r="EQ27" s="56"/>
      <c r="ER27" s="56"/>
      <c r="ES27" s="55"/>
      <c r="ET27" s="56"/>
      <c r="EU27" s="56"/>
      <c r="EV27" s="15">
        <f t="shared" si="20"/>
        <v>13</v>
      </c>
      <c r="EW27" s="16"/>
      <c r="EX27" s="56"/>
      <c r="EY27" s="55"/>
      <c r="EZ27" s="97"/>
      <c r="FA27" s="838"/>
      <c r="FB27" s="98"/>
      <c r="FC27" s="70"/>
      <c r="FD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</row>
    <row r="28" spans="1:227" ht="14.25" customHeight="1" thickBot="1" thickTop="1">
      <c r="A28" s="15">
        <v>15</v>
      </c>
      <c r="B28" s="468"/>
      <c r="C28" s="468"/>
      <c r="D28" s="293"/>
      <c r="E28" s="293"/>
      <c r="F28" s="299"/>
      <c r="G28" s="15"/>
      <c r="I28" s="21"/>
      <c r="J28" s="21"/>
      <c r="K28" s="142"/>
      <c r="L28" s="15">
        <f t="shared" si="12"/>
        <v>15</v>
      </c>
      <c r="M28" s="29" t="s">
        <v>147</v>
      </c>
      <c r="N28" s="457"/>
      <c r="O28" s="300">
        <f>SUM(N22:N27)</f>
        <v>61596251</v>
      </c>
      <c r="P28" s="15"/>
      <c r="Q28" s="15">
        <v>15</v>
      </c>
      <c r="S28" s="216">
        <v>0.35</v>
      </c>
      <c r="T28" s="55"/>
      <c r="U28" s="48">
        <f t="shared" si="0"/>
        <v>15</v>
      </c>
      <c r="V28" s="136" t="s">
        <v>88</v>
      </c>
      <c r="Z28" s="251">
        <f>-Z25-Z27</f>
        <v>-236343</v>
      </c>
      <c r="AA28" s="77">
        <f t="shared" si="13"/>
        <v>16</v>
      </c>
      <c r="AC28" s="23"/>
      <c r="AO28" s="3"/>
      <c r="AP28" s="48">
        <v>15</v>
      </c>
      <c r="AQ28" s="276" t="s">
        <v>508</v>
      </c>
      <c r="AR28" s="382">
        <f>AR26/4</f>
        <v>46651.5</v>
      </c>
      <c r="AT28" s="397"/>
      <c r="AU28" s="127"/>
      <c r="AV28" s="127"/>
      <c r="AW28" s="127"/>
      <c r="AX28" s="127"/>
      <c r="AY28" s="127"/>
      <c r="AZ28" s="18"/>
      <c r="BA28" s="18"/>
      <c r="BB28" s="18"/>
      <c r="BC28" s="18"/>
      <c r="BE28" s="15">
        <f>BE27+1</f>
        <v>15</v>
      </c>
      <c r="BF28" s="16"/>
      <c r="BG28" s="16"/>
      <c r="BH28" s="16"/>
      <c r="BI28" s="84"/>
      <c r="BJ28" s="84"/>
      <c r="BK28" s="84"/>
      <c r="BL28" s="15">
        <f t="shared" si="4"/>
        <v>15</v>
      </c>
      <c r="BM28" s="461"/>
      <c r="BN28" s="461"/>
      <c r="BO28" s="461"/>
      <c r="BP28" s="244"/>
      <c r="BU28" s="15">
        <f t="shared" si="5"/>
        <v>15</v>
      </c>
      <c r="BV28" s="145"/>
      <c r="BW28" s="146"/>
      <c r="BX28" s="146"/>
      <c r="BY28" s="328"/>
      <c r="BZ28" s="87"/>
      <c r="CA28" s="51"/>
      <c r="CB28" s="51"/>
      <c r="CC28" s="396"/>
      <c r="CD28" s="303"/>
      <c r="CE28" s="226"/>
      <c r="CF28" s="226"/>
      <c r="CG28" s="226"/>
      <c r="CH28" s="226"/>
      <c r="CI28" s="226"/>
      <c r="CJ28" s="343">
        <f t="shared" si="15"/>
        <v>15</v>
      </c>
      <c r="CK28" s="336"/>
      <c r="CL28" s="299">
        <f>SUM(CL24:CL27)</f>
        <v>4074</v>
      </c>
      <c r="CM28" s="299">
        <f>SUM(CM24:CM27)</f>
        <v>1639170</v>
      </c>
      <c r="CN28" s="299">
        <f>SUM(CN24:CN27)</f>
        <v>1635096</v>
      </c>
      <c r="DA28" s="15">
        <f t="shared" si="16"/>
        <v>15</v>
      </c>
      <c r="DB28" s="132" t="s">
        <v>368</v>
      </c>
      <c r="DD28" s="591">
        <f>DD25-DD26</f>
        <v>-90772.6228795643</v>
      </c>
      <c r="DE28" s="591"/>
      <c r="DG28" s="591"/>
      <c r="DK28" s="87">
        <f>+DK27+1</f>
        <v>15</v>
      </c>
      <c r="DL28" s="91" t="s">
        <v>110</v>
      </c>
      <c r="DM28" s="91"/>
      <c r="DN28" s="91"/>
      <c r="DO28" s="73">
        <f>DO14-DM25+DO25</f>
        <v>0.37839965631643396</v>
      </c>
      <c r="DP28" s="104"/>
      <c r="DQ28" s="15">
        <f t="shared" si="17"/>
        <v>14</v>
      </c>
      <c r="DR28" s="16" t="s">
        <v>5</v>
      </c>
      <c r="DS28" s="54">
        <f aca="true" t="shared" si="24" ref="DS28:DX28">SUM(DS25:DS27)</f>
        <v>539655901</v>
      </c>
      <c r="DT28" s="54">
        <f t="shared" si="24"/>
        <v>91599470</v>
      </c>
      <c r="DU28" s="54">
        <f t="shared" si="24"/>
        <v>0</v>
      </c>
      <c r="DV28" s="54">
        <f t="shared" si="24"/>
        <v>0</v>
      </c>
      <c r="DW28" s="54">
        <f t="shared" si="24"/>
        <v>0</v>
      </c>
      <c r="DX28" s="54">
        <f t="shared" si="24"/>
        <v>0</v>
      </c>
      <c r="DY28" s="54">
        <f>SUM(DY25:DY27)</f>
        <v>0</v>
      </c>
      <c r="DZ28" s="54">
        <f>SUM(DZ25:DZ27)</f>
        <v>0</v>
      </c>
      <c r="EA28" s="15">
        <f t="shared" si="18"/>
        <v>14</v>
      </c>
      <c r="EB28" s="16" t="s">
        <v>5</v>
      </c>
      <c r="EC28" s="33">
        <f aca="true" t="shared" si="25" ref="EC28:EJ28">SUM(EC25:EC27)</f>
        <v>0</v>
      </c>
      <c r="ED28" s="33">
        <f t="shared" si="25"/>
        <v>0</v>
      </c>
      <c r="EE28" s="33">
        <f t="shared" si="25"/>
        <v>0</v>
      </c>
      <c r="EF28" s="33">
        <f t="shared" si="25"/>
        <v>0</v>
      </c>
      <c r="EG28" s="54">
        <f t="shared" si="25"/>
        <v>0</v>
      </c>
      <c r="EH28" s="33">
        <f t="shared" si="25"/>
        <v>0</v>
      </c>
      <c r="EI28" s="54">
        <f t="shared" si="25"/>
        <v>0</v>
      </c>
      <c r="EJ28" s="54">
        <f t="shared" si="25"/>
        <v>0</v>
      </c>
      <c r="EK28" s="15">
        <f t="shared" si="19"/>
        <v>14</v>
      </c>
      <c r="EL28" s="16" t="s">
        <v>5</v>
      </c>
      <c r="EM28" s="54">
        <f>SUM(EM25:EM27)</f>
        <v>0</v>
      </c>
      <c r="EN28" s="54">
        <f>SUM(EN25:EN27)</f>
        <v>0</v>
      </c>
      <c r="EO28" s="62">
        <f>SUM(EO23:EO27)</f>
        <v>0</v>
      </c>
      <c r="EP28" s="62"/>
      <c r="EQ28" s="62">
        <f>SUM(EQ23:EQ27)</f>
        <v>0</v>
      </c>
      <c r="ER28" s="62">
        <f>SUM(ER23:ER27)</f>
        <v>0</v>
      </c>
      <c r="ES28" s="54">
        <f>SUM(ES25:ES27)</f>
        <v>0</v>
      </c>
      <c r="ET28" s="33">
        <f>SUM(DT28:EO28)-EK28-EA28</f>
        <v>91599470</v>
      </c>
      <c r="EU28" s="33">
        <f>DS28+ET28</f>
        <v>631255371</v>
      </c>
      <c r="EV28" s="15">
        <f t="shared" si="20"/>
        <v>14</v>
      </c>
      <c r="EW28" s="16" t="s">
        <v>5</v>
      </c>
      <c r="EX28" s="54">
        <f>SUM(EX24:EX27)</f>
        <v>539655901</v>
      </c>
      <c r="EY28" s="54">
        <f>SUM(EY24:EY27)</f>
        <v>91599470</v>
      </c>
      <c r="EZ28" s="54">
        <f>SUM(EZ24:EZ27)</f>
        <v>631255371</v>
      </c>
      <c r="FA28" s="832">
        <f>SUM(FA24:FA27)</f>
        <v>0</v>
      </c>
      <c r="FB28" s="54">
        <f>SUM(FB24:FB27)</f>
        <v>631255371</v>
      </c>
      <c r="FC28" s="62"/>
      <c r="FD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</row>
    <row r="29" spans="1:227" s="91" customFormat="1" ht="14.25" customHeight="1" thickBot="1" thickTop="1">
      <c r="A29" s="15">
        <v>16</v>
      </c>
      <c r="B29" s="469" t="s">
        <v>92</v>
      </c>
      <c r="C29" s="468"/>
      <c r="D29" s="484"/>
      <c r="E29" s="484"/>
      <c r="F29" s="293"/>
      <c r="G29" s="87">
        <f>G27+1</f>
        <v>15</v>
      </c>
      <c r="H29" s="91" t="s">
        <v>109</v>
      </c>
      <c r="I29" s="143"/>
      <c r="J29" s="458">
        <f>K29-SUM(DS43:DS44)</f>
        <v>0</v>
      </c>
      <c r="K29" s="144">
        <f>SUM(K24:K27)</f>
        <v>5506411</v>
      </c>
      <c r="L29" s="15">
        <f t="shared" si="12"/>
        <v>16</v>
      </c>
      <c r="M29" s="3" t="s">
        <v>385</v>
      </c>
      <c r="N29" s="397"/>
      <c r="O29" s="27">
        <f>-O19+O28</f>
        <v>19367136.71083063</v>
      </c>
      <c r="P29" s="15"/>
      <c r="Q29" s="15">
        <v>16</v>
      </c>
      <c r="R29" s="16" t="s">
        <v>88</v>
      </c>
      <c r="S29" s="3"/>
      <c r="T29" s="251">
        <f>-T26-T27</f>
        <v>2426926.45</v>
      </c>
      <c r="U29" s="147"/>
      <c r="V29" s="3"/>
      <c r="W29" s="3"/>
      <c r="X29" s="3"/>
      <c r="Y29" s="3"/>
      <c r="AA29" s="77">
        <f t="shared" si="13"/>
        <v>17</v>
      </c>
      <c r="AB29" s="82" t="s">
        <v>125</v>
      </c>
      <c r="AC29" s="23"/>
      <c r="AD29" s="3"/>
      <c r="AE29" s="303" t="s">
        <v>21</v>
      </c>
      <c r="AK29" s="49"/>
      <c r="AP29" s="48">
        <v>16</v>
      </c>
      <c r="AQ29" s="276" t="s">
        <v>280</v>
      </c>
      <c r="AR29" s="137">
        <v>89936</v>
      </c>
      <c r="AT29" s="397"/>
      <c r="AZ29" s="127"/>
      <c r="BA29" s="127"/>
      <c r="BB29" s="127"/>
      <c r="BC29" s="127"/>
      <c r="BD29" s="3"/>
      <c r="BE29" s="15">
        <f>BE28+1</f>
        <v>16</v>
      </c>
      <c r="BF29" s="88" t="s">
        <v>194</v>
      </c>
      <c r="BG29" s="88"/>
      <c r="BH29" s="88"/>
      <c r="BI29" s="86"/>
      <c r="BJ29" s="86"/>
      <c r="BK29" s="112">
        <f>BK27</f>
        <v>2144338</v>
      </c>
      <c r="BL29" s="15">
        <f t="shared" si="4"/>
        <v>16</v>
      </c>
      <c r="BM29" s="463" t="s">
        <v>42</v>
      </c>
      <c r="BN29" s="464"/>
      <c r="BO29" s="464"/>
      <c r="BP29" s="203"/>
      <c r="BU29" s="15">
        <f t="shared" si="5"/>
        <v>16</v>
      </c>
      <c r="BV29" s="145" t="s">
        <v>194</v>
      </c>
      <c r="BW29" s="146"/>
      <c r="BX29" s="146"/>
      <c r="BY29" s="328">
        <f>BY27</f>
        <v>-992953.9063797825</v>
      </c>
      <c r="BZ29" s="15"/>
      <c r="CA29" s="51"/>
      <c r="CB29" s="51"/>
      <c r="CC29" s="51"/>
      <c r="CD29" s="226"/>
      <c r="CJ29" s="343">
        <f t="shared" si="15"/>
        <v>16</v>
      </c>
      <c r="CK29" s="336"/>
      <c r="CL29" s="413"/>
      <c r="CM29" s="413"/>
      <c r="CN29" s="413"/>
      <c r="CR29" s="377"/>
      <c r="DA29" s="15">
        <f t="shared" si="16"/>
        <v>16</v>
      </c>
      <c r="DE29" s="591"/>
      <c r="DG29" s="51"/>
      <c r="DK29" s="15">
        <f>+DK28+1</f>
        <v>16</v>
      </c>
      <c r="DL29" s="16"/>
      <c r="DM29" s="3"/>
      <c r="DN29" s="149"/>
      <c r="DO29" s="83"/>
      <c r="DP29" s="83"/>
      <c r="DQ29" s="15">
        <f t="shared" si="17"/>
        <v>15</v>
      </c>
      <c r="DR29" s="143"/>
      <c r="DS29" s="49"/>
      <c r="DT29" s="49"/>
      <c r="DU29" s="49"/>
      <c r="DV29" s="49"/>
      <c r="DW29" s="50"/>
      <c r="DX29" s="49"/>
      <c r="DY29" s="94"/>
      <c r="DZ29" s="94"/>
      <c r="EA29" s="15">
        <f t="shared" si="18"/>
        <v>15</v>
      </c>
      <c r="EB29" s="143"/>
      <c r="EC29" s="51"/>
      <c r="ED29" s="51"/>
      <c r="EE29" s="51"/>
      <c r="EF29" s="51"/>
      <c r="EG29" s="50"/>
      <c r="EH29" s="50"/>
      <c r="EI29" s="50"/>
      <c r="EJ29" s="50"/>
      <c r="EK29" s="15">
        <f t="shared" si="19"/>
        <v>15</v>
      </c>
      <c r="EL29" s="143"/>
      <c r="EM29" s="50"/>
      <c r="EN29" s="50"/>
      <c r="EO29" s="50"/>
      <c r="EP29" s="50"/>
      <c r="EQ29" s="50"/>
      <c r="ER29" s="50"/>
      <c r="ES29" s="49"/>
      <c r="ET29" s="49"/>
      <c r="EU29" s="49"/>
      <c r="EV29" s="15">
        <f t="shared" si="20"/>
        <v>15</v>
      </c>
      <c r="EW29" s="143"/>
      <c r="EX29" s="49"/>
      <c r="EY29" s="49"/>
      <c r="EZ29" s="49"/>
      <c r="FA29" s="843"/>
      <c r="FB29" s="49"/>
      <c r="FC29" s="49"/>
      <c r="FD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</row>
    <row r="30" spans="1:227" ht="14.25" customHeight="1" thickBot="1" thickTop="1">
      <c r="A30" s="15">
        <v>17</v>
      </c>
      <c r="B30" s="468" t="s">
        <v>269</v>
      </c>
      <c r="C30" s="468"/>
      <c r="D30" s="471">
        <v>9057891</v>
      </c>
      <c r="E30" s="471">
        <v>0</v>
      </c>
      <c r="F30" s="293">
        <f>E30-D30</f>
        <v>-9057891</v>
      </c>
      <c r="G30" s="15">
        <f>G29+1</f>
        <v>16</v>
      </c>
      <c r="K30" s="116"/>
      <c r="L30" s="15">
        <f t="shared" si="12"/>
        <v>17</v>
      </c>
      <c r="M30" s="3" t="s">
        <v>21</v>
      </c>
      <c r="O30" s="84" t="s">
        <v>21</v>
      </c>
      <c r="P30" s="91"/>
      <c r="Q30" s="15">
        <v>17</v>
      </c>
      <c r="AA30" s="77">
        <f t="shared" si="13"/>
        <v>18</v>
      </c>
      <c r="AB30" s="3" t="s">
        <v>149</v>
      </c>
      <c r="AC30" s="304"/>
      <c r="AD30" s="51"/>
      <c r="AE30" s="55">
        <v>2912989</v>
      </c>
      <c r="AF30" s="28"/>
      <c r="AK30" s="28"/>
      <c r="AO30" s="3"/>
      <c r="AP30" s="48">
        <v>17</v>
      </c>
      <c r="AQ30" s="278" t="s">
        <v>71</v>
      </c>
      <c r="AR30" s="778">
        <f>AR28-AR29</f>
        <v>-43284.5</v>
      </c>
      <c r="AS30" s="382">
        <f>AR30</f>
        <v>-43284.5</v>
      </c>
      <c r="AT30" s="397"/>
      <c r="AY30" s="18"/>
      <c r="AZ30" s="91"/>
      <c r="BA30" s="91"/>
      <c r="BB30" s="91"/>
      <c r="BC30" s="91"/>
      <c r="BD30" s="91"/>
      <c r="BE30" s="15">
        <f>BE29+1</f>
        <v>17</v>
      </c>
      <c r="BF30" s="16" t="s">
        <v>171</v>
      </c>
      <c r="BG30" s="16" t="s">
        <v>193</v>
      </c>
      <c r="BH30" s="202">
        <f>_FEDERAL_INCOME_TAX</f>
        <v>0.35</v>
      </c>
      <c r="BI30" s="84"/>
      <c r="BJ30" s="84"/>
      <c r="BK30" s="59">
        <f>-BK29*BH30</f>
        <v>-750518.2999999999</v>
      </c>
      <c r="BL30" s="15">
        <f t="shared" si="4"/>
        <v>17</v>
      </c>
      <c r="BM30" s="465" t="s">
        <v>307</v>
      </c>
      <c r="BN30" s="459"/>
      <c r="BO30" s="459"/>
      <c r="BP30" s="130">
        <f>+BP17+BP22+BP27</f>
        <v>2775861</v>
      </c>
      <c r="BT30" s="254"/>
      <c r="BU30" s="15">
        <f t="shared" si="5"/>
        <v>17</v>
      </c>
      <c r="BZ30" s="15"/>
      <c r="CA30" s="2"/>
      <c r="CB30" s="2"/>
      <c r="CC30" s="2"/>
      <c r="CD30" s="2"/>
      <c r="CJ30" s="343">
        <f>CJ29+1</f>
        <v>17</v>
      </c>
      <c r="CK30" s="333" t="s">
        <v>247</v>
      </c>
      <c r="CL30" s="297">
        <f>CL21+CL28</f>
        <v>231651</v>
      </c>
      <c r="CM30" s="297">
        <f>CM21+CM28</f>
        <v>1639170</v>
      </c>
      <c r="CN30" s="305">
        <f>CN21+CN28</f>
        <v>1407519</v>
      </c>
      <c r="DA30" s="15">
        <f t="shared" si="16"/>
        <v>17</v>
      </c>
      <c r="DB30" s="468" t="s">
        <v>219</v>
      </c>
      <c r="DC30" s="601">
        <f>DO17</f>
        <v>0.003402857</v>
      </c>
      <c r="DD30" s="591">
        <f>DD28*DC30</f>
        <v>-308.88625517408553</v>
      </c>
      <c r="DE30" s="591"/>
      <c r="DG30" s="2"/>
      <c r="DK30" s="15">
        <f>+DK29+1</f>
        <v>17</v>
      </c>
      <c r="DL30" s="16" t="s">
        <v>25</v>
      </c>
      <c r="DN30" s="2"/>
      <c r="DO30" s="261">
        <f>ROUND(DM25-DO25,7)</f>
        <v>0.6216003</v>
      </c>
      <c r="DP30" s="108"/>
      <c r="DQ30" s="15">
        <f t="shared" si="17"/>
        <v>16</v>
      </c>
      <c r="DR30" s="37" t="s">
        <v>138</v>
      </c>
      <c r="DS30" s="11">
        <v>1520542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15">
        <f t="shared" si="18"/>
        <v>16</v>
      </c>
      <c r="EB30" s="37" t="s">
        <v>138</v>
      </c>
      <c r="EC30" s="58">
        <v>0</v>
      </c>
      <c r="ED30" s="58">
        <v>0</v>
      </c>
      <c r="EE30" s="58">
        <v>0</v>
      </c>
      <c r="EF30" s="58">
        <v>0</v>
      </c>
      <c r="EG30" s="58">
        <f>+BK16+BK17+BK15</f>
        <v>52213</v>
      </c>
      <c r="EH30" s="58">
        <v>0</v>
      </c>
      <c r="EI30" s="58">
        <v>0</v>
      </c>
      <c r="EJ30" s="834">
        <f>SUM(BY15:BY17)</f>
        <v>-23720.833364049828</v>
      </c>
      <c r="EK30" s="15">
        <f t="shared" si="19"/>
        <v>16</v>
      </c>
      <c r="EL30" s="37" t="s">
        <v>138</v>
      </c>
      <c r="EM30" s="58"/>
      <c r="EN30" s="58"/>
      <c r="EO30" s="58"/>
      <c r="EP30" s="58"/>
      <c r="EQ30" s="58"/>
      <c r="ER30" s="58"/>
      <c r="ES30" s="32">
        <v>0</v>
      </c>
      <c r="ET30" s="33">
        <f>SUM(DT30:ES30)-EK30-EA30</f>
        <v>28492.166635950172</v>
      </c>
      <c r="EU30" s="33">
        <f aca="true" t="shared" si="26" ref="EU30:EU44">DS30+ET30</f>
        <v>1549034.16663595</v>
      </c>
      <c r="EV30" s="15">
        <f t="shared" si="20"/>
        <v>16</v>
      </c>
      <c r="EW30" s="113" t="s">
        <v>112</v>
      </c>
      <c r="EX30" s="32">
        <f aca="true" t="shared" si="27" ref="EX30:EX44">DS30</f>
        <v>1520542</v>
      </c>
      <c r="EY30" s="32">
        <f aca="true" t="shared" si="28" ref="EY30:EY40">ET30</f>
        <v>28492.166635950172</v>
      </c>
      <c r="EZ30" s="96">
        <f>EX30+EY30</f>
        <v>1549034.16663595</v>
      </c>
      <c r="FA30" s="837">
        <v>0</v>
      </c>
      <c r="FB30" s="96">
        <f>EZ30+FA30</f>
        <v>1549034.16663595</v>
      </c>
      <c r="FC30" s="96"/>
      <c r="FD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</row>
    <row r="31" spans="1:227" ht="14.25" customHeight="1" thickBot="1" thickTop="1">
      <c r="A31" s="15">
        <v>18</v>
      </c>
      <c r="B31" s="468" t="s">
        <v>268</v>
      </c>
      <c r="C31" s="468"/>
      <c r="D31" s="471">
        <v>530598010</v>
      </c>
      <c r="E31" s="471">
        <v>631255371</v>
      </c>
      <c r="F31" s="293">
        <f>E31-D31</f>
        <v>100657361</v>
      </c>
      <c r="G31" s="15">
        <f>G30+1</f>
        <v>17</v>
      </c>
      <c r="H31" s="16" t="s">
        <v>95</v>
      </c>
      <c r="I31" s="16"/>
      <c r="J31" s="16"/>
      <c r="K31" s="32">
        <f>K17-K24</f>
        <v>-12694120.3</v>
      </c>
      <c r="L31" s="15">
        <f t="shared" si="12"/>
        <v>18</v>
      </c>
      <c r="M31" s="145" t="s">
        <v>148</v>
      </c>
      <c r="N31" s="302">
        <f>_FEDERAL_INCOME_TAX</f>
        <v>0.35</v>
      </c>
      <c r="O31" s="146">
        <f>O29*N31</f>
        <v>6778497.84879072</v>
      </c>
      <c r="Q31" s="15">
        <v>18</v>
      </c>
      <c r="AA31" s="77">
        <f t="shared" si="13"/>
        <v>19</v>
      </c>
      <c r="AB31" s="3" t="s">
        <v>382</v>
      </c>
      <c r="AC31" s="29"/>
      <c r="AD31" s="29"/>
      <c r="AE31" s="57">
        <v>-55635.50511704617</v>
      </c>
      <c r="AF31" s="23"/>
      <c r="AK31" s="28"/>
      <c r="AO31" s="3"/>
      <c r="AP31" s="48">
        <v>18</v>
      </c>
      <c r="AQ31" s="278"/>
      <c r="AR31" s="381"/>
      <c r="AS31" s="382"/>
      <c r="AT31" s="397"/>
      <c r="AW31" s="11"/>
      <c r="AX31" s="165"/>
      <c r="AY31" s="18"/>
      <c r="BE31" s="15">
        <f>BE30+1</f>
        <v>18</v>
      </c>
      <c r="BF31" s="16" t="s">
        <v>88</v>
      </c>
      <c r="BG31" s="16"/>
      <c r="BH31" s="16"/>
      <c r="BK31" s="252">
        <f>-BK29-BK30</f>
        <v>-1393819.7000000002</v>
      </c>
      <c r="BL31" s="15">
        <f t="shared" si="4"/>
        <v>18</v>
      </c>
      <c r="BM31" s="465" t="s">
        <v>141</v>
      </c>
      <c r="BN31" s="401">
        <v>0.6232</v>
      </c>
      <c r="BO31" s="401"/>
      <c r="BP31" s="130">
        <f>+BP30*BN31</f>
        <v>1729916.5751999998</v>
      </c>
      <c r="BU31" s="15">
        <f t="shared" si="5"/>
        <v>18</v>
      </c>
      <c r="BV31" s="16" t="s">
        <v>80</v>
      </c>
      <c r="BW31" s="146"/>
      <c r="BX31" s="331">
        <f>_FEDERAL_INCOME_TAX</f>
        <v>0.35</v>
      </c>
      <c r="BY31" s="328">
        <f>ROUND(-BY29*BX31,0)</f>
        <v>347534</v>
      </c>
      <c r="CJ31" s="343">
        <f t="shared" si="15"/>
        <v>18</v>
      </c>
      <c r="CK31" s="337"/>
      <c r="CL31" s="408"/>
      <c r="CM31" s="408"/>
      <c r="CN31" s="305"/>
      <c r="DA31" s="15">
        <f t="shared" si="16"/>
        <v>18</v>
      </c>
      <c r="DB31" s="468" t="s">
        <v>176</v>
      </c>
      <c r="DC31" s="601">
        <f>DO23</f>
        <v>0.0019</v>
      </c>
      <c r="DD31" s="591">
        <f>DD28*DC31</f>
        <v>-172.46798347117218</v>
      </c>
      <c r="DE31" s="18"/>
      <c r="DG31" s="2"/>
      <c r="DP31" s="165"/>
      <c r="DQ31" s="15">
        <f t="shared" si="17"/>
        <v>17</v>
      </c>
      <c r="DR31" s="16" t="s">
        <v>6</v>
      </c>
      <c r="DS31" s="59">
        <v>445738</v>
      </c>
      <c r="DT31" s="55"/>
      <c r="DU31" s="55"/>
      <c r="DV31" s="55"/>
      <c r="DW31" s="55"/>
      <c r="DX31" s="55"/>
      <c r="DY31" s="59"/>
      <c r="DZ31" s="55"/>
      <c r="EA31" s="15">
        <f t="shared" si="18"/>
        <v>17</v>
      </c>
      <c r="EB31" s="16" t="s">
        <v>6</v>
      </c>
      <c r="EC31" s="55"/>
      <c r="ED31" s="55"/>
      <c r="EE31" s="55"/>
      <c r="EF31" s="55"/>
      <c r="EG31" s="55">
        <f>+BK18</f>
        <v>11874</v>
      </c>
      <c r="EH31" s="74"/>
      <c r="EI31" s="55"/>
      <c r="EJ31" s="830">
        <f>BY18</f>
        <v>-5083.03572086782</v>
      </c>
      <c r="EK31" s="15">
        <f t="shared" si="19"/>
        <v>17</v>
      </c>
      <c r="EL31" s="16" t="s">
        <v>6</v>
      </c>
      <c r="EM31" s="55"/>
      <c r="EN31" s="55"/>
      <c r="EO31" s="55"/>
      <c r="EP31" s="55"/>
      <c r="EQ31" s="55"/>
      <c r="ER31" s="55"/>
      <c r="ES31" s="55"/>
      <c r="ET31" s="830">
        <f>SUM(DT31:ES31)-EK31-EA31</f>
        <v>6790.96427913218</v>
      </c>
      <c r="EU31" s="830">
        <f t="shared" si="26"/>
        <v>452528.9642791322</v>
      </c>
      <c r="EV31" s="15">
        <f t="shared" si="20"/>
        <v>17</v>
      </c>
      <c r="EW31" s="16" t="s">
        <v>6</v>
      </c>
      <c r="EX31" s="55">
        <f t="shared" si="27"/>
        <v>445738</v>
      </c>
      <c r="EY31" s="844">
        <f t="shared" si="28"/>
        <v>6790.96427913218</v>
      </c>
      <c r="EZ31" s="838">
        <f aca="true" t="shared" si="29" ref="EZ31:EZ40">+EX31+EY31</f>
        <v>452528.9642791322</v>
      </c>
      <c r="FA31" s="838"/>
      <c r="FB31" s="838">
        <f aca="true" t="shared" si="30" ref="FB31:FB40">+EZ31+FA31</f>
        <v>452528.9642791322</v>
      </c>
      <c r="FC31" s="97"/>
      <c r="FD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</row>
    <row r="32" spans="1:227" ht="14.25" customHeight="1" thickBot="1" thickTop="1">
      <c r="A32" s="15">
        <v>19</v>
      </c>
      <c r="B32" s="468"/>
      <c r="C32" s="468"/>
      <c r="D32" s="477"/>
      <c r="E32" s="477"/>
      <c r="F32" s="299"/>
      <c r="G32" s="15">
        <f>G31+1</f>
        <v>18</v>
      </c>
      <c r="H32" s="16" t="s">
        <v>111</v>
      </c>
      <c r="K32" s="10">
        <f>(K18+K19)-(K25+K26)</f>
        <v>12742893</v>
      </c>
      <c r="L32" s="15">
        <f t="shared" si="12"/>
        <v>19</v>
      </c>
      <c r="M32" s="3" t="s">
        <v>88</v>
      </c>
      <c r="N32" s="397"/>
      <c r="O32" s="251">
        <f>-O31</f>
        <v>-6778497.84879072</v>
      </c>
      <c r="Q32" s="15">
        <v>19</v>
      </c>
      <c r="AA32" s="77">
        <f t="shared" si="13"/>
        <v>20</v>
      </c>
      <c r="AB32" s="3" t="s">
        <v>21</v>
      </c>
      <c r="AE32" s="55"/>
      <c r="AO32" s="3"/>
      <c r="AP32" s="48">
        <v>19</v>
      </c>
      <c r="AQ32" s="385"/>
      <c r="AR32" s="379"/>
      <c r="AS32" s="142"/>
      <c r="AW32" s="17"/>
      <c r="AX32" s="165"/>
      <c r="AY32" s="18"/>
      <c r="BL32" s="15">
        <f t="shared" si="4"/>
        <v>19</v>
      </c>
      <c r="BM32" s="333" t="s">
        <v>308</v>
      </c>
      <c r="BN32" s="19"/>
      <c r="BO32" s="19"/>
      <c r="BP32" s="137">
        <f>(+BO15+BO20+BO25)*BN31</f>
        <v>1639120.0744</v>
      </c>
      <c r="BU32" s="15">
        <f t="shared" si="5"/>
        <v>19</v>
      </c>
      <c r="BV32" s="16" t="s">
        <v>85</v>
      </c>
      <c r="BW32" s="16"/>
      <c r="BX32" s="145"/>
      <c r="BY32" s="325">
        <f>-BY29-BY31</f>
        <v>645419.9063797825</v>
      </c>
      <c r="CJ32" s="343">
        <f t="shared" si="15"/>
        <v>19</v>
      </c>
      <c r="CK32" s="338" t="s">
        <v>78</v>
      </c>
      <c r="CL32" s="408"/>
      <c r="CM32" s="376">
        <f>_FEDERAL_INCOME_TAX</f>
        <v>0.35</v>
      </c>
      <c r="CN32" s="305">
        <f>-CN30*CM32</f>
        <v>-492631.64999999997</v>
      </c>
      <c r="DA32" s="15">
        <f t="shared" si="16"/>
        <v>19</v>
      </c>
      <c r="DB32" s="468" t="s">
        <v>220</v>
      </c>
      <c r="DC32" s="602">
        <f>DO22</f>
        <v>0.03838892194836</v>
      </c>
      <c r="DD32" s="594">
        <f>DD28*DC32</f>
        <v>-3484.663134771511</v>
      </c>
      <c r="DG32" s="2"/>
      <c r="DO32" s="254"/>
      <c r="DQ32" s="15">
        <f>+DQ31+1</f>
        <v>18</v>
      </c>
      <c r="DR32" s="16" t="s">
        <v>7</v>
      </c>
      <c r="DS32" s="59">
        <v>33307919</v>
      </c>
      <c r="DT32" s="55"/>
      <c r="DU32" s="55"/>
      <c r="DV32" s="55"/>
      <c r="DW32" s="55"/>
      <c r="DX32" s="55"/>
      <c r="DY32" s="59"/>
      <c r="DZ32" s="55"/>
      <c r="EA32" s="15">
        <f>+EA31+1</f>
        <v>18</v>
      </c>
      <c r="EB32" s="16" t="s">
        <v>7</v>
      </c>
      <c r="EC32" s="55"/>
      <c r="ED32" s="55"/>
      <c r="EE32" s="55"/>
      <c r="EF32" s="55"/>
      <c r="EG32" s="55">
        <f>BK19</f>
        <v>1053669</v>
      </c>
      <c r="EH32" s="74"/>
      <c r="EI32" s="55"/>
      <c r="EJ32" s="830">
        <f>BY19</f>
        <v>-426980.43038554164</v>
      </c>
      <c r="EK32" s="15">
        <f>+EK31+1</f>
        <v>18</v>
      </c>
      <c r="EL32" s="16" t="s">
        <v>7</v>
      </c>
      <c r="EM32" s="55"/>
      <c r="EN32" s="55"/>
      <c r="EO32" s="55"/>
      <c r="EP32" s="55"/>
      <c r="EQ32" s="55"/>
      <c r="ER32" s="55"/>
      <c r="ES32" s="55">
        <f>DI17</f>
        <v>-760714.3900000001</v>
      </c>
      <c r="ET32" s="830">
        <f>SUM(DT32:ES32)-EK32-EA32</f>
        <v>-134025.82038554177</v>
      </c>
      <c r="EU32" s="830">
        <f t="shared" si="26"/>
        <v>33173893.17961446</v>
      </c>
      <c r="EV32" s="15">
        <f>+EV31+1</f>
        <v>18</v>
      </c>
      <c r="EW32" s="16" t="s">
        <v>7</v>
      </c>
      <c r="EX32" s="55">
        <f t="shared" si="27"/>
        <v>33307919</v>
      </c>
      <c r="EY32" s="844">
        <f t="shared" si="28"/>
        <v>-134025.82038554177</v>
      </c>
      <c r="EZ32" s="838">
        <f t="shared" si="29"/>
        <v>33173893.17961446</v>
      </c>
      <c r="FA32" s="838"/>
      <c r="FB32" s="838">
        <f t="shared" si="30"/>
        <v>33173893.17961446</v>
      </c>
      <c r="FC32" s="97"/>
      <c r="FD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</row>
    <row r="33" spans="1:227" ht="14.25" customHeight="1" thickBot="1" thickTop="1">
      <c r="A33" s="15">
        <v>20</v>
      </c>
      <c r="B33" s="479" t="s">
        <v>312</v>
      </c>
      <c r="C33" s="468"/>
      <c r="D33" s="490">
        <f>SUM(D30:D32)</f>
        <v>539655901</v>
      </c>
      <c r="E33" s="490">
        <f>SUM(E30:E32)</f>
        <v>631255371</v>
      </c>
      <c r="F33" s="641">
        <f>SUM(F30:F32)</f>
        <v>91599470</v>
      </c>
      <c r="G33" s="15">
        <f>G32+1</f>
        <v>19</v>
      </c>
      <c r="H33" s="3" t="s">
        <v>113</v>
      </c>
      <c r="K33" s="55">
        <f>K20-K27</f>
        <v>-539560</v>
      </c>
      <c r="L33" s="87"/>
      <c r="M33" s="91"/>
      <c r="N33" s="91"/>
      <c r="O33" s="91"/>
      <c r="Q33" s="15">
        <v>20</v>
      </c>
      <c r="AA33" s="77">
        <f t="shared" si="13"/>
        <v>21</v>
      </c>
      <c r="AB33" s="306" t="s">
        <v>130</v>
      </c>
      <c r="AC33" s="83"/>
      <c r="AD33" s="2"/>
      <c r="AE33" s="252">
        <f>SUM(AE29:AE32)</f>
        <v>2857353.494882954</v>
      </c>
      <c r="AO33" s="3"/>
      <c r="AP33" s="48">
        <v>20</v>
      </c>
      <c r="AQ33" s="277" t="s">
        <v>281</v>
      </c>
      <c r="AR33" s="384"/>
      <c r="AS33" s="142"/>
      <c r="AY33" s="18"/>
      <c r="BL33" s="15">
        <f t="shared" si="4"/>
        <v>20</v>
      </c>
      <c r="BM33" s="466" t="s">
        <v>71</v>
      </c>
      <c r="BN33" s="467"/>
      <c r="BO33" s="467"/>
      <c r="BP33" s="245">
        <f>BP31-BP32</f>
        <v>90796.5007999998</v>
      </c>
      <c r="CJ33" s="343">
        <f t="shared" si="15"/>
        <v>20</v>
      </c>
      <c r="CK33" s="339" t="s">
        <v>88</v>
      </c>
      <c r="CL33" s="408"/>
      <c r="CM33" s="408"/>
      <c r="CN33" s="611">
        <f>-CN30-CN32</f>
        <v>-914887.3500000001</v>
      </c>
      <c r="DA33" s="15">
        <f t="shared" si="16"/>
        <v>20</v>
      </c>
      <c r="DB33" s="468" t="s">
        <v>367</v>
      </c>
      <c r="DD33" s="18">
        <f>SUM(DD30:DD32)</f>
        <v>-3966.017373416769</v>
      </c>
      <c r="DE33" s="153"/>
      <c r="DG33" s="591"/>
      <c r="DM33" s="2"/>
      <c r="DQ33" s="15">
        <f t="shared" si="17"/>
        <v>19</v>
      </c>
      <c r="DR33" s="88" t="s">
        <v>8</v>
      </c>
      <c r="DS33" s="59">
        <v>22239694</v>
      </c>
      <c r="DT33" s="829">
        <f>F35</f>
        <v>277258.006465999</v>
      </c>
      <c r="DU33" s="57"/>
      <c r="DV33" s="57"/>
      <c r="DW33" s="55"/>
      <c r="DX33" s="57">
        <f>Z25</f>
        <v>363605</v>
      </c>
      <c r="DY33" s="307"/>
      <c r="DZ33" s="57"/>
      <c r="EA33" s="15">
        <f t="shared" si="18"/>
        <v>19</v>
      </c>
      <c r="EB33" s="88" t="s">
        <v>8</v>
      </c>
      <c r="EC33" s="55"/>
      <c r="ED33" s="55"/>
      <c r="EE33" s="55"/>
      <c r="EF33" s="55"/>
      <c r="EG33" s="55">
        <f>+BK20</f>
        <v>382945</v>
      </c>
      <c r="EH33" s="74"/>
      <c r="EI33" s="55"/>
      <c r="EJ33" s="830">
        <f>BY20</f>
        <v>-158466.86298946448</v>
      </c>
      <c r="EK33" s="15">
        <f t="shared" si="19"/>
        <v>19</v>
      </c>
      <c r="EL33" s="88" t="s">
        <v>8</v>
      </c>
      <c r="EM33" s="55">
        <f>CD14</f>
        <v>131750</v>
      </c>
      <c r="EN33" s="55"/>
      <c r="EO33" s="55"/>
      <c r="EP33" s="55"/>
      <c r="EQ33" s="55"/>
      <c r="ER33" s="55">
        <f>DD30</f>
        <v>-308.88625517408553</v>
      </c>
      <c r="ES33" s="57"/>
      <c r="ET33" s="830">
        <f>SUM(DT33:ES33)-EK33-EA33</f>
        <v>996782.2572213603</v>
      </c>
      <c r="EU33" s="830">
        <f t="shared" si="26"/>
        <v>23236476.25722136</v>
      </c>
      <c r="EV33" s="15">
        <f t="shared" si="20"/>
        <v>19</v>
      </c>
      <c r="EW33" s="88" t="s">
        <v>118</v>
      </c>
      <c r="EX33" s="55">
        <f t="shared" si="27"/>
        <v>22239694</v>
      </c>
      <c r="EY33" s="844">
        <f t="shared" si="28"/>
        <v>996782.2572213603</v>
      </c>
      <c r="EZ33" s="838">
        <f t="shared" si="29"/>
        <v>23236476.25722136</v>
      </c>
      <c r="FA33" s="838">
        <f>FA19*(DO17)</f>
        <v>65841.451333018</v>
      </c>
      <c r="FB33" s="838">
        <f t="shared" si="30"/>
        <v>23302317.708554376</v>
      </c>
      <c r="FC33" s="97"/>
      <c r="FD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</row>
    <row r="34" spans="1:227" ht="14.25" customHeight="1" thickBot="1" thickTop="1">
      <c r="A34" s="15">
        <v>21</v>
      </c>
      <c r="B34" s="468" t="s">
        <v>263</v>
      </c>
      <c r="C34" s="468"/>
      <c r="D34" s="7"/>
      <c r="E34" s="484"/>
      <c r="F34" s="371">
        <v>-34721856</v>
      </c>
      <c r="G34" s="15">
        <f>G33+1</f>
        <v>20</v>
      </c>
      <c r="H34" s="16" t="s">
        <v>114</v>
      </c>
      <c r="I34" s="16"/>
      <c r="J34" s="16"/>
      <c r="K34" s="250">
        <f>-SUM(K31:K33)</f>
        <v>490787.30000000075</v>
      </c>
      <c r="O34" s="33"/>
      <c r="Q34" s="15">
        <v>21</v>
      </c>
      <c r="AA34" s="77">
        <f t="shared" si="13"/>
        <v>22</v>
      </c>
      <c r="AO34" s="3"/>
      <c r="AP34" s="48">
        <v>21</v>
      </c>
      <c r="AQ34" s="278"/>
      <c r="AR34" s="384"/>
      <c r="AS34" s="142"/>
      <c r="AY34" s="18"/>
      <c r="BK34" s="3" t="s">
        <v>21</v>
      </c>
      <c r="BL34" s="15">
        <f t="shared" si="4"/>
        <v>21</v>
      </c>
      <c r="BM34" s="461"/>
      <c r="BN34" s="459"/>
      <c r="BO34" s="459"/>
      <c r="BP34" s="130"/>
      <c r="CJ34" s="343">
        <f t="shared" si="15"/>
        <v>21</v>
      </c>
      <c r="CK34" s="408"/>
      <c r="CL34" s="408"/>
      <c r="CM34" s="408"/>
      <c r="CN34" s="408"/>
      <c r="DA34" s="15">
        <f t="shared" si="16"/>
        <v>21</v>
      </c>
      <c r="DC34" s="198"/>
      <c r="DG34" s="2"/>
      <c r="DM34" s="2"/>
      <c r="DN34" s="200"/>
      <c r="DO34" s="347" t="s">
        <v>496</v>
      </c>
      <c r="DP34" s="29"/>
      <c r="DQ34" s="15">
        <f t="shared" si="17"/>
        <v>20</v>
      </c>
      <c r="DR34" s="16" t="s">
        <v>9</v>
      </c>
      <c r="DS34" s="59">
        <v>3914552</v>
      </c>
      <c r="DT34" s="830"/>
      <c r="DU34" s="55"/>
      <c r="DV34" s="55"/>
      <c r="DW34" s="55"/>
      <c r="DX34" s="55"/>
      <c r="DY34" s="59"/>
      <c r="DZ34" s="55"/>
      <c r="EA34" s="15">
        <f t="shared" si="18"/>
        <v>20</v>
      </c>
      <c r="EB34" s="16" t="s">
        <v>9</v>
      </c>
      <c r="EC34" s="55"/>
      <c r="ED34" s="55"/>
      <c r="EE34" s="55"/>
      <c r="EF34" s="55"/>
      <c r="EG34" s="55">
        <f>+BK21+BK22</f>
        <v>61802</v>
      </c>
      <c r="EH34" s="74"/>
      <c r="EI34" s="55"/>
      <c r="EJ34" s="830">
        <f>BY21+BY22</f>
        <v>-31269.198034711055</v>
      </c>
      <c r="EK34" s="15">
        <f t="shared" si="19"/>
        <v>20</v>
      </c>
      <c r="EL34" s="16" t="s">
        <v>9</v>
      </c>
      <c r="EM34" s="55"/>
      <c r="EN34" s="55"/>
      <c r="EO34" s="55"/>
      <c r="EP34" s="55">
        <f>CS19</f>
        <v>-2095062</v>
      </c>
      <c r="EQ34" s="55"/>
      <c r="ER34" s="55"/>
      <c r="ES34" s="55"/>
      <c r="ET34" s="830">
        <f>SUM(DT34:ES34)-EK34-EA34</f>
        <v>-2064529.198034711</v>
      </c>
      <c r="EU34" s="830">
        <f t="shared" si="26"/>
        <v>1850022.801965289</v>
      </c>
      <c r="EV34" s="15">
        <f t="shared" si="20"/>
        <v>20</v>
      </c>
      <c r="EW34" s="16" t="s">
        <v>9</v>
      </c>
      <c r="EX34" s="55">
        <f t="shared" si="27"/>
        <v>3914552</v>
      </c>
      <c r="EY34" s="844">
        <f t="shared" si="28"/>
        <v>-2064529.198034711</v>
      </c>
      <c r="EZ34" s="838">
        <f t="shared" si="29"/>
        <v>1850022.801965289</v>
      </c>
      <c r="FA34" s="838"/>
      <c r="FB34" s="838">
        <f t="shared" si="30"/>
        <v>1850022.801965289</v>
      </c>
      <c r="FC34" s="97"/>
      <c r="FD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</row>
    <row r="35" spans="1:227" s="29" customFormat="1" ht="14.25" customHeight="1" thickBot="1" thickTop="1">
      <c r="A35" s="15">
        <v>22</v>
      </c>
      <c r="B35" s="468" t="s">
        <v>219</v>
      </c>
      <c r="C35" s="468"/>
      <c r="D35" s="269">
        <f>DO17</f>
        <v>0.003402857</v>
      </c>
      <c r="E35" s="484"/>
      <c r="F35" s="371">
        <f>D35*$F$27</f>
        <v>277258.006465999</v>
      </c>
      <c r="G35" s="15"/>
      <c r="H35" s="16"/>
      <c r="I35" s="19"/>
      <c r="J35" s="80"/>
      <c r="K35" s="142"/>
      <c r="L35" s="15" t="s">
        <v>21</v>
      </c>
      <c r="M35" s="397"/>
      <c r="N35" s="150"/>
      <c r="O35" s="58" t="s">
        <v>21</v>
      </c>
      <c r="P35" s="3"/>
      <c r="Q35" s="15" t="s">
        <v>21</v>
      </c>
      <c r="R35" s="3"/>
      <c r="S35" s="3"/>
      <c r="T35" s="80"/>
      <c r="AA35" s="3"/>
      <c r="AB35" s="3"/>
      <c r="AC35" s="3"/>
      <c r="AD35" s="3"/>
      <c r="AE35" s="3"/>
      <c r="AP35" s="48">
        <v>22</v>
      </c>
      <c r="AQ35" s="278" t="s">
        <v>283</v>
      </c>
      <c r="AR35" s="786">
        <f>2139000-((791030/2)*0.5)</f>
        <v>1941242.5</v>
      </c>
      <c r="AY35" s="270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22" t="s">
        <v>21</v>
      </c>
      <c r="BL35" s="15">
        <f t="shared" si="4"/>
        <v>22</v>
      </c>
      <c r="BM35" s="333" t="s">
        <v>78</v>
      </c>
      <c r="BN35" s="19">
        <f>_FEDERAL_INCOME_TAX</f>
        <v>0.35</v>
      </c>
      <c r="BO35" s="19"/>
      <c r="BP35" s="133">
        <f>ROUND(-BP33*BN35,0)</f>
        <v>-31779</v>
      </c>
      <c r="BT35" s="254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43">
        <f t="shared" si="15"/>
        <v>22</v>
      </c>
      <c r="CK35" s="340" t="s">
        <v>384</v>
      </c>
      <c r="CL35" s="408"/>
      <c r="CM35" s="408"/>
      <c r="CN35" s="408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15">
        <f t="shared" si="16"/>
        <v>22</v>
      </c>
      <c r="DB35" s="468" t="s">
        <v>369</v>
      </c>
      <c r="DC35" s="3"/>
      <c r="DD35" s="153">
        <f>DD28-DD33</f>
        <v>-86806.60550614753</v>
      </c>
      <c r="DE35" s="359"/>
      <c r="DF35" s="3"/>
      <c r="DG35" s="2"/>
      <c r="DH35" s="3"/>
      <c r="DI35" s="3"/>
      <c r="DJ35" s="3"/>
      <c r="DK35" s="114"/>
      <c r="DL35" s="3"/>
      <c r="DM35" s="2"/>
      <c r="DN35" s="3"/>
      <c r="DO35" s="347" t="str">
        <f>DO3</f>
        <v>Exhibit No. ____ (JMR-4)</v>
      </c>
      <c r="DP35" s="3"/>
      <c r="DQ35" s="15">
        <f t="shared" si="17"/>
        <v>21</v>
      </c>
      <c r="DR35" s="16" t="s">
        <v>10</v>
      </c>
      <c r="DS35" s="59">
        <v>3454161</v>
      </c>
      <c r="DT35" s="830"/>
      <c r="DU35" s="55"/>
      <c r="DV35" s="55"/>
      <c r="DW35" s="57">
        <f>T26</f>
        <v>-3733733</v>
      </c>
      <c r="DX35" s="55"/>
      <c r="DY35" s="59"/>
      <c r="DZ35" s="55"/>
      <c r="EA35" s="15">
        <f t="shared" si="18"/>
        <v>21</v>
      </c>
      <c r="EB35" s="16" t="s">
        <v>10</v>
      </c>
      <c r="EC35" s="57"/>
      <c r="ED35" s="57"/>
      <c r="EE35" s="57"/>
      <c r="EF35" s="57"/>
      <c r="EG35" s="57"/>
      <c r="EH35" s="75"/>
      <c r="EI35" s="57"/>
      <c r="EJ35" s="829"/>
      <c r="EK35" s="15">
        <f t="shared" si="19"/>
        <v>21</v>
      </c>
      <c r="EL35" s="16" t="s">
        <v>10</v>
      </c>
      <c r="EM35" s="57"/>
      <c r="EN35" s="57"/>
      <c r="EO35" s="57"/>
      <c r="EP35" s="57"/>
      <c r="EQ35" s="57"/>
      <c r="ER35" s="57"/>
      <c r="ES35" s="55"/>
      <c r="ET35" s="55">
        <f>SUM(DT35:ES35)-EK35-EA35</f>
        <v>-3733733</v>
      </c>
      <c r="EU35" s="55">
        <f t="shared" si="26"/>
        <v>-279572</v>
      </c>
      <c r="EV35" s="15">
        <f t="shared" si="20"/>
        <v>21</v>
      </c>
      <c r="EW35" s="16" t="s">
        <v>10</v>
      </c>
      <c r="EX35" s="55">
        <f t="shared" si="27"/>
        <v>3454161</v>
      </c>
      <c r="EY35" s="130">
        <f t="shared" si="28"/>
        <v>-3733733</v>
      </c>
      <c r="EZ35" s="97">
        <f t="shared" si="29"/>
        <v>-279572</v>
      </c>
      <c r="FA35" s="838"/>
      <c r="FB35" s="97">
        <f t="shared" si="30"/>
        <v>-279572</v>
      </c>
      <c r="FC35" s="97"/>
      <c r="FD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</row>
    <row r="36" spans="1:227" ht="14.25" customHeight="1" thickBot="1" thickTop="1">
      <c r="A36" s="15">
        <v>23</v>
      </c>
      <c r="B36" s="468" t="s">
        <v>176</v>
      </c>
      <c r="C36" s="468"/>
      <c r="D36" s="269">
        <f>DO23</f>
        <v>0.0019</v>
      </c>
      <c r="E36" s="484"/>
      <c r="F36" s="371">
        <f>D36*$F$27</f>
        <v>154808.2133</v>
      </c>
      <c r="G36" s="15"/>
      <c r="H36" s="16"/>
      <c r="I36" s="80"/>
      <c r="J36" s="80"/>
      <c r="K36" s="142"/>
      <c r="L36" s="15"/>
      <c r="M36" s="397"/>
      <c r="N36" s="150"/>
      <c r="O36" s="109"/>
      <c r="Q36" s="15" t="s">
        <v>21</v>
      </c>
      <c r="R36" s="80"/>
      <c r="S36" s="80"/>
      <c r="T36" s="80"/>
      <c r="AA36" s="29"/>
      <c r="AB36" s="29"/>
      <c r="AC36" s="29"/>
      <c r="AD36" s="29"/>
      <c r="AE36" s="29"/>
      <c r="AJ36" s="254"/>
      <c r="AO36" s="3"/>
      <c r="AP36" s="48">
        <v>23</v>
      </c>
      <c r="AQ36" s="278"/>
      <c r="AR36" s="384"/>
      <c r="AS36" s="142"/>
      <c r="AY36" s="18"/>
      <c r="AZ36" s="29"/>
      <c r="BA36" s="29"/>
      <c r="BB36" s="29"/>
      <c r="BC36" s="29"/>
      <c r="BL36" s="15">
        <f t="shared" si="4"/>
        <v>23</v>
      </c>
      <c r="BM36" s="333" t="s">
        <v>88</v>
      </c>
      <c r="BN36" s="459"/>
      <c r="BO36" s="459"/>
      <c r="BP36" s="253">
        <f>-BP33-BP35</f>
        <v>-59017.500799999805</v>
      </c>
      <c r="BZ36" s="40"/>
      <c r="CA36" s="40"/>
      <c r="CB36" s="40"/>
      <c r="CC36" s="40"/>
      <c r="CD36" s="40"/>
      <c r="CJ36" s="343">
        <f t="shared" si="15"/>
        <v>23</v>
      </c>
      <c r="CK36" s="337" t="s">
        <v>248</v>
      </c>
      <c r="CL36" s="297">
        <v>1913663</v>
      </c>
      <c r="CM36" s="297">
        <v>0</v>
      </c>
      <c r="CN36" s="297">
        <f>CM36-CL36</f>
        <v>-1913663</v>
      </c>
      <c r="DA36" s="15">
        <f t="shared" si="16"/>
        <v>23</v>
      </c>
      <c r="DE36" s="153"/>
      <c r="DG36" s="2"/>
      <c r="DK36" s="40"/>
      <c r="DL36" s="40"/>
      <c r="DM36" s="40"/>
      <c r="DN36" s="1" t="s">
        <v>497</v>
      </c>
      <c r="DO36" s="765">
        <f>DO58+1</f>
        <v>28</v>
      </c>
      <c r="DQ36" s="15">
        <f t="shared" si="17"/>
        <v>22</v>
      </c>
      <c r="DR36" s="16" t="s">
        <v>11</v>
      </c>
      <c r="DS36" s="59">
        <v>36522434</v>
      </c>
      <c r="DT36" s="830">
        <f>F36</f>
        <v>154808.2133</v>
      </c>
      <c r="DU36" s="55"/>
      <c r="DV36" s="55"/>
      <c r="DW36" s="55"/>
      <c r="DX36" s="55">
        <v>0</v>
      </c>
      <c r="DY36" s="59">
        <f>AE15</f>
        <v>-536</v>
      </c>
      <c r="DZ36" s="55"/>
      <c r="EA36" s="15">
        <f t="shared" si="18"/>
        <v>22</v>
      </c>
      <c r="EB36" s="16" t="s">
        <v>11</v>
      </c>
      <c r="EC36" s="55">
        <f>AO20</f>
        <v>-1544</v>
      </c>
      <c r="ED36" s="55">
        <f>AS43</f>
        <v>65171.380000000005</v>
      </c>
      <c r="EE36" s="55">
        <f>AY16</f>
        <v>-190680</v>
      </c>
      <c r="EF36" s="55">
        <f>BD17</f>
        <v>2466940</v>
      </c>
      <c r="EG36" s="55">
        <f>+BK23</f>
        <v>458273</v>
      </c>
      <c r="EH36" s="55">
        <f>BP33</f>
        <v>90796.5007999998</v>
      </c>
      <c r="EI36" s="55">
        <f>BT21</f>
        <v>643824.8615999995</v>
      </c>
      <c r="EJ36" s="830">
        <f>BY23</f>
        <v>-285368.214977709</v>
      </c>
      <c r="EK36" s="15">
        <f t="shared" si="19"/>
        <v>22</v>
      </c>
      <c r="EL36" s="16" t="s">
        <v>11</v>
      </c>
      <c r="EM36" s="55"/>
      <c r="EN36" s="55"/>
      <c r="EO36" s="55">
        <f>CN16+CN19+CN27+CN24+CN25</f>
        <v>1540045</v>
      </c>
      <c r="EP36" s="55"/>
      <c r="EQ36" s="55">
        <f>CY18</f>
        <v>-326767.3136834786</v>
      </c>
      <c r="ER36" s="55">
        <f>DD31</f>
        <v>-172.46798347117218</v>
      </c>
      <c r="ES36" s="55"/>
      <c r="ET36" s="830">
        <f>SUM(DT36:ES36)-EK36-EA36</f>
        <v>4614790.95905534</v>
      </c>
      <c r="EU36" s="830">
        <f t="shared" si="26"/>
        <v>41137224.95905534</v>
      </c>
      <c r="EV36" s="15">
        <f t="shared" si="20"/>
        <v>22</v>
      </c>
      <c r="EW36" s="16" t="s">
        <v>11</v>
      </c>
      <c r="EX36" s="55">
        <f t="shared" si="27"/>
        <v>36522434</v>
      </c>
      <c r="EY36" s="844">
        <f t="shared" si="28"/>
        <v>4614790.95905534</v>
      </c>
      <c r="EZ36" s="838">
        <f t="shared" si="29"/>
        <v>41137224.95905534</v>
      </c>
      <c r="FA36" s="838">
        <f>FA19*(DO23)</f>
        <v>36762.8606</v>
      </c>
      <c r="FB36" s="838">
        <f t="shared" si="30"/>
        <v>41173987.819655344</v>
      </c>
      <c r="FC36" s="97"/>
      <c r="FD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</row>
    <row r="37" spans="1:227" ht="14.25" customHeight="1" thickTop="1">
      <c r="A37" s="15">
        <v>24</v>
      </c>
      <c r="B37" s="468" t="s">
        <v>220</v>
      </c>
      <c r="C37" s="468"/>
      <c r="D37" s="269">
        <f>DO22</f>
        <v>0.03838892194836</v>
      </c>
      <c r="E37" s="484"/>
      <c r="F37" s="485">
        <f>D37*$F$27</f>
        <v>3127852.8512309296</v>
      </c>
      <c r="G37" s="15"/>
      <c r="K37" s="33" t="s">
        <v>21</v>
      </c>
      <c r="L37" s="15"/>
      <c r="N37" s="150"/>
      <c r="O37" s="109"/>
      <c r="Q37" s="15" t="s">
        <v>21</v>
      </c>
      <c r="R37" s="80"/>
      <c r="S37" s="80"/>
      <c r="T37" s="80"/>
      <c r="AC37" s="33"/>
      <c r="AE37" s="18"/>
      <c r="AP37" s="48">
        <v>24</v>
      </c>
      <c r="AQ37" s="386" t="s">
        <v>349</v>
      </c>
      <c r="AR37" s="388">
        <f>AR35/2</f>
        <v>970621.25</v>
      </c>
      <c r="AY37" s="18"/>
      <c r="BQ37" s="82"/>
      <c r="BR37" s="2"/>
      <c r="BT37" s="40"/>
      <c r="BU37" s="40"/>
      <c r="BZ37" s="39"/>
      <c r="CA37" s="39"/>
      <c r="CB37" s="39"/>
      <c r="CC37" s="39"/>
      <c r="CD37" s="39"/>
      <c r="CE37" s="40"/>
      <c r="CF37" s="40"/>
      <c r="CG37" s="40"/>
      <c r="CH37" s="40"/>
      <c r="CI37" s="40"/>
      <c r="CJ37" s="343">
        <f t="shared" si="15"/>
        <v>24</v>
      </c>
      <c r="CK37" s="341" t="s">
        <v>249</v>
      </c>
      <c r="CL37" s="228">
        <v>-673004</v>
      </c>
      <c r="CM37" s="228">
        <v>0</v>
      </c>
      <c r="CN37" s="305">
        <f>CM37-CL37</f>
        <v>673004</v>
      </c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15">
        <f t="shared" si="16"/>
        <v>24</v>
      </c>
      <c r="DB37" s="3" t="s">
        <v>370</v>
      </c>
      <c r="DC37" s="600">
        <v>0.35</v>
      </c>
      <c r="DD37" s="153">
        <f>DC37*DD35</f>
        <v>-30382.311927151633</v>
      </c>
      <c r="DF37" s="40"/>
      <c r="DG37" s="117"/>
      <c r="DH37" s="40"/>
      <c r="DI37" s="40"/>
      <c r="DJ37" s="40"/>
      <c r="DK37" s="39" t="str">
        <f>PSE</f>
        <v>PUGET SOUND ENERGY-GAS </v>
      </c>
      <c r="DL37" s="6"/>
      <c r="DM37" s="6"/>
      <c r="DN37" s="6"/>
      <c r="DO37" s="6"/>
      <c r="DQ37" s="15">
        <f t="shared" si="17"/>
        <v>23</v>
      </c>
      <c r="DR37" s="16" t="s">
        <v>197</v>
      </c>
      <c r="DS37" s="59">
        <v>64997955</v>
      </c>
      <c r="DT37" s="830"/>
      <c r="DU37" s="55"/>
      <c r="DV37" s="55"/>
      <c r="DW37" s="55"/>
      <c r="DX37" s="55"/>
      <c r="DY37" s="59">
        <f>AE18</f>
        <v>85323.97685912448</v>
      </c>
      <c r="DZ37" s="55"/>
      <c r="EA37" s="15">
        <f t="shared" si="18"/>
        <v>23</v>
      </c>
      <c r="EB37" s="16" t="s">
        <v>197</v>
      </c>
      <c r="EC37" s="55"/>
      <c r="ED37" s="55"/>
      <c r="EE37" s="55"/>
      <c r="EF37" s="55"/>
      <c r="EG37" s="55"/>
      <c r="EH37" s="74"/>
      <c r="EI37" s="55"/>
      <c r="EJ37" s="830"/>
      <c r="EK37" s="15">
        <f t="shared" si="19"/>
        <v>23</v>
      </c>
      <c r="EL37" s="16" t="s">
        <v>197</v>
      </c>
      <c r="EM37" s="55"/>
      <c r="EN37" s="55"/>
      <c r="EO37" s="55">
        <f>CN17+CN20</f>
        <v>-127285</v>
      </c>
      <c r="EP37" s="55"/>
      <c r="EQ37" s="55"/>
      <c r="ER37" s="55"/>
      <c r="ET37" s="55">
        <f>SUM(DT37:ES37)-EK37-EA37</f>
        <v>-41961.02314087552</v>
      </c>
      <c r="EU37" s="55">
        <f t="shared" si="26"/>
        <v>64955993.97685912</v>
      </c>
      <c r="EV37" s="15">
        <f t="shared" si="20"/>
        <v>23</v>
      </c>
      <c r="EW37" s="16" t="s">
        <v>197</v>
      </c>
      <c r="EX37" s="55">
        <f t="shared" si="27"/>
        <v>64997955</v>
      </c>
      <c r="EY37" s="130">
        <f t="shared" si="28"/>
        <v>-41961.02314087552</v>
      </c>
      <c r="EZ37" s="97">
        <f t="shared" si="29"/>
        <v>64955993.97685912</v>
      </c>
      <c r="FA37" s="838"/>
      <c r="FB37" s="97">
        <f t="shared" si="30"/>
        <v>64955993.97685912</v>
      </c>
      <c r="FC37" s="97"/>
      <c r="FD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</row>
    <row r="38" spans="1:227" ht="14.25" customHeight="1">
      <c r="A38" s="15">
        <v>25</v>
      </c>
      <c r="B38" s="468"/>
      <c r="C38" s="468"/>
      <c r="D38" s="9"/>
      <c r="E38" s="484"/>
      <c r="F38" s="480"/>
      <c r="L38" s="93"/>
      <c r="M38" s="29"/>
      <c r="N38" s="150"/>
      <c r="O38" s="151"/>
      <c r="Q38" s="15" t="s">
        <v>21</v>
      </c>
      <c r="R38" s="80"/>
      <c r="S38" s="80"/>
      <c r="T38" s="397"/>
      <c r="U38" s="3" t="s">
        <v>119</v>
      </c>
      <c r="AE38" s="18"/>
      <c r="AP38" s="48">
        <v>25</v>
      </c>
      <c r="AQ38" s="276" t="s">
        <v>505</v>
      </c>
      <c r="AR38" s="382">
        <f>611585.87+195</f>
        <v>611780.87</v>
      </c>
      <c r="AY38" s="18"/>
      <c r="BU38" s="39"/>
      <c r="BV38" s="40"/>
      <c r="BW38" s="40"/>
      <c r="BX38" s="40"/>
      <c r="BY38" s="40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43">
        <f t="shared" si="15"/>
        <v>25</v>
      </c>
      <c r="CK38" s="341" t="s">
        <v>250</v>
      </c>
      <c r="CL38" s="228">
        <v>-319401</v>
      </c>
      <c r="CM38" s="228">
        <v>0</v>
      </c>
      <c r="CN38" s="305">
        <f>CM38-CL38</f>
        <v>319401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15">
        <f t="shared" si="16"/>
        <v>25</v>
      </c>
      <c r="DF38" s="39"/>
      <c r="DG38" s="603"/>
      <c r="DH38" s="39"/>
      <c r="DI38" s="39"/>
      <c r="DJ38" s="39"/>
      <c r="DK38" s="39" t="s">
        <v>182</v>
      </c>
      <c r="DL38" s="6"/>
      <c r="DM38" s="42"/>
      <c r="DN38" s="6"/>
      <c r="DO38" s="6"/>
      <c r="DQ38" s="15">
        <f t="shared" si="17"/>
        <v>24</v>
      </c>
      <c r="DR38" s="16" t="s">
        <v>51</v>
      </c>
      <c r="DS38" s="59">
        <v>11302712</v>
      </c>
      <c r="DT38" s="830"/>
      <c r="DU38" s="55"/>
      <c r="DV38" s="55"/>
      <c r="DW38" s="55"/>
      <c r="DX38" s="55"/>
      <c r="DY38" s="59"/>
      <c r="DZ38" s="55"/>
      <c r="EA38" s="15">
        <f t="shared" si="18"/>
        <v>24</v>
      </c>
      <c r="EB38" s="16" t="s">
        <v>51</v>
      </c>
      <c r="EC38" s="55"/>
      <c r="ED38" s="55"/>
      <c r="EE38" s="55"/>
      <c r="EF38" s="55"/>
      <c r="EG38" s="55"/>
      <c r="EH38" s="55"/>
      <c r="EI38" s="55"/>
      <c r="EJ38" s="830"/>
      <c r="EK38" s="15">
        <f t="shared" si="19"/>
        <v>24</v>
      </c>
      <c r="EL38" s="16" t="s">
        <v>51</v>
      </c>
      <c r="EM38" s="55"/>
      <c r="EN38" s="55"/>
      <c r="EO38" s="55"/>
      <c r="EP38" s="55"/>
      <c r="EQ38" s="55"/>
      <c r="ER38" s="55"/>
      <c r="ES38" s="55"/>
      <c r="ET38" s="55">
        <f>SUM(DT38:ES38)-EK38-EA38</f>
        <v>0</v>
      </c>
      <c r="EU38" s="55">
        <f t="shared" si="26"/>
        <v>11302712</v>
      </c>
      <c r="EV38" s="15">
        <f t="shared" si="20"/>
        <v>24</v>
      </c>
      <c r="EW38" s="16" t="s">
        <v>51</v>
      </c>
      <c r="EX38" s="55">
        <f t="shared" si="27"/>
        <v>11302712</v>
      </c>
      <c r="EY38" s="130">
        <f>ET38</f>
        <v>0</v>
      </c>
      <c r="EZ38" s="97">
        <f>+EX38+EY38</f>
        <v>11302712</v>
      </c>
      <c r="FA38" s="838"/>
      <c r="FB38" s="97">
        <f>+EZ38+FA38</f>
        <v>11302712</v>
      </c>
      <c r="FC38" s="97"/>
      <c r="FD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</row>
    <row r="39" spans="1:227" ht="14.25" customHeight="1" thickBot="1">
      <c r="A39" s="15">
        <v>26</v>
      </c>
      <c r="B39" s="468" t="s">
        <v>221</v>
      </c>
      <c r="C39" s="468"/>
      <c r="D39" s="484"/>
      <c r="E39" s="484"/>
      <c r="F39" s="486">
        <f>SUM(F33:F38)</f>
        <v>60437533.070996925</v>
      </c>
      <c r="L39" s="15"/>
      <c r="N39" s="150"/>
      <c r="O39" s="109"/>
      <c r="Q39" s="15" t="s">
        <v>21</v>
      </c>
      <c r="R39" s="397"/>
      <c r="S39" s="397"/>
      <c r="T39" s="397"/>
      <c r="AA39" s="3" t="s">
        <v>21</v>
      </c>
      <c r="AP39" s="48">
        <v>26</v>
      </c>
      <c r="AQ39" s="276"/>
      <c r="AR39" s="587"/>
      <c r="AS39" s="142"/>
      <c r="AY39" s="18"/>
      <c r="BU39" s="39"/>
      <c r="BV39" s="39"/>
      <c r="BW39" s="39"/>
      <c r="BX39" s="39"/>
      <c r="BY39" s="39"/>
      <c r="BZ39" s="6"/>
      <c r="CA39" s="6"/>
      <c r="CB39" s="6"/>
      <c r="CC39" s="6"/>
      <c r="CD39" s="6"/>
      <c r="CE39" s="39"/>
      <c r="CF39" s="39"/>
      <c r="CG39" s="39"/>
      <c r="CH39" s="39"/>
      <c r="CI39" s="39"/>
      <c r="CJ39" s="343">
        <f t="shared" si="15"/>
        <v>26</v>
      </c>
      <c r="CK39" s="339" t="s">
        <v>251</v>
      </c>
      <c r="CL39" s="299">
        <f>SUM(CL36:CL38)</f>
        <v>921258</v>
      </c>
      <c r="CM39" s="299">
        <f>SUM(CM36:CM38)</f>
        <v>0</v>
      </c>
      <c r="CN39" s="299">
        <f>SUM(CN36:CN38)</f>
        <v>-921258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15">
        <f t="shared" si="16"/>
        <v>26</v>
      </c>
      <c r="DB39" s="487" t="s">
        <v>191</v>
      </c>
      <c r="DD39" s="364">
        <f>DD35-DD37</f>
        <v>-56424.2935789959</v>
      </c>
      <c r="DE39" s="2"/>
      <c r="DF39" s="39"/>
      <c r="DG39" s="603"/>
      <c r="DH39" s="39"/>
      <c r="DI39" s="39"/>
      <c r="DJ39" s="39"/>
      <c r="DK39" s="6" t="str">
        <f>TESTYEAR</f>
        <v>FOR THE TWELVE MONTHS ENDED SEPTEMBER 30, 2005</v>
      </c>
      <c r="DL39" s="6"/>
      <c r="DM39" s="6"/>
      <c r="DN39" s="6"/>
      <c r="DO39" s="6"/>
      <c r="DQ39" s="15">
        <f t="shared" si="17"/>
        <v>25</v>
      </c>
      <c r="DR39" s="16" t="s">
        <v>120</v>
      </c>
      <c r="DS39" s="59">
        <v>3287</v>
      </c>
      <c r="DT39" s="830"/>
      <c r="DU39" s="55"/>
      <c r="DV39" s="55"/>
      <c r="DW39" s="55"/>
      <c r="DX39" s="55"/>
      <c r="DY39" s="59"/>
      <c r="DZ39" s="55"/>
      <c r="EA39" s="15">
        <f t="shared" si="18"/>
        <v>25</v>
      </c>
      <c r="EB39" s="16" t="s">
        <v>120</v>
      </c>
      <c r="EC39" s="55"/>
      <c r="ED39" s="55"/>
      <c r="EE39" s="55"/>
      <c r="EF39" s="55"/>
      <c r="EG39" s="55"/>
      <c r="EH39" s="74"/>
      <c r="EI39" s="55"/>
      <c r="EJ39" s="830"/>
      <c r="EK39" s="15">
        <f t="shared" si="19"/>
        <v>25</v>
      </c>
      <c r="EL39" s="16" t="s">
        <v>120</v>
      </c>
      <c r="EM39" s="55"/>
      <c r="EN39" s="55"/>
      <c r="EO39" s="55"/>
      <c r="EP39" s="55"/>
      <c r="EQ39" s="55"/>
      <c r="ER39" s="55"/>
      <c r="ES39" s="55"/>
      <c r="ET39" s="55">
        <f>SUM(DT39:ES39)-EK39-EA39</f>
        <v>0</v>
      </c>
      <c r="EU39" s="55">
        <f t="shared" si="26"/>
        <v>3287</v>
      </c>
      <c r="EV39" s="15">
        <f t="shared" si="20"/>
        <v>25</v>
      </c>
      <c r="EW39" s="16" t="s">
        <v>120</v>
      </c>
      <c r="EX39" s="55">
        <f t="shared" si="27"/>
        <v>3287</v>
      </c>
      <c r="EY39" s="130">
        <f t="shared" si="28"/>
        <v>0</v>
      </c>
      <c r="EZ39" s="97">
        <f t="shared" si="29"/>
        <v>3287</v>
      </c>
      <c r="FA39" s="838"/>
      <c r="FB39" s="97">
        <f t="shared" si="30"/>
        <v>3287</v>
      </c>
      <c r="FC39" s="97"/>
      <c r="FD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</row>
    <row r="40" spans="1:227" ht="14.25" customHeight="1" thickBot="1" thickTop="1">
      <c r="A40" s="15">
        <v>26</v>
      </c>
      <c r="B40" s="487"/>
      <c r="C40" s="488"/>
      <c r="D40" s="599"/>
      <c r="E40" s="471"/>
      <c r="F40" s="299"/>
      <c r="L40" s="15"/>
      <c r="N40" s="150"/>
      <c r="O40" s="109"/>
      <c r="Q40" s="3" t="s">
        <v>21</v>
      </c>
      <c r="R40" s="397"/>
      <c r="S40" s="397"/>
      <c r="T40" s="397"/>
      <c r="AP40" s="48">
        <v>27</v>
      </c>
      <c r="AQ40" s="278" t="s">
        <v>71</v>
      </c>
      <c r="AR40" s="586">
        <f>AR37-AR38</f>
        <v>358840.38</v>
      </c>
      <c r="AS40" s="585">
        <f>AR40</f>
        <v>358840.38</v>
      </c>
      <c r="AY40" s="18"/>
      <c r="BR40" s="156"/>
      <c r="BS40" s="156"/>
      <c r="BU40" s="6"/>
      <c r="BV40" s="39"/>
      <c r="BW40" s="39"/>
      <c r="BX40" s="39"/>
      <c r="BY40" s="39"/>
      <c r="BZ40" s="39"/>
      <c r="CA40" s="39"/>
      <c r="CB40" s="39"/>
      <c r="CC40" s="39"/>
      <c r="CD40" s="39"/>
      <c r="CE40" s="6"/>
      <c r="CF40" s="6"/>
      <c r="CG40" s="6"/>
      <c r="CH40" s="6"/>
      <c r="CI40" s="6"/>
      <c r="CJ40" s="343">
        <f t="shared" si="15"/>
        <v>27</v>
      </c>
      <c r="CK40" s="339"/>
      <c r="CL40" s="413"/>
      <c r="CM40" s="413"/>
      <c r="CN40" s="413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39"/>
      <c r="DD40" s="2"/>
      <c r="DE40" s="58"/>
      <c r="DF40" s="6"/>
      <c r="DG40" s="189"/>
      <c r="DH40" s="6"/>
      <c r="DI40" s="6"/>
      <c r="DJ40" s="6"/>
      <c r="DK40" s="39" t="str">
        <f>DOCKET</f>
        <v>GENERAL RATE INCREASE</v>
      </c>
      <c r="DL40" s="6"/>
      <c r="DM40" s="6"/>
      <c r="DN40" s="6"/>
      <c r="DO40" s="6"/>
      <c r="DQ40" s="15">
        <f t="shared" si="17"/>
        <v>26</v>
      </c>
      <c r="DR40" s="16" t="s">
        <v>12</v>
      </c>
      <c r="DS40" s="59">
        <v>150234</v>
      </c>
      <c r="DT40" s="830">
        <v>0</v>
      </c>
      <c r="DU40" s="55"/>
      <c r="DV40" s="55"/>
      <c r="DW40" s="55"/>
      <c r="DX40" s="55"/>
      <c r="DY40" s="55">
        <f>+AE16+AE17</f>
        <v>1420883</v>
      </c>
      <c r="DZ40" s="55"/>
      <c r="EA40" s="15">
        <f t="shared" si="18"/>
        <v>26</v>
      </c>
      <c r="EB40" s="16" t="s">
        <v>12</v>
      </c>
      <c r="EC40" s="55"/>
      <c r="ED40" s="55"/>
      <c r="EE40" s="55"/>
      <c r="EF40" s="55"/>
      <c r="EG40" s="55"/>
      <c r="EH40" s="74"/>
      <c r="EI40" s="55"/>
      <c r="EJ40" s="830"/>
      <c r="EK40" s="15">
        <f t="shared" si="19"/>
        <v>26</v>
      </c>
      <c r="EL40" s="16" t="s">
        <v>12</v>
      </c>
      <c r="EM40" s="55"/>
      <c r="EN40" s="55">
        <f>CH22</f>
        <v>-702893.2933333333</v>
      </c>
      <c r="EO40" s="55"/>
      <c r="EP40" s="55"/>
      <c r="EQ40" s="55"/>
      <c r="ER40" s="55"/>
      <c r="ES40" s="55"/>
      <c r="ET40" s="55">
        <f>SUM(DT40:ES40)-EK40-EA40</f>
        <v>717989.7066666667</v>
      </c>
      <c r="EU40" s="55">
        <f t="shared" si="26"/>
        <v>868223.7066666667</v>
      </c>
      <c r="EV40" s="15">
        <f t="shared" si="20"/>
        <v>26</v>
      </c>
      <c r="EW40" s="16" t="s">
        <v>12</v>
      </c>
      <c r="EX40" s="55">
        <f t="shared" si="27"/>
        <v>150234</v>
      </c>
      <c r="EY40" s="130">
        <f t="shared" si="28"/>
        <v>717989.7066666667</v>
      </c>
      <c r="EZ40" s="97">
        <f t="shared" si="29"/>
        <v>868223.7066666667</v>
      </c>
      <c r="FA40" s="838"/>
      <c r="FB40" s="97">
        <f t="shared" si="30"/>
        <v>868223.7066666667</v>
      </c>
      <c r="FC40" s="97"/>
      <c r="FD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</row>
    <row r="41" spans="1:227" ht="14.25" customHeight="1" thickTop="1">
      <c r="A41" s="15">
        <v>27</v>
      </c>
      <c r="B41" s="487" t="s">
        <v>222</v>
      </c>
      <c r="C41" s="488"/>
      <c r="D41" s="12"/>
      <c r="E41" s="471"/>
      <c r="F41" s="297">
        <f>F27-F39</f>
        <v>21040473.929003075</v>
      </c>
      <c r="L41" s="15"/>
      <c r="N41" s="150"/>
      <c r="O41" s="109"/>
      <c r="P41" s="414"/>
      <c r="R41" s="397"/>
      <c r="S41" s="397"/>
      <c r="T41" s="397"/>
      <c r="AP41" s="48">
        <v>28</v>
      </c>
      <c r="AQ41" s="278"/>
      <c r="AR41" s="390"/>
      <c r="AS41" s="588"/>
      <c r="BQ41" s="158"/>
      <c r="BR41" s="153"/>
      <c r="BS41" s="153"/>
      <c r="BU41" s="39"/>
      <c r="BV41" s="6"/>
      <c r="BW41" s="6"/>
      <c r="BX41" s="6"/>
      <c r="BY41" s="6"/>
      <c r="BZ41" s="43"/>
      <c r="CA41" s="43"/>
      <c r="CB41" s="43"/>
      <c r="CC41" s="43"/>
      <c r="CD41" s="43"/>
      <c r="CE41" s="39"/>
      <c r="CF41" s="39"/>
      <c r="CG41" s="39"/>
      <c r="CH41" s="39"/>
      <c r="CI41" s="39"/>
      <c r="CJ41" s="343">
        <f t="shared" si="15"/>
        <v>28</v>
      </c>
      <c r="CK41" s="337" t="s">
        <v>252</v>
      </c>
      <c r="CL41" s="297">
        <v>1900568</v>
      </c>
      <c r="CM41" s="297">
        <v>0</v>
      </c>
      <c r="CN41" s="297">
        <f>CM41-CL41</f>
        <v>-1900568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6"/>
      <c r="DB41" s="764" t="s">
        <v>495</v>
      </c>
      <c r="DD41" s="58"/>
      <c r="DE41" s="2"/>
      <c r="DH41" s="39"/>
      <c r="DI41" s="39"/>
      <c r="DJ41" s="39"/>
      <c r="DK41" s="40"/>
      <c r="DL41" s="40"/>
      <c r="DM41" s="40"/>
      <c r="DN41" s="40"/>
      <c r="DO41" s="40"/>
      <c r="DQ41" s="15">
        <f aca="true" t="shared" si="31" ref="DQ41:DQ59">+DQ40+1</f>
        <v>27</v>
      </c>
      <c r="DR41" s="3" t="s">
        <v>231</v>
      </c>
      <c r="DS41" s="59">
        <v>0</v>
      </c>
      <c r="DT41" s="831"/>
      <c r="EA41" s="15">
        <f aca="true" t="shared" si="32" ref="EA41:EA59">+EA40+1</f>
        <v>27</v>
      </c>
      <c r="EB41" s="3" t="s">
        <v>231</v>
      </c>
      <c r="EJ41" s="831"/>
      <c r="EK41" s="15">
        <f aca="true" t="shared" si="33" ref="EK41:EK59">+EK40+1</f>
        <v>27</v>
      </c>
      <c r="EL41" s="3" t="s">
        <v>231</v>
      </c>
      <c r="ET41" s="55">
        <f>SUM(DT41:ES41)-EK41-EA41</f>
        <v>0</v>
      </c>
      <c r="EU41" s="55">
        <f t="shared" si="26"/>
        <v>0</v>
      </c>
      <c r="EV41" s="15">
        <f aca="true" t="shared" si="34" ref="EV41:EV59">+EV40+1</f>
        <v>27</v>
      </c>
      <c r="EW41" s="3" t="s">
        <v>231</v>
      </c>
      <c r="EX41" s="55">
        <f t="shared" si="27"/>
        <v>0</v>
      </c>
      <c r="EY41" s="130">
        <f>ET41</f>
        <v>0</v>
      </c>
      <c r="EZ41" s="97">
        <f>+EX41+EY41</f>
        <v>0</v>
      </c>
      <c r="FA41" s="838"/>
      <c r="FB41" s="97">
        <f>+EZ41+FA41</f>
        <v>0</v>
      </c>
      <c r="FC41" s="97"/>
      <c r="FD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</row>
    <row r="42" spans="1:227" ht="14.25" customHeight="1">
      <c r="A42" s="15">
        <v>28</v>
      </c>
      <c r="B42" s="487"/>
      <c r="C42" s="488"/>
      <c r="D42" s="12"/>
      <c r="E42" s="471"/>
      <c r="F42" s="297"/>
      <c r="L42" s="15"/>
      <c r="N42" s="150"/>
      <c r="O42" s="109"/>
      <c r="R42" s="397"/>
      <c r="S42" s="397"/>
      <c r="T42" s="397"/>
      <c r="AP42" s="48">
        <v>29</v>
      </c>
      <c r="AQ42" s="278"/>
      <c r="AR42" s="336"/>
      <c r="AS42" s="389"/>
      <c r="BQ42" s="158"/>
      <c r="BR42" s="153"/>
      <c r="BS42" s="153"/>
      <c r="BT42" s="43"/>
      <c r="BU42" s="43"/>
      <c r="BV42" s="39"/>
      <c r="BW42" s="39"/>
      <c r="BX42" s="39"/>
      <c r="BY42" s="39"/>
      <c r="BZ42" s="40"/>
      <c r="CA42" s="40"/>
      <c r="CB42" s="40"/>
      <c r="CC42" s="40"/>
      <c r="CD42" s="40"/>
      <c r="CE42" s="43"/>
      <c r="CF42" s="43"/>
      <c r="CG42" s="43"/>
      <c r="CH42" s="43"/>
      <c r="CI42" s="43"/>
      <c r="CJ42" s="343">
        <f t="shared" si="15"/>
        <v>29</v>
      </c>
      <c r="CK42" s="341" t="s">
        <v>249</v>
      </c>
      <c r="CL42" s="228">
        <v>-886530</v>
      </c>
      <c r="CM42" s="228">
        <v>0</v>
      </c>
      <c r="CN42" s="305">
        <f>CM42-CL42</f>
        <v>886530</v>
      </c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39"/>
      <c r="DD42" s="2"/>
      <c r="DE42" s="598"/>
      <c r="DF42" s="43"/>
      <c r="DG42" s="43"/>
      <c r="DH42" s="43"/>
      <c r="DI42" s="43"/>
      <c r="DJ42" s="43"/>
      <c r="DK42" s="40"/>
      <c r="DL42" s="40"/>
      <c r="DM42" s="40"/>
      <c r="DN42" s="40"/>
      <c r="DO42" s="40"/>
      <c r="DQ42" s="15">
        <f t="shared" si="31"/>
        <v>28</v>
      </c>
      <c r="DR42" s="16" t="s">
        <v>375</v>
      </c>
      <c r="DS42" s="59">
        <v>83922287</v>
      </c>
      <c r="DT42" s="830">
        <f>+F34+F37</f>
        <v>-31594003.14876907</v>
      </c>
      <c r="DU42" s="55"/>
      <c r="DV42" s="55"/>
      <c r="DW42" s="55"/>
      <c r="DX42" s="55"/>
      <c r="DY42" s="59"/>
      <c r="DZ42" s="55">
        <f>AJ16</f>
        <v>-722193</v>
      </c>
      <c r="EA42" s="15">
        <f t="shared" si="32"/>
        <v>28</v>
      </c>
      <c r="EB42" s="16" t="s">
        <v>375</v>
      </c>
      <c r="EC42" s="55">
        <f>AO16</f>
        <v>-597418</v>
      </c>
      <c r="ED42" s="55"/>
      <c r="EE42" s="55"/>
      <c r="EF42" s="55"/>
      <c r="EG42" s="55">
        <f>+BK26</f>
        <v>123562</v>
      </c>
      <c r="EH42" s="74"/>
      <c r="EI42" s="55"/>
      <c r="EJ42" s="830">
        <f>BY26</f>
        <v>-62065.33090743868</v>
      </c>
      <c r="EK42" s="15">
        <f t="shared" si="33"/>
        <v>28</v>
      </c>
      <c r="EL42" s="16" t="s">
        <v>375</v>
      </c>
      <c r="EM42" s="55"/>
      <c r="EN42" s="55"/>
      <c r="EO42" s="55">
        <f>CN15+CN18+CN26</f>
        <v>-5241</v>
      </c>
      <c r="EP42" s="55"/>
      <c r="EQ42" s="55"/>
      <c r="ER42" s="18">
        <f>DD32</f>
        <v>-3484.663134771511</v>
      </c>
      <c r="ES42" s="55"/>
      <c r="ET42" s="830">
        <f>SUM(DT42:ES42)-EK42-EA42</f>
        <v>-32860843.14281128</v>
      </c>
      <c r="EU42" s="830">
        <f t="shared" si="26"/>
        <v>51061443.85718872</v>
      </c>
      <c r="EV42" s="15">
        <f t="shared" si="34"/>
        <v>28</v>
      </c>
      <c r="EW42" s="16" t="s">
        <v>375</v>
      </c>
      <c r="EX42" s="55">
        <f t="shared" si="27"/>
        <v>83922287</v>
      </c>
      <c r="EY42" s="844">
        <f>ET42</f>
        <v>-32860843.14281128</v>
      </c>
      <c r="EZ42" s="838">
        <f>+EX42+EY42</f>
        <v>51061443.85718872</v>
      </c>
      <c r="FA42" s="838">
        <f>FA19*(DO22)</f>
        <v>742782.4137746522</v>
      </c>
      <c r="FB42" s="838">
        <f>+EZ42+FA42</f>
        <v>51804226.27096337</v>
      </c>
      <c r="FC42" s="97"/>
      <c r="FD42" s="70"/>
      <c r="FH42" s="70"/>
      <c r="FI42" s="70" t="s">
        <v>21</v>
      </c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</row>
    <row r="43" spans="1:227" ht="14.25" customHeight="1">
      <c r="A43" s="15">
        <v>29</v>
      </c>
      <c r="B43" s="487" t="s">
        <v>218</v>
      </c>
      <c r="C43" s="488"/>
      <c r="D43" s="12"/>
      <c r="E43" s="217">
        <f>_FEDERAL_INCOME_TAX</f>
        <v>0.35</v>
      </c>
      <c r="F43" s="489">
        <f>F41*E43</f>
        <v>7364165.875151075</v>
      </c>
      <c r="L43" s="15"/>
      <c r="N43" s="150"/>
      <c r="O43" s="109"/>
      <c r="R43" s="397"/>
      <c r="S43" s="397"/>
      <c r="T43" s="397"/>
      <c r="AP43" s="48">
        <v>30</v>
      </c>
      <c r="AQ43" s="278" t="s">
        <v>282</v>
      </c>
      <c r="AR43" s="336"/>
      <c r="AS43" s="380">
        <f>AS22+AS30+AS40</f>
        <v>65171.380000000005</v>
      </c>
      <c r="AZ43" s="114"/>
      <c r="BQ43" s="158"/>
      <c r="BR43" s="153"/>
      <c r="BS43" s="153"/>
      <c r="BT43" s="40"/>
      <c r="BU43" s="40"/>
      <c r="BV43" s="43"/>
      <c r="BW43" s="43"/>
      <c r="BX43" s="43"/>
      <c r="BY43" s="43"/>
      <c r="BZ43" s="153"/>
      <c r="CA43" s="153"/>
      <c r="CB43" s="153"/>
      <c r="CC43" s="153"/>
      <c r="CD43" s="153"/>
      <c r="CE43" s="40"/>
      <c r="CF43" s="40"/>
      <c r="CG43" s="40"/>
      <c r="CH43" s="40"/>
      <c r="CI43" s="40"/>
      <c r="CJ43" s="343">
        <f t="shared" si="15"/>
        <v>30</v>
      </c>
      <c r="CK43" s="341" t="s">
        <v>250</v>
      </c>
      <c r="CL43" s="228">
        <v>-189119</v>
      </c>
      <c r="CM43" s="228">
        <v>0</v>
      </c>
      <c r="CN43" s="305">
        <f>CM43-CL43</f>
        <v>189119</v>
      </c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3"/>
      <c r="DD43" s="598"/>
      <c r="DE43" s="117"/>
      <c r="DF43" s="40"/>
      <c r="DG43" s="40"/>
      <c r="DH43" s="40"/>
      <c r="DI43" s="40"/>
      <c r="DJ43" s="40"/>
      <c r="DK43" s="14" t="s">
        <v>27</v>
      </c>
      <c r="DL43" s="40"/>
      <c r="DM43" s="14" t="s">
        <v>181</v>
      </c>
      <c r="DN43" s="678"/>
      <c r="DO43" s="14" t="s">
        <v>115</v>
      </c>
      <c r="DP43" s="14"/>
      <c r="DQ43" s="15">
        <f t="shared" si="31"/>
        <v>29</v>
      </c>
      <c r="DR43" s="16" t="s">
        <v>374</v>
      </c>
      <c r="DS43" s="59">
        <v>9529694</v>
      </c>
      <c r="DT43" s="830">
        <f>F43</f>
        <v>7364165.875151075</v>
      </c>
      <c r="DU43" s="55">
        <f>K31</f>
        <v>-12694120.3</v>
      </c>
      <c r="DV43" s="55">
        <f>+O31</f>
        <v>6778497.84879072</v>
      </c>
      <c r="DW43" s="55">
        <f>T27</f>
        <v>1306806.5499999998</v>
      </c>
      <c r="DX43" s="55">
        <f>Z27</f>
        <v>-127262</v>
      </c>
      <c r="DY43" s="59">
        <f>AE24</f>
        <v>-526985</v>
      </c>
      <c r="DZ43" s="55">
        <f>AJ18</f>
        <v>252767.55</v>
      </c>
      <c r="EA43" s="15">
        <f t="shared" si="32"/>
        <v>29</v>
      </c>
      <c r="EB43" s="16" t="s">
        <v>374</v>
      </c>
      <c r="EC43" s="55">
        <f>AO24</f>
        <v>209636.69999999998</v>
      </c>
      <c r="ED43" s="33">
        <f>AS45</f>
        <v>-22809.983</v>
      </c>
      <c r="EE43" s="55">
        <f>AY19</f>
        <v>66738</v>
      </c>
      <c r="EF43" s="55">
        <f>BD20</f>
        <v>-863429</v>
      </c>
      <c r="EG43" s="55">
        <f>BK30</f>
        <v>-750518.2999999999</v>
      </c>
      <c r="EH43" s="55">
        <f>BP35</f>
        <v>-31779</v>
      </c>
      <c r="EI43" s="55">
        <f>BT23</f>
        <v>-225338.7015599998</v>
      </c>
      <c r="EJ43" s="830">
        <f>BY31</f>
        <v>347534</v>
      </c>
      <c r="EK43" s="15">
        <f t="shared" si="33"/>
        <v>29</v>
      </c>
      <c r="EL43" s="16" t="s">
        <v>374</v>
      </c>
      <c r="EM43" s="55"/>
      <c r="EN43" s="55">
        <f>CH24</f>
        <v>246012.65266666666</v>
      </c>
      <c r="EO43" s="55">
        <f>CN32</f>
        <v>-492631.64999999997</v>
      </c>
      <c r="EP43" s="55">
        <f>CS21</f>
        <v>733271.7</v>
      </c>
      <c r="EQ43" s="55">
        <f>CY20</f>
        <v>114368.55978921751</v>
      </c>
      <c r="ER43" s="55">
        <f>DD37</f>
        <v>-30382.311927151633</v>
      </c>
      <c r="ES43" s="55">
        <f>-DI20</f>
        <v>266250.03650000005</v>
      </c>
      <c r="ET43" s="830">
        <f>SUM(DT43:ES43)-EK43-EA43</f>
        <v>1920793.2264105272</v>
      </c>
      <c r="EU43" s="830">
        <f t="shared" si="26"/>
        <v>11450487.226410527</v>
      </c>
      <c r="EV43" s="15">
        <f t="shared" si="34"/>
        <v>29</v>
      </c>
      <c r="EW43" s="16" t="s">
        <v>374</v>
      </c>
      <c r="EX43" s="55">
        <f t="shared" si="27"/>
        <v>9529694</v>
      </c>
      <c r="EY43" s="844">
        <f>ET43</f>
        <v>1920793.2264105272</v>
      </c>
      <c r="EZ43" s="838">
        <f>+EX43+EY43</f>
        <v>11450487.226410527</v>
      </c>
      <c r="FA43" s="838">
        <f>FA19*DO25</f>
        <v>6476220.546002315</v>
      </c>
      <c r="FB43" s="838">
        <f>+EZ43+FA43</f>
        <v>17926707.772412844</v>
      </c>
      <c r="FC43" s="70"/>
      <c r="FD43" s="218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</row>
    <row r="44" spans="1:228" ht="14.25" customHeight="1">
      <c r="A44" s="15">
        <v>30</v>
      </c>
      <c r="B44" s="487"/>
      <c r="C44" s="488"/>
      <c r="D44" s="12"/>
      <c r="E44" s="471"/>
      <c r="F44" s="297"/>
      <c r="L44" s="15"/>
      <c r="N44" s="150"/>
      <c r="O44" s="109"/>
      <c r="Q44" s="397"/>
      <c r="R44" s="397"/>
      <c r="S44" s="397"/>
      <c r="T44" s="80"/>
      <c r="AP44" s="48">
        <v>31</v>
      </c>
      <c r="AQ44" s="385"/>
      <c r="AR44" s="336"/>
      <c r="AS44" s="391"/>
      <c r="BR44" s="158"/>
      <c r="BS44" s="153"/>
      <c r="BT44" s="153"/>
      <c r="BU44" s="153"/>
      <c r="BV44" s="40"/>
      <c r="BW44" s="40"/>
      <c r="BX44" s="40"/>
      <c r="BY44" s="40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343">
        <f t="shared" si="15"/>
        <v>31</v>
      </c>
      <c r="CK44" s="337" t="s">
        <v>253</v>
      </c>
      <c r="CL44" s="299">
        <f>SUM(CL41:CL43)</f>
        <v>824919</v>
      </c>
      <c r="CM44" s="299">
        <f>SUM(CM41:CM43)</f>
        <v>0</v>
      </c>
      <c r="CN44" s="299">
        <f>SUM(CN41:CN43)</f>
        <v>-824919</v>
      </c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40"/>
      <c r="DC44" s="40"/>
      <c r="DD44" s="117"/>
      <c r="DF44" s="153"/>
      <c r="DG44" s="153"/>
      <c r="DH44" s="153"/>
      <c r="DI44" s="153"/>
      <c r="DJ44" s="153"/>
      <c r="DK44" s="309" t="s">
        <v>43</v>
      </c>
      <c r="DL44" s="310" t="s">
        <v>44</v>
      </c>
      <c r="DM44" s="309" t="s">
        <v>121</v>
      </c>
      <c r="DN44" s="309" t="s">
        <v>116</v>
      </c>
      <c r="DO44" s="309" t="s">
        <v>117</v>
      </c>
      <c r="DP44" s="102"/>
      <c r="DQ44" s="15">
        <f t="shared" si="31"/>
        <v>30</v>
      </c>
      <c r="DR44" s="3" t="s">
        <v>15</v>
      </c>
      <c r="DS44" s="68">
        <v>-4023283</v>
      </c>
      <c r="DT44" s="55"/>
      <c r="DU44" s="55">
        <f>K32+K33</f>
        <v>12203333</v>
      </c>
      <c r="DV44" s="55"/>
      <c r="DW44" s="56"/>
      <c r="DX44" s="55"/>
      <c r="DY44" s="55"/>
      <c r="DZ44" s="59"/>
      <c r="EA44" s="15">
        <f t="shared" si="32"/>
        <v>30</v>
      </c>
      <c r="EB44" s="3" t="s">
        <v>15</v>
      </c>
      <c r="EC44" s="56"/>
      <c r="ED44" s="56"/>
      <c r="EE44" s="56"/>
      <c r="EF44" s="56"/>
      <c r="EG44" s="56"/>
      <c r="EH44" s="56"/>
      <c r="EI44" s="56"/>
      <c r="EJ44" s="835"/>
      <c r="EK44" s="15">
        <f t="shared" si="33"/>
        <v>30</v>
      </c>
      <c r="EL44" s="3" t="s">
        <v>15</v>
      </c>
      <c r="EM44" s="56"/>
      <c r="EN44" s="74"/>
      <c r="EO44" s="74"/>
      <c r="EP44" s="74"/>
      <c r="EQ44" s="74"/>
      <c r="ER44" s="74"/>
      <c r="ES44" s="55"/>
      <c r="ET44" s="55">
        <f>SUM(DT44:ES44)-EK44-EA44</f>
        <v>12203333</v>
      </c>
      <c r="EU44" s="56">
        <f t="shared" si="26"/>
        <v>8180050</v>
      </c>
      <c r="EV44" s="15">
        <f t="shared" si="34"/>
        <v>30</v>
      </c>
      <c r="EW44" s="3" t="s">
        <v>15</v>
      </c>
      <c r="EX44" s="56">
        <f t="shared" si="27"/>
        <v>-4023283</v>
      </c>
      <c r="EY44" s="137">
        <f>ET44</f>
        <v>12203333</v>
      </c>
      <c r="EZ44" s="98">
        <f>+EX44+EY44</f>
        <v>8180050</v>
      </c>
      <c r="FA44" s="839"/>
      <c r="FB44" s="98">
        <f>+EZ44+FA44</f>
        <v>8180050</v>
      </c>
      <c r="FC44" s="62"/>
      <c r="FD44" s="415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</row>
    <row r="45" spans="1:228" ht="14.25" customHeight="1" thickBot="1">
      <c r="A45" s="15">
        <v>31</v>
      </c>
      <c r="B45" s="487" t="s">
        <v>191</v>
      </c>
      <c r="C45" s="488"/>
      <c r="D45" s="12"/>
      <c r="E45" s="471"/>
      <c r="F45" s="314">
        <f>F41-F43</f>
        <v>13676308.053852</v>
      </c>
      <c r="L45" s="15"/>
      <c r="N45" s="150"/>
      <c r="O45" s="109"/>
      <c r="Q45" s="397"/>
      <c r="R45" s="80"/>
      <c r="S45" s="80"/>
      <c r="T45" s="80"/>
      <c r="AP45" s="48">
        <v>32</v>
      </c>
      <c r="AQ45" s="385" t="s">
        <v>80</v>
      </c>
      <c r="AR45" s="392">
        <f>_FEDERAL_INCOME_TAX</f>
        <v>0.35</v>
      </c>
      <c r="AS45" s="137">
        <f>-AS43*AR45</f>
        <v>-22809.983</v>
      </c>
      <c r="BR45" s="158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343">
        <f t="shared" si="15"/>
        <v>32</v>
      </c>
      <c r="CK45" s="408"/>
      <c r="CL45" s="413"/>
      <c r="CM45" s="413"/>
      <c r="CN45" s="41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E45" s="153"/>
      <c r="DF45" s="153"/>
      <c r="DG45" s="153"/>
      <c r="DH45" s="153"/>
      <c r="DI45" s="153"/>
      <c r="DJ45" s="153"/>
      <c r="DK45" s="5"/>
      <c r="DL45" s="5"/>
      <c r="DM45" s="5"/>
      <c r="DN45" s="679"/>
      <c r="DO45" s="5"/>
      <c r="DP45" s="5"/>
      <c r="DQ45" s="15">
        <f t="shared" si="31"/>
        <v>31</v>
      </c>
      <c r="DR45" s="16" t="s">
        <v>16</v>
      </c>
      <c r="DS45" s="54">
        <f aca="true" t="shared" si="35" ref="DS45:DX45">SUM(DS30:DS44)</f>
        <v>267287926</v>
      </c>
      <c r="DT45" s="832">
        <f t="shared" si="35"/>
        <v>-23797771.053851996</v>
      </c>
      <c r="DU45" s="54">
        <f t="shared" si="35"/>
        <v>-490787.30000000075</v>
      </c>
      <c r="DV45" s="54">
        <f t="shared" si="35"/>
        <v>6778497.84879072</v>
      </c>
      <c r="DW45" s="54">
        <f t="shared" si="35"/>
        <v>-2426926.45</v>
      </c>
      <c r="DX45" s="54">
        <f t="shared" si="35"/>
        <v>236343</v>
      </c>
      <c r="DY45" s="54">
        <f>SUM(DY30:DY44)</f>
        <v>978685.9768591244</v>
      </c>
      <c r="DZ45" s="54">
        <f>SUM(DZ30:DZ44)</f>
        <v>-469425.45</v>
      </c>
      <c r="EA45" s="15">
        <f t="shared" si="32"/>
        <v>31</v>
      </c>
      <c r="EB45" s="16" t="s">
        <v>16</v>
      </c>
      <c r="EC45" s="54">
        <f aca="true" t="shared" si="36" ref="EC45:EJ45">SUM(EC30:EC44)</f>
        <v>-389325.30000000005</v>
      </c>
      <c r="ED45" s="54">
        <f t="shared" si="36"/>
        <v>42361.397000000004</v>
      </c>
      <c r="EE45" s="54">
        <f t="shared" si="36"/>
        <v>-123942</v>
      </c>
      <c r="EF45" s="54">
        <f t="shared" si="36"/>
        <v>1603511</v>
      </c>
      <c r="EG45" s="54">
        <f t="shared" si="36"/>
        <v>1393819.7000000002</v>
      </c>
      <c r="EH45" s="54">
        <f t="shared" si="36"/>
        <v>59017.500799999805</v>
      </c>
      <c r="EI45" s="54">
        <f t="shared" si="36"/>
        <v>418486.16003999964</v>
      </c>
      <c r="EJ45" s="832">
        <f t="shared" si="36"/>
        <v>-645419.9063797825</v>
      </c>
      <c r="EK45" s="15">
        <f t="shared" si="33"/>
        <v>31</v>
      </c>
      <c r="EL45" s="16" t="s">
        <v>16</v>
      </c>
      <c r="EM45" s="54">
        <f>SUM(EM30:EM44)</f>
        <v>131750</v>
      </c>
      <c r="EN45" s="54">
        <f>SUM(EN30:EN44)</f>
        <v>-456880.6406666667</v>
      </c>
      <c r="EO45" s="54">
        <f>SUM(EO30:EO44)</f>
        <v>914887.3500000001</v>
      </c>
      <c r="EP45" s="54">
        <f>SUM(EP30:EP44)</f>
        <v>-1361790.3</v>
      </c>
      <c r="EQ45" s="54">
        <f>SUM(EQ30:EQ44)</f>
        <v>-212398.7538942611</v>
      </c>
      <c r="ER45" s="54">
        <f>SUM(ER30:ER44)</f>
        <v>-34348.3293005684</v>
      </c>
      <c r="ES45" s="54">
        <f>SUM(ES30:ES44)</f>
        <v>-494464.3535000001</v>
      </c>
      <c r="ET45" s="832">
        <f>SUM(ET30:ET44)</f>
        <v>-18346119.90410343</v>
      </c>
      <c r="EU45" s="832">
        <f>SUM(EU30:EU44)</f>
        <v>248941806.09589657</v>
      </c>
      <c r="EV45" s="15">
        <f t="shared" si="34"/>
        <v>31</v>
      </c>
      <c r="EW45" s="16" t="s">
        <v>16</v>
      </c>
      <c r="EX45" s="54">
        <f>SUM(EX30:EX44)</f>
        <v>267287926</v>
      </c>
      <c r="EY45" s="832">
        <f>SUM(EY30:EY44)</f>
        <v>-18346119.90410343</v>
      </c>
      <c r="EZ45" s="832">
        <f>SUM(EZ30:EZ44)</f>
        <v>248941806.09589657</v>
      </c>
      <c r="FA45" s="832">
        <f>SUM(FA30:FA44)</f>
        <v>7321607.271709986</v>
      </c>
      <c r="FB45" s="832">
        <f>SUM(FB30:FB44)</f>
        <v>256263413.36760655</v>
      </c>
      <c r="FC45" s="33"/>
      <c r="FD45" s="11"/>
      <c r="FH45" s="11" t="s">
        <v>21</v>
      </c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</row>
    <row r="46" spans="12:228" ht="14.25" customHeight="1" thickBot="1" thickTop="1">
      <c r="L46" s="15"/>
      <c r="N46" s="150"/>
      <c r="O46" s="109"/>
      <c r="Q46" s="397"/>
      <c r="R46" s="80"/>
      <c r="S46" s="80"/>
      <c r="T46" s="80"/>
      <c r="AP46" s="48">
        <v>33</v>
      </c>
      <c r="AQ46" s="385" t="s">
        <v>85</v>
      </c>
      <c r="AR46" s="336"/>
      <c r="AS46" s="393">
        <f>-AS43-AS45</f>
        <v>-42361.397000000004</v>
      </c>
      <c r="BR46" s="158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343">
        <f t="shared" si="15"/>
        <v>33</v>
      </c>
      <c r="CK46" s="337" t="s">
        <v>254</v>
      </c>
      <c r="CL46" s="342">
        <f>CL39+CL44</f>
        <v>1746177</v>
      </c>
      <c r="CM46" s="342">
        <f>CM39+CM44</f>
        <v>0</v>
      </c>
      <c r="CN46" s="342">
        <f>CN39+CN44</f>
        <v>-1746177</v>
      </c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">
        <v>1</v>
      </c>
      <c r="DL46" s="3" t="s">
        <v>122</v>
      </c>
      <c r="DM46" s="803">
        <f>DM91</f>
        <v>0.5325</v>
      </c>
      <c r="DN46" s="803">
        <f>DN91</f>
        <v>0.06629107981220658</v>
      </c>
      <c r="DO46" s="311">
        <f>ROUND(DM46*DN46,4)</f>
        <v>0.0353</v>
      </c>
      <c r="DP46" s="72"/>
      <c r="DQ46" s="15">
        <f t="shared" si="31"/>
        <v>32</v>
      </c>
      <c r="DS46" s="33"/>
      <c r="DT46" s="34" t="s">
        <v>21</v>
      </c>
      <c r="DU46" s="34" t="s">
        <v>21</v>
      </c>
      <c r="DV46" s="34" t="s">
        <v>21</v>
      </c>
      <c r="DW46" s="23"/>
      <c r="DX46" s="34" t="s">
        <v>21</v>
      </c>
      <c r="DY46" s="274"/>
      <c r="DZ46" s="95"/>
      <c r="EA46" s="15">
        <f t="shared" si="32"/>
        <v>32</v>
      </c>
      <c r="EC46" s="30"/>
      <c r="ED46" s="30" t="s">
        <v>21</v>
      </c>
      <c r="EE46" s="30"/>
      <c r="EF46" s="30"/>
      <c r="EG46" s="23"/>
      <c r="EH46" s="23"/>
      <c r="EI46" s="23"/>
      <c r="EJ46" s="836"/>
      <c r="EK46" s="15">
        <f t="shared" si="33"/>
        <v>32</v>
      </c>
      <c r="EM46" s="23"/>
      <c r="EN46" s="23"/>
      <c r="EO46" s="23"/>
      <c r="EP46" s="23"/>
      <c r="EQ46" s="23"/>
      <c r="ER46" s="23"/>
      <c r="ES46" s="34" t="s">
        <v>21</v>
      </c>
      <c r="ET46" s="841" t="s">
        <v>21</v>
      </c>
      <c r="EU46" s="841"/>
      <c r="EV46" s="15">
        <f t="shared" si="34"/>
        <v>32</v>
      </c>
      <c r="EX46" s="33"/>
      <c r="EY46" s="840"/>
      <c r="EZ46" s="840" t="s">
        <v>21</v>
      </c>
      <c r="FA46" s="840"/>
      <c r="FB46" s="840"/>
      <c r="FC46" s="11"/>
      <c r="FD46" s="34"/>
      <c r="FF46" s="405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</row>
    <row r="47" spans="1:228" ht="14.25" customHeight="1" thickTop="1">
      <c r="A47" s="15"/>
      <c r="B47" s="16"/>
      <c r="C47" s="37"/>
      <c r="D47" s="12"/>
      <c r="E47" s="55"/>
      <c r="F47" s="69"/>
      <c r="L47" s="15"/>
      <c r="N47" s="150"/>
      <c r="O47" s="109"/>
      <c r="Q47" s="397"/>
      <c r="R47" s="80"/>
      <c r="S47" s="80"/>
      <c r="T47" s="80"/>
      <c r="AL47" s="15"/>
      <c r="AM47" s="113"/>
      <c r="AN47" s="2"/>
      <c r="AO47" s="74"/>
      <c r="AP47" s="74"/>
      <c r="BR47" s="158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408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">
        <v>2</v>
      </c>
      <c r="DL47" s="3" t="s">
        <v>223</v>
      </c>
      <c r="DM47" s="311">
        <f>DM86</f>
        <v>0.0375</v>
      </c>
      <c r="DN47" s="311">
        <f>DN86</f>
        <v>0.0761</v>
      </c>
      <c r="DO47" s="311">
        <f>ROUND(DM47*DN47,4)</f>
        <v>0.0029</v>
      </c>
      <c r="DP47" s="72"/>
      <c r="DQ47" s="15">
        <f t="shared" si="31"/>
        <v>33</v>
      </c>
      <c r="DR47" s="16" t="s">
        <v>17</v>
      </c>
      <c r="DS47" s="11">
        <f aca="true" t="shared" si="37" ref="DS47:DX47">DS19-DS28-DS45</f>
        <v>72496462</v>
      </c>
      <c r="DT47" s="833">
        <f t="shared" si="37"/>
        <v>13676308.053851996</v>
      </c>
      <c r="DU47" s="11">
        <f t="shared" si="37"/>
        <v>490787.30000000075</v>
      </c>
      <c r="DV47" s="11">
        <f t="shared" si="37"/>
        <v>-6778497.84879072</v>
      </c>
      <c r="DW47" s="11">
        <f t="shared" si="37"/>
        <v>2426926.45</v>
      </c>
      <c r="DX47" s="11">
        <f t="shared" si="37"/>
        <v>-236343</v>
      </c>
      <c r="DY47" s="11">
        <f>DY19-DY28-DY45</f>
        <v>-978685.9768591244</v>
      </c>
      <c r="DZ47" s="11">
        <f>DZ19-DZ28-DZ45</f>
        <v>469425.45</v>
      </c>
      <c r="EA47" s="15">
        <f t="shared" si="32"/>
        <v>33</v>
      </c>
      <c r="EB47" s="16" t="s">
        <v>17</v>
      </c>
      <c r="EC47" s="11">
        <f aca="true" t="shared" si="38" ref="EC47:EJ47">EC19-EC28-EC45</f>
        <v>389325.30000000005</v>
      </c>
      <c r="ED47" s="11">
        <f t="shared" si="38"/>
        <v>-42361.397000000004</v>
      </c>
      <c r="EE47" s="11">
        <f t="shared" si="38"/>
        <v>123942</v>
      </c>
      <c r="EF47" s="11">
        <f t="shared" si="38"/>
        <v>-1603511</v>
      </c>
      <c r="EG47" s="11">
        <f t="shared" si="38"/>
        <v>-1393819.7000000002</v>
      </c>
      <c r="EH47" s="11">
        <f t="shared" si="38"/>
        <v>-59017.500799999805</v>
      </c>
      <c r="EI47" s="11">
        <f t="shared" si="38"/>
        <v>-418486.16003999964</v>
      </c>
      <c r="EJ47" s="833">
        <f t="shared" si="38"/>
        <v>645419.9063797825</v>
      </c>
      <c r="EK47" s="15">
        <f t="shared" si="33"/>
        <v>33</v>
      </c>
      <c r="EL47" s="16" t="s">
        <v>17</v>
      </c>
      <c r="EM47" s="11">
        <f aca="true" t="shared" si="39" ref="EM47:ET47">EM19-EM28-EM45</f>
        <v>-131750</v>
      </c>
      <c r="EN47" s="11">
        <f t="shared" si="39"/>
        <v>456880.6406666667</v>
      </c>
      <c r="EO47" s="11">
        <f t="shared" si="39"/>
        <v>-914887.3500000001</v>
      </c>
      <c r="EP47" s="11">
        <f>EP19-EP28-EP45</f>
        <v>1361790.3</v>
      </c>
      <c r="EQ47" s="11">
        <f>EQ19-EQ28-EQ45</f>
        <v>212398.7538942611</v>
      </c>
      <c r="ER47" s="11">
        <f>ER19-ER28-ER45</f>
        <v>-56424.293578995894</v>
      </c>
      <c r="ES47" s="11">
        <f>ES19-ES28-ES45</f>
        <v>494464.3535000001</v>
      </c>
      <c r="ET47" s="833">
        <f t="shared" si="39"/>
        <v>8133884.281223867</v>
      </c>
      <c r="EU47" s="833">
        <f>EU19-EU28-EU45</f>
        <v>80630346.28122392</v>
      </c>
      <c r="EV47" s="15">
        <f t="shared" si="34"/>
        <v>33</v>
      </c>
      <c r="EW47" s="3" t="str">
        <f>DR47</f>
        <v>NET OPERATING INCOME</v>
      </c>
      <c r="EX47" s="11">
        <f>EX19-EX28-EX45</f>
        <v>72496462</v>
      </c>
      <c r="EY47" s="833">
        <f>EY19-EY28-EY45</f>
        <v>8133884.281223867</v>
      </c>
      <c r="EZ47" s="833">
        <f>EZ19-EZ28-EZ45</f>
        <v>80630346.28122392</v>
      </c>
      <c r="FA47" s="833">
        <f>FA19-FA28-FA45</f>
        <v>12027266.728290014</v>
      </c>
      <c r="FB47" s="833">
        <f>FB19-FB28-FB45</f>
        <v>92657613.00951394</v>
      </c>
      <c r="FC47" s="34"/>
      <c r="FD47" s="33"/>
      <c r="FF47" s="416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</row>
    <row r="48" spans="1:162" ht="14.25" customHeight="1">
      <c r="A48" s="15"/>
      <c r="B48" s="16"/>
      <c r="C48" s="37"/>
      <c r="D48" s="12"/>
      <c r="E48" s="55"/>
      <c r="F48" s="297"/>
      <c r="L48" s="15"/>
      <c r="N48" s="150"/>
      <c r="O48" s="109"/>
      <c r="Q48" s="397"/>
      <c r="R48" s="80"/>
      <c r="S48" s="80"/>
      <c r="T48" s="80"/>
      <c r="BR48" s="158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">
        <v>3</v>
      </c>
      <c r="DL48" s="3" t="s">
        <v>124</v>
      </c>
      <c r="DM48" s="801">
        <f>DM85</f>
        <v>0.43</v>
      </c>
      <c r="DN48" s="802">
        <f>DN85</f>
        <v>0.09375</v>
      </c>
      <c r="DO48" s="311">
        <f>ROUND(DM48*DN48,4)</f>
        <v>0.0403</v>
      </c>
      <c r="DP48" s="72"/>
      <c r="DQ48" s="15">
        <f t="shared" si="31"/>
        <v>34</v>
      </c>
      <c r="DS48" s="33"/>
      <c r="DT48" s="33"/>
      <c r="DU48" s="33"/>
      <c r="DV48" s="33"/>
      <c r="DW48" s="20" t="s">
        <v>21</v>
      </c>
      <c r="DX48" s="33"/>
      <c r="DY48" s="33"/>
      <c r="DZ48" s="33"/>
      <c r="EA48" s="15">
        <f t="shared" si="32"/>
        <v>34</v>
      </c>
      <c r="EG48" s="20" t="s">
        <v>21</v>
      </c>
      <c r="EH48" s="20" t="s">
        <v>21</v>
      </c>
      <c r="EI48" s="20" t="s">
        <v>21</v>
      </c>
      <c r="EJ48" s="20"/>
      <c r="EK48" s="15">
        <f t="shared" si="33"/>
        <v>34</v>
      </c>
      <c r="EM48" s="20"/>
      <c r="EN48" s="20"/>
      <c r="EO48" s="20"/>
      <c r="EP48" s="20"/>
      <c r="EQ48" s="20"/>
      <c r="ER48" s="20"/>
      <c r="ES48" s="33"/>
      <c r="ET48" s="28"/>
      <c r="EU48" s="28"/>
      <c r="EV48" s="15">
        <f t="shared" si="34"/>
        <v>34</v>
      </c>
      <c r="EW48" s="16"/>
      <c r="EX48" s="34"/>
      <c r="EY48" s="34"/>
      <c r="EZ48" s="34"/>
      <c r="FA48" s="34"/>
      <c r="FB48" s="34"/>
      <c r="FC48" s="33"/>
      <c r="FF48" s="405"/>
    </row>
    <row r="49" spans="1:228" ht="12.75" customHeight="1">
      <c r="A49" s="15"/>
      <c r="B49" s="16"/>
      <c r="C49" s="37"/>
      <c r="D49" s="12"/>
      <c r="E49" s="55"/>
      <c r="F49" s="297"/>
      <c r="L49" s="15"/>
      <c r="N49" s="150"/>
      <c r="O49" s="109"/>
      <c r="Q49" s="397"/>
      <c r="R49" s="80"/>
      <c r="S49" s="80"/>
      <c r="T49" s="80"/>
      <c r="AL49" s="15"/>
      <c r="BR49" s="158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">
        <f aca="true" t="shared" si="40" ref="DK49:DK54">DK48+1</f>
        <v>4</v>
      </c>
      <c r="DL49" s="3" t="s">
        <v>42</v>
      </c>
      <c r="DM49" s="608">
        <f>SUM(DM46:DM48)</f>
        <v>1</v>
      </c>
      <c r="DN49" s="311"/>
      <c r="DO49" s="608">
        <f>SUM(DO46:DO48)</f>
        <v>0.0785</v>
      </c>
      <c r="DP49" s="103"/>
      <c r="DQ49" s="15">
        <f t="shared" si="31"/>
        <v>35</v>
      </c>
      <c r="DR49" s="16" t="s">
        <v>18</v>
      </c>
      <c r="DS49" s="11">
        <f>DS60</f>
        <v>1179240567</v>
      </c>
      <c r="DT49" s="33"/>
      <c r="DU49" s="33"/>
      <c r="DV49" s="33"/>
      <c r="DW49" s="27"/>
      <c r="DX49" s="33"/>
      <c r="DY49" s="33">
        <f>AE33</f>
        <v>2857353.494882954</v>
      </c>
      <c r="DZ49" s="33"/>
      <c r="EA49" s="15">
        <f t="shared" si="32"/>
        <v>35</v>
      </c>
      <c r="EB49" s="16" t="s">
        <v>18</v>
      </c>
      <c r="EC49" s="33"/>
      <c r="ED49" s="33"/>
      <c r="EE49" s="33"/>
      <c r="EF49" s="33"/>
      <c r="EG49" s="27"/>
      <c r="EH49" s="23"/>
      <c r="EI49" s="58"/>
      <c r="EJ49" s="58"/>
      <c r="EK49" s="15">
        <f t="shared" si="33"/>
        <v>35</v>
      </c>
      <c r="EL49" s="16" t="s">
        <v>18</v>
      </c>
      <c r="EM49" s="58">
        <f>CD29</f>
        <v>0</v>
      </c>
      <c r="EN49" s="58"/>
      <c r="EO49" s="58">
        <f>CN46</f>
        <v>-1746177</v>
      </c>
      <c r="EP49" s="58"/>
      <c r="EQ49" s="58"/>
      <c r="ER49" s="58"/>
      <c r="ES49" s="33">
        <f>DI25</f>
        <v>0</v>
      </c>
      <c r="ET49" s="33">
        <f>SUM(DT49:EO49)-EK49-EA49</f>
        <v>1111176.4948829538</v>
      </c>
      <c r="EU49" s="33">
        <f>DS49+ET49</f>
        <v>1180351743.494883</v>
      </c>
      <c r="EV49" s="15">
        <f t="shared" si="34"/>
        <v>35</v>
      </c>
      <c r="EW49" s="16" t="s">
        <v>18</v>
      </c>
      <c r="EX49" s="33">
        <f>DS49</f>
        <v>1179240567</v>
      </c>
      <c r="EY49" s="159">
        <f>ET49</f>
        <v>1111176.4948829538</v>
      </c>
      <c r="EZ49" s="33">
        <f>+EX49+EY49</f>
        <v>1180351743.494883</v>
      </c>
      <c r="FA49" s="33">
        <v>0</v>
      </c>
      <c r="FB49" s="33">
        <f>+EZ49+FA49</f>
        <v>1180351743.494883</v>
      </c>
      <c r="FD49" s="72"/>
      <c r="FF49" s="416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</row>
    <row r="50" spans="1:162" ht="12.75" customHeight="1">
      <c r="A50" s="15"/>
      <c r="L50" s="15"/>
      <c r="N50" s="150"/>
      <c r="O50" s="109"/>
      <c r="R50" s="80"/>
      <c r="S50" s="80"/>
      <c r="T50" s="80"/>
      <c r="AL50" s="15"/>
      <c r="BR50" s="158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">
        <f t="shared" si="40"/>
        <v>5</v>
      </c>
      <c r="DM50" s="311"/>
      <c r="DN50" s="311"/>
      <c r="DO50" s="311"/>
      <c r="DQ50" s="15">
        <f t="shared" si="31"/>
        <v>36</v>
      </c>
      <c r="DW50" s="23"/>
      <c r="EA50" s="15">
        <f t="shared" si="32"/>
        <v>36</v>
      </c>
      <c r="EG50" s="2"/>
      <c r="EH50" s="2"/>
      <c r="EI50" s="2"/>
      <c r="EJ50" s="2"/>
      <c r="EK50" s="15">
        <f t="shared" si="33"/>
        <v>36</v>
      </c>
      <c r="EM50" s="2"/>
      <c r="EN50" s="2"/>
      <c r="EO50" s="2"/>
      <c r="EP50" s="2"/>
      <c r="EQ50" s="2"/>
      <c r="ER50" s="2"/>
      <c r="ET50" s="28"/>
      <c r="EU50" s="28"/>
      <c r="EV50" s="15">
        <f t="shared" si="34"/>
        <v>36</v>
      </c>
      <c r="FC50" s="72"/>
      <c r="FF50" s="415"/>
    </row>
    <row r="51" spans="1:228" ht="12.75" customHeight="1">
      <c r="A51" s="15"/>
      <c r="L51" s="15"/>
      <c r="N51" s="150"/>
      <c r="O51" s="109"/>
      <c r="R51" s="80"/>
      <c r="S51" s="80"/>
      <c r="T51" s="80"/>
      <c r="AB51" s="397"/>
      <c r="AC51" s="397"/>
      <c r="AD51" s="397"/>
      <c r="AL51" s="15"/>
      <c r="AQ51" s="74"/>
      <c r="AR51" s="74"/>
      <c r="AS51" s="74"/>
      <c r="BR51" s="158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">
        <f t="shared" si="40"/>
        <v>6</v>
      </c>
      <c r="DL51" s="3" t="s">
        <v>184</v>
      </c>
      <c r="DM51" s="311">
        <f>DM46</f>
        <v>0.5325</v>
      </c>
      <c r="DN51" s="311">
        <f>DN46*0.65</f>
        <v>0.04308920187793428</v>
      </c>
      <c r="DO51" s="311">
        <f>ROUND(DO46*0.65,4)</f>
        <v>0.0229</v>
      </c>
      <c r="DQ51" s="15">
        <f t="shared" si="31"/>
        <v>37</v>
      </c>
      <c r="DR51" s="16" t="s">
        <v>19</v>
      </c>
      <c r="DS51" s="160">
        <f>DS47/DS49</f>
        <v>0.06147724563481711</v>
      </c>
      <c r="DW51" s="2"/>
      <c r="EA51" s="15">
        <f t="shared" si="32"/>
        <v>37</v>
      </c>
      <c r="EB51" s="16" t="s">
        <v>19</v>
      </c>
      <c r="EG51" s="2"/>
      <c r="EH51" s="2"/>
      <c r="EI51" s="2"/>
      <c r="EJ51" s="2"/>
      <c r="EK51" s="15">
        <f t="shared" si="33"/>
        <v>37</v>
      </c>
      <c r="EL51" s="16" t="s">
        <v>19</v>
      </c>
      <c r="EM51" s="2"/>
      <c r="EN51" s="2"/>
      <c r="EO51" s="2"/>
      <c r="EP51" s="2"/>
      <c r="EQ51" s="2"/>
      <c r="ER51" s="2"/>
      <c r="ES51" s="161"/>
      <c r="EU51" s="72">
        <f>EU47/EU49</f>
        <v>0.06831043943095041</v>
      </c>
      <c r="EV51" s="15">
        <f t="shared" si="34"/>
        <v>37</v>
      </c>
      <c r="EW51" s="16" t="s">
        <v>19</v>
      </c>
      <c r="EX51" s="72">
        <f>DS51</f>
        <v>0.06147724563481711</v>
      </c>
      <c r="EZ51" s="845">
        <f>EZ47/EZ49</f>
        <v>0.06831043943095041</v>
      </c>
      <c r="FA51" s="72"/>
      <c r="FB51" s="72">
        <f>FB47/FB49</f>
        <v>0.07850000097019014</v>
      </c>
      <c r="FC51" s="100"/>
      <c r="FD51" s="417"/>
      <c r="FH51" s="417"/>
      <c r="FI51" s="417"/>
      <c r="FJ51" s="417"/>
      <c r="FK51" s="417"/>
      <c r="FL51" s="417"/>
      <c r="FM51" s="417"/>
      <c r="FN51" s="417"/>
      <c r="FO51" s="417"/>
      <c r="FP51" s="417"/>
      <c r="FQ51" s="417"/>
      <c r="FR51" s="417"/>
      <c r="FS51" s="417"/>
      <c r="FT51" s="417"/>
      <c r="FU51" s="417"/>
      <c r="FV51" s="417"/>
      <c r="FW51" s="417"/>
      <c r="FX51" s="417"/>
      <c r="FY51" s="417"/>
      <c r="FZ51" s="417"/>
      <c r="GA51" s="417"/>
      <c r="GB51" s="417"/>
      <c r="GC51" s="417"/>
      <c r="GD51" s="417"/>
      <c r="GE51" s="417"/>
      <c r="GF51" s="417"/>
      <c r="GG51" s="417"/>
      <c r="GH51" s="417"/>
      <c r="GI51" s="417"/>
      <c r="GJ51" s="417"/>
      <c r="GK51" s="417"/>
      <c r="GL51" s="417"/>
      <c r="GM51" s="417"/>
      <c r="GN51" s="417"/>
      <c r="GO51" s="417"/>
      <c r="GP51" s="417"/>
      <c r="GQ51" s="417"/>
      <c r="GR51" s="417"/>
      <c r="GS51" s="417"/>
      <c r="GT51" s="417"/>
      <c r="GU51" s="417"/>
      <c r="GV51" s="417"/>
      <c r="GW51" s="417"/>
      <c r="GX51" s="417"/>
      <c r="GY51" s="417"/>
      <c r="GZ51" s="417"/>
      <c r="HA51" s="417"/>
      <c r="HB51" s="417"/>
      <c r="HC51" s="417"/>
      <c r="HD51" s="417"/>
      <c r="HE51" s="417"/>
      <c r="HF51" s="417"/>
      <c r="HG51" s="417"/>
      <c r="HH51" s="417"/>
      <c r="HI51" s="417"/>
      <c r="HJ51" s="417"/>
      <c r="HK51" s="417"/>
      <c r="HL51" s="417"/>
      <c r="HM51" s="417"/>
      <c r="HN51" s="417"/>
      <c r="HO51" s="417"/>
      <c r="HP51" s="417"/>
      <c r="HQ51" s="417"/>
      <c r="HR51" s="417"/>
      <c r="HS51" s="417"/>
      <c r="HT51" s="417"/>
    </row>
    <row r="52" spans="1:228" ht="12.75" customHeight="1">
      <c r="A52" s="15"/>
      <c r="L52" s="15"/>
      <c r="N52" s="150"/>
      <c r="O52" s="109"/>
      <c r="R52" s="80"/>
      <c r="S52" s="80"/>
      <c r="T52" s="80"/>
      <c r="AB52" s="397"/>
      <c r="AC52" s="397"/>
      <c r="AD52" s="397"/>
      <c r="AQ52" s="779" t="s">
        <v>509</v>
      </c>
      <c r="AR52" s="780">
        <f>AR37+AR20+AR28</f>
        <v>1218556.25</v>
      </c>
      <c r="AS52" s="74"/>
      <c r="BR52" s="158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">
        <f t="shared" si="40"/>
        <v>7</v>
      </c>
      <c r="DL52" s="3" t="s">
        <v>123</v>
      </c>
      <c r="DM52" s="311">
        <f>DM47</f>
        <v>0.0375</v>
      </c>
      <c r="DN52" s="311">
        <f>DN47</f>
        <v>0.0761</v>
      </c>
      <c r="DO52" s="311">
        <f>ROUND(DM52*DN52,4)</f>
        <v>0.0029</v>
      </c>
      <c r="DP52" s="60"/>
      <c r="DQ52" s="15">
        <f t="shared" si="31"/>
        <v>38</v>
      </c>
      <c r="EA52" s="15">
        <f t="shared" si="32"/>
        <v>38</v>
      </c>
      <c r="EK52" s="15">
        <f t="shared" si="33"/>
        <v>38</v>
      </c>
      <c r="EV52" s="15">
        <f t="shared" si="34"/>
        <v>38</v>
      </c>
      <c r="EX52" s="100"/>
      <c r="EZ52" s="100"/>
      <c r="FA52" s="100"/>
      <c r="FB52" s="100"/>
      <c r="FD52" s="418"/>
      <c r="FH52" s="418"/>
      <c r="FI52" s="418"/>
      <c r="FJ52" s="418"/>
      <c r="FK52" s="418"/>
      <c r="FL52" s="418"/>
      <c r="FM52" s="418"/>
      <c r="FN52" s="418"/>
      <c r="FO52" s="418"/>
      <c r="FP52" s="418"/>
      <c r="FQ52" s="418"/>
      <c r="FR52" s="418"/>
      <c r="FS52" s="418"/>
      <c r="FT52" s="418"/>
      <c r="FU52" s="418"/>
      <c r="FV52" s="418"/>
      <c r="FW52" s="418"/>
      <c r="FX52" s="418"/>
      <c r="FY52" s="418"/>
      <c r="FZ52" s="418"/>
      <c r="GA52" s="418"/>
      <c r="GB52" s="418"/>
      <c r="GC52" s="418"/>
      <c r="GD52" s="418"/>
      <c r="GE52" s="418"/>
      <c r="GF52" s="418"/>
      <c r="GG52" s="418"/>
      <c r="GH52" s="418"/>
      <c r="GI52" s="418"/>
      <c r="GJ52" s="418"/>
      <c r="GK52" s="418"/>
      <c r="GL52" s="418"/>
      <c r="GM52" s="418"/>
      <c r="GN52" s="418"/>
      <c r="GO52" s="418"/>
      <c r="GP52" s="418"/>
      <c r="GQ52" s="418"/>
      <c r="GR52" s="418"/>
      <c r="GS52" s="418"/>
      <c r="GT52" s="418"/>
      <c r="GU52" s="418"/>
      <c r="GV52" s="418"/>
      <c r="GW52" s="418"/>
      <c r="GX52" s="418"/>
      <c r="GY52" s="418"/>
      <c r="GZ52" s="418"/>
      <c r="HA52" s="418"/>
      <c r="HB52" s="418"/>
      <c r="HC52" s="418"/>
      <c r="HD52" s="418"/>
      <c r="HE52" s="418"/>
      <c r="HF52" s="418"/>
      <c r="HG52" s="418"/>
      <c r="HH52" s="418"/>
      <c r="HI52" s="418"/>
      <c r="HJ52" s="418"/>
      <c r="HK52" s="418"/>
      <c r="HL52" s="418"/>
      <c r="HM52" s="418"/>
      <c r="HN52" s="418"/>
      <c r="HO52" s="418"/>
      <c r="HP52" s="418"/>
      <c r="HQ52" s="418"/>
      <c r="HR52" s="418"/>
      <c r="HS52" s="418"/>
      <c r="HT52" s="418"/>
    </row>
    <row r="53" spans="1:228" ht="12.75" customHeight="1">
      <c r="A53" s="15"/>
      <c r="L53" s="15"/>
      <c r="N53" s="150"/>
      <c r="O53" s="109"/>
      <c r="R53" s="80"/>
      <c r="S53" s="80"/>
      <c r="T53" s="80"/>
      <c r="AB53" s="397"/>
      <c r="AC53" s="397"/>
      <c r="AD53" s="397"/>
      <c r="AG53" s="114"/>
      <c r="AL53" s="15"/>
      <c r="AQ53" s="74"/>
      <c r="AR53" s="74"/>
      <c r="AS53" s="74"/>
      <c r="BR53" s="158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">
        <f t="shared" si="40"/>
        <v>8</v>
      </c>
      <c r="DL53" s="3" t="s">
        <v>124</v>
      </c>
      <c r="DM53" s="312">
        <f>DM48</f>
        <v>0.43</v>
      </c>
      <c r="DN53" s="313">
        <f>DN48</f>
        <v>0.09375</v>
      </c>
      <c r="DO53" s="311">
        <f>ROUND(DM53*DN53,4)</f>
        <v>0.0403</v>
      </c>
      <c r="DP53" s="13"/>
      <c r="DQ53" s="15">
        <f t="shared" si="31"/>
        <v>39</v>
      </c>
      <c r="DR53" s="3" t="s">
        <v>151</v>
      </c>
      <c r="DW53" s="2"/>
      <c r="EA53" s="15">
        <f t="shared" si="32"/>
        <v>39</v>
      </c>
      <c r="EB53" s="3" t="s">
        <v>151</v>
      </c>
      <c r="EG53" s="2"/>
      <c r="EH53" s="2"/>
      <c r="EI53" s="2"/>
      <c r="EJ53" s="2"/>
      <c r="EK53" s="15">
        <f t="shared" si="33"/>
        <v>39</v>
      </c>
      <c r="EL53" s="3" t="s">
        <v>151</v>
      </c>
      <c r="EM53" s="2"/>
      <c r="EN53" s="2"/>
      <c r="EO53" s="2"/>
      <c r="EP53" s="2"/>
      <c r="EQ53" s="2"/>
      <c r="ER53" s="2"/>
      <c r="EU53" s="28"/>
      <c r="EV53" s="15">
        <f t="shared" si="34"/>
        <v>39</v>
      </c>
      <c r="EW53" s="3" t="s">
        <v>151</v>
      </c>
      <c r="FD53" s="419"/>
      <c r="FH53" s="419"/>
      <c r="FI53" s="419"/>
      <c r="FJ53" s="419"/>
      <c r="FK53" s="419"/>
      <c r="FL53" s="419"/>
      <c r="FM53" s="419"/>
      <c r="FN53" s="419"/>
      <c r="FO53" s="419"/>
      <c r="FP53" s="419"/>
      <c r="FQ53" s="419"/>
      <c r="FR53" s="419"/>
      <c r="FS53" s="419"/>
      <c r="FT53" s="419"/>
      <c r="FU53" s="419"/>
      <c r="FV53" s="419"/>
      <c r="FW53" s="419"/>
      <c r="FX53" s="419"/>
      <c r="FY53" s="419"/>
      <c r="FZ53" s="419"/>
      <c r="GA53" s="419"/>
      <c r="GB53" s="419"/>
      <c r="GC53" s="419"/>
      <c r="GD53" s="419"/>
      <c r="GE53" s="419"/>
      <c r="GF53" s="419"/>
      <c r="GG53" s="419"/>
      <c r="GH53" s="419"/>
      <c r="GI53" s="419"/>
      <c r="GJ53" s="419"/>
      <c r="GK53" s="419"/>
      <c r="GL53" s="419"/>
      <c r="GM53" s="419"/>
      <c r="GN53" s="419"/>
      <c r="GO53" s="419"/>
      <c r="GP53" s="419"/>
      <c r="GQ53" s="419"/>
      <c r="GR53" s="419"/>
      <c r="GS53" s="419"/>
      <c r="GT53" s="419"/>
      <c r="GU53" s="419"/>
      <c r="GV53" s="419"/>
      <c r="GW53" s="419"/>
      <c r="GX53" s="419"/>
      <c r="GY53" s="419"/>
      <c r="GZ53" s="419"/>
      <c r="HA53" s="419"/>
      <c r="HB53" s="419"/>
      <c r="HC53" s="419"/>
      <c r="HD53" s="419"/>
      <c r="HE53" s="419"/>
      <c r="HF53" s="419"/>
      <c r="HG53" s="419"/>
      <c r="HH53" s="419"/>
      <c r="HI53" s="419"/>
      <c r="HJ53" s="419"/>
      <c r="HK53" s="419"/>
      <c r="HL53" s="419"/>
      <c r="HM53" s="419"/>
      <c r="HN53" s="419"/>
      <c r="HO53" s="419"/>
      <c r="HP53" s="419"/>
      <c r="HQ53" s="419"/>
      <c r="HR53" s="419"/>
      <c r="HS53" s="419"/>
      <c r="HT53" s="419"/>
    </row>
    <row r="54" spans="1:228" ht="12.75" customHeight="1">
      <c r="A54" s="15"/>
      <c r="L54" s="15"/>
      <c r="N54" s="150"/>
      <c r="O54" s="109"/>
      <c r="R54" s="80"/>
      <c r="S54" s="80"/>
      <c r="T54" s="80"/>
      <c r="AL54" s="15"/>
      <c r="AM54" s="2"/>
      <c r="AN54" s="2"/>
      <c r="AO54" s="74"/>
      <c r="AP54" s="74"/>
      <c r="AQ54" s="74"/>
      <c r="AR54" s="74"/>
      <c r="AS54" s="74"/>
      <c r="BR54" s="158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">
        <f t="shared" si="40"/>
        <v>9</v>
      </c>
      <c r="DL54" s="3" t="s">
        <v>185</v>
      </c>
      <c r="DM54" s="608">
        <f>SUM(DM51:DM53)</f>
        <v>1</v>
      </c>
      <c r="DN54" s="311"/>
      <c r="DO54" s="608">
        <f>SUM(DO51:DO53)</f>
        <v>0.0661</v>
      </c>
      <c r="DP54" s="13"/>
      <c r="DQ54" s="15">
        <f t="shared" si="31"/>
        <v>40</v>
      </c>
      <c r="DR54" s="420" t="s">
        <v>271</v>
      </c>
      <c r="DS54" s="11">
        <f>EX54</f>
        <v>2007347617</v>
      </c>
      <c r="DT54" s="11">
        <v>0</v>
      </c>
      <c r="DU54" s="11">
        <v>0</v>
      </c>
      <c r="DV54" s="11">
        <v>0</v>
      </c>
      <c r="DW54" s="11">
        <v>0</v>
      </c>
      <c r="DX54" s="11">
        <v>0</v>
      </c>
      <c r="DY54" s="11">
        <f>AE30</f>
        <v>2912989</v>
      </c>
      <c r="DZ54" s="11">
        <v>0</v>
      </c>
      <c r="EA54" s="15">
        <f t="shared" si="32"/>
        <v>40</v>
      </c>
      <c r="EB54" s="420" t="s">
        <v>271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0</v>
      </c>
      <c r="EK54" s="15">
        <f t="shared" si="33"/>
        <v>40</v>
      </c>
      <c r="EL54" s="420" t="s">
        <v>271</v>
      </c>
      <c r="EM54" s="11">
        <f>CC26</f>
        <v>0</v>
      </c>
      <c r="EN54" s="11"/>
      <c r="EO54" s="11">
        <f>CN36+CN41</f>
        <v>-3814231</v>
      </c>
      <c r="EP54" s="11"/>
      <c r="EQ54" s="11"/>
      <c r="ER54" s="11"/>
      <c r="ES54" s="11">
        <f>+ES49</f>
        <v>0</v>
      </c>
      <c r="ET54" s="11">
        <f>SUM(DT54:ES54)-EK54-EA54</f>
        <v>-901242</v>
      </c>
      <c r="EU54" s="11">
        <f>+ET54+DS54</f>
        <v>2006446375</v>
      </c>
      <c r="EV54" s="15">
        <f t="shared" si="34"/>
        <v>40</v>
      </c>
      <c r="EW54" s="420" t="s">
        <v>271</v>
      </c>
      <c r="EX54" s="11">
        <v>2007347617</v>
      </c>
      <c r="EY54" s="417">
        <f>+ET54</f>
        <v>-901242</v>
      </c>
      <c r="EZ54" s="11">
        <f>+EY54+EX54</f>
        <v>2006446375</v>
      </c>
      <c r="FB54" s="142"/>
      <c r="FC54" s="419"/>
      <c r="FD54" s="421"/>
      <c r="FH54" s="421"/>
      <c r="FI54" s="421"/>
      <c r="FJ54" s="421"/>
      <c r="FK54" s="421"/>
      <c r="FL54" s="421"/>
      <c r="FM54" s="421"/>
      <c r="FN54" s="421"/>
      <c r="FO54" s="421"/>
      <c r="FP54" s="421"/>
      <c r="FQ54" s="421"/>
      <c r="FR54" s="421"/>
      <c r="FS54" s="421"/>
      <c r="FT54" s="421"/>
      <c r="FU54" s="421"/>
      <c r="FV54" s="421"/>
      <c r="FW54" s="421"/>
      <c r="FX54" s="421"/>
      <c r="FY54" s="421"/>
      <c r="FZ54" s="421"/>
      <c r="GA54" s="421"/>
      <c r="GB54" s="421"/>
      <c r="GC54" s="421"/>
      <c r="GD54" s="421"/>
      <c r="GE54" s="421"/>
      <c r="GF54" s="421"/>
      <c r="GG54" s="421"/>
      <c r="GH54" s="421"/>
      <c r="GI54" s="421"/>
      <c r="GJ54" s="421"/>
      <c r="GK54" s="421"/>
      <c r="GL54" s="421"/>
      <c r="GM54" s="421"/>
      <c r="GN54" s="421"/>
      <c r="GO54" s="421"/>
      <c r="GP54" s="421"/>
      <c r="GQ54" s="421"/>
      <c r="GR54" s="421"/>
      <c r="GS54" s="421"/>
      <c r="GT54" s="421"/>
      <c r="GU54" s="421"/>
      <c r="GV54" s="421"/>
      <c r="GW54" s="421"/>
      <c r="GX54" s="421"/>
      <c r="GY54" s="421"/>
      <c r="GZ54" s="421"/>
      <c r="HA54" s="421"/>
      <c r="HB54" s="421"/>
      <c r="HC54" s="421"/>
      <c r="HD54" s="421"/>
      <c r="HE54" s="421"/>
      <c r="HF54" s="421"/>
      <c r="HG54" s="421"/>
      <c r="HH54" s="421"/>
      <c r="HI54" s="421"/>
      <c r="HJ54" s="421"/>
      <c r="HK54" s="421"/>
      <c r="HL54" s="421"/>
      <c r="HM54" s="421"/>
      <c r="HN54" s="421"/>
      <c r="HO54" s="421"/>
      <c r="HP54" s="421"/>
      <c r="HQ54" s="421"/>
      <c r="HR54" s="421"/>
      <c r="HS54" s="421"/>
      <c r="HT54" s="421"/>
    </row>
    <row r="55" spans="1:228" ht="12.75" customHeight="1">
      <c r="A55" s="15"/>
      <c r="B55" s="16"/>
      <c r="C55" s="37"/>
      <c r="D55" s="12"/>
      <c r="E55" s="55"/>
      <c r="F55" s="230"/>
      <c r="L55" s="15"/>
      <c r="N55" s="150"/>
      <c r="O55" s="109"/>
      <c r="R55" s="80"/>
      <c r="S55" s="80"/>
      <c r="T55" s="80"/>
      <c r="AL55" s="15"/>
      <c r="AM55" s="2"/>
      <c r="AN55" s="162"/>
      <c r="AO55" s="74"/>
      <c r="AP55" s="74"/>
      <c r="AQ55" s="74"/>
      <c r="AR55" s="74"/>
      <c r="AS55" s="74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"/>
      <c r="DM55" s="103"/>
      <c r="DN55" s="72"/>
      <c r="DO55" s="103"/>
      <c r="DP55" s="13"/>
      <c r="DQ55" s="15">
        <f t="shared" si="31"/>
        <v>41</v>
      </c>
      <c r="DR55" s="419" t="s">
        <v>152</v>
      </c>
      <c r="DS55" s="59">
        <f>EX55</f>
        <v>-650335811</v>
      </c>
      <c r="DT55" s="59"/>
      <c r="DU55" s="59"/>
      <c r="DV55" s="59"/>
      <c r="DW55" s="59"/>
      <c r="DX55" s="59"/>
      <c r="DY55" s="59">
        <f>AE31</f>
        <v>-55635.50511704617</v>
      </c>
      <c r="DZ55" s="59"/>
      <c r="EA55" s="15">
        <f t="shared" si="32"/>
        <v>41</v>
      </c>
      <c r="EB55" s="419" t="s">
        <v>152</v>
      </c>
      <c r="EC55" s="59"/>
      <c r="ED55" s="59"/>
      <c r="EE55" s="59"/>
      <c r="EF55" s="59"/>
      <c r="EG55" s="59"/>
      <c r="EH55" s="59"/>
      <c r="EI55" s="59"/>
      <c r="EJ55" s="59"/>
      <c r="EK55" s="15">
        <f t="shared" si="33"/>
        <v>41</v>
      </c>
      <c r="EL55" s="419" t="s">
        <v>152</v>
      </c>
      <c r="EM55" s="140">
        <f>CC27</f>
        <v>0</v>
      </c>
      <c r="EN55" s="140"/>
      <c r="EO55" s="140">
        <f>CN37+CN42</f>
        <v>1559534</v>
      </c>
      <c r="EP55" s="140"/>
      <c r="EQ55" s="140"/>
      <c r="ER55" s="140"/>
      <c r="ES55" s="59"/>
      <c r="ET55" s="140">
        <f>SUM(DT55:ES55)-EK55-EA55</f>
        <v>1503898.4948829538</v>
      </c>
      <c r="EU55" s="59">
        <f>+ET55+DS55</f>
        <v>-648831912.505117</v>
      </c>
      <c r="EV55" s="15">
        <f t="shared" si="34"/>
        <v>41</v>
      </c>
      <c r="EW55" s="419" t="s">
        <v>152</v>
      </c>
      <c r="EX55" s="59">
        <v>-650335811</v>
      </c>
      <c r="EY55" s="59">
        <f>+ET55</f>
        <v>1503898.4948829538</v>
      </c>
      <c r="EZ55" s="59">
        <f>+EY55+EX55</f>
        <v>-648831912.505117</v>
      </c>
      <c r="FA55" s="419"/>
      <c r="FB55" s="142"/>
      <c r="FC55" s="421"/>
      <c r="FD55" s="417"/>
      <c r="FH55" s="417"/>
      <c r="FI55" s="417"/>
      <c r="FJ55" s="417"/>
      <c r="FK55" s="417"/>
      <c r="FL55" s="417"/>
      <c r="FM55" s="417"/>
      <c r="FN55" s="417"/>
      <c r="FO55" s="417"/>
      <c r="FP55" s="417"/>
      <c r="FQ55" s="417"/>
      <c r="FR55" s="417"/>
      <c r="FS55" s="417"/>
      <c r="FT55" s="417"/>
      <c r="FU55" s="417"/>
      <c r="FV55" s="417"/>
      <c r="FW55" s="417"/>
      <c r="FX55" s="417"/>
      <c r="FY55" s="417"/>
      <c r="FZ55" s="417"/>
      <c r="GA55" s="417"/>
      <c r="GB55" s="417"/>
      <c r="GC55" s="417"/>
      <c r="GD55" s="417"/>
      <c r="GE55" s="417"/>
      <c r="GF55" s="417"/>
      <c r="GG55" s="417"/>
      <c r="GH55" s="417"/>
      <c r="GI55" s="417"/>
      <c r="GJ55" s="417"/>
      <c r="GK55" s="417"/>
      <c r="GL55" s="417"/>
      <c r="GM55" s="417"/>
      <c r="GN55" s="417"/>
      <c r="GO55" s="417"/>
      <c r="GP55" s="417"/>
      <c r="GQ55" s="417"/>
      <c r="GR55" s="417"/>
      <c r="GS55" s="417"/>
      <c r="GT55" s="417"/>
      <c r="GU55" s="417"/>
      <c r="GV55" s="417"/>
      <c r="GW55" s="417"/>
      <c r="GX55" s="417"/>
      <c r="GY55" s="417"/>
      <c r="GZ55" s="417"/>
      <c r="HA55" s="417"/>
      <c r="HB55" s="417"/>
      <c r="HC55" s="417"/>
      <c r="HD55" s="417"/>
      <c r="HE55" s="417"/>
      <c r="HF55" s="417"/>
      <c r="HG55" s="417"/>
      <c r="HH55" s="417"/>
      <c r="HI55" s="417"/>
      <c r="HJ55" s="417"/>
      <c r="HK55" s="417"/>
      <c r="HL55" s="417"/>
      <c r="HM55" s="417"/>
      <c r="HN55" s="417"/>
      <c r="HO55" s="417"/>
      <c r="HP55" s="417"/>
      <c r="HQ55" s="417"/>
      <c r="HR55" s="417"/>
      <c r="HS55" s="417"/>
      <c r="HT55" s="417"/>
    </row>
    <row r="56" spans="1:228" ht="12.75" customHeight="1">
      <c r="A56" s="15"/>
      <c r="B56" s="16"/>
      <c r="C56" s="37"/>
      <c r="D56" s="12"/>
      <c r="E56" s="55"/>
      <c r="F56" s="69" t="s">
        <v>21</v>
      </c>
      <c r="L56" s="15"/>
      <c r="N56" s="150"/>
      <c r="O56" s="109"/>
      <c r="R56" s="80"/>
      <c r="S56" s="80"/>
      <c r="T56" s="80"/>
      <c r="AL56" s="15"/>
      <c r="AM56" s="2"/>
      <c r="AN56" s="2"/>
      <c r="AO56" s="74"/>
      <c r="AP56" s="74"/>
      <c r="AQ56" s="74"/>
      <c r="AR56" s="74"/>
      <c r="AS56" s="74"/>
      <c r="BS56" s="153"/>
      <c r="BT56" s="153"/>
      <c r="BU56" s="153"/>
      <c r="BV56" s="153"/>
      <c r="BW56" s="153"/>
      <c r="BX56" s="153"/>
      <c r="BY56" s="153"/>
      <c r="BZ56" s="2"/>
      <c r="CA56" s="2"/>
      <c r="CB56" s="2"/>
      <c r="CC56" s="2"/>
      <c r="CD56" s="2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"/>
      <c r="DL56" s="1"/>
      <c r="DM56" s="255"/>
      <c r="DN56" s="200"/>
      <c r="DO56" s="347" t="s">
        <v>496</v>
      </c>
      <c r="DP56" s="13"/>
      <c r="DQ56" s="15">
        <f t="shared" si="31"/>
        <v>42</v>
      </c>
      <c r="DR56" s="419" t="s">
        <v>153</v>
      </c>
      <c r="DS56" s="59">
        <f>EX56</f>
        <v>-174512354</v>
      </c>
      <c r="DT56" s="197"/>
      <c r="DU56" s="197"/>
      <c r="DV56" s="197"/>
      <c r="DW56" s="197"/>
      <c r="DX56" s="197"/>
      <c r="DY56" s="197"/>
      <c r="DZ56" s="197"/>
      <c r="EA56" s="15">
        <f t="shared" si="32"/>
        <v>42</v>
      </c>
      <c r="EB56" s="419" t="s">
        <v>153</v>
      </c>
      <c r="EC56" s="197"/>
      <c r="ED56" s="197"/>
      <c r="EE56" s="197"/>
      <c r="EF56" s="197"/>
      <c r="EG56" s="197"/>
      <c r="EH56" s="197"/>
      <c r="EI56" s="197"/>
      <c r="EJ56" s="197"/>
      <c r="EK56" s="15">
        <f t="shared" si="33"/>
        <v>42</v>
      </c>
      <c r="EL56" s="419" t="s">
        <v>153</v>
      </c>
      <c r="EM56" s="140">
        <f>CC28</f>
        <v>0</v>
      </c>
      <c r="EN56" s="140"/>
      <c r="EO56" s="140">
        <f>CN38+CN43</f>
        <v>508520</v>
      </c>
      <c r="EP56" s="140"/>
      <c r="EQ56" s="140"/>
      <c r="ER56" s="140"/>
      <c r="ES56" s="197"/>
      <c r="ET56" s="140">
        <f>SUM(DT56:ES56)-EK56-EA56</f>
        <v>508520</v>
      </c>
      <c r="EU56" s="59">
        <f>+ET56+DS56</f>
        <v>-174003834</v>
      </c>
      <c r="EV56" s="15">
        <f t="shared" si="34"/>
        <v>42</v>
      </c>
      <c r="EW56" s="419" t="s">
        <v>153</v>
      </c>
      <c r="EX56" s="197">
        <v>-174512354</v>
      </c>
      <c r="EY56" s="197">
        <f>+ET56</f>
        <v>508520</v>
      </c>
      <c r="EZ56" s="197">
        <f>+EY56+EX56</f>
        <v>-174003834</v>
      </c>
      <c r="FA56" s="421"/>
      <c r="FB56" s="142"/>
      <c r="FC56" s="417"/>
      <c r="FD56" s="421"/>
      <c r="FH56" s="421"/>
      <c r="FI56" s="421"/>
      <c r="FJ56" s="421"/>
      <c r="FK56" s="421"/>
      <c r="FL56" s="421"/>
      <c r="FM56" s="421"/>
      <c r="FN56" s="421"/>
      <c r="FO56" s="421"/>
      <c r="FP56" s="421"/>
      <c r="FQ56" s="421"/>
      <c r="FR56" s="421"/>
      <c r="FS56" s="421"/>
      <c r="FT56" s="421"/>
      <c r="FU56" s="421"/>
      <c r="FV56" s="421"/>
      <c r="FW56" s="421"/>
      <c r="FX56" s="421"/>
      <c r="FY56" s="421"/>
      <c r="FZ56" s="421"/>
      <c r="GA56" s="421"/>
      <c r="GB56" s="421"/>
      <c r="GC56" s="421"/>
      <c r="GD56" s="421"/>
      <c r="GE56" s="421"/>
      <c r="GF56" s="421"/>
      <c r="GG56" s="421"/>
      <c r="GH56" s="421"/>
      <c r="GI56" s="421"/>
      <c r="GJ56" s="421"/>
      <c r="GK56" s="421"/>
      <c r="GL56" s="421"/>
      <c r="GM56" s="421"/>
      <c r="GN56" s="421"/>
      <c r="GO56" s="421"/>
      <c r="GP56" s="421"/>
      <c r="GQ56" s="421"/>
      <c r="GR56" s="421"/>
      <c r="GS56" s="421"/>
      <c r="GT56" s="421"/>
      <c r="GU56" s="421"/>
      <c r="GV56" s="421"/>
      <c r="GW56" s="421"/>
      <c r="GX56" s="421"/>
      <c r="GY56" s="421"/>
      <c r="GZ56" s="421"/>
      <c r="HA56" s="421"/>
      <c r="HB56" s="421"/>
      <c r="HC56" s="421"/>
      <c r="HD56" s="421"/>
      <c r="HE56" s="421"/>
      <c r="HF56" s="421"/>
      <c r="HG56" s="421"/>
      <c r="HH56" s="421"/>
      <c r="HI56" s="421"/>
      <c r="HJ56" s="421"/>
      <c r="HK56" s="421"/>
      <c r="HL56" s="421"/>
      <c r="HM56" s="421"/>
      <c r="HN56" s="421"/>
      <c r="HO56" s="421"/>
      <c r="HP56" s="421"/>
      <c r="HQ56" s="421"/>
      <c r="HR56" s="421"/>
      <c r="HS56" s="421"/>
      <c r="HT56" s="421"/>
    </row>
    <row r="57" spans="1:228" ht="12.75" customHeight="1">
      <c r="A57" s="22"/>
      <c r="B57" s="16"/>
      <c r="C57" s="37"/>
      <c r="D57" s="12"/>
      <c r="E57" s="55"/>
      <c r="F57" s="69"/>
      <c r="G57" s="2"/>
      <c r="L57" s="15"/>
      <c r="N57" s="150"/>
      <c r="O57" s="109"/>
      <c r="R57" s="80"/>
      <c r="S57" s="80"/>
      <c r="T57" s="80"/>
      <c r="AL57" s="15"/>
      <c r="AM57" s="155"/>
      <c r="AN57" s="162"/>
      <c r="AO57" s="74"/>
      <c r="AP57" s="74"/>
      <c r="BS57" s="2"/>
      <c r="BT57" s="2"/>
      <c r="BU57" s="2"/>
      <c r="BV57" s="153"/>
      <c r="BW57" s="153"/>
      <c r="BX57" s="153"/>
      <c r="BY57" s="153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153"/>
      <c r="DB57" s="153"/>
      <c r="DC57" s="153"/>
      <c r="DD57" s="153"/>
      <c r="DE57" s="2"/>
      <c r="DF57" s="2"/>
      <c r="DG57" s="2"/>
      <c r="DH57" s="2"/>
      <c r="DI57" s="2"/>
      <c r="DJ57" s="2"/>
      <c r="DK57" s="114"/>
      <c r="DO57" s="347" t="str">
        <f>DO35</f>
        <v>Exhibit No. ____ (JMR-4)</v>
      </c>
      <c r="DP57" s="13"/>
      <c r="DQ57" s="15">
        <f t="shared" si="31"/>
        <v>43</v>
      </c>
      <c r="DR57" s="419" t="s">
        <v>270</v>
      </c>
      <c r="DS57" s="59">
        <f>EX57</f>
        <v>-14234907</v>
      </c>
      <c r="DT57" s="68"/>
      <c r="DU57" s="68"/>
      <c r="DV57" s="68"/>
      <c r="DW57" s="68"/>
      <c r="DX57" s="68"/>
      <c r="DY57" s="68"/>
      <c r="DZ57" s="68"/>
      <c r="EA57" s="15">
        <f t="shared" si="32"/>
        <v>43</v>
      </c>
      <c r="EB57" s="419" t="s">
        <v>270</v>
      </c>
      <c r="EC57" s="68"/>
      <c r="ED57" s="68"/>
      <c r="EE57" s="68"/>
      <c r="EF57" s="68"/>
      <c r="EG57" s="68"/>
      <c r="EH57" s="68"/>
      <c r="EI57" s="68"/>
      <c r="EJ57" s="68"/>
      <c r="EK57" s="15">
        <f t="shared" si="33"/>
        <v>43</v>
      </c>
      <c r="EL57" s="419" t="s">
        <v>270</v>
      </c>
      <c r="EM57" s="68"/>
      <c r="EN57" s="68"/>
      <c r="EO57" s="68"/>
      <c r="EP57" s="68"/>
      <c r="EQ57" s="68"/>
      <c r="ER57" s="68"/>
      <c r="ES57" s="68"/>
      <c r="ET57" s="400">
        <f>SUM(DT57:ES57)-EK57-EA57</f>
        <v>0</v>
      </c>
      <c r="EU57" s="68">
        <f>+ET57+DS57</f>
        <v>-14234907</v>
      </c>
      <c r="EV57" s="15">
        <f t="shared" si="34"/>
        <v>43</v>
      </c>
      <c r="EW57" s="419" t="s">
        <v>270</v>
      </c>
      <c r="EX57" s="68">
        <v>-14234907</v>
      </c>
      <c r="EY57" s="68">
        <f>+ET57</f>
        <v>0</v>
      </c>
      <c r="EZ57" s="68">
        <f>+EY57+EX57</f>
        <v>-14234907</v>
      </c>
      <c r="FA57" s="417"/>
      <c r="FB57" s="142"/>
      <c r="FC57" s="421"/>
      <c r="FD57" s="422"/>
      <c r="FH57" s="422"/>
      <c r="FI57" s="422"/>
      <c r="FJ57" s="422"/>
      <c r="FK57" s="422"/>
      <c r="FL57" s="422"/>
      <c r="FM57" s="422"/>
      <c r="FN57" s="422"/>
      <c r="FO57" s="422"/>
      <c r="FP57" s="422"/>
      <c r="FQ57" s="422"/>
      <c r="FR57" s="422"/>
      <c r="FS57" s="422"/>
      <c r="FT57" s="422"/>
      <c r="FU57" s="422"/>
      <c r="FV57" s="422"/>
      <c r="FW57" s="422"/>
      <c r="FX57" s="422"/>
      <c r="FY57" s="422"/>
      <c r="FZ57" s="422"/>
      <c r="GA57" s="422"/>
      <c r="GB57" s="422"/>
      <c r="GC57" s="422"/>
      <c r="GD57" s="422"/>
      <c r="GE57" s="422"/>
      <c r="GF57" s="422"/>
      <c r="GG57" s="422"/>
      <c r="GH57" s="422"/>
      <c r="GI57" s="422"/>
      <c r="GJ57" s="422"/>
      <c r="GK57" s="422"/>
      <c r="GL57" s="422"/>
      <c r="GM57" s="422"/>
      <c r="GN57" s="422"/>
      <c r="GO57" s="422"/>
      <c r="GP57" s="422"/>
      <c r="GQ57" s="422"/>
      <c r="GR57" s="422"/>
      <c r="GS57" s="422"/>
      <c r="GT57" s="422"/>
      <c r="GU57" s="422"/>
      <c r="GV57" s="422"/>
      <c r="GW57" s="422"/>
      <c r="GX57" s="422"/>
      <c r="GY57" s="422"/>
      <c r="GZ57" s="422"/>
      <c r="HA57" s="422"/>
      <c r="HB57" s="422"/>
      <c r="HC57" s="422"/>
      <c r="HD57" s="422"/>
      <c r="HE57" s="422"/>
      <c r="HF57" s="422"/>
      <c r="HG57" s="422"/>
      <c r="HH57" s="422"/>
      <c r="HI57" s="422"/>
      <c r="HJ57" s="422"/>
      <c r="HK57" s="422"/>
      <c r="HL57" s="422"/>
      <c r="HM57" s="422"/>
      <c r="HN57" s="422"/>
      <c r="HO57" s="422"/>
      <c r="HP57" s="422"/>
      <c r="HQ57" s="422"/>
      <c r="HR57" s="422"/>
      <c r="HS57" s="422"/>
      <c r="HT57" s="422"/>
    </row>
    <row r="58" spans="1:228" ht="12.75" customHeight="1">
      <c r="A58" s="22"/>
      <c r="B58" s="16"/>
      <c r="C58" s="37"/>
      <c r="D58" s="12"/>
      <c r="E58" s="55"/>
      <c r="F58" s="69" t="s">
        <v>21</v>
      </c>
      <c r="G58" s="2"/>
      <c r="R58" s="80"/>
      <c r="S58" s="80"/>
      <c r="T58" s="80"/>
      <c r="AL58" s="15"/>
      <c r="AM58" s="155"/>
      <c r="AN58" s="162"/>
      <c r="AO58" s="74"/>
      <c r="AP58" s="74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40"/>
      <c r="DL58" s="316"/>
      <c r="DN58" s="1" t="s">
        <v>497</v>
      </c>
      <c r="DO58" s="765">
        <f>DI4+1</f>
        <v>27</v>
      </c>
      <c r="DQ58" s="15">
        <f t="shared" si="31"/>
        <v>44</v>
      </c>
      <c r="DR58" s="419" t="s">
        <v>156</v>
      </c>
      <c r="DS58" s="423">
        <f aca="true" t="shared" si="41" ref="DS58:DX58">SUM(DS54:DS57)</f>
        <v>1168264545</v>
      </c>
      <c r="DT58" s="417">
        <f t="shared" si="41"/>
        <v>0</v>
      </c>
      <c r="DU58" s="417">
        <f t="shared" si="41"/>
        <v>0</v>
      </c>
      <c r="DV58" s="417">
        <f t="shared" si="41"/>
        <v>0</v>
      </c>
      <c r="DW58" s="417">
        <f>SUM(DW54:DW57)</f>
        <v>0</v>
      </c>
      <c r="DX58" s="417">
        <f t="shared" si="41"/>
        <v>0</v>
      </c>
      <c r="DY58" s="417">
        <f>SUM(DY54:DY57)</f>
        <v>2857353.494882954</v>
      </c>
      <c r="DZ58" s="417">
        <f>SUM(DZ54:DZ57)</f>
        <v>0</v>
      </c>
      <c r="EA58" s="15">
        <f t="shared" si="32"/>
        <v>44</v>
      </c>
      <c r="EB58" s="419" t="s">
        <v>156</v>
      </c>
      <c r="EC58" s="417">
        <f aca="true" t="shared" si="42" ref="EC58:EJ58">SUM(EC54:EC57)</f>
        <v>0</v>
      </c>
      <c r="ED58" s="417">
        <f t="shared" si="42"/>
        <v>0</v>
      </c>
      <c r="EE58" s="417">
        <f t="shared" si="42"/>
        <v>0</v>
      </c>
      <c r="EF58" s="417">
        <f t="shared" si="42"/>
        <v>0</v>
      </c>
      <c r="EG58" s="417">
        <f t="shared" si="42"/>
        <v>0</v>
      </c>
      <c r="EH58" s="417">
        <f t="shared" si="42"/>
        <v>0</v>
      </c>
      <c r="EI58" s="417">
        <f t="shared" si="42"/>
        <v>0</v>
      </c>
      <c r="EJ58" s="417">
        <f t="shared" si="42"/>
        <v>0</v>
      </c>
      <c r="EK58" s="15">
        <f t="shared" si="33"/>
        <v>44</v>
      </c>
      <c r="EL58" s="419" t="s">
        <v>156</v>
      </c>
      <c r="EM58" s="417">
        <f aca="true" t="shared" si="43" ref="EM58:EU58">SUM(EM54:EM57)</f>
        <v>0</v>
      </c>
      <c r="EN58" s="417">
        <f>SUM(EN54:EN57)</f>
        <v>0</v>
      </c>
      <c r="EO58" s="417">
        <f t="shared" si="43"/>
        <v>-1746177</v>
      </c>
      <c r="EP58" s="417">
        <f t="shared" si="43"/>
        <v>0</v>
      </c>
      <c r="EQ58" s="417">
        <f>SUM(EQ54:EQ57)</f>
        <v>0</v>
      </c>
      <c r="ER58" s="417">
        <f>SUM(ER54:ER57)</f>
        <v>0</v>
      </c>
      <c r="ES58" s="417">
        <f>SUM(ES54:ES57)</f>
        <v>0</v>
      </c>
      <c r="ET58" s="417">
        <f t="shared" si="43"/>
        <v>1111176.4948829538</v>
      </c>
      <c r="EU58" s="417">
        <f t="shared" si="43"/>
        <v>1169375721.494883</v>
      </c>
      <c r="EV58" s="15">
        <f t="shared" si="34"/>
        <v>44</v>
      </c>
      <c r="EW58" s="419" t="s">
        <v>156</v>
      </c>
      <c r="EX58" s="417">
        <f>SUM(EX54:EX57)</f>
        <v>1168264545</v>
      </c>
      <c r="EY58" s="417">
        <f>SUM(EY54:EY57)</f>
        <v>1111176.4948829538</v>
      </c>
      <c r="EZ58" s="417">
        <f>SUM(EZ54:EZ57)</f>
        <v>1169375721.494883</v>
      </c>
      <c r="FA58" s="421"/>
      <c r="FB58" s="142"/>
      <c r="FC58" s="422"/>
      <c r="FD58" s="424"/>
      <c r="FH58" s="424"/>
      <c r="FI58" s="424"/>
      <c r="FJ58" s="424"/>
      <c r="FK58" s="424"/>
      <c r="FL58" s="424"/>
      <c r="FM58" s="424"/>
      <c r="FN58" s="424"/>
      <c r="FO58" s="424"/>
      <c r="FP58" s="424"/>
      <c r="FQ58" s="424"/>
      <c r="FR58" s="424"/>
      <c r="FS58" s="424"/>
      <c r="FT58" s="424"/>
      <c r="FU58" s="424"/>
      <c r="FV58" s="424"/>
      <c r="FW58" s="424"/>
      <c r="FX58" s="424"/>
      <c r="FY58" s="424"/>
      <c r="FZ58" s="424"/>
      <c r="GA58" s="424"/>
      <c r="GB58" s="424"/>
      <c r="GC58" s="424"/>
      <c r="GD58" s="424"/>
      <c r="GE58" s="424"/>
      <c r="GF58" s="424"/>
      <c r="GG58" s="424"/>
      <c r="GH58" s="424"/>
      <c r="GI58" s="424"/>
      <c r="GJ58" s="424"/>
      <c r="GK58" s="424"/>
      <c r="GL58" s="424"/>
      <c r="GM58" s="424"/>
      <c r="GN58" s="424"/>
      <c r="GO58" s="424"/>
      <c r="GP58" s="424"/>
      <c r="GQ58" s="424"/>
      <c r="GR58" s="424"/>
      <c r="GS58" s="424"/>
      <c r="GT58" s="424"/>
      <c r="GU58" s="424"/>
      <c r="GV58" s="424"/>
      <c r="GW58" s="424"/>
      <c r="GX58" s="424"/>
      <c r="GY58" s="424"/>
      <c r="GZ58" s="424"/>
      <c r="HA58" s="424"/>
      <c r="HB58" s="424"/>
      <c r="HC58" s="424"/>
      <c r="HD58" s="424"/>
      <c r="HE58" s="424"/>
      <c r="HF58" s="424"/>
      <c r="HG58" s="424"/>
      <c r="HH58" s="424"/>
      <c r="HI58" s="424"/>
      <c r="HJ58" s="424"/>
      <c r="HK58" s="424"/>
      <c r="HL58" s="424"/>
      <c r="HM58" s="424"/>
      <c r="HN58" s="424"/>
      <c r="HO58" s="424"/>
      <c r="HP58" s="424"/>
      <c r="HQ58" s="424"/>
      <c r="HR58" s="424"/>
      <c r="HS58" s="424"/>
      <c r="HT58" s="424"/>
    </row>
    <row r="59" spans="1:228" ht="12.75" customHeight="1">
      <c r="A59" s="22"/>
      <c r="B59" s="16"/>
      <c r="C59" s="37"/>
      <c r="D59" s="12"/>
      <c r="E59" s="55"/>
      <c r="F59" s="69"/>
      <c r="G59" s="2"/>
      <c r="R59" s="80"/>
      <c r="S59" s="80"/>
      <c r="T59" s="80"/>
      <c r="AL59" s="114"/>
      <c r="AM59" s="155"/>
      <c r="AN59" s="162"/>
      <c r="AO59" s="74"/>
      <c r="AP59" s="74"/>
      <c r="AU59" s="114"/>
      <c r="BS59" s="2"/>
      <c r="BT59" s="2"/>
      <c r="BU59" s="2"/>
      <c r="BV59" s="2"/>
      <c r="BW59" s="2"/>
      <c r="BX59" s="2"/>
      <c r="BY59" s="2"/>
      <c r="BZ59" s="18"/>
      <c r="CA59" s="18"/>
      <c r="CB59" s="18"/>
      <c r="CC59" s="18"/>
      <c r="CD59" s="18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L59" s="13"/>
      <c r="DM59" s="6"/>
      <c r="DN59" s="42"/>
      <c r="DO59" s="823" t="s">
        <v>566</v>
      </c>
      <c r="DQ59" s="15">
        <f t="shared" si="31"/>
        <v>45</v>
      </c>
      <c r="DR59" s="419" t="s">
        <v>154</v>
      </c>
      <c r="DS59" s="59">
        <f>EX59</f>
        <v>10976022</v>
      </c>
      <c r="DT59" s="68"/>
      <c r="DU59" s="68"/>
      <c r="DV59" s="68"/>
      <c r="DW59" s="68"/>
      <c r="DX59" s="68"/>
      <c r="DY59" s="68"/>
      <c r="DZ59" s="68"/>
      <c r="EA59" s="15">
        <f t="shared" si="32"/>
        <v>45</v>
      </c>
      <c r="EB59" s="419" t="s">
        <v>154</v>
      </c>
      <c r="EC59" s="68"/>
      <c r="ED59" s="68"/>
      <c r="EE59" s="68"/>
      <c r="EF59" s="68"/>
      <c r="EG59" s="68"/>
      <c r="EH59" s="68"/>
      <c r="EI59" s="68"/>
      <c r="EJ59" s="68"/>
      <c r="EK59" s="15">
        <f t="shared" si="33"/>
        <v>45</v>
      </c>
      <c r="EL59" s="419" t="s">
        <v>154</v>
      </c>
      <c r="EM59" s="68"/>
      <c r="EN59" s="68"/>
      <c r="EO59" s="68"/>
      <c r="EP59" s="68"/>
      <c r="EQ59" s="68"/>
      <c r="ER59" s="68"/>
      <c r="ES59" s="68"/>
      <c r="ET59" s="68">
        <f>SUM(DT59:ES59)-EK59-EA59</f>
        <v>0</v>
      </c>
      <c r="EU59" s="68">
        <f>+ET59+DS59</f>
        <v>10976022</v>
      </c>
      <c r="EV59" s="15">
        <f t="shared" si="34"/>
        <v>45</v>
      </c>
      <c r="EW59" s="419" t="s">
        <v>154</v>
      </c>
      <c r="EX59" s="68">
        <v>10976022</v>
      </c>
      <c r="EY59" s="68">
        <f>+ET59</f>
        <v>0</v>
      </c>
      <c r="EZ59" s="68">
        <f>+EY59+EX59</f>
        <v>10976022</v>
      </c>
      <c r="FA59" s="422"/>
      <c r="FB59" s="142"/>
      <c r="FC59" s="424"/>
      <c r="FD59" s="425"/>
      <c r="FH59" s="425"/>
      <c r="FI59" s="425"/>
      <c r="FJ59" s="425"/>
      <c r="FK59" s="425"/>
      <c r="FL59" s="425"/>
      <c r="FM59" s="425"/>
      <c r="FN59" s="425"/>
      <c r="FO59" s="425"/>
      <c r="FP59" s="425"/>
      <c r="FQ59" s="425"/>
      <c r="FR59" s="425"/>
      <c r="FS59" s="425"/>
      <c r="FT59" s="425"/>
      <c r="FU59" s="425"/>
      <c r="FV59" s="425"/>
      <c r="FW59" s="425"/>
      <c r="FX59" s="425"/>
      <c r="FY59" s="425"/>
      <c r="FZ59" s="425"/>
      <c r="GA59" s="425"/>
      <c r="GB59" s="425"/>
      <c r="GC59" s="425"/>
      <c r="GD59" s="425"/>
      <c r="GE59" s="425"/>
      <c r="GF59" s="425"/>
      <c r="GG59" s="425"/>
      <c r="GH59" s="425"/>
      <c r="GI59" s="425"/>
      <c r="GJ59" s="425"/>
      <c r="GK59" s="425"/>
      <c r="GL59" s="425"/>
      <c r="GM59" s="425"/>
      <c r="GN59" s="425"/>
      <c r="GO59" s="425"/>
      <c r="GP59" s="425"/>
      <c r="GQ59" s="425"/>
      <c r="GR59" s="425"/>
      <c r="GS59" s="425"/>
      <c r="GT59" s="425"/>
      <c r="GU59" s="425"/>
      <c r="GV59" s="425"/>
      <c r="GW59" s="425"/>
      <c r="GX59" s="425"/>
      <c r="GY59" s="425"/>
      <c r="GZ59" s="425"/>
      <c r="HA59" s="425"/>
      <c r="HB59" s="425"/>
      <c r="HC59" s="425"/>
      <c r="HD59" s="425"/>
      <c r="HE59" s="425"/>
      <c r="HF59" s="425"/>
      <c r="HG59" s="425"/>
      <c r="HH59" s="425"/>
      <c r="HI59" s="425"/>
      <c r="HJ59" s="425"/>
      <c r="HK59" s="425"/>
      <c r="HL59" s="425"/>
      <c r="HM59" s="425"/>
      <c r="HN59" s="425"/>
      <c r="HO59" s="425"/>
      <c r="HP59" s="425"/>
      <c r="HQ59" s="425"/>
      <c r="HR59" s="425"/>
      <c r="HS59" s="425"/>
      <c r="HT59" s="425"/>
    </row>
    <row r="60" spans="1:159" ht="12.75" customHeight="1" thickBot="1">
      <c r="A60" s="2"/>
      <c r="B60" s="29"/>
      <c r="C60" s="37"/>
      <c r="D60" s="69"/>
      <c r="E60" s="57"/>
      <c r="F60" s="62"/>
      <c r="G60" s="2"/>
      <c r="P60" s="114"/>
      <c r="R60" s="80"/>
      <c r="S60" s="80"/>
      <c r="AL60" s="24"/>
      <c r="AM60" s="155"/>
      <c r="AN60" s="163"/>
      <c r="BS60" s="18"/>
      <c r="BT60" s="18"/>
      <c r="BU60" s="18"/>
      <c r="BV60" s="2"/>
      <c r="BW60" s="2"/>
      <c r="BX60" s="2"/>
      <c r="BY60" s="2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2"/>
      <c r="DB60" s="2"/>
      <c r="DC60" s="2"/>
      <c r="DD60" s="2"/>
      <c r="DE60" s="18"/>
      <c r="DF60" s="18"/>
      <c r="DG60" s="18"/>
      <c r="DH60" s="18"/>
      <c r="DI60" s="18"/>
      <c r="DJ60" s="18"/>
      <c r="DK60" s="39" t="str">
        <f>PSE</f>
        <v>PUGET SOUND ENERGY-GAS </v>
      </c>
      <c r="DL60" s="13"/>
      <c r="DM60" s="6"/>
      <c r="DN60" s="42"/>
      <c r="DO60" s="13"/>
      <c r="DP60" s="51"/>
      <c r="DQ60" s="15">
        <v>46</v>
      </c>
      <c r="DR60" s="420" t="s">
        <v>155</v>
      </c>
      <c r="DS60" s="426">
        <f aca="true" t="shared" si="44" ref="DS60:DX60">SUM(DS58:DS59)</f>
        <v>1179240567</v>
      </c>
      <c r="DT60" s="427">
        <f t="shared" si="44"/>
        <v>0</v>
      </c>
      <c r="DU60" s="427">
        <f t="shared" si="44"/>
        <v>0</v>
      </c>
      <c r="DV60" s="427">
        <f t="shared" si="44"/>
        <v>0</v>
      </c>
      <c r="DW60" s="427">
        <f>SUM(DW58:DW59)</f>
        <v>0</v>
      </c>
      <c r="DX60" s="427">
        <f t="shared" si="44"/>
        <v>0</v>
      </c>
      <c r="DY60" s="427">
        <f>SUM(DY58:DY59)</f>
        <v>2857353.494882954</v>
      </c>
      <c r="DZ60" s="427">
        <f>SUM(DZ58:DZ59)</f>
        <v>0</v>
      </c>
      <c r="EA60" s="15">
        <v>46</v>
      </c>
      <c r="EB60" s="420" t="s">
        <v>155</v>
      </c>
      <c r="EC60" s="427">
        <f aca="true" t="shared" si="45" ref="EC60:EJ60">SUM(EC58:EC59)</f>
        <v>0</v>
      </c>
      <c r="ED60" s="427">
        <f t="shared" si="45"/>
        <v>0</v>
      </c>
      <c r="EE60" s="427">
        <f t="shared" si="45"/>
        <v>0</v>
      </c>
      <c r="EF60" s="427">
        <f t="shared" si="45"/>
        <v>0</v>
      </c>
      <c r="EG60" s="427">
        <f t="shared" si="45"/>
        <v>0</v>
      </c>
      <c r="EH60" s="427">
        <f t="shared" si="45"/>
        <v>0</v>
      </c>
      <c r="EI60" s="427">
        <f t="shared" si="45"/>
        <v>0</v>
      </c>
      <c r="EJ60" s="427">
        <f t="shared" si="45"/>
        <v>0</v>
      </c>
      <c r="EK60" s="15">
        <v>46</v>
      </c>
      <c r="EL60" s="420" t="s">
        <v>155</v>
      </c>
      <c r="EM60" s="427">
        <f aca="true" t="shared" si="46" ref="EM60:EU60">SUM(EM58:EM59)</f>
        <v>0</v>
      </c>
      <c r="EN60" s="427">
        <f>SUM(EN58:EN59)</f>
        <v>0</v>
      </c>
      <c r="EO60" s="427">
        <f t="shared" si="46"/>
        <v>-1746177</v>
      </c>
      <c r="EP60" s="427">
        <f t="shared" si="46"/>
        <v>0</v>
      </c>
      <c r="EQ60" s="427">
        <f>SUM(EQ58:EQ59)</f>
        <v>0</v>
      </c>
      <c r="ER60" s="427">
        <f>SUM(ER58:ER59)</f>
        <v>0</v>
      </c>
      <c r="ES60" s="427">
        <f>SUM(ES58:ES59)</f>
        <v>0</v>
      </c>
      <c r="ET60" s="427">
        <f t="shared" si="46"/>
        <v>1111176.4948829538</v>
      </c>
      <c r="EU60" s="427">
        <f t="shared" si="46"/>
        <v>1180351743.494883</v>
      </c>
      <c r="EV60" s="15">
        <v>46</v>
      </c>
      <c r="EW60" s="420" t="s">
        <v>155</v>
      </c>
      <c r="EX60" s="427">
        <f>SUM(EX58:EX59)</f>
        <v>1179240567</v>
      </c>
      <c r="EY60" s="427">
        <f>SUM(EY58:EY59)</f>
        <v>1111176.4948829538</v>
      </c>
      <c r="EZ60" s="427">
        <f>SUM(EZ58:EZ59)</f>
        <v>1180351743.494883</v>
      </c>
      <c r="FA60" s="424"/>
      <c r="FB60" s="142"/>
      <c r="FC60" s="425"/>
    </row>
    <row r="61" spans="1:158" ht="12.75" customHeight="1" thickTop="1">
      <c r="A61" s="22"/>
      <c r="D61" s="55"/>
      <c r="E61" s="55"/>
      <c r="F61" s="62"/>
      <c r="G61" s="2"/>
      <c r="L61" s="15"/>
      <c r="N61" s="150"/>
      <c r="O61" s="109"/>
      <c r="AL61" s="24"/>
      <c r="AM61" s="155"/>
      <c r="AN61" s="163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39" t="s">
        <v>126</v>
      </c>
      <c r="DL61" s="13"/>
      <c r="DM61" s="6"/>
      <c r="DN61" s="6"/>
      <c r="DO61" s="13"/>
      <c r="EV61" s="15"/>
      <c r="FA61" s="425"/>
      <c r="FB61" s="425"/>
    </row>
    <row r="62" spans="1:156" ht="12.75" customHeight="1">
      <c r="A62" s="22"/>
      <c r="B62" s="29"/>
      <c r="C62" s="29"/>
      <c r="D62" s="29"/>
      <c r="E62" s="29"/>
      <c r="F62" s="199"/>
      <c r="G62" s="2"/>
      <c r="L62" s="15"/>
      <c r="N62" s="150"/>
      <c r="O62" s="109"/>
      <c r="AL62" s="24"/>
      <c r="AM62" s="155"/>
      <c r="AN62" s="163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6" t="str">
        <f>TESTYEAR</f>
        <v>FOR THE TWELVE MONTHS ENDED SEPTEMBER 30, 2005</v>
      </c>
      <c r="DL62" s="13"/>
      <c r="DM62" s="6"/>
      <c r="DN62" s="6"/>
      <c r="DO62" s="13"/>
      <c r="DP62" s="101"/>
      <c r="DU62" s="254"/>
      <c r="EI62" s="254"/>
      <c r="EZ62" s="254"/>
    </row>
    <row r="63" spans="1:152" ht="12.75" customHeight="1">
      <c r="A63" s="2"/>
      <c r="F63" s="2"/>
      <c r="G63" s="2"/>
      <c r="L63" s="2"/>
      <c r="M63" s="2"/>
      <c r="N63" s="2"/>
      <c r="O63" s="2"/>
      <c r="AL63" s="24"/>
      <c r="AM63" s="155"/>
      <c r="AN63" s="163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39" t="str">
        <f>DOCKET</f>
        <v>GENERAL RATE INCREASE</v>
      </c>
      <c r="DL63" s="6"/>
      <c r="DM63" s="6"/>
      <c r="DN63" s="6"/>
      <c r="DP63" s="103"/>
      <c r="EU63" s="198">
        <f>DS47+SUM(DT47:DZ47)+SUM(EC47:EJ47)+SUM(EM47:ES47)-EU47</f>
        <v>0</v>
      </c>
      <c r="EV63" s="3" t="s">
        <v>190</v>
      </c>
    </row>
    <row r="64" spans="1:118" ht="12.75" customHeight="1">
      <c r="A64" s="2"/>
      <c r="B64" s="2"/>
      <c r="C64" s="2"/>
      <c r="D64" s="74"/>
      <c r="E64" s="74"/>
      <c r="F64" s="74"/>
      <c r="G64" s="2"/>
      <c r="L64" s="2"/>
      <c r="M64" s="2"/>
      <c r="N64" s="2"/>
      <c r="O64" s="2"/>
      <c r="AL64" s="24"/>
      <c r="AM64" s="155"/>
      <c r="AN64" s="163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40"/>
      <c r="DL64" s="40"/>
      <c r="DM64" s="40"/>
      <c r="DN64" s="40"/>
    </row>
    <row r="65" spans="1:122" ht="12.75" customHeight="1">
      <c r="A65" s="2"/>
      <c r="B65" s="152"/>
      <c r="C65" s="152"/>
      <c r="D65" s="78"/>
      <c r="E65" s="2"/>
      <c r="F65" s="153"/>
      <c r="G65" s="2"/>
      <c r="AL65" s="24"/>
      <c r="AM65" s="155"/>
      <c r="AN65" s="163"/>
      <c r="BS65" s="18"/>
      <c r="BT65" s="18"/>
      <c r="BU65" s="18"/>
      <c r="BV65" s="18"/>
      <c r="BW65" s="18"/>
      <c r="BX65" s="18"/>
      <c r="BY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5">
        <v>1</v>
      </c>
      <c r="DL65" s="3" t="s">
        <v>127</v>
      </c>
      <c r="DO65" s="837">
        <f>EZ60</f>
        <v>1180351743.494883</v>
      </c>
      <c r="DP65" s="428"/>
      <c r="DR65" s="33"/>
    </row>
    <row r="66" spans="1:191" ht="12.75" customHeight="1">
      <c r="A66" s="2"/>
      <c r="B66" s="2"/>
      <c r="C66" s="2"/>
      <c r="D66" s="113"/>
      <c r="E66" s="2"/>
      <c r="F66" s="154"/>
      <c r="P66" s="161"/>
      <c r="BL66" s="164"/>
      <c r="BM66" s="164"/>
      <c r="BN66" s="164"/>
      <c r="BO66" s="164"/>
      <c r="BP66" s="164"/>
      <c r="BV66" s="18"/>
      <c r="BW66" s="18"/>
      <c r="BX66" s="18"/>
      <c r="BY66" s="18"/>
      <c r="DA66" s="18"/>
      <c r="DB66" s="18"/>
      <c r="DC66" s="18"/>
      <c r="DD66" s="18"/>
      <c r="DK66" s="15">
        <f aca="true" t="shared" si="47" ref="DK66:DK74">DK65+1</f>
        <v>2</v>
      </c>
      <c r="DL66" s="16" t="s">
        <v>19</v>
      </c>
      <c r="DO66" s="315">
        <f>DO49</f>
        <v>0.0785</v>
      </c>
      <c r="DP66" s="428"/>
      <c r="DR66" s="33"/>
      <c r="FD66" s="2"/>
      <c r="FE66" s="398"/>
      <c r="FF66" s="398"/>
      <c r="FG66" s="398"/>
      <c r="FH66" s="8"/>
      <c r="FI66" s="308"/>
      <c r="FJ66" s="105"/>
      <c r="FK66" s="105"/>
      <c r="FL66" s="105"/>
      <c r="FM66" s="105"/>
      <c r="FN66" s="105"/>
      <c r="FR66" s="15"/>
      <c r="FS66" s="15"/>
      <c r="FT66" s="15"/>
      <c r="FU66" s="15"/>
      <c r="FV66" s="15"/>
      <c r="FW66" s="15"/>
      <c r="FX66" s="15"/>
      <c r="FY66" s="15"/>
      <c r="GC66" s="15"/>
      <c r="GD66" s="15"/>
      <c r="GH66" s="15"/>
      <c r="GI66" s="15"/>
    </row>
    <row r="67" spans="1:191" ht="12.75" customHeight="1">
      <c r="A67" s="2"/>
      <c r="B67" s="141"/>
      <c r="C67" s="2"/>
      <c r="D67" s="2"/>
      <c r="E67" s="2"/>
      <c r="F67" s="154"/>
      <c r="P67" s="161"/>
      <c r="DK67" s="15">
        <f t="shared" si="47"/>
        <v>3</v>
      </c>
      <c r="DL67" s="16"/>
      <c r="DP67" s="428"/>
      <c r="DR67" s="33"/>
      <c r="FD67" s="2"/>
      <c r="FE67" s="398"/>
      <c r="FF67" s="398"/>
      <c r="FG67" s="398"/>
      <c r="FH67" s="218"/>
      <c r="FI67" s="218"/>
      <c r="FJ67" s="218"/>
      <c r="FK67" s="218"/>
      <c r="FL67" s="218"/>
      <c r="FM67" s="218"/>
      <c r="FN67" s="218"/>
      <c r="FU67" s="15"/>
      <c r="FV67" s="15"/>
      <c r="FW67" s="15"/>
      <c r="FX67" s="15"/>
      <c r="FY67" s="15"/>
      <c r="GC67" s="15"/>
      <c r="GD67" s="15"/>
      <c r="GH67" s="15"/>
      <c r="GI67" s="15"/>
    </row>
    <row r="68" spans="1:170" ht="12.75" customHeight="1">
      <c r="A68" s="2"/>
      <c r="B68" s="141"/>
      <c r="C68" s="2"/>
      <c r="D68" s="2"/>
      <c r="E68" s="2"/>
      <c r="F68" s="157"/>
      <c r="DK68" s="15">
        <f t="shared" si="47"/>
        <v>4</v>
      </c>
      <c r="DL68" s="3" t="s">
        <v>227</v>
      </c>
      <c r="DO68" s="841">
        <f>DO65*DO66</f>
        <v>92657611.86434832</v>
      </c>
      <c r="DP68" s="428"/>
      <c r="DR68" s="33"/>
      <c r="FD68" s="2"/>
      <c r="FE68" s="398"/>
      <c r="FF68" s="398"/>
      <c r="FG68" s="398"/>
      <c r="FH68" s="218"/>
      <c r="FI68" s="218"/>
      <c r="FJ68" s="218"/>
      <c r="FK68" s="218"/>
      <c r="FL68" s="218"/>
      <c r="FM68" s="218"/>
      <c r="FN68" s="218"/>
    </row>
    <row r="69" spans="1:170" ht="12.75" customHeight="1">
      <c r="A69" s="2"/>
      <c r="B69" s="15"/>
      <c r="C69" s="25"/>
      <c r="D69" s="25"/>
      <c r="E69" s="25"/>
      <c r="F69" s="25"/>
      <c r="DK69" s="15">
        <f>DK68+1</f>
        <v>5</v>
      </c>
      <c r="DN69" s="29"/>
      <c r="DO69" s="841"/>
      <c r="DP69" s="428"/>
      <c r="DR69" s="33"/>
      <c r="FD69" s="2"/>
      <c r="FE69" s="398"/>
      <c r="FF69" s="398"/>
      <c r="FG69" s="398"/>
      <c r="FH69" s="218"/>
      <c r="FI69" s="218"/>
      <c r="FJ69" s="218"/>
      <c r="FK69" s="218"/>
      <c r="FL69" s="218"/>
      <c r="FM69" s="218"/>
      <c r="FN69" s="218"/>
    </row>
    <row r="70" spans="1:170" ht="12.75" customHeight="1">
      <c r="A70" s="2"/>
      <c r="B70" s="15"/>
      <c r="C70" s="25"/>
      <c r="D70" s="25"/>
      <c r="E70" s="25"/>
      <c r="F70" s="25"/>
      <c r="L70" s="2"/>
      <c r="M70" s="2"/>
      <c r="N70" s="2"/>
      <c r="O70" s="2"/>
      <c r="DK70" s="15">
        <f t="shared" si="47"/>
        <v>6</v>
      </c>
      <c r="DL70" s="16" t="s">
        <v>228</v>
      </c>
      <c r="DO70" s="858">
        <f>EZ47</f>
        <v>80630346.28122392</v>
      </c>
      <c r="DP70" s="428"/>
      <c r="DR70" s="33"/>
      <c r="FD70" s="2"/>
      <c r="FE70" s="398"/>
      <c r="FF70" s="398"/>
      <c r="FG70" s="398"/>
      <c r="FH70" s="218"/>
      <c r="FI70" s="218"/>
      <c r="FJ70" s="218"/>
      <c r="FK70" s="218"/>
      <c r="FL70" s="218"/>
      <c r="FM70" s="218"/>
      <c r="FN70" s="218"/>
    </row>
    <row r="71" spans="1:170" ht="12.75" customHeight="1">
      <c r="A71" s="2"/>
      <c r="B71" s="15"/>
      <c r="C71" s="25"/>
      <c r="D71" s="25"/>
      <c r="E71" s="25"/>
      <c r="F71" s="25"/>
      <c r="L71" s="2"/>
      <c r="M71" s="2"/>
      <c r="N71" s="2"/>
      <c r="O71" s="2"/>
      <c r="DK71" s="15">
        <f>DK70+1</f>
        <v>7</v>
      </c>
      <c r="DL71" s="16" t="s">
        <v>229</v>
      </c>
      <c r="DO71" s="841">
        <f>+DO68-DO70</f>
        <v>12027265.5831244</v>
      </c>
      <c r="DP71" s="428"/>
      <c r="DR71" s="33"/>
      <c r="FD71" s="2"/>
      <c r="FE71" s="398"/>
      <c r="FF71" s="398"/>
      <c r="FG71" s="398"/>
      <c r="FH71" s="218"/>
      <c r="FI71" s="218"/>
      <c r="FJ71" s="218"/>
      <c r="FK71" s="218"/>
      <c r="FL71" s="218"/>
      <c r="FM71" s="218"/>
      <c r="FN71" s="218"/>
    </row>
    <row r="72" spans="1:170" ht="12.75" customHeight="1">
      <c r="A72" s="2"/>
      <c r="B72" s="35"/>
      <c r="C72" s="35"/>
      <c r="D72" s="35"/>
      <c r="E72" s="36"/>
      <c r="F72" s="36"/>
      <c r="L72" s="2"/>
      <c r="M72" s="2"/>
      <c r="N72" s="2"/>
      <c r="O72" s="2"/>
      <c r="DK72" s="15">
        <f t="shared" si="47"/>
        <v>8</v>
      </c>
      <c r="DO72" s="28"/>
      <c r="DP72" s="428"/>
      <c r="DR72" s="33"/>
      <c r="FD72" s="2"/>
      <c r="FE72" s="398"/>
      <c r="FF72" s="398"/>
      <c r="FG72" s="398"/>
      <c r="FH72" s="218"/>
      <c r="FI72" s="218"/>
      <c r="FJ72" s="218"/>
      <c r="FK72" s="218"/>
      <c r="FL72" s="218"/>
      <c r="FM72" s="218"/>
      <c r="FN72" s="218"/>
    </row>
    <row r="73" spans="1:170" ht="12.75" customHeight="1">
      <c r="A73" s="2"/>
      <c r="B73" s="35"/>
      <c r="C73" s="35"/>
      <c r="D73" s="35"/>
      <c r="E73" s="36"/>
      <c r="F73" s="36"/>
      <c r="L73" s="2"/>
      <c r="M73" s="2"/>
      <c r="N73" s="2"/>
      <c r="O73" s="2"/>
      <c r="DK73" s="15">
        <f t="shared" si="47"/>
        <v>9</v>
      </c>
      <c r="DL73" s="3" t="s">
        <v>25</v>
      </c>
      <c r="DO73" s="320">
        <f>DO30</f>
        <v>0.6216003</v>
      </c>
      <c r="DP73" s="428"/>
      <c r="DR73" s="33"/>
      <c r="FD73" s="2"/>
      <c r="FE73" s="398"/>
      <c r="FF73" s="398"/>
      <c r="FG73" s="398"/>
      <c r="FH73" s="2"/>
      <c r="FI73" s="2"/>
      <c r="FJ73" s="2"/>
      <c r="FK73" s="2"/>
      <c r="FL73" s="2"/>
      <c r="FM73" s="2"/>
      <c r="FN73" s="2"/>
    </row>
    <row r="74" spans="1:170" ht="12.75" customHeight="1">
      <c r="A74" s="2"/>
      <c r="B74" s="35"/>
      <c r="C74" s="35"/>
      <c r="D74" s="35"/>
      <c r="E74" s="36"/>
      <c r="F74" s="36"/>
      <c r="L74" s="2"/>
      <c r="M74" s="2"/>
      <c r="N74" s="2"/>
      <c r="O74" s="2"/>
      <c r="DK74" s="15">
        <f t="shared" si="47"/>
        <v>10</v>
      </c>
      <c r="DM74" s="164"/>
      <c r="DO74" s="23"/>
      <c r="DP74" s="428"/>
      <c r="DR74" s="33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</row>
    <row r="75" spans="1:170" ht="12.75" customHeight="1" thickBot="1">
      <c r="A75" s="2"/>
      <c r="B75" s="35"/>
      <c r="C75" s="35"/>
      <c r="D75" s="35"/>
      <c r="E75" s="36"/>
      <c r="F75" s="36"/>
      <c r="L75" s="2"/>
      <c r="M75" s="2"/>
      <c r="N75" s="2"/>
      <c r="O75" s="2"/>
      <c r="DK75" s="15">
        <v>11</v>
      </c>
      <c r="DO75" s="69"/>
      <c r="DP75" s="428"/>
      <c r="DR75" s="33"/>
      <c r="FD75" s="2"/>
      <c r="FE75" s="2"/>
      <c r="FF75" s="2"/>
      <c r="FG75" s="58"/>
      <c r="FH75" s="74"/>
      <c r="FI75" s="308"/>
      <c r="FJ75" s="105"/>
      <c r="FK75" s="105"/>
      <c r="FL75" s="105"/>
      <c r="FM75" s="105"/>
      <c r="FN75" s="105"/>
    </row>
    <row r="76" spans="1:170" ht="12.75" customHeight="1" thickBot="1">
      <c r="A76" s="2"/>
      <c r="B76" s="35"/>
      <c r="C76" s="35"/>
      <c r="D76" s="35"/>
      <c r="E76" s="36"/>
      <c r="F76" s="36"/>
      <c r="L76" s="2"/>
      <c r="M76" s="2"/>
      <c r="N76" s="2"/>
      <c r="O76" s="2"/>
      <c r="DK76" s="15">
        <v>12</v>
      </c>
      <c r="DL76" s="91" t="s">
        <v>230</v>
      </c>
      <c r="DM76" s="91"/>
      <c r="DO76" s="859">
        <f>ROUND(+DO71/DO73,0)</f>
        <v>19348874</v>
      </c>
      <c r="DP76" s="428"/>
      <c r="DR76" s="33"/>
      <c r="FD76" s="2"/>
      <c r="FE76" s="2"/>
      <c r="FF76" s="2"/>
      <c r="FG76" s="2"/>
      <c r="FH76" s="218"/>
      <c r="FI76" s="74"/>
      <c r="FJ76" s="74"/>
      <c r="FK76" s="74"/>
      <c r="FL76" s="74"/>
      <c r="FM76" s="74"/>
      <c r="FN76" s="74"/>
    </row>
    <row r="77" spans="1:170" ht="13.5">
      <c r="A77" s="2"/>
      <c r="B77" s="35"/>
      <c r="C77" s="35"/>
      <c r="D77" s="35"/>
      <c r="E77" s="36"/>
      <c r="F77" s="36"/>
      <c r="L77" s="2"/>
      <c r="M77" s="2"/>
      <c r="N77" s="2"/>
      <c r="O77" s="2"/>
      <c r="FD77" s="317"/>
      <c r="FE77" s="2"/>
      <c r="FF77" s="2"/>
      <c r="FG77" s="2"/>
      <c r="FH77" s="218"/>
      <c r="FI77" s="74"/>
      <c r="FJ77" s="74"/>
      <c r="FK77" s="74"/>
      <c r="FL77" s="74"/>
      <c r="FM77" s="74"/>
      <c r="FN77" s="74"/>
    </row>
    <row r="78" spans="1:170" ht="12.75" customHeight="1">
      <c r="A78" s="2"/>
      <c r="B78" s="35"/>
      <c r="C78" s="35"/>
      <c r="D78" s="35"/>
      <c r="E78" s="36"/>
      <c r="F78" s="36"/>
      <c r="L78" s="2"/>
      <c r="M78" s="2"/>
      <c r="N78" s="2"/>
      <c r="O78" s="2"/>
      <c r="FD78" s="2"/>
      <c r="FE78" s="2"/>
      <c r="FF78" s="2"/>
      <c r="FG78" s="105"/>
      <c r="FH78" s="218"/>
      <c r="FI78" s="74"/>
      <c r="FJ78" s="74"/>
      <c r="FK78" s="74"/>
      <c r="FL78" s="74"/>
      <c r="FM78" s="74"/>
      <c r="FN78" s="74"/>
    </row>
    <row r="79" spans="1:170" ht="12.75" customHeight="1">
      <c r="A79" s="2"/>
      <c r="B79" s="35"/>
      <c r="C79" s="35"/>
      <c r="D79" s="35"/>
      <c r="E79" s="36"/>
      <c r="F79" s="36"/>
      <c r="L79" s="2"/>
      <c r="M79" s="2"/>
      <c r="N79" s="2"/>
      <c r="O79" s="2"/>
      <c r="DL79" s="658"/>
      <c r="DM79" s="658"/>
      <c r="DN79" s="659" t="s">
        <v>410</v>
      </c>
      <c r="DO79" s="658"/>
      <c r="FD79" s="2"/>
      <c r="FE79" s="2"/>
      <c r="FF79" s="2"/>
      <c r="FG79" s="58"/>
      <c r="FH79" s="218"/>
      <c r="FI79" s="74"/>
      <c r="FJ79" s="74"/>
      <c r="FK79" s="74"/>
      <c r="FL79" s="74"/>
      <c r="FM79" s="74"/>
      <c r="FN79" s="74"/>
    </row>
    <row r="80" spans="1:170" ht="12.75" customHeight="1">
      <c r="A80" s="2"/>
      <c r="B80" s="35"/>
      <c r="C80" s="35"/>
      <c r="D80" s="35"/>
      <c r="E80" s="36"/>
      <c r="F80" s="36"/>
      <c r="L80" s="2"/>
      <c r="M80" s="2"/>
      <c r="N80" s="2"/>
      <c r="O80" s="2"/>
      <c r="DL80" s="658"/>
      <c r="DM80" s="658"/>
      <c r="DN80" s="660" t="s">
        <v>411</v>
      </c>
      <c r="DO80" s="658"/>
      <c r="FD80" s="2"/>
      <c r="FE80" s="2"/>
      <c r="FF80" s="2"/>
      <c r="FG80" s="74"/>
      <c r="FH80" s="218"/>
      <c r="FI80" s="74"/>
      <c r="FJ80" s="74"/>
      <c r="FK80" s="74"/>
      <c r="FL80" s="74"/>
      <c r="FM80" s="74"/>
      <c r="FN80" s="74"/>
    </row>
    <row r="81" spans="1:170" ht="12.75" customHeight="1">
      <c r="A81" s="2"/>
      <c r="B81" s="35"/>
      <c r="C81" s="35"/>
      <c r="D81" s="35"/>
      <c r="E81" s="36"/>
      <c r="F81" s="36"/>
      <c r="L81" s="2"/>
      <c r="M81" s="2"/>
      <c r="N81" s="2"/>
      <c r="O81" s="2"/>
      <c r="DL81" s="658"/>
      <c r="DM81" s="658"/>
      <c r="DN81" s="661" t="s">
        <v>422</v>
      </c>
      <c r="DO81" s="658"/>
      <c r="FD81" s="2"/>
      <c r="FE81" s="2"/>
      <c r="FF81" s="2"/>
      <c r="FG81" s="318"/>
      <c r="FH81" s="218"/>
      <c r="FI81" s="74"/>
      <c r="FJ81" s="74"/>
      <c r="FK81" s="74"/>
      <c r="FL81" s="74"/>
      <c r="FM81" s="74"/>
      <c r="FN81" s="74"/>
    </row>
    <row r="82" spans="1:170" ht="12.75" customHeight="1">
      <c r="A82" s="2"/>
      <c r="B82" s="2"/>
      <c r="C82" s="2"/>
      <c r="D82" s="2"/>
      <c r="E82" s="36"/>
      <c r="F82" s="36"/>
      <c r="L82" s="2"/>
      <c r="M82" s="2"/>
      <c r="N82" s="2"/>
      <c r="O82" s="2"/>
      <c r="DL82" s="662"/>
      <c r="DM82" s="662"/>
      <c r="DN82" s="662"/>
      <c r="DO82" s="662" t="s">
        <v>412</v>
      </c>
      <c r="DP82" s="9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</row>
    <row r="83" spans="1:170" ht="12.75" customHeight="1">
      <c r="A83" s="2"/>
      <c r="B83" s="2"/>
      <c r="C83" s="2"/>
      <c r="D83" s="2"/>
      <c r="E83" s="36"/>
      <c r="F83" s="36"/>
      <c r="L83" s="2"/>
      <c r="M83" s="2"/>
      <c r="N83" s="2"/>
      <c r="O83" s="2"/>
      <c r="AT83" s="90"/>
      <c r="DL83" s="663" t="s">
        <v>413</v>
      </c>
      <c r="DM83" s="664" t="s">
        <v>405</v>
      </c>
      <c r="DN83" s="663" t="s">
        <v>414</v>
      </c>
      <c r="DO83" s="663" t="s">
        <v>414</v>
      </c>
      <c r="DP83" s="217"/>
      <c r="DQ83" s="92"/>
      <c r="FD83" s="317"/>
      <c r="FE83" s="2"/>
      <c r="FF83" s="2"/>
      <c r="FG83" s="2"/>
      <c r="FH83" s="2"/>
      <c r="FI83" s="2"/>
      <c r="FJ83" s="2"/>
      <c r="FK83" s="2"/>
      <c r="FL83" s="2"/>
      <c r="FM83" s="2"/>
      <c r="FN83" s="2"/>
    </row>
    <row r="84" spans="1:170" ht="12.75" customHeight="1">
      <c r="A84" s="2"/>
      <c r="B84" s="2"/>
      <c r="C84" s="2"/>
      <c r="D84" s="2"/>
      <c r="E84" s="2"/>
      <c r="F84" s="2"/>
      <c r="L84" s="166"/>
      <c r="M84" s="2"/>
      <c r="N84" s="2"/>
      <c r="O84" s="2"/>
      <c r="AT84" s="90"/>
      <c r="DL84" s="665"/>
      <c r="DM84" s="665"/>
      <c r="DN84" s="762" t="s">
        <v>494</v>
      </c>
      <c r="DO84" s="665"/>
      <c r="DQ84" s="217"/>
      <c r="DR84" s="92"/>
      <c r="DS84" s="92"/>
      <c r="DT84" s="92"/>
      <c r="FD84" s="2"/>
      <c r="FE84" s="2"/>
      <c r="FF84" s="2"/>
      <c r="FG84" s="103"/>
      <c r="FH84" s="74"/>
      <c r="FI84" s="105"/>
      <c r="FJ84" s="105"/>
      <c r="FK84" s="105"/>
      <c r="FL84" s="105"/>
      <c r="FM84" s="105"/>
      <c r="FN84" s="105"/>
    </row>
    <row r="85" spans="1:170" ht="12.75" customHeight="1">
      <c r="A85" s="2"/>
      <c r="B85" s="2"/>
      <c r="C85" s="2"/>
      <c r="D85" s="2"/>
      <c r="E85" s="36"/>
      <c r="F85" s="2"/>
      <c r="L85" s="166"/>
      <c r="M85" s="2"/>
      <c r="N85" s="2"/>
      <c r="O85" s="2"/>
      <c r="AT85" s="90"/>
      <c r="DL85" s="672" t="s">
        <v>415</v>
      </c>
      <c r="DM85" s="675">
        <f>'[1]model'!$FP$79</f>
        <v>0.43</v>
      </c>
      <c r="DN85" s="671">
        <f>'[1]model'!$FQ$79</f>
        <v>0.09375</v>
      </c>
      <c r="DO85" s="670">
        <f>ROUND(DM85*DN85,4)</f>
        <v>0.0403</v>
      </c>
      <c r="DR85" s="217"/>
      <c r="FD85" s="2"/>
      <c r="FE85" s="2"/>
      <c r="FF85" s="2"/>
      <c r="FG85" s="127"/>
      <c r="FH85" s="218"/>
      <c r="FI85" s="319"/>
      <c r="FJ85" s="319"/>
      <c r="FK85" s="319"/>
      <c r="FL85" s="319"/>
      <c r="FM85" s="319"/>
      <c r="FN85" s="319"/>
    </row>
    <row r="86" spans="1:170" ht="12.75" customHeight="1">
      <c r="A86" s="2"/>
      <c r="B86" s="2"/>
      <c r="C86" s="2"/>
      <c r="D86" s="2"/>
      <c r="E86" s="2"/>
      <c r="F86" s="2"/>
      <c r="L86" s="166"/>
      <c r="M86" s="2"/>
      <c r="N86" s="2"/>
      <c r="O86" s="2"/>
      <c r="DL86" s="668" t="s">
        <v>416</v>
      </c>
      <c r="DM86" s="669">
        <f>'[1]model'!$FP$80</f>
        <v>0.0375</v>
      </c>
      <c r="DN86" s="669">
        <f>'[1]model'!$FQ$80</f>
        <v>0.0761</v>
      </c>
      <c r="DO86" s="670">
        <f>ROUND(DM86*DN86,4)</f>
        <v>0.0029</v>
      </c>
      <c r="FD86" s="2"/>
      <c r="FE86" s="2"/>
      <c r="FF86" s="2"/>
      <c r="FG86" s="58"/>
      <c r="FH86" s="218"/>
      <c r="FI86" s="319"/>
      <c r="FJ86" s="319"/>
      <c r="FK86" s="319"/>
      <c r="FL86" s="319"/>
      <c r="FM86" s="319"/>
      <c r="FN86" s="319"/>
    </row>
    <row r="87" spans="1:170" ht="12.75" customHeight="1">
      <c r="A87" s="2"/>
      <c r="B87" s="2"/>
      <c r="C87" s="2"/>
      <c r="D87" s="2"/>
      <c r="E87" s="2"/>
      <c r="F87" s="2"/>
      <c r="L87" s="2"/>
      <c r="M87" s="2"/>
      <c r="N87" s="2"/>
      <c r="O87" s="2"/>
      <c r="DL87" s="346"/>
      <c r="DM87" s="311"/>
      <c r="DN87" s="311"/>
      <c r="DO87" s="311"/>
      <c r="DT87" s="16"/>
      <c r="FD87" s="2"/>
      <c r="FE87" s="2"/>
      <c r="FF87" s="2"/>
      <c r="FG87" s="318"/>
      <c r="FH87" s="218"/>
      <c r="FI87" s="319"/>
      <c r="FJ87" s="319"/>
      <c r="FK87" s="319"/>
      <c r="FL87" s="319"/>
      <c r="FM87" s="319"/>
      <c r="FN87" s="319"/>
    </row>
    <row r="88" spans="1:170" ht="12.75" customHeight="1">
      <c r="A88" s="2"/>
      <c r="B88" s="2"/>
      <c r="C88" s="2"/>
      <c r="D88" s="2"/>
      <c r="E88" s="2"/>
      <c r="F88" s="2"/>
      <c r="L88" s="2"/>
      <c r="M88" s="2"/>
      <c r="N88" s="2"/>
      <c r="O88" s="2"/>
      <c r="DL88" s="673" t="s">
        <v>417</v>
      </c>
      <c r="DM88" s="676">
        <f>'[1]model'!$FP$82</f>
        <v>0.007</v>
      </c>
      <c r="DN88" s="676">
        <f>'[1]model'!$FQ$82</f>
        <v>0.0854</v>
      </c>
      <c r="DO88" s="311">
        <f>ROUND(DM88*DN88,4)</f>
        <v>0.0006</v>
      </c>
      <c r="FD88" s="2"/>
      <c r="FE88" s="2"/>
      <c r="FF88" s="2"/>
      <c r="FG88" s="74"/>
      <c r="FH88" s="218"/>
      <c r="FI88" s="319"/>
      <c r="FJ88" s="319"/>
      <c r="FK88" s="319"/>
      <c r="FL88" s="319"/>
      <c r="FM88" s="319"/>
      <c r="FN88" s="319"/>
    </row>
    <row r="89" spans="1:170" ht="12.75" customHeight="1">
      <c r="A89" s="2"/>
      <c r="B89" s="2"/>
      <c r="C89" s="2"/>
      <c r="D89" s="2"/>
      <c r="E89" s="2"/>
      <c r="F89" s="2"/>
      <c r="L89" s="2"/>
      <c r="M89" s="2"/>
      <c r="N89" s="2"/>
      <c r="O89" s="2"/>
      <c r="DL89" s="673" t="s">
        <v>418</v>
      </c>
      <c r="DM89" s="676">
        <f>'[1]model'!$FP$83</f>
        <v>0.4788</v>
      </c>
      <c r="DN89" s="676">
        <f>'[1]model'!$FQ$83</f>
        <v>0.0664</v>
      </c>
      <c r="DO89" s="311">
        <f>ROUND(DM89*DN89,4)</f>
        <v>0.0318</v>
      </c>
      <c r="FD89" s="2"/>
      <c r="FE89" s="2"/>
      <c r="FF89" s="2"/>
      <c r="FG89" s="2"/>
      <c r="FH89" s="218"/>
      <c r="FI89" s="319"/>
      <c r="FJ89" s="319"/>
      <c r="FK89" s="319"/>
      <c r="FL89" s="319"/>
      <c r="FM89" s="319"/>
      <c r="FN89" s="319"/>
    </row>
    <row r="90" spans="2:170" ht="12.75" customHeight="1">
      <c r="B90" s="2"/>
      <c r="C90" s="2"/>
      <c r="D90" s="2"/>
      <c r="E90" s="2"/>
      <c r="F90" s="2"/>
      <c r="L90" s="2"/>
      <c r="M90" s="2"/>
      <c r="N90" s="2"/>
      <c r="O90" s="2"/>
      <c r="DL90" s="673" t="s">
        <v>419</v>
      </c>
      <c r="DM90" s="677">
        <f>'[1]model'!$FP$84</f>
        <v>0.0467</v>
      </c>
      <c r="DN90" s="677">
        <f>'[1]model'!$FQ$84</f>
        <v>0.0619</v>
      </c>
      <c r="DO90" s="667">
        <f>ROUND(DM90*DN90,4)</f>
        <v>0.0029</v>
      </c>
      <c r="FD90" s="2"/>
      <c r="FE90" s="2"/>
      <c r="FF90" s="2"/>
      <c r="FG90" s="74"/>
      <c r="FH90" s="218"/>
      <c r="FI90" s="319"/>
      <c r="FJ90" s="319"/>
      <c r="FK90" s="319"/>
      <c r="FL90" s="319"/>
      <c r="FM90" s="319"/>
      <c r="FN90" s="319"/>
    </row>
    <row r="91" spans="2:170" ht="12.75" customHeight="1">
      <c r="B91" s="2"/>
      <c r="C91" s="2"/>
      <c r="D91" s="2"/>
      <c r="E91" s="2"/>
      <c r="F91" s="2"/>
      <c r="L91" s="2"/>
      <c r="M91" s="2"/>
      <c r="N91" s="2"/>
      <c r="O91" s="2"/>
      <c r="DL91" s="668" t="s">
        <v>420</v>
      </c>
      <c r="DM91" s="669">
        <f>DM88+DM89+DM90</f>
        <v>0.5325</v>
      </c>
      <c r="DN91" s="669">
        <f>DO91/DM91</f>
        <v>0.06629107981220658</v>
      </c>
      <c r="DO91" s="669">
        <f>DO88+DO89+DO90</f>
        <v>0.035300000000000005</v>
      </c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</row>
    <row r="92" spans="2:170" ht="12.75" customHeight="1">
      <c r="B92" s="2"/>
      <c r="C92" s="2"/>
      <c r="D92" s="2"/>
      <c r="E92" s="2"/>
      <c r="F92" s="2"/>
      <c r="L92" s="2"/>
      <c r="M92" s="2"/>
      <c r="N92" s="2"/>
      <c r="O92" s="2"/>
      <c r="DL92" s="665"/>
      <c r="DM92" s="666"/>
      <c r="DN92" s="666"/>
      <c r="DO92" s="666"/>
      <c r="FD92" s="2"/>
      <c r="FE92" s="398"/>
      <c r="FF92" s="398"/>
      <c r="FG92" s="398"/>
      <c r="FH92" s="2"/>
      <c r="FI92" s="2"/>
      <c r="FJ92" s="2"/>
      <c r="FK92" s="2"/>
      <c r="FL92" s="2"/>
      <c r="FM92" s="2"/>
      <c r="FN92" s="2"/>
    </row>
    <row r="93" spans="2:119" ht="12.75" customHeight="1">
      <c r="B93" s="2"/>
      <c r="C93" s="2"/>
      <c r="D93" s="2"/>
      <c r="E93" s="2"/>
      <c r="F93" s="2"/>
      <c r="L93" s="2"/>
      <c r="M93" s="2"/>
      <c r="N93" s="2"/>
      <c r="O93" s="2"/>
      <c r="DL93" s="345" t="s">
        <v>421</v>
      </c>
      <c r="DM93" s="670">
        <f>DM85+DM86+DM91</f>
        <v>1</v>
      </c>
      <c r="DN93" s="670"/>
      <c r="DO93" s="670">
        <f>DO85+DO86+DO91</f>
        <v>0.07850000000000001</v>
      </c>
    </row>
    <row r="94" spans="2:15" ht="12.75" customHeight="1">
      <c r="B94" s="2"/>
      <c r="C94" s="2"/>
      <c r="D94" s="2"/>
      <c r="E94" s="2"/>
      <c r="F94" s="2"/>
      <c r="L94" s="2"/>
      <c r="M94" s="2"/>
      <c r="N94" s="2"/>
      <c r="O94" s="2"/>
    </row>
    <row r="95" spans="2:15" ht="12.75" customHeight="1">
      <c r="B95" s="2"/>
      <c r="C95" s="2"/>
      <c r="D95" s="2"/>
      <c r="E95" s="2"/>
      <c r="F95" s="2"/>
      <c r="L95" s="2"/>
      <c r="M95" s="2"/>
      <c r="N95" s="2"/>
      <c r="O95" s="2"/>
    </row>
    <row r="96" spans="2:119" ht="12.75" customHeight="1">
      <c r="B96" s="2"/>
      <c r="C96" s="2"/>
      <c r="D96" s="2"/>
      <c r="E96" s="2"/>
      <c r="F96" s="2"/>
      <c r="L96" s="2"/>
      <c r="M96" s="2"/>
      <c r="N96" s="2"/>
      <c r="O96" s="2"/>
      <c r="DM96" s="680" t="s">
        <v>423</v>
      </c>
      <c r="DN96" s="680"/>
      <c r="DO96" s="681">
        <f>FA16</f>
        <v>19348874</v>
      </c>
    </row>
    <row r="97" spans="2:119" ht="12.75" customHeight="1">
      <c r="B97" s="2"/>
      <c r="C97" s="2"/>
      <c r="D97" s="2"/>
      <c r="E97" s="2"/>
      <c r="F97" s="2"/>
      <c r="L97" s="2"/>
      <c r="M97" s="2"/>
      <c r="N97" s="2"/>
      <c r="O97" s="2"/>
      <c r="DM97" s="680" t="s">
        <v>424</v>
      </c>
      <c r="DN97" s="680"/>
      <c r="DO97" s="682">
        <f>FD16</f>
        <v>0.020501630855826954</v>
      </c>
    </row>
    <row r="98" spans="2:15" ht="12.75" customHeight="1">
      <c r="B98" s="2"/>
      <c r="C98" s="2"/>
      <c r="D98" s="2"/>
      <c r="E98" s="2"/>
      <c r="F98" s="2"/>
      <c r="L98" s="2"/>
      <c r="M98" s="2"/>
      <c r="N98" s="2"/>
      <c r="O98" s="2"/>
    </row>
    <row r="99" spans="2:15" ht="12.75" customHeight="1">
      <c r="B99" s="2"/>
      <c r="C99" s="2"/>
      <c r="D99" s="2"/>
      <c r="E99" s="2"/>
      <c r="F99" s="2"/>
      <c r="L99" s="2"/>
      <c r="M99" s="2"/>
      <c r="N99" s="2"/>
      <c r="O99" s="2"/>
    </row>
    <row r="100" spans="2:15" ht="12.75" customHeight="1">
      <c r="B100" s="2"/>
      <c r="C100" s="2"/>
      <c r="D100" s="2"/>
      <c r="E100" s="2"/>
      <c r="F100" s="2"/>
      <c r="L100" s="2"/>
      <c r="M100" s="2"/>
      <c r="N100" s="2"/>
      <c r="O100" s="2"/>
    </row>
    <row r="101" spans="2:15" ht="12.75" customHeight="1">
      <c r="B101" s="2"/>
      <c r="C101" s="2"/>
      <c r="D101" s="2"/>
      <c r="E101" s="2"/>
      <c r="F101" s="2"/>
      <c r="L101" s="2"/>
      <c r="M101" s="2"/>
      <c r="N101" s="2"/>
      <c r="O101" s="2"/>
    </row>
    <row r="102" spans="2:15" ht="12.75" customHeight="1">
      <c r="B102" s="2"/>
      <c r="C102" s="2"/>
      <c r="D102" s="2"/>
      <c r="E102" s="2"/>
      <c r="F102" s="2"/>
      <c r="L102" s="2"/>
      <c r="M102" s="2"/>
      <c r="N102" s="2"/>
      <c r="O102" s="2"/>
    </row>
    <row r="103" spans="2:15" ht="12.75" customHeight="1">
      <c r="B103" s="2"/>
      <c r="C103" s="2"/>
      <c r="D103" s="2"/>
      <c r="E103" s="2"/>
      <c r="F103" s="2"/>
      <c r="L103" s="2"/>
      <c r="M103" s="2"/>
      <c r="N103" s="2"/>
      <c r="O103" s="2"/>
    </row>
    <row r="104" spans="2:15" ht="12.75" customHeight="1">
      <c r="B104" s="2"/>
      <c r="C104" s="2"/>
      <c r="D104" s="2"/>
      <c r="E104" s="2"/>
      <c r="F104" s="2"/>
      <c r="L104" s="2"/>
      <c r="M104" s="2"/>
      <c r="N104" s="2"/>
      <c r="O104" s="2"/>
    </row>
    <row r="105" spans="2:15" ht="12.75" customHeight="1">
      <c r="B105" s="2"/>
      <c r="C105" s="2"/>
      <c r="D105" s="2"/>
      <c r="E105" s="2"/>
      <c r="F105" s="2"/>
      <c r="L105" s="2"/>
      <c r="M105" s="2"/>
      <c r="N105" s="2"/>
      <c r="O105" s="2"/>
    </row>
    <row r="106" spans="2:15" ht="12.75" customHeight="1">
      <c r="B106" s="2"/>
      <c r="C106" s="2"/>
      <c r="D106" s="2"/>
      <c r="E106" s="2"/>
      <c r="F106" s="2"/>
      <c r="L106" s="2"/>
      <c r="M106" s="2"/>
      <c r="N106" s="2"/>
      <c r="O106" s="2"/>
    </row>
    <row r="107" spans="2:15" ht="12.75" customHeight="1">
      <c r="B107" s="2"/>
      <c r="C107" s="2"/>
      <c r="D107" s="2"/>
      <c r="E107" s="2"/>
      <c r="F107" s="2"/>
      <c r="L107" s="2"/>
      <c r="M107" s="2"/>
      <c r="N107" s="2"/>
      <c r="O107" s="2"/>
    </row>
    <row r="108" spans="2:15" ht="12.75" customHeight="1">
      <c r="B108" s="2"/>
      <c r="C108" s="2"/>
      <c r="D108" s="2"/>
      <c r="E108" s="2"/>
      <c r="F108" s="2"/>
      <c r="L108" s="2"/>
      <c r="M108" s="2"/>
      <c r="N108" s="2"/>
      <c r="O108" s="2"/>
    </row>
    <row r="109" spans="2:15" ht="12.75" customHeight="1">
      <c r="B109" s="2"/>
      <c r="C109" s="2"/>
      <c r="D109" s="2"/>
      <c r="E109" s="2"/>
      <c r="F109" s="2"/>
      <c r="L109" s="2"/>
      <c r="M109" s="2"/>
      <c r="N109" s="2"/>
      <c r="O109" s="2"/>
    </row>
    <row r="110" spans="2:15" ht="12.75" customHeight="1">
      <c r="B110" s="2"/>
      <c r="C110" s="2"/>
      <c r="D110" s="2"/>
      <c r="E110" s="2"/>
      <c r="F110" s="2"/>
      <c r="L110" s="2"/>
      <c r="M110" s="2"/>
      <c r="N110" s="2"/>
      <c r="O110" s="2"/>
    </row>
    <row r="111" spans="2:15" ht="12.75" customHeight="1">
      <c r="B111" s="2"/>
      <c r="C111" s="2"/>
      <c r="D111" s="2"/>
      <c r="E111" s="2"/>
      <c r="F111" s="2"/>
      <c r="L111" s="2"/>
      <c r="M111" s="2"/>
      <c r="N111" s="2"/>
      <c r="O111" s="2"/>
    </row>
    <row r="112" spans="2:15" ht="12.75" customHeight="1">
      <c r="B112" s="2"/>
      <c r="C112" s="2"/>
      <c r="D112" s="2"/>
      <c r="E112" s="2"/>
      <c r="F112" s="2"/>
      <c r="L112" s="2"/>
      <c r="M112" s="2"/>
      <c r="N112" s="2"/>
      <c r="O112" s="2"/>
    </row>
    <row r="113" spans="2:15" ht="12.75" customHeight="1">
      <c r="B113" s="2"/>
      <c r="C113" s="2"/>
      <c r="D113" s="2"/>
      <c r="E113" s="2"/>
      <c r="F113" s="2"/>
      <c r="L113" s="2"/>
      <c r="M113" s="2"/>
      <c r="N113" s="2"/>
      <c r="O113" s="2"/>
    </row>
    <row r="114" spans="12:15" ht="12.75" customHeight="1">
      <c r="L114" s="2"/>
      <c r="M114" s="2"/>
      <c r="N114" s="2"/>
      <c r="O114" s="2"/>
    </row>
    <row r="115" spans="12:15" ht="12.75" customHeight="1">
      <c r="L115" s="2"/>
      <c r="M115" s="2"/>
      <c r="N115" s="2"/>
      <c r="O115" s="2"/>
    </row>
    <row r="116" spans="12:15" ht="12.75" customHeight="1">
      <c r="L116" s="2"/>
      <c r="M116" s="2"/>
      <c r="N116" s="2"/>
      <c r="O116" s="2"/>
    </row>
    <row r="117" spans="12:15" ht="12.75" customHeight="1">
      <c r="L117" s="2"/>
      <c r="M117" s="2"/>
      <c r="N117" s="2"/>
      <c r="O117" s="2"/>
    </row>
    <row r="118" spans="12:15" ht="12.75" customHeight="1">
      <c r="L118" s="2"/>
      <c r="M118" s="2"/>
      <c r="N118" s="2"/>
      <c r="O118" s="2"/>
    </row>
    <row r="119" spans="12:15" ht="12.75" customHeight="1">
      <c r="L119" s="2"/>
      <c r="M119" s="2"/>
      <c r="N119" s="2"/>
      <c r="O119" s="2"/>
    </row>
    <row r="120" spans="12:15" ht="12.75" customHeight="1">
      <c r="L120" s="2"/>
      <c r="M120" s="2"/>
      <c r="N120" s="2"/>
      <c r="O120" s="2"/>
    </row>
    <row r="121" spans="12:15" ht="12.75" customHeight="1">
      <c r="L121" s="2"/>
      <c r="M121" s="2"/>
      <c r="N121" s="2"/>
      <c r="O121" s="2"/>
    </row>
    <row r="122" spans="12:15" ht="12.75" customHeight="1">
      <c r="L122" s="2"/>
      <c r="M122" s="2"/>
      <c r="N122" s="2"/>
      <c r="O122" s="2"/>
    </row>
    <row r="123" spans="12:15" ht="12.75" customHeight="1">
      <c r="L123" s="2"/>
      <c r="M123" s="2"/>
      <c r="N123" s="2"/>
      <c r="O123" s="2"/>
    </row>
    <row r="124" spans="12:15" ht="12.75" customHeight="1">
      <c r="L124" s="2"/>
      <c r="M124" s="2"/>
      <c r="N124" s="2"/>
      <c r="O124" s="2"/>
    </row>
    <row r="125" spans="12:15" ht="12.75" customHeight="1">
      <c r="L125" s="2"/>
      <c r="M125" s="2"/>
      <c r="N125" s="2"/>
      <c r="O125" s="2"/>
    </row>
    <row r="126" spans="12:15" ht="12.75" customHeight="1">
      <c r="L126" s="2"/>
      <c r="M126" s="2"/>
      <c r="N126" s="2"/>
      <c r="O126" s="2"/>
    </row>
    <row r="127" spans="12:15" ht="12.75" customHeight="1">
      <c r="L127" s="2"/>
      <c r="M127" s="2"/>
      <c r="N127" s="2"/>
      <c r="O127" s="2"/>
    </row>
    <row r="128" spans="12:15" ht="12.75" customHeight="1">
      <c r="L128" s="2"/>
      <c r="M128" s="2"/>
      <c r="N128" s="2"/>
      <c r="O128" s="2"/>
    </row>
    <row r="129" spans="12:15" ht="12.75" customHeight="1">
      <c r="L129" s="2"/>
      <c r="M129" s="2"/>
      <c r="N129" s="2"/>
      <c r="O129" s="2"/>
    </row>
    <row r="130" spans="12:15" ht="12.75" customHeight="1">
      <c r="L130" s="2"/>
      <c r="M130" s="2"/>
      <c r="N130" s="2"/>
      <c r="O130" s="2"/>
    </row>
    <row r="131" spans="12:15" ht="12.75" customHeight="1">
      <c r="L131" s="2"/>
      <c r="M131" s="2"/>
      <c r="N131" s="2"/>
      <c r="O131" s="2"/>
    </row>
    <row r="132" spans="12:15" ht="12.75" customHeight="1">
      <c r="L132" s="2"/>
      <c r="M132" s="2"/>
      <c r="N132" s="2"/>
      <c r="O132" s="2"/>
    </row>
    <row r="133" spans="1:15" ht="12.75" customHeight="1">
      <c r="A133" s="167"/>
      <c r="L133" s="2"/>
      <c r="M133" s="2"/>
      <c r="N133" s="2"/>
      <c r="O133" s="2"/>
    </row>
    <row r="134" spans="1:15" ht="12.75" customHeight="1">
      <c r="A134" s="167"/>
      <c r="L134" s="2"/>
      <c r="M134" s="2"/>
      <c r="N134" s="2"/>
      <c r="O134" s="2"/>
    </row>
    <row r="135" spans="1:15" ht="12.75" customHeight="1">
      <c r="A135" s="167"/>
      <c r="L135" s="2"/>
      <c r="M135" s="2"/>
      <c r="N135" s="2"/>
      <c r="O135" s="2"/>
    </row>
    <row r="136" spans="1:15" ht="12.75" customHeight="1">
      <c r="A136" s="167"/>
      <c r="L136" s="2"/>
      <c r="M136" s="2"/>
      <c r="N136" s="2"/>
      <c r="O136" s="2"/>
    </row>
    <row r="137" spans="1:15" ht="12.75" customHeight="1">
      <c r="A137" s="169"/>
      <c r="L137" s="2"/>
      <c r="M137" s="2"/>
      <c r="N137" s="2"/>
      <c r="O137" s="2"/>
    </row>
    <row r="138" spans="1:15" ht="12.75" customHeight="1">
      <c r="A138" s="169"/>
      <c r="L138" s="2"/>
      <c r="M138" s="2"/>
      <c r="N138" s="2"/>
      <c r="O138" s="2"/>
    </row>
    <row r="139" spans="1:15" ht="12.75" customHeight="1">
      <c r="A139" s="172"/>
      <c r="L139" s="2"/>
      <c r="M139" s="2"/>
      <c r="N139" s="2"/>
      <c r="O139" s="2"/>
    </row>
    <row r="140" spans="1:15" ht="12.75" customHeight="1">
      <c r="A140" s="175"/>
      <c r="L140" s="2"/>
      <c r="M140" s="2"/>
      <c r="N140" s="2"/>
      <c r="O140" s="2"/>
    </row>
    <row r="141" spans="1:15" ht="12.75" customHeight="1">
      <c r="A141" s="175"/>
      <c r="L141" s="2"/>
      <c r="M141" s="2"/>
      <c r="N141" s="2"/>
      <c r="O141" s="2"/>
    </row>
    <row r="142" spans="1:15" ht="12.75" customHeight="1">
      <c r="A142" s="175"/>
      <c r="L142" s="2"/>
      <c r="M142" s="2"/>
      <c r="N142" s="2"/>
      <c r="O142" s="2"/>
    </row>
    <row r="143" spans="1:15" ht="12.75" customHeight="1">
      <c r="A143" s="175"/>
      <c r="L143" s="2"/>
      <c r="M143" s="2"/>
      <c r="N143" s="2"/>
      <c r="O143" s="2"/>
    </row>
    <row r="144" spans="1:15" ht="12.75" customHeight="1">
      <c r="A144" s="175"/>
      <c r="L144" s="2"/>
      <c r="M144" s="2"/>
      <c r="N144" s="2"/>
      <c r="O144" s="2"/>
    </row>
    <row r="145" spans="1:15" ht="12.75" customHeight="1">
      <c r="A145" s="175"/>
      <c r="L145" s="2"/>
      <c r="M145" s="2"/>
      <c r="N145" s="2"/>
      <c r="O145" s="2"/>
    </row>
    <row r="146" spans="1:15" ht="12.75" customHeight="1">
      <c r="A146" s="175"/>
      <c r="L146" s="2"/>
      <c r="M146" s="2"/>
      <c r="N146" s="2"/>
      <c r="O146" s="2"/>
    </row>
    <row r="147" spans="1:15" ht="12.75" customHeight="1">
      <c r="A147" s="175"/>
      <c r="L147" s="2"/>
      <c r="M147" s="2"/>
      <c r="N147" s="2"/>
      <c r="O147" s="2"/>
    </row>
    <row r="148" spans="1:15" ht="12.75" customHeight="1">
      <c r="A148" s="175"/>
      <c r="L148" s="2"/>
      <c r="M148" s="2"/>
      <c r="N148" s="2"/>
      <c r="O148" s="2"/>
    </row>
    <row r="149" spans="1:15" ht="12.75" customHeight="1">
      <c r="A149" s="175"/>
      <c r="L149" s="2"/>
      <c r="M149" s="2"/>
      <c r="N149" s="2"/>
      <c r="O149" s="2"/>
    </row>
    <row r="150" spans="1:15" ht="12.75" customHeight="1">
      <c r="A150" s="175"/>
      <c r="L150" s="2"/>
      <c r="M150" s="2"/>
      <c r="N150" s="2"/>
      <c r="O150" s="2"/>
    </row>
    <row r="151" spans="1:15" ht="12.75" customHeight="1">
      <c r="A151" s="175"/>
      <c r="L151" s="2"/>
      <c r="M151" s="2"/>
      <c r="N151" s="2"/>
      <c r="O151" s="2"/>
    </row>
    <row r="152" spans="1:15" ht="12.75" customHeight="1">
      <c r="A152" s="175"/>
      <c r="L152" s="2"/>
      <c r="M152" s="2"/>
      <c r="N152" s="2"/>
      <c r="O152" s="2"/>
    </row>
    <row r="153" spans="1:15" ht="12.75" customHeight="1">
      <c r="A153" s="172"/>
      <c r="L153" s="2"/>
      <c r="M153" s="2"/>
      <c r="N153" s="2"/>
      <c r="O153" s="2"/>
    </row>
    <row r="154" spans="1:15" ht="12.75" customHeight="1">
      <c r="A154" s="175"/>
      <c r="L154" s="2"/>
      <c r="M154" s="2"/>
      <c r="N154" s="2"/>
      <c r="O154" s="2"/>
    </row>
    <row r="155" spans="1:15" ht="12.75" customHeight="1">
      <c r="A155" s="175"/>
      <c r="L155" s="2"/>
      <c r="M155" s="2"/>
      <c r="N155" s="2"/>
      <c r="O155" s="2"/>
    </row>
    <row r="156" spans="1:15" ht="12.75" customHeight="1">
      <c r="A156" s="172"/>
      <c r="L156" s="2"/>
      <c r="M156" s="2"/>
      <c r="N156" s="2"/>
      <c r="O156" s="2"/>
    </row>
    <row r="157" spans="1:15" ht="12.75" customHeight="1">
      <c r="A157" s="172"/>
      <c r="E157" s="168"/>
      <c r="F157" s="167"/>
      <c r="L157" s="2"/>
      <c r="M157" s="2"/>
      <c r="N157" s="2"/>
      <c r="O157" s="2"/>
    </row>
    <row r="158" spans="1:15" ht="12.75" customHeight="1">
      <c r="A158" s="175"/>
      <c r="E158" s="168"/>
      <c r="F158" s="167"/>
      <c r="L158" s="2"/>
      <c r="M158" s="2"/>
      <c r="N158" s="2"/>
      <c r="O158" s="2"/>
    </row>
    <row r="159" spans="1:15" ht="12.75" customHeight="1">
      <c r="A159" s="175"/>
      <c r="E159" s="168"/>
      <c r="F159" s="167"/>
      <c r="L159" s="2"/>
      <c r="M159" s="2"/>
      <c r="N159" s="2"/>
      <c r="O159" s="2"/>
    </row>
    <row r="160" spans="1:15" ht="12.75" customHeight="1">
      <c r="A160" s="175"/>
      <c r="E160" s="168"/>
      <c r="F160" s="167"/>
      <c r="L160" s="2"/>
      <c r="M160" s="2"/>
      <c r="N160" s="2"/>
      <c r="O160" s="2"/>
    </row>
    <row r="161" spans="1:15" ht="12.75" customHeight="1">
      <c r="A161" s="175"/>
      <c r="B161" s="167"/>
      <c r="C161" s="167"/>
      <c r="D161" s="167"/>
      <c r="E161" s="167"/>
      <c r="F161" s="170"/>
      <c r="L161" s="2"/>
      <c r="M161" s="2"/>
      <c r="N161" s="2"/>
      <c r="O161" s="2"/>
    </row>
    <row r="162" spans="1:15" ht="12.75" customHeight="1">
      <c r="A162" s="175"/>
      <c r="B162" s="171"/>
      <c r="C162" s="171"/>
      <c r="D162" s="171"/>
      <c r="E162" s="171"/>
      <c r="F162" s="170"/>
      <c r="L162" s="2"/>
      <c r="M162" s="2"/>
      <c r="N162" s="2"/>
      <c r="O162" s="2"/>
    </row>
    <row r="163" spans="1:15" ht="12.75" customHeight="1">
      <c r="A163" s="175"/>
      <c r="B163" s="173"/>
      <c r="C163" s="173"/>
      <c r="D163" s="173"/>
      <c r="E163" s="173"/>
      <c r="F163" s="174"/>
      <c r="L163" s="2"/>
      <c r="M163" s="2"/>
      <c r="N163" s="2"/>
      <c r="O163" s="2"/>
    </row>
    <row r="164" spans="1:15" ht="12.75" customHeight="1">
      <c r="A164" s="175"/>
      <c r="B164" s="174"/>
      <c r="C164" s="174"/>
      <c r="D164" s="174"/>
      <c r="E164" s="174"/>
      <c r="F164" s="176"/>
      <c r="L164" s="2"/>
      <c r="M164" s="2"/>
      <c r="N164" s="2"/>
      <c r="O164" s="2"/>
    </row>
    <row r="165" spans="1:15" ht="12.75" customHeight="1">
      <c r="A165" s="175"/>
      <c r="B165" s="174"/>
      <c r="C165" s="174"/>
      <c r="D165" s="174"/>
      <c r="E165" s="174"/>
      <c r="F165" s="174"/>
      <c r="L165" s="2"/>
      <c r="M165" s="2"/>
      <c r="N165" s="2"/>
      <c r="O165" s="2"/>
    </row>
    <row r="166" spans="1:15" ht="12.75" customHeight="1">
      <c r="A166" s="175"/>
      <c r="B166" s="174"/>
      <c r="C166" s="174"/>
      <c r="D166" s="174"/>
      <c r="E166" s="174"/>
      <c r="F166" s="177"/>
      <c r="L166" s="2"/>
      <c r="M166" s="2"/>
      <c r="N166" s="2"/>
      <c r="O166" s="2"/>
    </row>
    <row r="167" spans="1:15" ht="12.75" customHeight="1">
      <c r="A167" s="175"/>
      <c r="B167" s="174"/>
      <c r="C167" s="174"/>
      <c r="D167" s="174"/>
      <c r="E167" s="174"/>
      <c r="F167" s="174"/>
      <c r="L167" s="2"/>
      <c r="M167" s="2"/>
      <c r="N167" s="2"/>
      <c r="O167" s="2"/>
    </row>
    <row r="168" spans="1:15" ht="12.75" customHeight="1">
      <c r="A168" s="175"/>
      <c r="B168" s="174"/>
      <c r="C168" s="174"/>
      <c r="D168" s="174"/>
      <c r="E168" s="174"/>
      <c r="F168" s="178"/>
      <c r="L168" s="2"/>
      <c r="M168" s="2"/>
      <c r="N168" s="2"/>
      <c r="O168" s="2"/>
    </row>
    <row r="169" spans="1:15" ht="12.75" customHeight="1">
      <c r="A169" s="175"/>
      <c r="B169" s="174"/>
      <c r="C169" s="174"/>
      <c r="D169" s="174"/>
      <c r="E169" s="174"/>
      <c r="F169" s="174"/>
      <c r="L169" s="2"/>
      <c r="M169" s="2"/>
      <c r="N169" s="2"/>
      <c r="O169" s="2"/>
    </row>
    <row r="170" spans="1:15" ht="12.75" customHeight="1">
      <c r="A170" s="175"/>
      <c r="B170" s="174"/>
      <c r="C170" s="174"/>
      <c r="D170" s="174"/>
      <c r="E170" s="174"/>
      <c r="F170" s="179"/>
      <c r="L170" s="2"/>
      <c r="M170" s="2"/>
      <c r="N170" s="2"/>
      <c r="O170" s="2"/>
    </row>
    <row r="171" spans="1:15" ht="12.75" customHeight="1">
      <c r="A171" s="175"/>
      <c r="B171" s="174"/>
      <c r="C171" s="174"/>
      <c r="D171" s="174"/>
      <c r="E171" s="174"/>
      <c r="F171" s="174"/>
      <c r="L171" s="2"/>
      <c r="M171" s="2"/>
      <c r="N171" s="2"/>
      <c r="O171" s="2"/>
    </row>
    <row r="172" spans="1:15" ht="12.75" customHeight="1">
      <c r="A172" s="175"/>
      <c r="B172" s="174"/>
      <c r="C172" s="174"/>
      <c r="D172" s="174"/>
      <c r="E172" s="174"/>
      <c r="F172" s="174"/>
      <c r="L172" s="2"/>
      <c r="M172" s="2"/>
      <c r="N172" s="2"/>
      <c r="O172" s="2"/>
    </row>
    <row r="173" spans="1:15" ht="12.75" customHeight="1">
      <c r="A173" s="175"/>
      <c r="B173" s="174"/>
      <c r="C173" s="174"/>
      <c r="D173" s="174"/>
      <c r="E173" s="174"/>
      <c r="F173" s="177"/>
      <c r="L173" s="2"/>
      <c r="M173" s="2"/>
      <c r="N173" s="2"/>
      <c r="O173" s="2"/>
    </row>
    <row r="174" spans="1:15" ht="12.75" customHeight="1">
      <c r="A174" s="175"/>
      <c r="B174" s="180"/>
      <c r="C174" s="180"/>
      <c r="D174" s="180"/>
      <c r="E174" s="181"/>
      <c r="F174" s="181"/>
      <c r="L174" s="2"/>
      <c r="M174" s="2"/>
      <c r="N174" s="2"/>
      <c r="O174" s="2"/>
    </row>
    <row r="175" spans="1:15" ht="12.75" customHeight="1">
      <c r="A175" s="172"/>
      <c r="B175" s="180"/>
      <c r="C175" s="180"/>
      <c r="D175" s="180"/>
      <c r="E175" s="181"/>
      <c r="F175" s="182"/>
      <c r="L175" s="2"/>
      <c r="M175" s="2"/>
      <c r="N175" s="2"/>
      <c r="O175" s="2"/>
    </row>
    <row r="176" spans="1:15" ht="12.75" customHeight="1">
      <c r="A176" s="172"/>
      <c r="B176" s="180"/>
      <c r="C176" s="180"/>
      <c r="D176" s="180"/>
      <c r="E176" s="181"/>
      <c r="F176" s="181"/>
      <c r="L176" s="2"/>
      <c r="M176" s="2"/>
      <c r="N176" s="2"/>
      <c r="O176" s="2"/>
    </row>
    <row r="177" spans="1:15" ht="12.75" customHeight="1">
      <c r="A177" s="2"/>
      <c r="B177" s="180"/>
      <c r="C177" s="180"/>
      <c r="D177" s="180"/>
      <c r="E177" s="181"/>
      <c r="F177" s="181"/>
      <c r="L177" s="2"/>
      <c r="M177" s="2"/>
      <c r="N177" s="2"/>
      <c r="O177" s="2"/>
    </row>
    <row r="178" spans="1:15" ht="12.75" customHeight="1">
      <c r="A178" s="2"/>
      <c r="B178" s="181"/>
      <c r="C178" s="181"/>
      <c r="D178" s="181"/>
      <c r="E178" s="181"/>
      <c r="F178" s="183"/>
      <c r="L178" s="2"/>
      <c r="M178" s="2"/>
      <c r="N178" s="2"/>
      <c r="O178" s="2"/>
    </row>
    <row r="179" spans="1:15" ht="12.75" customHeight="1">
      <c r="A179" s="2"/>
      <c r="B179" s="174"/>
      <c r="C179" s="174"/>
      <c r="D179" s="174"/>
      <c r="E179" s="174"/>
      <c r="F179" s="184"/>
      <c r="L179" s="2"/>
      <c r="M179" s="2"/>
      <c r="N179" s="2"/>
      <c r="O179" s="2"/>
    </row>
    <row r="180" spans="1:15" ht="12.75" customHeight="1">
      <c r="A180" s="2"/>
      <c r="B180" s="173"/>
      <c r="C180" s="173"/>
      <c r="D180" s="173"/>
      <c r="E180" s="173"/>
      <c r="F180" s="174"/>
      <c r="L180" s="2"/>
      <c r="M180" s="2"/>
      <c r="N180" s="2"/>
      <c r="O180" s="2"/>
    </row>
    <row r="181" spans="1:15" ht="12.75" customHeight="1">
      <c r="A181" s="2"/>
      <c r="B181" s="173"/>
      <c r="C181" s="173"/>
      <c r="D181" s="173"/>
      <c r="E181" s="173"/>
      <c r="F181" s="174"/>
      <c r="L181" s="2"/>
      <c r="M181" s="2"/>
      <c r="N181" s="2"/>
      <c r="O181" s="2"/>
    </row>
    <row r="182" spans="1:15" ht="12.75" customHeight="1">
      <c r="A182" s="2"/>
      <c r="B182" s="174"/>
      <c r="C182" s="174"/>
      <c r="D182" s="174"/>
      <c r="E182" s="174"/>
      <c r="F182" s="176"/>
      <c r="L182" s="2"/>
      <c r="M182" s="2"/>
      <c r="N182" s="2"/>
      <c r="O182" s="2"/>
    </row>
    <row r="183" spans="1:15" ht="12.75" customHeight="1">
      <c r="A183" s="186"/>
      <c r="B183" s="174"/>
      <c r="C183" s="174"/>
      <c r="D183" s="174"/>
      <c r="E183" s="174"/>
      <c r="F183" s="174"/>
      <c r="L183" s="2"/>
      <c r="M183" s="2"/>
      <c r="N183" s="2"/>
      <c r="O183" s="2"/>
    </row>
    <row r="184" spans="1:15" ht="12.75" customHeight="1">
      <c r="A184" s="186"/>
      <c r="B184" s="174"/>
      <c r="C184" s="174"/>
      <c r="D184" s="174"/>
      <c r="E184" s="174"/>
      <c r="F184" s="177"/>
      <c r="L184" s="2"/>
      <c r="M184" s="2"/>
      <c r="N184" s="2"/>
      <c r="O184" s="2"/>
    </row>
    <row r="185" spans="1:15" ht="12.75" customHeight="1">
      <c r="A185" s="186"/>
      <c r="B185" s="174"/>
      <c r="C185" s="174"/>
      <c r="D185" s="174"/>
      <c r="E185" s="174"/>
      <c r="F185" s="174"/>
      <c r="L185" s="2"/>
      <c r="M185" s="2"/>
      <c r="N185" s="2"/>
      <c r="O185" s="2"/>
    </row>
    <row r="186" spans="1:15" ht="12.75" customHeight="1">
      <c r="A186" s="186"/>
      <c r="B186" s="174"/>
      <c r="C186" s="174"/>
      <c r="D186" s="174"/>
      <c r="E186" s="174"/>
      <c r="F186" s="178"/>
      <c r="L186" s="2"/>
      <c r="M186" s="2"/>
      <c r="N186" s="2"/>
      <c r="O186" s="2"/>
    </row>
    <row r="187" spans="1:15" ht="12.75" customHeight="1">
      <c r="A187" s="190"/>
      <c r="B187" s="174"/>
      <c r="C187" s="174"/>
      <c r="D187" s="174"/>
      <c r="E187" s="174"/>
      <c r="F187" s="174"/>
      <c r="L187" s="2"/>
      <c r="M187" s="2"/>
      <c r="N187" s="2"/>
      <c r="O187" s="2"/>
    </row>
    <row r="188" spans="1:15" ht="12.75" customHeight="1">
      <c r="A188" s="190"/>
      <c r="B188" s="174"/>
      <c r="C188" s="174"/>
      <c r="D188" s="174"/>
      <c r="E188" s="174"/>
      <c r="F188" s="179"/>
      <c r="L188" s="2"/>
      <c r="M188" s="2"/>
      <c r="N188" s="2"/>
      <c r="O188" s="2"/>
    </row>
    <row r="189" spans="1:15" ht="12.75" customHeight="1">
      <c r="A189" s="172"/>
      <c r="B189" s="174"/>
      <c r="C189" s="174"/>
      <c r="D189" s="174"/>
      <c r="E189" s="174"/>
      <c r="F189" s="174"/>
      <c r="L189" s="2"/>
      <c r="M189" s="2"/>
      <c r="N189" s="2"/>
      <c r="O189" s="2"/>
    </row>
    <row r="190" spans="1:15" ht="12.75" customHeight="1">
      <c r="A190" s="192"/>
      <c r="B190" s="174"/>
      <c r="C190" s="174"/>
      <c r="D190" s="174"/>
      <c r="E190" s="174"/>
      <c r="F190" s="174"/>
      <c r="L190" s="2"/>
      <c r="M190" s="2"/>
      <c r="N190" s="2"/>
      <c r="O190" s="2"/>
    </row>
    <row r="191" spans="1:15" ht="12.75" customHeight="1">
      <c r="A191" s="192"/>
      <c r="B191" s="174"/>
      <c r="C191" s="174"/>
      <c r="D191" s="174"/>
      <c r="E191" s="174"/>
      <c r="F191" s="177"/>
      <c r="L191" s="2"/>
      <c r="M191" s="2"/>
      <c r="N191" s="2"/>
      <c r="O191" s="2"/>
    </row>
    <row r="192" spans="1:15" ht="12.75" customHeight="1">
      <c r="A192" s="192"/>
      <c r="B192" s="174"/>
      <c r="C192" s="174"/>
      <c r="D192" s="174"/>
      <c r="E192" s="174"/>
      <c r="F192" s="174"/>
      <c r="L192" s="2"/>
      <c r="M192" s="2"/>
      <c r="N192" s="2"/>
      <c r="O192" s="2"/>
    </row>
    <row r="193" spans="1:15" ht="12.75" customHeight="1">
      <c r="A193" s="2"/>
      <c r="B193" s="174"/>
      <c r="C193" s="174"/>
      <c r="D193" s="174"/>
      <c r="E193" s="174"/>
      <c r="F193" s="176"/>
      <c r="L193" s="2"/>
      <c r="M193" s="2"/>
      <c r="N193" s="2"/>
      <c r="O193" s="2"/>
    </row>
    <row r="194" spans="1:15" ht="12.75" customHeight="1">
      <c r="A194" s="192"/>
      <c r="B194" s="174"/>
      <c r="C194" s="174"/>
      <c r="D194" s="174"/>
      <c r="E194" s="174"/>
      <c r="F194" s="174"/>
      <c r="L194" s="2"/>
      <c r="M194" s="2"/>
      <c r="N194" s="2"/>
      <c r="O194" s="2"/>
    </row>
    <row r="195" spans="1:15" ht="12.75" customHeight="1">
      <c r="A195" s="192"/>
      <c r="B195" s="174"/>
      <c r="C195" s="174"/>
      <c r="D195" s="174"/>
      <c r="E195" s="174"/>
      <c r="F195" s="174"/>
      <c r="L195" s="2"/>
      <c r="M195" s="2"/>
      <c r="N195" s="2"/>
      <c r="O195" s="2"/>
    </row>
    <row r="196" spans="1:15" ht="12.75" customHeight="1">
      <c r="A196" s="192"/>
      <c r="B196" s="174"/>
      <c r="C196" s="174"/>
      <c r="D196" s="174"/>
      <c r="E196" s="185"/>
      <c r="F196" s="184"/>
      <c r="L196" s="2"/>
      <c r="M196" s="2"/>
      <c r="N196" s="2"/>
      <c r="O196" s="2"/>
    </row>
    <row r="197" spans="1:15" ht="12.75" customHeight="1">
      <c r="A197" s="192"/>
      <c r="B197" s="174"/>
      <c r="C197" s="174"/>
      <c r="D197" s="174"/>
      <c r="E197" s="174"/>
      <c r="F197" s="174"/>
      <c r="L197" s="2"/>
      <c r="M197" s="2"/>
      <c r="N197" s="2"/>
      <c r="O197" s="2"/>
    </row>
    <row r="198" spans="1:15" ht="12.75" customHeight="1">
      <c r="A198" s="192"/>
      <c r="B198" s="174"/>
      <c r="C198" s="174"/>
      <c r="D198" s="174"/>
      <c r="E198" s="174"/>
      <c r="F198" s="184"/>
      <c r="L198" s="2"/>
      <c r="M198" s="2"/>
      <c r="N198" s="2"/>
      <c r="O198" s="2"/>
    </row>
    <row r="199" spans="1:15" ht="12.75" customHeight="1">
      <c r="A199" s="192"/>
      <c r="B199" s="174"/>
      <c r="C199" s="174"/>
      <c r="D199" s="174"/>
      <c r="E199" s="174"/>
      <c r="F199" s="174"/>
      <c r="L199" s="2"/>
      <c r="M199" s="2"/>
      <c r="N199" s="2"/>
      <c r="O199" s="2"/>
    </row>
    <row r="200" spans="1:15" ht="12.75" customHeight="1">
      <c r="A200" s="192"/>
      <c r="B200" s="174"/>
      <c r="C200" s="174"/>
      <c r="D200" s="174"/>
      <c r="E200" s="174"/>
      <c r="F200" s="174"/>
      <c r="L200" s="2"/>
      <c r="M200" s="2"/>
      <c r="N200" s="2"/>
      <c r="O200" s="2"/>
    </row>
    <row r="201" spans="1:15" ht="12.75" customHeight="1">
      <c r="A201" s="192"/>
      <c r="B201" s="2"/>
      <c r="C201" s="2"/>
      <c r="D201" s="2"/>
      <c r="E201" s="2"/>
      <c r="F201" s="2"/>
      <c r="L201" s="2"/>
      <c r="M201" s="2"/>
      <c r="N201" s="2"/>
      <c r="O201" s="2"/>
    </row>
    <row r="202" spans="1:15" ht="12.75" customHeight="1">
      <c r="A202" s="192"/>
      <c r="B202" s="2"/>
      <c r="C202" s="2"/>
      <c r="D202" s="2"/>
      <c r="E202" s="2"/>
      <c r="F202" s="2"/>
      <c r="L202" s="2"/>
      <c r="M202" s="2"/>
      <c r="N202" s="2"/>
      <c r="O202" s="2"/>
    </row>
    <row r="203" spans="1:15" ht="12.75" customHeight="1">
      <c r="A203" s="192"/>
      <c r="B203" s="2"/>
      <c r="C203" s="2"/>
      <c r="D203" s="2"/>
      <c r="E203" s="2"/>
      <c r="F203" s="2"/>
      <c r="L203" s="2"/>
      <c r="M203" s="2"/>
      <c r="N203" s="2"/>
      <c r="O203" s="2"/>
    </row>
    <row r="204" spans="1:15" ht="12.75" customHeight="1">
      <c r="A204" s="192"/>
      <c r="B204" s="2"/>
      <c r="C204" s="2"/>
      <c r="D204" s="2"/>
      <c r="E204" s="2"/>
      <c r="F204" s="2"/>
      <c r="L204" s="2"/>
      <c r="M204" s="2"/>
      <c r="N204" s="2"/>
      <c r="O204" s="2"/>
    </row>
    <row r="205" spans="1:15" ht="12.75" customHeight="1">
      <c r="A205" s="190"/>
      <c r="B205" s="2"/>
      <c r="C205" s="2"/>
      <c r="D205" s="2"/>
      <c r="E205" s="2"/>
      <c r="F205" s="2"/>
      <c r="L205" s="2"/>
      <c r="M205" s="2"/>
      <c r="N205" s="2"/>
      <c r="O205" s="2"/>
    </row>
    <row r="206" spans="1:15" ht="12.75" customHeight="1">
      <c r="A206" s="2"/>
      <c r="B206" s="2"/>
      <c r="C206" s="2"/>
      <c r="D206" s="2"/>
      <c r="E206" s="2"/>
      <c r="F206" s="2"/>
      <c r="L206" s="2"/>
      <c r="M206" s="2"/>
      <c r="N206" s="2"/>
      <c r="O206" s="2"/>
    </row>
    <row r="207" spans="1:15" ht="12.75" customHeight="1">
      <c r="A207" s="2"/>
      <c r="B207" s="187"/>
      <c r="C207" s="187"/>
      <c r="D207" s="187"/>
      <c r="E207" s="186"/>
      <c r="F207" s="188"/>
      <c r="L207" s="2"/>
      <c r="M207" s="2"/>
      <c r="N207" s="2"/>
      <c r="O207" s="2"/>
    </row>
    <row r="208" spans="1:15" ht="12.75" customHeight="1">
      <c r="A208" s="2"/>
      <c r="B208" s="187"/>
      <c r="C208" s="187"/>
      <c r="D208" s="187"/>
      <c r="E208" s="186"/>
      <c r="F208" s="188"/>
      <c r="L208" s="2"/>
      <c r="M208" s="2"/>
      <c r="N208" s="2"/>
      <c r="O208" s="2"/>
    </row>
    <row r="209" spans="1:15" ht="12.75" customHeight="1">
      <c r="A209" s="2"/>
      <c r="B209" s="189"/>
      <c r="C209" s="189"/>
      <c r="D209" s="189"/>
      <c r="E209" s="186"/>
      <c r="F209" s="188"/>
      <c r="L209" s="2"/>
      <c r="M209" s="2"/>
      <c r="N209" s="2"/>
      <c r="O209" s="2"/>
    </row>
    <row r="210" spans="1:15" ht="12.75" customHeight="1">
      <c r="A210" s="2"/>
      <c r="B210" s="189"/>
      <c r="C210" s="189"/>
      <c r="D210" s="189"/>
      <c r="E210" s="186"/>
      <c r="F210" s="188"/>
      <c r="L210" s="2"/>
      <c r="M210" s="2"/>
      <c r="N210" s="2"/>
      <c r="O210" s="2"/>
    </row>
    <row r="211" spans="1:15" ht="12.75" customHeight="1">
      <c r="A211" s="2"/>
      <c r="B211" s="191"/>
      <c r="C211" s="191"/>
      <c r="D211" s="191"/>
      <c r="E211" s="191"/>
      <c r="F211" s="2"/>
      <c r="L211" s="2"/>
      <c r="M211" s="2"/>
      <c r="N211" s="2"/>
      <c r="O211" s="2"/>
    </row>
    <row r="212" spans="1:15" ht="12.75" customHeight="1">
      <c r="A212" s="2"/>
      <c r="B212" s="173"/>
      <c r="C212" s="173"/>
      <c r="D212" s="173"/>
      <c r="E212" s="191"/>
      <c r="F212" s="2"/>
      <c r="L212" s="2"/>
      <c r="M212" s="2"/>
      <c r="N212" s="2"/>
      <c r="O212" s="2"/>
    </row>
    <row r="213" spans="1:15" ht="12.75" customHeight="1">
      <c r="A213" s="2"/>
      <c r="B213" s="173"/>
      <c r="C213" s="173"/>
      <c r="D213" s="173"/>
      <c r="E213" s="173"/>
      <c r="F213" s="2"/>
      <c r="L213" s="2"/>
      <c r="M213" s="2"/>
      <c r="N213" s="2"/>
      <c r="O213" s="2"/>
    </row>
    <row r="214" spans="1:15" ht="12.75" customHeight="1">
      <c r="A214" s="2"/>
      <c r="B214" s="191"/>
      <c r="C214" s="191"/>
      <c r="D214" s="191"/>
      <c r="E214" s="193"/>
      <c r="F214" s="2"/>
      <c r="L214" s="2"/>
      <c r="M214" s="2"/>
      <c r="N214" s="2"/>
      <c r="O214" s="2"/>
    </row>
    <row r="215" spans="1:15" ht="12.75" customHeight="1">
      <c r="A215" s="2"/>
      <c r="B215" s="191"/>
      <c r="C215" s="191"/>
      <c r="D215" s="191"/>
      <c r="E215" s="191"/>
      <c r="F215" s="2"/>
      <c r="L215" s="2"/>
      <c r="M215" s="2"/>
      <c r="N215" s="2"/>
      <c r="O215" s="2"/>
    </row>
    <row r="216" spans="1:15" ht="12.75" customHeight="1">
      <c r="A216" s="2"/>
      <c r="B216" s="191"/>
      <c r="C216" s="191"/>
      <c r="D216" s="191"/>
      <c r="E216" s="194"/>
      <c r="F216" s="2"/>
      <c r="L216" s="2"/>
      <c r="M216" s="2"/>
      <c r="N216" s="2"/>
      <c r="O216" s="2"/>
    </row>
    <row r="217" spans="1:15" ht="12.75" customHeight="1">
      <c r="A217" s="2"/>
      <c r="B217" s="191"/>
      <c r="C217" s="191"/>
      <c r="D217" s="191"/>
      <c r="E217" s="191"/>
      <c r="F217" s="2"/>
      <c r="L217" s="2"/>
      <c r="M217" s="2"/>
      <c r="N217" s="2"/>
      <c r="O217" s="2"/>
    </row>
    <row r="218" spans="1:15" ht="12.75" customHeight="1">
      <c r="A218" s="2"/>
      <c r="B218" s="191"/>
      <c r="C218" s="191"/>
      <c r="D218" s="191"/>
      <c r="E218" s="194"/>
      <c r="F218" s="2"/>
      <c r="L218" s="2"/>
      <c r="M218" s="2"/>
      <c r="N218" s="2"/>
      <c r="O218" s="2"/>
    </row>
    <row r="219" spans="1:15" ht="12.75" customHeight="1">
      <c r="A219" s="2"/>
      <c r="B219" s="191"/>
      <c r="C219" s="191"/>
      <c r="D219" s="191"/>
      <c r="E219" s="194"/>
      <c r="F219" s="2"/>
      <c r="L219" s="2"/>
      <c r="M219" s="2"/>
      <c r="N219" s="2"/>
      <c r="O219" s="2"/>
    </row>
    <row r="220" spans="1:15" ht="12.75" customHeight="1">
      <c r="A220" s="2"/>
      <c r="B220" s="191"/>
      <c r="C220" s="191"/>
      <c r="D220" s="191"/>
      <c r="E220" s="194"/>
      <c r="F220" s="2"/>
      <c r="L220" s="2"/>
      <c r="M220" s="2"/>
      <c r="N220" s="2"/>
      <c r="O220" s="2"/>
    </row>
    <row r="221" spans="1:15" ht="12.75" customHeight="1">
      <c r="A221" s="2"/>
      <c r="B221" s="191"/>
      <c r="C221" s="191"/>
      <c r="D221" s="191"/>
      <c r="E221" s="191"/>
      <c r="F221" s="2"/>
      <c r="L221" s="2"/>
      <c r="M221" s="2"/>
      <c r="N221" s="2"/>
      <c r="O221" s="2"/>
    </row>
    <row r="222" spans="1:15" ht="12.75" customHeight="1">
      <c r="A222" s="2"/>
      <c r="B222" s="191"/>
      <c r="C222" s="191"/>
      <c r="D222" s="191"/>
      <c r="E222" s="193"/>
      <c r="F222" s="2"/>
      <c r="L222" s="2"/>
      <c r="M222" s="2"/>
      <c r="N222" s="2"/>
      <c r="O222" s="2"/>
    </row>
    <row r="223" spans="1:15" ht="12.75" customHeight="1">
      <c r="A223" s="2"/>
      <c r="B223" s="191"/>
      <c r="C223" s="191"/>
      <c r="D223" s="191"/>
      <c r="E223" s="191"/>
      <c r="F223" s="2"/>
      <c r="L223" s="2"/>
      <c r="M223" s="2"/>
      <c r="N223" s="2"/>
      <c r="O223" s="2"/>
    </row>
    <row r="224" spans="1:15" ht="12.75" customHeight="1">
      <c r="A224" s="2"/>
      <c r="B224" s="191"/>
      <c r="C224" s="191"/>
      <c r="D224" s="191"/>
      <c r="E224" s="195"/>
      <c r="F224" s="2"/>
      <c r="L224" s="2"/>
      <c r="M224" s="2"/>
      <c r="N224" s="2"/>
      <c r="O224" s="2"/>
    </row>
    <row r="225" spans="1:15" ht="12.75" customHeight="1">
      <c r="A225" s="2"/>
      <c r="B225" s="191"/>
      <c r="C225" s="191"/>
      <c r="D225" s="191"/>
      <c r="E225" s="191"/>
      <c r="F225" s="2"/>
      <c r="L225" s="2"/>
      <c r="M225" s="2"/>
      <c r="N225" s="2"/>
      <c r="O225" s="2"/>
    </row>
    <row r="226" spans="1:15" ht="12.75" customHeight="1">
      <c r="A226" s="2"/>
      <c r="B226" s="191"/>
      <c r="C226" s="191"/>
      <c r="D226" s="191"/>
      <c r="E226" s="193"/>
      <c r="F226" s="2"/>
      <c r="L226" s="2"/>
      <c r="M226" s="2"/>
      <c r="N226" s="2"/>
      <c r="O226" s="2"/>
    </row>
    <row r="227" spans="1:15" ht="12.75" customHeight="1">
      <c r="A227" s="2"/>
      <c r="B227" s="191"/>
      <c r="C227" s="191"/>
      <c r="D227" s="191"/>
      <c r="E227" s="191"/>
      <c r="F227" s="2"/>
      <c r="L227" s="2"/>
      <c r="M227" s="2"/>
      <c r="N227" s="2"/>
      <c r="O227" s="2"/>
    </row>
    <row r="228" spans="1:15" ht="12.75" customHeight="1">
      <c r="A228" s="2"/>
      <c r="B228" s="191"/>
      <c r="C228" s="191"/>
      <c r="D228" s="191"/>
      <c r="E228" s="196"/>
      <c r="F228" s="2"/>
      <c r="L228" s="2"/>
      <c r="M228" s="2"/>
      <c r="N228" s="2"/>
      <c r="O228" s="2"/>
    </row>
    <row r="229" spans="1:15" ht="12.75" customHeight="1">
      <c r="A229" s="2"/>
      <c r="B229" s="191"/>
      <c r="C229" s="191"/>
      <c r="D229" s="191"/>
      <c r="E229" s="191"/>
      <c r="F229" s="2"/>
      <c r="L229" s="2"/>
      <c r="M229" s="2"/>
      <c r="N229" s="2"/>
      <c r="O229" s="2"/>
    </row>
    <row r="230" spans="1:15" ht="12.75" customHeight="1">
      <c r="A230" s="2"/>
      <c r="B230" s="2"/>
      <c r="C230" s="2"/>
      <c r="D230" s="2"/>
      <c r="E230" s="2"/>
      <c r="F230" s="2"/>
      <c r="L230" s="2"/>
      <c r="M230" s="2"/>
      <c r="N230" s="2"/>
      <c r="O230" s="2"/>
    </row>
    <row r="231" spans="1:15" ht="12.75" customHeight="1">
      <c r="A231" s="2"/>
      <c r="B231" s="2"/>
      <c r="C231" s="2"/>
      <c r="D231" s="2"/>
      <c r="E231" s="2"/>
      <c r="F231" s="2"/>
      <c r="L231" s="2"/>
      <c r="M231" s="2"/>
      <c r="N231" s="2"/>
      <c r="O231" s="2"/>
    </row>
    <row r="232" spans="1:15" ht="12.75" customHeight="1">
      <c r="A232" s="2"/>
      <c r="B232" s="2"/>
      <c r="C232" s="2"/>
      <c r="D232" s="2"/>
      <c r="E232" s="2"/>
      <c r="F232" s="2"/>
      <c r="L232" s="2"/>
      <c r="M232" s="2"/>
      <c r="N232" s="2"/>
      <c r="O232" s="2"/>
    </row>
    <row r="233" spans="1:15" ht="12.75" customHeight="1">
      <c r="A233" s="2"/>
      <c r="B233" s="2"/>
      <c r="C233" s="2"/>
      <c r="D233" s="2"/>
      <c r="E233" s="2"/>
      <c r="F233" s="2"/>
      <c r="L233" s="2"/>
      <c r="M233" s="2"/>
      <c r="N233" s="2"/>
      <c r="O233" s="2"/>
    </row>
    <row r="234" spans="1:15" ht="12.75" customHeight="1">
      <c r="A234" s="2"/>
      <c r="B234" s="2"/>
      <c r="C234" s="2"/>
      <c r="D234" s="2"/>
      <c r="E234" s="2"/>
      <c r="F234" s="2"/>
      <c r="L234" s="2"/>
      <c r="M234" s="2"/>
      <c r="N234" s="2"/>
      <c r="O234" s="2"/>
    </row>
    <row r="235" spans="1:15" ht="12.75" customHeight="1">
      <c r="A235" s="2"/>
      <c r="B235" s="2"/>
      <c r="C235" s="2"/>
      <c r="D235" s="2"/>
      <c r="E235" s="2"/>
      <c r="F235" s="2"/>
      <c r="L235" s="2"/>
      <c r="M235" s="2"/>
      <c r="N235" s="2"/>
      <c r="O235" s="2"/>
    </row>
    <row r="236" spans="1:15" ht="12.75" customHeight="1">
      <c r="A236" s="2"/>
      <c r="B236" s="2"/>
      <c r="C236" s="2"/>
      <c r="D236" s="2"/>
      <c r="E236" s="2"/>
      <c r="F236" s="2"/>
      <c r="L236" s="2"/>
      <c r="M236" s="2"/>
      <c r="N236" s="2"/>
      <c r="O236" s="2"/>
    </row>
    <row r="237" spans="1:15" ht="12.75" customHeight="1">
      <c r="A237" s="2"/>
      <c r="B237" s="2"/>
      <c r="C237" s="2"/>
      <c r="D237" s="2"/>
      <c r="E237" s="2"/>
      <c r="F237" s="2"/>
      <c r="L237" s="2"/>
      <c r="M237" s="2"/>
      <c r="N237" s="2"/>
      <c r="O237" s="2"/>
    </row>
    <row r="238" spans="1:15" ht="12.75" customHeight="1">
      <c r="A238" s="2"/>
      <c r="B238" s="2"/>
      <c r="C238" s="2"/>
      <c r="D238" s="2"/>
      <c r="E238" s="2"/>
      <c r="F238" s="2"/>
      <c r="L238" s="2"/>
      <c r="M238" s="2"/>
      <c r="N238" s="2"/>
      <c r="O238" s="2"/>
    </row>
    <row r="239" spans="1:15" ht="12.75" customHeight="1">
      <c r="A239" s="2"/>
      <c r="B239" s="2"/>
      <c r="C239" s="2"/>
      <c r="D239" s="2"/>
      <c r="E239" s="2"/>
      <c r="F239" s="2"/>
      <c r="L239" s="2"/>
      <c r="M239" s="2"/>
      <c r="N239" s="2"/>
      <c r="O239" s="2"/>
    </row>
    <row r="240" spans="2:15" ht="12.75" customHeight="1">
      <c r="B240" s="2"/>
      <c r="C240" s="2"/>
      <c r="D240" s="2"/>
      <c r="E240" s="2"/>
      <c r="F240" s="2"/>
      <c r="L240" s="2"/>
      <c r="M240" s="2"/>
      <c r="N240" s="2"/>
      <c r="O240" s="2"/>
    </row>
    <row r="241" spans="2:15" ht="12.75" customHeight="1">
      <c r="B241" s="2"/>
      <c r="C241" s="2"/>
      <c r="D241" s="2"/>
      <c r="E241" s="2"/>
      <c r="F241" s="2"/>
      <c r="L241" s="2"/>
      <c r="M241" s="2"/>
      <c r="N241" s="2"/>
      <c r="O241" s="2"/>
    </row>
    <row r="242" spans="2:15" ht="12.75" customHeight="1">
      <c r="B242" s="2"/>
      <c r="C242" s="2"/>
      <c r="D242" s="2"/>
      <c r="E242" s="2"/>
      <c r="F242" s="2"/>
      <c r="L242" s="2"/>
      <c r="M242" s="2"/>
      <c r="N242" s="2"/>
      <c r="O242" s="2"/>
    </row>
    <row r="243" spans="2:15" ht="12.75" customHeight="1">
      <c r="B243" s="2"/>
      <c r="C243" s="2"/>
      <c r="D243" s="2"/>
      <c r="E243" s="2"/>
      <c r="F243" s="2"/>
      <c r="L243" s="2"/>
      <c r="M243" s="2"/>
      <c r="N243" s="2"/>
      <c r="O243" s="2"/>
    </row>
    <row r="244" spans="2:15" ht="12.75" customHeight="1">
      <c r="B244" s="2"/>
      <c r="C244" s="2"/>
      <c r="D244" s="2"/>
      <c r="E244" s="2"/>
      <c r="F244" s="2"/>
      <c r="L244" s="2"/>
      <c r="M244" s="2"/>
      <c r="N244" s="2"/>
      <c r="O244" s="2"/>
    </row>
    <row r="245" spans="2:15" ht="12.75" customHeight="1">
      <c r="B245" s="2"/>
      <c r="C245" s="2"/>
      <c r="D245" s="2"/>
      <c r="E245" s="2"/>
      <c r="F245" s="2"/>
      <c r="L245" s="2"/>
      <c r="M245" s="2"/>
      <c r="N245" s="2"/>
      <c r="O245" s="2"/>
    </row>
    <row r="246" spans="2:15" ht="12.75" customHeight="1">
      <c r="B246" s="2"/>
      <c r="C246" s="2"/>
      <c r="D246" s="2"/>
      <c r="E246" s="2"/>
      <c r="F246" s="2"/>
      <c r="L246" s="2"/>
      <c r="M246" s="2"/>
      <c r="N246" s="2"/>
      <c r="O246" s="2"/>
    </row>
    <row r="247" spans="2:15" ht="12.75" customHeight="1">
      <c r="B247" s="2"/>
      <c r="C247" s="2"/>
      <c r="D247" s="2"/>
      <c r="E247" s="2"/>
      <c r="F247" s="2"/>
      <c r="L247" s="2"/>
      <c r="M247" s="2"/>
      <c r="N247" s="2"/>
      <c r="O247" s="2"/>
    </row>
    <row r="248" spans="2:15" ht="12.75" customHeight="1">
      <c r="B248" s="2"/>
      <c r="C248" s="2"/>
      <c r="D248" s="2"/>
      <c r="E248" s="2"/>
      <c r="F248" s="2"/>
      <c r="L248" s="2"/>
      <c r="M248" s="2"/>
      <c r="N248" s="2"/>
      <c r="O248" s="2"/>
    </row>
    <row r="249" spans="2:15" ht="12.75" customHeight="1">
      <c r="B249" s="2"/>
      <c r="C249" s="2"/>
      <c r="D249" s="2"/>
      <c r="E249" s="2"/>
      <c r="F249" s="2"/>
      <c r="L249" s="2"/>
      <c r="M249" s="2"/>
      <c r="N249" s="2"/>
      <c r="O249" s="2"/>
    </row>
    <row r="250" spans="2:15" ht="12.75" customHeight="1">
      <c r="B250" s="2"/>
      <c r="C250" s="2"/>
      <c r="D250" s="2"/>
      <c r="E250" s="2"/>
      <c r="F250" s="2"/>
      <c r="L250" s="2"/>
      <c r="M250" s="2"/>
      <c r="N250" s="2"/>
      <c r="O250" s="2"/>
    </row>
    <row r="251" spans="2:15" ht="12.75" customHeight="1">
      <c r="B251" s="2"/>
      <c r="C251" s="2"/>
      <c r="D251" s="2"/>
      <c r="E251" s="2"/>
      <c r="F251" s="2"/>
      <c r="L251" s="2"/>
      <c r="M251" s="2"/>
      <c r="N251" s="2"/>
      <c r="O251" s="2"/>
    </row>
    <row r="252" spans="2:15" ht="12.75" customHeight="1">
      <c r="B252" s="2"/>
      <c r="C252" s="2"/>
      <c r="D252" s="2"/>
      <c r="E252" s="2"/>
      <c r="F252" s="2"/>
      <c r="L252" s="2"/>
      <c r="M252" s="2"/>
      <c r="N252" s="2"/>
      <c r="O252" s="2"/>
    </row>
    <row r="253" spans="2:15" ht="12.75" customHeight="1">
      <c r="B253" s="2"/>
      <c r="C253" s="2"/>
      <c r="D253" s="2"/>
      <c r="E253" s="2"/>
      <c r="F253" s="2"/>
      <c r="L253" s="2"/>
      <c r="M253" s="2"/>
      <c r="N253" s="2"/>
      <c r="O253" s="2"/>
    </row>
    <row r="254" spans="2:15" ht="12.75" customHeight="1">
      <c r="B254" s="2"/>
      <c r="C254" s="2"/>
      <c r="D254" s="2"/>
      <c r="E254" s="2"/>
      <c r="F254" s="2"/>
      <c r="L254" s="2"/>
      <c r="M254" s="2"/>
      <c r="N254" s="2"/>
      <c r="O254" s="2"/>
    </row>
    <row r="255" spans="2:15" ht="12.75" customHeight="1">
      <c r="B255" s="2"/>
      <c r="C255" s="2"/>
      <c r="D255" s="2"/>
      <c r="E255" s="2"/>
      <c r="F255" s="2"/>
      <c r="L255" s="2"/>
      <c r="M255" s="2"/>
      <c r="N255" s="2"/>
      <c r="O255" s="2"/>
    </row>
    <row r="256" spans="2:15" ht="12.75" customHeight="1">
      <c r="B256" s="2"/>
      <c r="C256" s="2"/>
      <c r="D256" s="2"/>
      <c r="E256" s="2"/>
      <c r="F256" s="2"/>
      <c r="L256" s="2"/>
      <c r="M256" s="2"/>
      <c r="N256" s="2"/>
      <c r="O256" s="2"/>
    </row>
    <row r="257" spans="2:15" ht="12.75" customHeight="1">
      <c r="B257" s="2"/>
      <c r="C257" s="2"/>
      <c r="D257" s="2"/>
      <c r="E257" s="2"/>
      <c r="F257" s="2"/>
      <c r="L257" s="2"/>
      <c r="M257" s="2"/>
      <c r="N257" s="2"/>
      <c r="O257" s="2"/>
    </row>
    <row r="258" spans="2:15" ht="12.75" customHeight="1">
      <c r="B258" s="2"/>
      <c r="C258" s="2"/>
      <c r="D258" s="2"/>
      <c r="E258" s="2"/>
      <c r="F258" s="2"/>
      <c r="L258" s="2"/>
      <c r="M258" s="2"/>
      <c r="N258" s="2"/>
      <c r="O258" s="2"/>
    </row>
    <row r="259" spans="2:15" ht="12.75" customHeight="1">
      <c r="B259" s="2"/>
      <c r="C259" s="2"/>
      <c r="D259" s="2"/>
      <c r="E259" s="2"/>
      <c r="F259" s="2"/>
      <c r="L259" s="2"/>
      <c r="M259" s="2"/>
      <c r="N259" s="2"/>
      <c r="O259" s="2"/>
    </row>
    <row r="260" spans="2:15" ht="12.75" customHeight="1">
      <c r="B260" s="2"/>
      <c r="C260" s="2"/>
      <c r="D260" s="2"/>
      <c r="E260" s="2"/>
      <c r="F260" s="2"/>
      <c r="L260" s="2"/>
      <c r="M260" s="2"/>
      <c r="N260" s="2"/>
      <c r="O260" s="2"/>
    </row>
    <row r="261" spans="2:15" ht="12.75" customHeight="1">
      <c r="B261" s="2"/>
      <c r="C261" s="2"/>
      <c r="D261" s="2"/>
      <c r="E261" s="2"/>
      <c r="F261" s="2"/>
      <c r="L261" s="2"/>
      <c r="M261" s="2"/>
      <c r="N261" s="2"/>
      <c r="O261" s="2"/>
    </row>
    <row r="262" spans="2:15" ht="12.75" customHeight="1">
      <c r="B262" s="2"/>
      <c r="C262" s="2"/>
      <c r="D262" s="2"/>
      <c r="E262" s="2"/>
      <c r="F262" s="2"/>
      <c r="L262" s="2"/>
      <c r="M262" s="2"/>
      <c r="N262" s="2"/>
      <c r="O262" s="2"/>
    </row>
    <row r="263" spans="2:15" ht="12.75" customHeight="1">
      <c r="B263" s="2"/>
      <c r="C263" s="2"/>
      <c r="D263" s="2"/>
      <c r="E263" s="2"/>
      <c r="F263" s="2"/>
      <c r="L263" s="2"/>
      <c r="M263" s="2"/>
      <c r="N263" s="2"/>
      <c r="O263" s="2"/>
    </row>
    <row r="264" spans="12:15" ht="12.75" customHeight="1">
      <c r="L264" s="2"/>
      <c r="M264" s="2"/>
      <c r="N264" s="2"/>
      <c r="O264" s="2"/>
    </row>
    <row r="265" spans="12:15" ht="12.75" customHeight="1">
      <c r="L265" s="2"/>
      <c r="M265" s="2"/>
      <c r="N265" s="2"/>
      <c r="O265" s="2"/>
    </row>
    <row r="266" spans="12:15" ht="12.75" customHeight="1">
      <c r="L266" s="2"/>
      <c r="M266" s="2"/>
      <c r="N266" s="2"/>
      <c r="O266" s="2"/>
    </row>
    <row r="267" spans="12:15" ht="12.75" customHeight="1">
      <c r="L267" s="2"/>
      <c r="M267" s="2"/>
      <c r="N267" s="2"/>
      <c r="O267" s="2"/>
    </row>
    <row r="268" spans="12:15" ht="12.75" customHeight="1">
      <c r="L268" s="2"/>
      <c r="M268" s="2"/>
      <c r="N268" s="2"/>
      <c r="O268" s="2"/>
    </row>
    <row r="269" spans="12:15" ht="12.75" customHeight="1">
      <c r="L269" s="2"/>
      <c r="M269" s="2"/>
      <c r="N269" s="2"/>
      <c r="O269" s="2"/>
    </row>
    <row r="270" spans="12:15" ht="12.75" customHeight="1">
      <c r="L270" s="2"/>
      <c r="M270" s="2"/>
      <c r="N270" s="2"/>
      <c r="O270" s="2"/>
    </row>
    <row r="271" spans="12:15" ht="12.75" customHeight="1">
      <c r="L271" s="2"/>
      <c r="M271" s="2"/>
      <c r="N271" s="2"/>
      <c r="O271" s="2"/>
    </row>
    <row r="272" spans="12:15" ht="12.75" customHeight="1">
      <c r="L272" s="2"/>
      <c r="M272" s="2"/>
      <c r="N272" s="2"/>
      <c r="O272" s="2"/>
    </row>
    <row r="273" spans="12:15" ht="12.75" customHeight="1">
      <c r="L273" s="2"/>
      <c r="M273" s="2"/>
      <c r="N273" s="2"/>
      <c r="O273" s="2"/>
    </row>
    <row r="274" spans="12:15" ht="12.75" customHeight="1">
      <c r="L274" s="2"/>
      <c r="M274" s="2"/>
      <c r="N274" s="2"/>
      <c r="O274" s="2"/>
    </row>
    <row r="275" spans="12:15" ht="12.75" customHeight="1">
      <c r="L275" s="2"/>
      <c r="M275" s="2"/>
      <c r="N275" s="2"/>
      <c r="O275" s="2"/>
    </row>
    <row r="276" spans="12:15" ht="12.75" customHeight="1">
      <c r="L276" s="2"/>
      <c r="M276" s="2"/>
      <c r="N276" s="2"/>
      <c r="O276" s="2"/>
    </row>
    <row r="277" spans="12:15" ht="12.75" customHeight="1">
      <c r="L277" s="2"/>
      <c r="M277" s="2"/>
      <c r="N277" s="2"/>
      <c r="O277" s="2"/>
    </row>
    <row r="278" spans="12:15" ht="12.75" customHeight="1">
      <c r="L278" s="2"/>
      <c r="M278" s="2"/>
      <c r="N278" s="2"/>
      <c r="O278" s="2"/>
    </row>
    <row r="279" spans="12:15" ht="12.75" customHeight="1">
      <c r="L279" s="2"/>
      <c r="M279" s="2"/>
      <c r="N279" s="2"/>
      <c r="O279" s="2"/>
    </row>
    <row r="280" spans="12:15" ht="12.75" customHeight="1">
      <c r="L280" s="2"/>
      <c r="M280" s="2"/>
      <c r="N280" s="2"/>
      <c r="O280" s="2"/>
    </row>
    <row r="281" spans="12:15" ht="12.75" customHeight="1">
      <c r="L281" s="2"/>
      <c r="M281" s="2"/>
      <c r="N281" s="2"/>
      <c r="O281" s="2"/>
    </row>
    <row r="282" spans="12:15" ht="12.75" customHeight="1">
      <c r="L282" s="2"/>
      <c r="M282" s="2"/>
      <c r="N282" s="2"/>
      <c r="O282" s="2"/>
    </row>
    <row r="283" spans="12:15" ht="12.75" customHeight="1">
      <c r="L283" s="2"/>
      <c r="M283" s="2"/>
      <c r="N283" s="2"/>
      <c r="O283" s="2"/>
    </row>
    <row r="284" spans="12:15" ht="12.75" customHeight="1">
      <c r="L284" s="2"/>
      <c r="M284" s="2"/>
      <c r="N284" s="2"/>
      <c r="O284" s="2"/>
    </row>
    <row r="285" spans="12:15" ht="12.75" customHeight="1">
      <c r="L285" s="2"/>
      <c r="M285" s="2"/>
      <c r="N285" s="2"/>
      <c r="O285" s="2"/>
    </row>
    <row r="286" spans="12:15" ht="12.75" customHeight="1">
      <c r="L286" s="2"/>
      <c r="M286" s="2"/>
      <c r="N286" s="2"/>
      <c r="O286" s="2"/>
    </row>
    <row r="287" spans="12:15" ht="12.75" customHeight="1">
      <c r="L287" s="2"/>
      <c r="M287" s="2"/>
      <c r="N287" s="2"/>
      <c r="O287" s="2"/>
    </row>
    <row r="288" spans="12:15" ht="12.75" customHeight="1">
      <c r="L288" s="2"/>
      <c r="M288" s="2"/>
      <c r="N288" s="2"/>
      <c r="O288" s="2"/>
    </row>
    <row r="289" spans="12:15" ht="12.75" customHeight="1">
      <c r="L289" s="2"/>
      <c r="M289" s="2"/>
      <c r="N289" s="2"/>
      <c r="O289" s="2"/>
    </row>
    <row r="290" spans="12:15" ht="12.75" customHeight="1">
      <c r="L290" s="2"/>
      <c r="M290" s="2"/>
      <c r="N290" s="2"/>
      <c r="O290" s="2"/>
    </row>
    <row r="291" spans="12:15" ht="12.75" customHeight="1">
      <c r="L291" s="2"/>
      <c r="M291" s="2"/>
      <c r="N291" s="2"/>
      <c r="O291" s="2"/>
    </row>
    <row r="292" spans="12:15" ht="12.75" customHeight="1">
      <c r="L292" s="2"/>
      <c r="M292" s="2"/>
      <c r="N292" s="2"/>
      <c r="O292" s="2"/>
    </row>
    <row r="293" spans="12:15" ht="12.75" customHeight="1">
      <c r="L293" s="2"/>
      <c r="M293" s="2"/>
      <c r="N293" s="2"/>
      <c r="O293" s="2"/>
    </row>
    <row r="294" spans="12:15" ht="12.75" customHeight="1">
      <c r="L294" s="2"/>
      <c r="M294" s="2"/>
      <c r="N294" s="2"/>
      <c r="O294" s="2"/>
    </row>
    <row r="295" spans="12:15" ht="12.75" customHeight="1">
      <c r="L295" s="2"/>
      <c r="M295" s="2"/>
      <c r="N295" s="2"/>
      <c r="O295" s="2"/>
    </row>
    <row r="296" spans="12:15" ht="12.75" customHeight="1">
      <c r="L296" s="2"/>
      <c r="M296" s="2"/>
      <c r="N296" s="2"/>
      <c r="O296" s="2"/>
    </row>
    <row r="297" spans="12:15" ht="12.75" customHeight="1">
      <c r="L297" s="2"/>
      <c r="M297" s="2"/>
      <c r="N297" s="2"/>
      <c r="O297" s="2"/>
    </row>
    <row r="298" spans="12:15" ht="12.75" customHeight="1">
      <c r="L298" s="2"/>
      <c r="M298" s="2"/>
      <c r="N298" s="2"/>
      <c r="O298" s="2"/>
    </row>
    <row r="299" spans="12:15" ht="12.75" customHeight="1">
      <c r="L299" s="2"/>
      <c r="M299" s="2"/>
      <c r="N299" s="2"/>
      <c r="O299" s="2"/>
    </row>
    <row r="300" spans="12:15" ht="12.75" customHeight="1">
      <c r="L300" s="2"/>
      <c r="M300" s="2"/>
      <c r="N300" s="2"/>
      <c r="O300" s="2"/>
    </row>
    <row r="301" spans="12:15" ht="12.75" customHeight="1">
      <c r="L301" s="2"/>
      <c r="M301" s="2"/>
      <c r="N301" s="2"/>
      <c r="O301" s="2"/>
    </row>
    <row r="302" spans="12:15" ht="12.75" customHeight="1">
      <c r="L302" s="2"/>
      <c r="M302" s="2"/>
      <c r="N302" s="2"/>
      <c r="O302" s="2"/>
    </row>
    <row r="303" spans="12:15" ht="12.75" customHeight="1">
      <c r="L303" s="2"/>
      <c r="M303" s="2"/>
      <c r="N303" s="2"/>
      <c r="O303" s="2"/>
    </row>
    <row r="304" spans="12:15" ht="12.75" customHeight="1">
      <c r="L304" s="2"/>
      <c r="M304" s="2"/>
      <c r="N304" s="2"/>
      <c r="O304" s="2"/>
    </row>
    <row r="305" spans="12:15" ht="12.75" customHeight="1">
      <c r="L305" s="2"/>
      <c r="M305" s="2"/>
      <c r="N305" s="2"/>
      <c r="O305" s="2"/>
    </row>
    <row r="306" spans="12:15" ht="12.75" customHeight="1">
      <c r="L306" s="2"/>
      <c r="M306" s="2"/>
      <c r="N306" s="2"/>
      <c r="O306" s="2"/>
    </row>
    <row r="307" spans="12:15" ht="12.75" customHeight="1">
      <c r="L307" s="2"/>
      <c r="M307" s="2"/>
      <c r="N307" s="2"/>
      <c r="O307" s="2"/>
    </row>
    <row r="308" spans="12:15" ht="12.75" customHeight="1">
      <c r="L308" s="2"/>
      <c r="M308" s="2"/>
      <c r="N308" s="2"/>
      <c r="O308" s="2"/>
    </row>
    <row r="309" spans="12:15" ht="12.75" customHeight="1">
      <c r="L309" s="2"/>
      <c r="M309" s="2"/>
      <c r="N309" s="2"/>
      <c r="O309" s="2"/>
    </row>
    <row r="310" spans="12:15" ht="12.75" customHeight="1">
      <c r="L310" s="2"/>
      <c r="M310" s="2"/>
      <c r="N310" s="2"/>
      <c r="O310" s="2"/>
    </row>
    <row r="311" spans="12:15" ht="12.75" customHeight="1">
      <c r="L311" s="2"/>
      <c r="M311" s="2"/>
      <c r="N311" s="2"/>
      <c r="O311" s="2"/>
    </row>
    <row r="312" spans="12:15" ht="12.75" customHeight="1">
      <c r="L312" s="2"/>
      <c r="M312" s="2"/>
      <c r="N312" s="2"/>
      <c r="O312" s="2"/>
    </row>
    <row r="313" spans="12:15" ht="12.75" customHeight="1">
      <c r="L313" s="2"/>
      <c r="M313" s="2"/>
      <c r="N313" s="2"/>
      <c r="O313" s="2"/>
    </row>
    <row r="314" spans="12:15" ht="12.75" customHeight="1">
      <c r="L314" s="2"/>
      <c r="M314" s="2"/>
      <c r="N314" s="2"/>
      <c r="O314" s="2"/>
    </row>
    <row r="315" spans="12:15" ht="12.75" customHeight="1">
      <c r="L315" s="2"/>
      <c r="M315" s="2"/>
      <c r="N315" s="2"/>
      <c r="O315" s="2"/>
    </row>
    <row r="316" spans="12:15" ht="12.75" customHeight="1">
      <c r="L316" s="2"/>
      <c r="M316" s="2"/>
      <c r="N316" s="2"/>
      <c r="O316" s="2"/>
    </row>
    <row r="317" spans="12:15" ht="12.75" customHeight="1">
      <c r="L317" s="2"/>
      <c r="M317" s="2"/>
      <c r="N317" s="2"/>
      <c r="O317" s="2"/>
    </row>
    <row r="318" spans="12:15" ht="12.75" customHeight="1">
      <c r="L318" s="2"/>
      <c r="M318" s="2"/>
      <c r="N318" s="2"/>
      <c r="O318" s="2"/>
    </row>
    <row r="319" spans="12:15" ht="12.75" customHeight="1">
      <c r="L319" s="2"/>
      <c r="M319" s="2"/>
      <c r="N319" s="2"/>
      <c r="O319" s="2"/>
    </row>
    <row r="320" spans="12:15" ht="12.75" customHeight="1">
      <c r="L320" s="2"/>
      <c r="M320" s="2"/>
      <c r="N320" s="2"/>
      <c r="O320" s="2"/>
    </row>
    <row r="321" spans="12:15" ht="12.75" customHeight="1">
      <c r="L321" s="2"/>
      <c r="M321" s="2"/>
      <c r="N321" s="2"/>
      <c r="O321" s="2"/>
    </row>
    <row r="322" spans="12:15" ht="12.75" customHeight="1">
      <c r="L322" s="2"/>
      <c r="M322" s="2"/>
      <c r="N322" s="2"/>
      <c r="O322" s="2"/>
    </row>
    <row r="323" spans="12:15" ht="12.75" customHeight="1">
      <c r="L323" s="2"/>
      <c r="M323" s="2"/>
      <c r="N323" s="2"/>
      <c r="O323" s="2"/>
    </row>
    <row r="324" spans="12:15" ht="12.75" customHeight="1">
      <c r="L324" s="2"/>
      <c r="M324" s="2"/>
      <c r="N324" s="2"/>
      <c r="O324" s="2"/>
    </row>
    <row r="325" spans="12:15" ht="12.75" customHeight="1">
      <c r="L325" s="2"/>
      <c r="M325" s="2"/>
      <c r="N325" s="2"/>
      <c r="O325" s="2"/>
    </row>
    <row r="326" spans="12:15" ht="12.75" customHeight="1">
      <c r="L326" s="2"/>
      <c r="M326" s="2"/>
      <c r="N326" s="2"/>
      <c r="O326" s="2"/>
    </row>
    <row r="327" spans="12:15" ht="12.75" customHeight="1">
      <c r="L327" s="2"/>
      <c r="M327" s="2"/>
      <c r="N327" s="2"/>
      <c r="O327" s="2"/>
    </row>
  </sheetData>
  <conditionalFormatting sqref="J29">
    <cfRule type="cellIs" priority="1" dxfId="0" operator="notEqual" stopIfTrue="1">
      <formula>0</formula>
    </cfRule>
  </conditionalFormatting>
  <conditionalFormatting sqref="A1:IV1">
    <cfRule type="cellIs" priority="2" dxfId="1" operator="notEqual" stopIfTrue="1">
      <formula>0</formula>
    </cfRule>
  </conditionalFormatting>
  <printOptions horizontalCentered="1"/>
  <pageMargins left="0.5" right="0.75" top="0.5" bottom="0.25" header="0.25" footer="0.18"/>
  <pageSetup fitToHeight="1" fitToWidth="1" horizontalDpi="600" verticalDpi="600" orientation="portrait" r:id="rId4"/>
  <colBreaks count="3" manualBreakCount="3">
    <brk id="130" min="1" max="82" man="1"/>
    <brk id="140" min="1" max="82" man="1"/>
    <brk id="151" min="1" max="8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77"/>
  <sheetViews>
    <sheetView zoomScale="75" zoomScaleNormal="75" workbookViewId="0" topLeftCell="A1">
      <selection activeCell="A1" sqref="A1"/>
    </sheetView>
  </sheetViews>
  <sheetFormatPr defaultColWidth="9.33203125" defaultRowHeight="10.5"/>
  <cols>
    <col min="1" max="1" width="4.16015625" style="334" customWidth="1"/>
    <col min="2" max="2" width="35.33203125" style="334" customWidth="1"/>
    <col min="3" max="3" width="13.66015625" style="334" bestFit="1" customWidth="1"/>
    <col min="4" max="4" width="17" style="334" customWidth="1"/>
    <col min="5" max="5" width="17.5" style="334" customWidth="1"/>
    <col min="6" max="6" width="17.66015625" style="334" customWidth="1"/>
    <col min="7" max="7" width="2.66015625" style="334" customWidth="1"/>
    <col min="8" max="8" width="17.33203125" style="334" customWidth="1"/>
    <col min="9" max="9" width="17.66015625" style="334" customWidth="1"/>
    <col min="10" max="10" width="17.83203125" style="334" customWidth="1"/>
    <col min="11" max="11" width="2.83203125" style="334" customWidth="1"/>
    <col min="12" max="12" width="18.66015625" style="334" customWidth="1"/>
    <col min="13" max="13" width="2.83203125" style="334" customWidth="1"/>
    <col min="14" max="14" width="18.66015625" style="334" customWidth="1"/>
    <col min="15" max="15" width="17.83203125" style="334" customWidth="1"/>
    <col min="16" max="16384" width="9.33203125" style="334" customWidth="1"/>
  </cols>
  <sheetData>
    <row r="1" spans="2:12" ht="18">
      <c r="B1" s="788" t="s">
        <v>554</v>
      </c>
      <c r="K1" s="200"/>
      <c r="L1" s="347" t="s">
        <v>496</v>
      </c>
    </row>
    <row r="2" spans="2:12" ht="14.25" customHeight="1">
      <c r="B2" s="770" t="s">
        <v>555</v>
      </c>
      <c r="K2" s="3"/>
      <c r="L2" s="347" t="str">
        <f>model!DO3</f>
        <v>Exhibit No. ____ (JMR-4)</v>
      </c>
    </row>
    <row r="3" spans="2:12" ht="12.75" customHeight="1">
      <c r="B3" s="787"/>
      <c r="K3" s="1" t="s">
        <v>497</v>
      </c>
      <c r="L3" s="765">
        <f>model!DO4+1</f>
        <v>30</v>
      </c>
    </row>
    <row r="4" spans="1:12" ht="15" customHeight="1">
      <c r="A4" s="694"/>
      <c r="B4" s="695" t="s">
        <v>466</v>
      </c>
      <c r="L4" s="823" t="s">
        <v>566</v>
      </c>
    </row>
    <row r="5" spans="1:15" ht="12.75" customHeight="1">
      <c r="A5" s="694"/>
      <c r="C5" s="683"/>
      <c r="D5" s="770" t="s">
        <v>498</v>
      </c>
      <c r="E5" s="492"/>
      <c r="F5" s="689"/>
      <c r="H5" s="770" t="s">
        <v>499</v>
      </c>
      <c r="I5" s="689"/>
      <c r="J5" s="689"/>
      <c r="L5" s="698" t="s">
        <v>460</v>
      </c>
      <c r="N5" s="696" t="s">
        <v>458</v>
      </c>
      <c r="O5" s="697"/>
    </row>
    <row r="6" spans="1:15" ht="12.75" customHeight="1">
      <c r="A6" s="694"/>
      <c r="C6" s="492" t="s">
        <v>459</v>
      </c>
      <c r="D6" s="502"/>
      <c r="E6" s="502"/>
      <c r="F6" s="689" t="s">
        <v>425</v>
      </c>
      <c r="H6" s="502"/>
      <c r="I6" s="502"/>
      <c r="J6" s="689" t="s">
        <v>425</v>
      </c>
      <c r="L6" s="772" t="s">
        <v>500</v>
      </c>
      <c r="N6" s="699" t="s">
        <v>461</v>
      </c>
      <c r="O6" s="697"/>
    </row>
    <row r="7" spans="1:15" ht="13.5" customHeight="1">
      <c r="A7" s="694"/>
      <c r="B7" s="684" t="s">
        <v>338</v>
      </c>
      <c r="C7" s="684" t="s">
        <v>427</v>
      </c>
      <c r="D7" s="684" t="s">
        <v>462</v>
      </c>
      <c r="E7" s="684" t="s">
        <v>463</v>
      </c>
      <c r="F7" s="700" t="s">
        <v>426</v>
      </c>
      <c r="H7" s="684" t="s">
        <v>462</v>
      </c>
      <c r="I7" s="684" t="s">
        <v>463</v>
      </c>
      <c r="J7" s="700" t="s">
        <v>426</v>
      </c>
      <c r="L7" s="773" t="s">
        <v>224</v>
      </c>
      <c r="N7" s="701" t="s">
        <v>464</v>
      </c>
      <c r="O7" s="701" t="s">
        <v>465</v>
      </c>
    </row>
    <row r="8" spans="1:15" ht="12.75">
      <c r="A8" s="709">
        <v>1</v>
      </c>
      <c r="B8" s="685" t="s">
        <v>428</v>
      </c>
      <c r="C8" s="686"/>
      <c r="D8" s="690">
        <v>72496462</v>
      </c>
      <c r="E8" s="690">
        <v>1179240567</v>
      </c>
      <c r="F8" s="713">
        <f>((+E8*'[2]Gas'!$D$42)-'[2]Gas'!D11)/'[2]Gas'!D43</f>
        <v>49557588.16268268</v>
      </c>
      <c r="G8" s="408"/>
      <c r="H8" s="763">
        <f>model!DS47</f>
        <v>72496462</v>
      </c>
      <c r="I8" s="763">
        <f>model!DS60</f>
        <v>1179240567</v>
      </c>
      <c r="J8" s="712">
        <f>((+I8*J$40)-H8)/J$41</f>
        <v>32293939.545235094</v>
      </c>
      <c r="L8" s="726">
        <f>J8-F8</f>
        <v>-17263648.61744759</v>
      </c>
      <c r="M8" s="726"/>
      <c r="N8" s="726"/>
      <c r="O8" s="729"/>
    </row>
    <row r="9" spans="2:15" ht="12.75">
      <c r="B9" s="686"/>
      <c r="C9" s="686"/>
      <c r="D9" s="691"/>
      <c r="E9" s="691"/>
      <c r="F9" s="712"/>
      <c r="G9" s="408"/>
      <c r="H9" s="691"/>
      <c r="I9" s="691"/>
      <c r="J9" s="712"/>
      <c r="L9" s="726"/>
      <c r="M9" s="726"/>
      <c r="N9" s="726"/>
      <c r="O9" s="726"/>
    </row>
    <row r="10" spans="1:15" s="795" customFormat="1" ht="25.5">
      <c r="A10" s="789">
        <f>A8+1</f>
        <v>2</v>
      </c>
      <c r="B10" s="795" t="s">
        <v>429</v>
      </c>
      <c r="C10" s="799" t="s">
        <v>532</v>
      </c>
      <c r="D10" s="819">
        <v>13489425</v>
      </c>
      <c r="E10" s="820"/>
      <c r="F10" s="821">
        <f aca="true" t="shared" si="0" ref="F10:F35">(-+D10+(E10*$F$40))/$F$41</f>
        <v>-21701123.696368873</v>
      </c>
      <c r="G10" s="793"/>
      <c r="H10" s="846">
        <f>model!DT47</f>
        <v>13676308.053851996</v>
      </c>
      <c r="I10" s="847"/>
      <c r="J10" s="848">
        <f>((+I10*J$40)-H10)/J$41</f>
        <v>-22001771.96480117</v>
      </c>
      <c r="K10" s="849"/>
      <c r="L10" s="850">
        <f>J10-F10</f>
        <v>-300648.2684322968</v>
      </c>
      <c r="M10" s="796"/>
      <c r="N10" s="796"/>
      <c r="O10" s="797"/>
    </row>
    <row r="11" spans="1:15" ht="12.75">
      <c r="A11" s="708">
        <f>A10+1</f>
        <v>3</v>
      </c>
      <c r="B11" s="334" t="s">
        <v>430</v>
      </c>
      <c r="C11" s="798" t="s">
        <v>533</v>
      </c>
      <c r="D11" s="720">
        <v>490787</v>
      </c>
      <c r="E11" s="720">
        <v>0</v>
      </c>
      <c r="F11" s="721">
        <f t="shared" si="0"/>
        <v>-789553.994745498</v>
      </c>
      <c r="G11" s="408"/>
      <c r="H11" s="720">
        <f>model!DU47</f>
        <v>490787.30000000075</v>
      </c>
      <c r="I11" s="720"/>
      <c r="J11" s="712">
        <f aca="true" t="shared" si="1" ref="J11:J35">((+I11*J$40)-H11)/J$41</f>
        <v>-789554.4773707489</v>
      </c>
      <c r="L11" s="726">
        <f aca="true" t="shared" si="2" ref="L11:L37">J11-F11</f>
        <v>-0.4826252508210018</v>
      </c>
      <c r="M11" s="726"/>
      <c r="N11" s="726"/>
      <c r="O11" s="729"/>
    </row>
    <row r="12" spans="1:15" s="795" customFormat="1" ht="12.75">
      <c r="A12" s="789">
        <f aca="true" t="shared" si="3" ref="A12:A35">A11+1</f>
        <v>4</v>
      </c>
      <c r="B12" s="790" t="s">
        <v>431</v>
      </c>
      <c r="C12" s="799" t="s">
        <v>534</v>
      </c>
      <c r="D12" s="791">
        <v>-7280941</v>
      </c>
      <c r="E12" s="791">
        <v>0</v>
      </c>
      <c r="F12" s="792">
        <f t="shared" si="0"/>
        <v>11713219.893877143</v>
      </c>
      <c r="G12" s="793"/>
      <c r="H12" s="791">
        <f>model!DV47</f>
        <v>-6778497.84879072</v>
      </c>
      <c r="I12" s="791"/>
      <c r="J12" s="794">
        <f t="shared" si="1"/>
        <v>10904914.056171982</v>
      </c>
      <c r="L12" s="796">
        <f t="shared" si="2"/>
        <v>-808305.8377051614</v>
      </c>
      <c r="M12" s="796"/>
      <c r="N12" s="796"/>
      <c r="O12" s="797"/>
    </row>
    <row r="13" spans="1:15" ht="12.75">
      <c r="A13" s="708">
        <f t="shared" si="3"/>
        <v>5</v>
      </c>
      <c r="B13" s="334" t="s">
        <v>432</v>
      </c>
      <c r="C13" s="798" t="s">
        <v>535</v>
      </c>
      <c r="D13" s="720">
        <v>2426926</v>
      </c>
      <c r="E13" s="720"/>
      <c r="F13" s="721">
        <f t="shared" si="0"/>
        <v>-3904319.2224971578</v>
      </c>
      <c r="G13" s="408"/>
      <c r="H13" s="720">
        <f>model!DW47</f>
        <v>2426926.45</v>
      </c>
      <c r="I13" s="720"/>
      <c r="J13" s="712">
        <f t="shared" si="1"/>
        <v>-3904319.9464350324</v>
      </c>
      <c r="L13" s="726">
        <f t="shared" si="2"/>
        <v>-0.7239378746598959</v>
      </c>
      <c r="M13" s="726"/>
      <c r="N13" s="726"/>
      <c r="O13" s="729"/>
    </row>
    <row r="14" spans="1:15" ht="12.75">
      <c r="A14" s="708">
        <f t="shared" si="3"/>
        <v>6</v>
      </c>
      <c r="B14" s="334" t="s">
        <v>433</v>
      </c>
      <c r="C14" s="798" t="s">
        <v>536</v>
      </c>
      <c r="D14" s="720">
        <v>-236343</v>
      </c>
      <c r="E14" s="720">
        <v>0</v>
      </c>
      <c r="F14" s="721">
        <f t="shared" si="0"/>
        <v>380216.9979647693</v>
      </c>
      <c r="G14" s="408"/>
      <c r="H14" s="720">
        <f>model!DX47</f>
        <v>-236343</v>
      </c>
      <c r="I14" s="720"/>
      <c r="J14" s="712">
        <f t="shared" si="1"/>
        <v>380216.9979647693</v>
      </c>
      <c r="L14" s="726">
        <f t="shared" si="2"/>
        <v>0</v>
      </c>
      <c r="M14" s="726"/>
      <c r="N14" s="726"/>
      <c r="O14" s="729"/>
    </row>
    <row r="15" spans="1:15" s="687" customFormat="1" ht="12.75">
      <c r="A15" s="774">
        <f t="shared" si="3"/>
        <v>7</v>
      </c>
      <c r="B15" s="717" t="s">
        <v>501</v>
      </c>
      <c r="C15" s="800" t="s">
        <v>556</v>
      </c>
      <c r="D15" s="775">
        <f>536*0.65</f>
        <v>348.40000000000003</v>
      </c>
      <c r="E15" s="775">
        <v>0</v>
      </c>
      <c r="F15" s="721">
        <f t="shared" si="0"/>
        <v>-560.4887899828877</v>
      </c>
      <c r="G15" s="717"/>
      <c r="H15" s="775">
        <f>-model!AE15*0.65</f>
        <v>348.40000000000003</v>
      </c>
      <c r="I15" s="775"/>
      <c r="J15" s="712">
        <f t="shared" si="1"/>
        <v>-560.4887899828877</v>
      </c>
      <c r="L15" s="776">
        <f t="shared" si="2"/>
        <v>0</v>
      </c>
      <c r="M15" s="776"/>
      <c r="N15" s="776"/>
      <c r="O15" s="777"/>
    </row>
    <row r="16" spans="1:15" ht="25.5">
      <c r="A16" s="708">
        <f t="shared" si="3"/>
        <v>8</v>
      </c>
      <c r="B16" s="334" t="s">
        <v>434</v>
      </c>
      <c r="C16" s="798" t="s">
        <v>557</v>
      </c>
      <c r="D16" s="720">
        <f>(-1267159-153724)*0.65</f>
        <v>-923573.9500000001</v>
      </c>
      <c r="E16" s="720"/>
      <c r="F16" s="721">
        <f t="shared" si="0"/>
        <v>1485800.3607784617</v>
      </c>
      <c r="G16" s="408"/>
      <c r="H16" s="720">
        <f>(-model!AE16-model!AE17)*0.65</f>
        <v>-923573.9500000001</v>
      </c>
      <c r="I16" s="720"/>
      <c r="J16" s="712">
        <f t="shared" si="1"/>
        <v>1485800.3607784617</v>
      </c>
      <c r="L16" s="726">
        <f t="shared" si="2"/>
        <v>0</v>
      </c>
      <c r="M16" s="726"/>
      <c r="N16" s="726"/>
      <c r="O16" s="729"/>
    </row>
    <row r="17" spans="1:15" ht="25.5">
      <c r="A17" s="708">
        <f t="shared" si="3"/>
        <v>9</v>
      </c>
      <c r="B17" s="334" t="s">
        <v>435</v>
      </c>
      <c r="C17" s="798" t="s">
        <v>558</v>
      </c>
      <c r="D17" s="720">
        <f>-85324*0.65</f>
        <v>-55460.6</v>
      </c>
      <c r="E17" s="720"/>
      <c r="F17" s="721">
        <f t="shared" si="0"/>
        <v>89222.28641138042</v>
      </c>
      <c r="G17" s="408"/>
      <c r="H17" s="720">
        <f>-model!AE18*0.65</f>
        <v>-55460.58495843091</v>
      </c>
      <c r="I17" s="720"/>
      <c r="J17" s="712">
        <f t="shared" si="1"/>
        <v>89222.26221324364</v>
      </c>
      <c r="L17" s="726">
        <f t="shared" si="2"/>
        <v>-0.024198136787163094</v>
      </c>
      <c r="M17" s="726"/>
      <c r="N17" s="726"/>
      <c r="O17" s="729"/>
    </row>
    <row r="18" spans="1:15" ht="12.75">
      <c r="A18" s="708">
        <f t="shared" si="3"/>
        <v>10</v>
      </c>
      <c r="B18" s="334" t="s">
        <v>436</v>
      </c>
      <c r="C18" s="798" t="s">
        <v>559</v>
      </c>
      <c r="D18" s="720"/>
      <c r="E18" s="720">
        <v>2857353</v>
      </c>
      <c r="F18" s="721">
        <f t="shared" si="0"/>
        <v>402676.9658894952</v>
      </c>
      <c r="G18" s="408"/>
      <c r="H18" s="720"/>
      <c r="I18" s="720">
        <f>model!AE30+model!AE31</f>
        <v>2857353.494882954</v>
      </c>
      <c r="J18" s="712">
        <f t="shared" si="1"/>
        <v>360846.43033201864</v>
      </c>
      <c r="L18" s="726">
        <f t="shared" si="2"/>
        <v>-41830.53555747657</v>
      </c>
      <c r="M18" s="726"/>
      <c r="N18" s="726"/>
      <c r="O18" s="729"/>
    </row>
    <row r="19" spans="1:15" ht="12.75">
      <c r="A19" s="708">
        <f t="shared" si="3"/>
        <v>11</v>
      </c>
      <c r="B19" s="334" t="s">
        <v>437</v>
      </c>
      <c r="C19" s="798" t="s">
        <v>538</v>
      </c>
      <c r="D19" s="720">
        <v>469425</v>
      </c>
      <c r="E19" s="720"/>
      <c r="F19" s="721">
        <f t="shared" si="0"/>
        <v>-755187.8594653188</v>
      </c>
      <c r="G19" s="408"/>
      <c r="H19" s="720">
        <f>model!DZ47</f>
        <v>469425.45</v>
      </c>
      <c r="I19" s="720"/>
      <c r="J19" s="712">
        <f t="shared" si="1"/>
        <v>-755188.5834031934</v>
      </c>
      <c r="L19" s="726">
        <f t="shared" si="2"/>
        <v>-0.7239378745434806</v>
      </c>
      <c r="M19" s="726"/>
      <c r="N19" s="726"/>
      <c r="O19" s="729"/>
    </row>
    <row r="20" spans="1:15" ht="12.75">
      <c r="A20" s="708">
        <f t="shared" si="3"/>
        <v>12</v>
      </c>
      <c r="B20" s="334" t="s">
        <v>438</v>
      </c>
      <c r="C20" s="798" t="s">
        <v>539</v>
      </c>
      <c r="D20" s="720">
        <v>389325</v>
      </c>
      <c r="E20" s="720">
        <v>0</v>
      </c>
      <c r="F20" s="721">
        <f t="shared" si="0"/>
        <v>-626326.9177958891</v>
      </c>
      <c r="G20" s="408"/>
      <c r="H20" s="720">
        <f>model!EC47</f>
        <v>389325.30000000005</v>
      </c>
      <c r="I20" s="720"/>
      <c r="J20" s="712">
        <f t="shared" si="1"/>
        <v>-626327.4004211389</v>
      </c>
      <c r="L20" s="726">
        <f t="shared" si="2"/>
        <v>-0.48262524977326393</v>
      </c>
      <c r="M20" s="726"/>
      <c r="N20" s="726"/>
      <c r="O20" s="729"/>
    </row>
    <row r="21" spans="1:15" s="795" customFormat="1" ht="12.75">
      <c r="A21" s="789">
        <f t="shared" si="3"/>
        <v>13</v>
      </c>
      <c r="B21" s="795" t="s">
        <v>439</v>
      </c>
      <c r="C21" s="799" t="s">
        <v>540</v>
      </c>
      <c r="D21" s="791">
        <v>-273728</v>
      </c>
      <c r="E21" s="791">
        <v>0</v>
      </c>
      <c r="F21" s="792">
        <f t="shared" si="0"/>
        <v>440360.1478313315</v>
      </c>
      <c r="G21" s="793"/>
      <c r="H21" s="791">
        <f>model!ED47</f>
        <v>-42361.397000000004</v>
      </c>
      <c r="I21" s="791"/>
      <c r="J21" s="794">
        <f t="shared" si="1"/>
        <v>68148.93268230406</v>
      </c>
      <c r="L21" s="796">
        <f t="shared" si="2"/>
        <v>-372211.2151490274</v>
      </c>
      <c r="M21" s="796"/>
      <c r="N21" s="796"/>
      <c r="O21" s="797"/>
    </row>
    <row r="22" spans="1:15" ht="12.75">
      <c r="A22" s="708">
        <f t="shared" si="3"/>
        <v>14</v>
      </c>
      <c r="B22" s="687" t="s">
        <v>440</v>
      </c>
      <c r="C22" s="800" t="s">
        <v>551</v>
      </c>
      <c r="D22" s="720">
        <v>123942</v>
      </c>
      <c r="E22" s="720">
        <v>0</v>
      </c>
      <c r="F22" s="721">
        <f t="shared" si="0"/>
        <v>-199391.79566033027</v>
      </c>
      <c r="G22" s="408"/>
      <c r="H22" s="720">
        <f>model!EE47</f>
        <v>123942</v>
      </c>
      <c r="I22" s="720"/>
      <c r="J22" s="712">
        <f t="shared" si="1"/>
        <v>-199391.79566033027</v>
      </c>
      <c r="L22" s="726">
        <f t="shared" si="2"/>
        <v>0</v>
      </c>
      <c r="M22" s="726"/>
      <c r="N22" s="726"/>
      <c r="O22" s="729"/>
    </row>
    <row r="23" spans="1:15" ht="12.75">
      <c r="A23" s="708">
        <f t="shared" si="3"/>
        <v>15</v>
      </c>
      <c r="B23" s="687" t="s">
        <v>441</v>
      </c>
      <c r="C23" s="800" t="s">
        <v>541</v>
      </c>
      <c r="D23" s="720">
        <v>-1603511</v>
      </c>
      <c r="E23" s="720">
        <v>0</v>
      </c>
      <c r="F23" s="721">
        <f t="shared" si="0"/>
        <v>2579649.655896241</v>
      </c>
      <c r="G23" s="408"/>
      <c r="H23" s="720">
        <f>model!EF47</f>
        <v>-1603511</v>
      </c>
      <c r="I23" s="720"/>
      <c r="J23" s="712">
        <f t="shared" si="1"/>
        <v>2579649.655896241</v>
      </c>
      <c r="L23" s="726">
        <f t="shared" si="2"/>
        <v>0</v>
      </c>
      <c r="M23" s="726"/>
      <c r="N23" s="726"/>
      <c r="O23" s="729"/>
    </row>
    <row r="24" spans="1:15" ht="12.75">
      <c r="A24" s="708">
        <f t="shared" si="3"/>
        <v>16</v>
      </c>
      <c r="B24" s="687" t="s">
        <v>442</v>
      </c>
      <c r="C24" s="800" t="s">
        <v>542</v>
      </c>
      <c r="D24" s="720">
        <v>-1393820</v>
      </c>
      <c r="E24" s="720">
        <v>0</v>
      </c>
      <c r="F24" s="721">
        <f t="shared" si="0"/>
        <v>2242309.085114663</v>
      </c>
      <c r="G24" s="408"/>
      <c r="H24" s="720">
        <f>model!EG47</f>
        <v>-1393819.7000000002</v>
      </c>
      <c r="I24" s="720"/>
      <c r="J24" s="712">
        <f t="shared" si="1"/>
        <v>2242308.6024894137</v>
      </c>
      <c r="L24" s="726">
        <f t="shared" si="2"/>
        <v>-0.48262524930760264</v>
      </c>
      <c r="M24" s="726"/>
      <c r="N24" s="726"/>
      <c r="O24" s="729"/>
    </row>
    <row r="25" spans="1:15" ht="12.75">
      <c r="A25" s="708">
        <f t="shared" si="3"/>
        <v>17</v>
      </c>
      <c r="B25" s="687" t="s">
        <v>443</v>
      </c>
      <c r="C25" s="800" t="s">
        <v>543</v>
      </c>
      <c r="D25" s="720">
        <v>-59018</v>
      </c>
      <c r="E25" s="720">
        <v>0</v>
      </c>
      <c r="F25" s="721">
        <f t="shared" si="0"/>
        <v>94945.25662230214</v>
      </c>
      <c r="G25" s="408"/>
      <c r="H25" s="720">
        <f>model!EH47</f>
        <v>-59017.500799999805</v>
      </c>
      <c r="I25" s="720"/>
      <c r="J25" s="712">
        <f t="shared" si="1"/>
        <v>94944.45353388634</v>
      </c>
      <c r="L25" s="726">
        <f t="shared" si="2"/>
        <v>-0.8030884158069966</v>
      </c>
      <c r="M25" s="726"/>
      <c r="N25" s="726"/>
      <c r="O25" s="729"/>
    </row>
    <row r="26" spans="1:15" ht="12.75">
      <c r="A26" s="708">
        <f t="shared" si="3"/>
        <v>18</v>
      </c>
      <c r="B26" s="687" t="s">
        <v>444</v>
      </c>
      <c r="C26" s="800" t="s">
        <v>544</v>
      </c>
      <c r="D26" s="720">
        <v>-418486</v>
      </c>
      <c r="E26" s="720">
        <v>0</v>
      </c>
      <c r="F26" s="721">
        <f t="shared" si="0"/>
        <v>673239.7008173902</v>
      </c>
      <c r="G26" s="408"/>
      <c r="H26" s="720">
        <f>model!EI47</f>
        <v>-418486.16003999964</v>
      </c>
      <c r="I26" s="720"/>
      <c r="J26" s="712">
        <f t="shared" si="1"/>
        <v>673239.9582818728</v>
      </c>
      <c r="L26" s="726">
        <f t="shared" si="2"/>
        <v>0.25746448256541044</v>
      </c>
      <c r="M26" s="726"/>
      <c r="N26" s="726"/>
      <c r="O26" s="729"/>
    </row>
    <row r="27" spans="1:15" s="795" customFormat="1" ht="12.75">
      <c r="A27" s="789">
        <f t="shared" si="3"/>
        <v>19</v>
      </c>
      <c r="B27" s="795" t="s">
        <v>445</v>
      </c>
      <c r="C27" s="799" t="s">
        <v>545</v>
      </c>
      <c r="D27" s="791">
        <v>431333</v>
      </c>
      <c r="E27" s="791">
        <v>0</v>
      </c>
      <c r="F27" s="792">
        <f t="shared" si="0"/>
        <v>-693907.3227603012</v>
      </c>
      <c r="G27" s="793"/>
      <c r="H27" s="851">
        <f>model!EJ47</f>
        <v>645419.9063797825</v>
      </c>
      <c r="I27" s="851"/>
      <c r="J27" s="848">
        <f t="shared" si="1"/>
        <v>-1038319.8115891876</v>
      </c>
      <c r="K27" s="849"/>
      <c r="L27" s="850">
        <f t="shared" si="2"/>
        <v>-344412.4888288864</v>
      </c>
      <c r="M27" s="796"/>
      <c r="N27" s="796"/>
      <c r="O27" s="797"/>
    </row>
    <row r="28" spans="1:15" ht="12.75">
      <c r="A28" s="708">
        <f t="shared" si="3"/>
        <v>20</v>
      </c>
      <c r="B28" s="687" t="s">
        <v>446</v>
      </c>
      <c r="C28" s="800" t="s">
        <v>546</v>
      </c>
      <c r="D28" s="720">
        <v>-131750</v>
      </c>
      <c r="E28" s="720"/>
      <c r="F28" s="721">
        <f t="shared" si="0"/>
        <v>211952.9221591431</v>
      </c>
      <c r="G28" s="408"/>
      <c r="H28" s="720">
        <f>model!EM47</f>
        <v>-131750</v>
      </c>
      <c r="I28" s="720"/>
      <c r="J28" s="712">
        <f t="shared" si="1"/>
        <v>211952.9221591431</v>
      </c>
      <c r="L28" s="726">
        <f t="shared" si="2"/>
        <v>0</v>
      </c>
      <c r="M28" s="726"/>
      <c r="N28" s="726"/>
      <c r="O28" s="729"/>
    </row>
    <row r="29" spans="1:15" ht="12.75">
      <c r="A29" s="708">
        <f t="shared" si="3"/>
        <v>21</v>
      </c>
      <c r="B29" s="687" t="s">
        <v>447</v>
      </c>
      <c r="C29" s="800" t="s">
        <v>547</v>
      </c>
      <c r="D29" s="720">
        <v>456881</v>
      </c>
      <c r="E29" s="720"/>
      <c r="F29" s="721">
        <f t="shared" si="0"/>
        <v>-735007.6890246031</v>
      </c>
      <c r="G29" s="408"/>
      <c r="H29" s="720">
        <f>model!EN47</f>
        <v>456880.6406666667</v>
      </c>
      <c r="I29" s="720"/>
      <c r="J29" s="712">
        <f t="shared" si="1"/>
        <v>-735007.110946804</v>
      </c>
      <c r="L29" s="726">
        <f t="shared" si="2"/>
        <v>0.5780777990585193</v>
      </c>
      <c r="M29" s="726"/>
      <c r="N29" s="726"/>
      <c r="O29" s="729"/>
    </row>
    <row r="30" spans="1:15" ht="12.75">
      <c r="A30" s="708">
        <f t="shared" si="3"/>
        <v>22</v>
      </c>
      <c r="B30" s="687" t="s">
        <v>448</v>
      </c>
      <c r="C30" s="800" t="s">
        <v>548</v>
      </c>
      <c r="D30" s="720">
        <v>-914888</v>
      </c>
      <c r="E30" s="720">
        <v>-1746177</v>
      </c>
      <c r="F30" s="721">
        <f t="shared" si="0"/>
        <v>1225744.091178849</v>
      </c>
      <c r="G30" s="408"/>
      <c r="H30" s="720">
        <f>model!EO47</f>
        <v>-914887.3500000001</v>
      </c>
      <c r="I30" s="720">
        <f>model!EO60</f>
        <v>-1746177</v>
      </c>
      <c r="J30" s="712">
        <f t="shared" si="1"/>
        <v>1251306.4351802922</v>
      </c>
      <c r="L30" s="726">
        <f t="shared" si="2"/>
        <v>25562.344001443125</v>
      </c>
      <c r="M30" s="726"/>
      <c r="N30" s="726"/>
      <c r="O30" s="729"/>
    </row>
    <row r="31" spans="1:15" ht="12.75">
      <c r="A31" s="708">
        <f t="shared" si="3"/>
        <v>23</v>
      </c>
      <c r="B31" s="687" t="s">
        <v>449</v>
      </c>
      <c r="C31" s="800" t="s">
        <v>549</v>
      </c>
      <c r="D31" s="720">
        <v>1361790</v>
      </c>
      <c r="E31" s="720"/>
      <c r="F31" s="721">
        <f t="shared" si="0"/>
        <v>-2190780.795955214</v>
      </c>
      <c r="G31" s="408"/>
      <c r="H31" s="720">
        <f>model!EP47</f>
        <v>1361790.3</v>
      </c>
      <c r="I31" s="720"/>
      <c r="J31" s="712">
        <f t="shared" si="1"/>
        <v>-2190781.278580464</v>
      </c>
      <c r="L31" s="726">
        <f t="shared" si="2"/>
        <v>-0.48262524977326393</v>
      </c>
      <c r="M31" s="726"/>
      <c r="N31" s="726"/>
      <c r="O31" s="729"/>
    </row>
    <row r="32" spans="1:15" s="795" customFormat="1" ht="12.75">
      <c r="A32" s="789">
        <f t="shared" si="3"/>
        <v>24</v>
      </c>
      <c r="B32" s="795" t="s">
        <v>450</v>
      </c>
      <c r="C32" s="799" t="s">
        <v>550</v>
      </c>
      <c r="D32" s="791">
        <v>3192</v>
      </c>
      <c r="E32" s="791"/>
      <c r="F32" s="792">
        <f t="shared" si="0"/>
        <v>-5135.132656789258</v>
      </c>
      <c r="G32" s="793"/>
      <c r="H32" s="791">
        <f>model!EQ47</f>
        <v>212398.7538942611</v>
      </c>
      <c r="I32" s="791"/>
      <c r="J32" s="794">
        <f t="shared" si="1"/>
        <v>-341696.67211270833</v>
      </c>
      <c r="L32" s="796">
        <f t="shared" si="2"/>
        <v>-336561.53945591906</v>
      </c>
      <c r="M32" s="796"/>
      <c r="N32" s="796"/>
      <c r="O32" s="797"/>
    </row>
    <row r="33" spans="1:15" s="795" customFormat="1" ht="25.5">
      <c r="A33" s="789">
        <f t="shared" si="3"/>
        <v>25</v>
      </c>
      <c r="B33" s="795" t="s">
        <v>451</v>
      </c>
      <c r="C33" s="799" t="s">
        <v>552</v>
      </c>
      <c r="D33" s="791">
        <v>176569.45</v>
      </c>
      <c r="E33" s="791">
        <v>0</v>
      </c>
      <c r="F33" s="792">
        <f t="shared" si="0"/>
        <v>-284056.2496511022</v>
      </c>
      <c r="G33" s="793"/>
      <c r="H33" s="791">
        <f>model!ER47</f>
        <v>-56424.293578995894</v>
      </c>
      <c r="I33" s="791"/>
      <c r="J33" s="794">
        <f t="shared" si="1"/>
        <v>90772.62925869871</v>
      </c>
      <c r="L33" s="796">
        <f t="shared" si="2"/>
        <v>374828.8789098009</v>
      </c>
      <c r="M33" s="796"/>
      <c r="N33" s="796"/>
      <c r="O33" s="797"/>
    </row>
    <row r="34" spans="1:15" s="795" customFormat="1" ht="12.75">
      <c r="A34" s="789">
        <f t="shared" si="3"/>
        <v>26</v>
      </c>
      <c r="B34" s="793" t="s">
        <v>489</v>
      </c>
      <c r="C34" s="799" t="s">
        <v>553</v>
      </c>
      <c r="D34" s="791">
        <v>0</v>
      </c>
      <c r="E34" s="791">
        <v>0</v>
      </c>
      <c r="F34" s="792">
        <f t="shared" si="0"/>
        <v>0</v>
      </c>
      <c r="G34" s="793"/>
      <c r="H34" s="791">
        <f>model!ES47</f>
        <v>494464.3535000001</v>
      </c>
      <c r="I34" s="791"/>
      <c r="J34" s="794">
        <f t="shared" si="1"/>
        <v>-795469.9402493854</v>
      </c>
      <c r="L34" s="796">
        <f t="shared" si="2"/>
        <v>-795469.9402493854</v>
      </c>
      <c r="M34" s="796"/>
      <c r="N34" s="796"/>
      <c r="O34" s="797"/>
    </row>
    <row r="35" spans="1:15" ht="12.75">
      <c r="A35" s="708">
        <f t="shared" si="3"/>
        <v>27</v>
      </c>
      <c r="B35" s="687" t="s">
        <v>452</v>
      </c>
      <c r="C35" s="688" t="s">
        <v>453</v>
      </c>
      <c r="D35" s="722"/>
      <c r="E35" s="722"/>
      <c r="F35" s="723">
        <f t="shared" si="0"/>
        <v>0</v>
      </c>
      <c r="G35" s="703"/>
      <c r="H35" s="722"/>
      <c r="I35" s="722"/>
      <c r="J35" s="725">
        <f t="shared" si="1"/>
        <v>0</v>
      </c>
      <c r="L35" s="728">
        <f t="shared" si="2"/>
        <v>0</v>
      </c>
      <c r="M35" s="726"/>
      <c r="N35" s="726"/>
      <c r="O35" s="729"/>
    </row>
    <row r="36" spans="1:15" ht="13.5" thickBot="1">
      <c r="A36" s="708">
        <f>A35+1</f>
        <v>28</v>
      </c>
      <c r="B36" s="687" t="s">
        <v>317</v>
      </c>
      <c r="C36" s="687"/>
      <c r="D36" s="724">
        <f>SUM(D8:D35)</f>
        <v>79024886.30000001</v>
      </c>
      <c r="E36" s="724">
        <f>SUM(E8:E35)</f>
        <v>1180351743</v>
      </c>
      <c r="F36" s="714">
        <f>SUM(F8:F35)</f>
        <v>39211574.361852795</v>
      </c>
      <c r="G36" s="703"/>
      <c r="H36" s="852">
        <f>SUM(H8:H35)</f>
        <v>80630346.12312454</v>
      </c>
      <c r="I36" s="724">
        <f>SUM(I8:I35)</f>
        <v>1180351743.494883</v>
      </c>
      <c r="J36" s="853">
        <f>SUM(J8:J35)</f>
        <v>19348873.771817274</v>
      </c>
      <c r="L36" s="853">
        <f>SUM(L8:L35)</f>
        <v>-19862700.590035513</v>
      </c>
      <c r="M36" s="726"/>
      <c r="N36" s="716">
        <f>SUM(N8:N35)</f>
        <v>0</v>
      </c>
      <c r="O36" s="716">
        <f>SUM(O8:O35)</f>
        <v>0</v>
      </c>
    </row>
    <row r="37" spans="1:15" ht="13.5" customHeight="1" thickTop="1">
      <c r="A37" s="708">
        <f>A36+1</f>
        <v>29</v>
      </c>
      <c r="B37" s="710" t="s">
        <v>454</v>
      </c>
      <c r="C37" s="687"/>
      <c r="D37" s="720"/>
      <c r="E37" s="408"/>
      <c r="F37" s="715">
        <v>10884680</v>
      </c>
      <c r="G37" s="703"/>
      <c r="H37" s="720"/>
      <c r="I37" s="692" t="s">
        <v>454</v>
      </c>
      <c r="J37" s="854">
        <v>0</v>
      </c>
      <c r="L37" s="771">
        <f t="shared" si="2"/>
        <v>-10884680</v>
      </c>
      <c r="M37" s="726"/>
      <c r="N37" s="726"/>
      <c r="O37" s="726"/>
    </row>
    <row r="38" spans="1:17" ht="13.5" thickBot="1">
      <c r="A38" s="708">
        <f>A37+1</f>
        <v>30</v>
      </c>
      <c r="B38" s="711" t="s">
        <v>456</v>
      </c>
      <c r="C38" s="687"/>
      <c r="D38" s="408"/>
      <c r="E38" s="408"/>
      <c r="F38" s="716">
        <f>F36+F37</f>
        <v>50096254.361852795</v>
      </c>
      <c r="G38" s="703"/>
      <c r="H38" s="408"/>
      <c r="I38" s="692" t="s">
        <v>456</v>
      </c>
      <c r="J38" s="855">
        <f>J36+J37</f>
        <v>19348873.771817274</v>
      </c>
      <c r="K38" s="408"/>
      <c r="L38" s="855">
        <f>L36+L37</f>
        <v>-30747380.590035513</v>
      </c>
      <c r="M38" s="727"/>
      <c r="N38" s="693">
        <f>N36+N37</f>
        <v>0</v>
      </c>
      <c r="O38" s="693">
        <f>O36+O37</f>
        <v>0</v>
      </c>
      <c r="P38" s="408"/>
      <c r="Q38" s="408"/>
    </row>
    <row r="39" spans="3:17" ht="13.5" thickTop="1">
      <c r="C39" s="687"/>
      <c r="D39" s="408"/>
      <c r="E39" s="704"/>
      <c r="F39" s="717"/>
      <c r="G39" s="408"/>
      <c r="I39" s="704"/>
      <c r="J39" s="408"/>
      <c r="K39" s="408"/>
      <c r="L39" s="727"/>
      <c r="M39" s="727"/>
      <c r="N39" s="727"/>
      <c r="O39" s="727"/>
      <c r="P39" s="408"/>
      <c r="Q39" s="408"/>
    </row>
    <row r="40" spans="1:17" ht="12.75">
      <c r="A40" s="708">
        <f>A38+1</f>
        <v>31</v>
      </c>
      <c r="B40" s="687" t="s">
        <v>455</v>
      </c>
      <c r="C40" s="702"/>
      <c r="D40" s="408"/>
      <c r="E40" s="408"/>
      <c r="F40" s="718">
        <v>0.0876</v>
      </c>
      <c r="G40" s="707"/>
      <c r="H40" s="707"/>
      <c r="I40" s="707"/>
      <c r="J40" s="706">
        <f>model!DO49</f>
        <v>0.0785</v>
      </c>
      <c r="K40" s="408"/>
      <c r="L40" s="727"/>
      <c r="M40" s="727"/>
      <c r="N40" s="727"/>
      <c r="O40" s="727"/>
      <c r="P40" s="408"/>
      <c r="Q40" s="408"/>
    </row>
    <row r="41" spans="1:17" ht="12.75">
      <c r="A41" s="708">
        <f>A40+1</f>
        <v>32</v>
      </c>
      <c r="B41" s="687" t="s">
        <v>457</v>
      </c>
      <c r="C41" s="408"/>
      <c r="D41" s="408"/>
      <c r="E41" s="408"/>
      <c r="F41" s="719">
        <v>0.6216003</v>
      </c>
      <c r="G41" s="408"/>
      <c r="H41" s="408"/>
      <c r="I41" s="408"/>
      <c r="J41" s="705">
        <f>model!DO30</f>
        <v>0.6216003</v>
      </c>
      <c r="K41" s="408"/>
      <c r="L41" s="727"/>
      <c r="M41" s="727"/>
      <c r="N41" s="727"/>
      <c r="O41" s="727"/>
      <c r="P41" s="408"/>
      <c r="Q41" s="408"/>
    </row>
    <row r="42" spans="1:17" ht="12.75">
      <c r="A42" s="708"/>
      <c r="D42" s="408"/>
      <c r="E42" s="408"/>
      <c r="F42" s="717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</row>
    <row r="43" spans="4:17" ht="12.75">
      <c r="D43" s="408"/>
      <c r="E43" s="408"/>
      <c r="F43" s="717"/>
      <c r="G43" s="408"/>
      <c r="H43" s="408"/>
      <c r="I43" s="730" t="s">
        <v>467</v>
      </c>
      <c r="J43" s="731">
        <f>model!FA16</f>
        <v>19348874</v>
      </c>
      <c r="K43" s="408"/>
      <c r="L43" s="408"/>
      <c r="M43" s="408"/>
      <c r="N43" s="408"/>
      <c r="O43" s="408"/>
      <c r="P43" s="408"/>
      <c r="Q43" s="408"/>
    </row>
    <row r="44" spans="4:17" ht="12.75">
      <c r="D44" s="408"/>
      <c r="E44" s="408"/>
      <c r="F44" s="717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</row>
    <row r="45" spans="4:17" ht="12.75">
      <c r="D45" s="408"/>
      <c r="E45" s="408"/>
      <c r="F45" s="717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</row>
    <row r="46" ht="12.75">
      <c r="F46" s="687"/>
    </row>
    <row r="47" ht="12.75">
      <c r="F47" s="687"/>
    </row>
    <row r="48" ht="12.75">
      <c r="F48" s="687"/>
    </row>
    <row r="49" ht="12.75">
      <c r="F49" s="687"/>
    </row>
    <row r="50" ht="12.75">
      <c r="F50" s="687"/>
    </row>
    <row r="51" ht="12.75">
      <c r="F51" s="687"/>
    </row>
    <row r="52" ht="12.75">
      <c r="F52" s="687"/>
    </row>
    <row r="53" ht="12.75">
      <c r="F53" s="687"/>
    </row>
    <row r="54" ht="12.75">
      <c r="F54" s="687"/>
    </row>
    <row r="55" ht="12.75">
      <c r="F55" s="687"/>
    </row>
    <row r="56" ht="12.75">
      <c r="F56" s="687"/>
    </row>
    <row r="57" ht="12.75">
      <c r="F57" s="687"/>
    </row>
    <row r="58" ht="12.75">
      <c r="F58" s="687"/>
    </row>
    <row r="59" ht="12.75">
      <c r="F59" s="687"/>
    </row>
    <row r="60" ht="12.75">
      <c r="F60" s="687"/>
    </row>
    <row r="61" ht="12.75">
      <c r="F61" s="687"/>
    </row>
    <row r="62" ht="12.75">
      <c r="F62" s="687"/>
    </row>
    <row r="63" ht="12.75">
      <c r="F63" s="687"/>
    </row>
    <row r="64" ht="12.75">
      <c r="F64" s="687"/>
    </row>
    <row r="65" ht="12.75">
      <c r="F65" s="687"/>
    </row>
    <row r="66" ht="12.75">
      <c r="F66" s="687"/>
    </row>
    <row r="67" ht="12.75">
      <c r="F67" s="687"/>
    </row>
    <row r="68" ht="12.75">
      <c r="F68" s="687"/>
    </row>
    <row r="69" ht="12.75">
      <c r="F69" s="687"/>
    </row>
    <row r="70" ht="12.75">
      <c r="F70" s="687"/>
    </row>
    <row r="71" ht="12.75">
      <c r="F71" s="687"/>
    </row>
    <row r="72" ht="12.75">
      <c r="F72" s="687"/>
    </row>
    <row r="73" ht="12.75">
      <c r="F73" s="687"/>
    </row>
    <row r="74" ht="12.75">
      <c r="F74" s="687"/>
    </row>
    <row r="75" ht="12.75">
      <c r="F75" s="687"/>
    </row>
    <row r="76" ht="12.75">
      <c r="F76" s="687"/>
    </row>
    <row r="77" ht="12.75">
      <c r="F77" s="687"/>
    </row>
  </sheetData>
  <printOptions/>
  <pageMargins left="0.75" right="0.75" top="1" bottom="1" header="0.5" footer="0.5"/>
  <pageSetup fitToHeight="1" fitToWidth="1" horizontalDpi="600" verticalDpi="600" orientation="landscape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workbookViewId="0" topLeftCell="A1">
      <selection activeCell="A1" sqref="A1"/>
    </sheetView>
  </sheetViews>
  <sheetFormatPr defaultColWidth="9.33203125" defaultRowHeight="10.5"/>
  <cols>
    <col min="1" max="1" width="59.83203125" style="334" customWidth="1"/>
    <col min="2" max="2" width="18.5" style="334" customWidth="1"/>
    <col min="3" max="3" width="19.5" style="334" customWidth="1"/>
    <col min="4" max="15" width="18.33203125" style="334" customWidth="1"/>
    <col min="16" max="16" width="16.5" style="334" customWidth="1"/>
    <col min="17" max="19" width="14.16015625" style="334" customWidth="1"/>
    <col min="20" max="16384" width="9.33203125" style="334" customWidth="1"/>
  </cols>
  <sheetData>
    <row r="1" spans="1:2" ht="25.5">
      <c r="A1" s="732" t="s">
        <v>488</v>
      </c>
      <c r="B1" s="732"/>
    </row>
    <row r="2" spans="1:2" ht="12.75">
      <c r="A2" s="732" t="s">
        <v>468</v>
      </c>
      <c r="B2" s="732"/>
    </row>
    <row r="3" spans="4:21" ht="12.75">
      <c r="D3" s="733"/>
      <c r="E3" s="733"/>
      <c r="F3" s="733"/>
      <c r="G3" s="733"/>
      <c r="H3" s="506"/>
      <c r="I3" s="733"/>
      <c r="J3" s="733"/>
      <c r="K3" s="733"/>
      <c r="L3" s="733"/>
      <c r="M3" s="733"/>
      <c r="N3" s="733"/>
      <c r="O3" s="733"/>
      <c r="Q3" s="734" t="s">
        <v>317</v>
      </c>
      <c r="R3" s="734" t="s">
        <v>317</v>
      </c>
      <c r="S3" s="734" t="s">
        <v>317</v>
      </c>
      <c r="T3" s="734"/>
      <c r="U3" s="734"/>
    </row>
    <row r="4" spans="1:21" s="732" customFormat="1" ht="12.75">
      <c r="A4" s="735" t="s">
        <v>469</v>
      </c>
      <c r="B4" s="736" t="s">
        <v>470</v>
      </c>
      <c r="C4" s="736" t="s">
        <v>471</v>
      </c>
      <c r="D4" s="737">
        <v>38261</v>
      </c>
      <c r="E4" s="737">
        <v>38292</v>
      </c>
      <c r="F4" s="737">
        <v>38322</v>
      </c>
      <c r="G4" s="737">
        <v>38353</v>
      </c>
      <c r="H4" s="737">
        <v>38384</v>
      </c>
      <c r="I4" s="737">
        <v>38412</v>
      </c>
      <c r="J4" s="737">
        <v>38443</v>
      </c>
      <c r="K4" s="737">
        <v>38473</v>
      </c>
      <c r="L4" s="737">
        <v>38504</v>
      </c>
      <c r="M4" s="737">
        <v>38534</v>
      </c>
      <c r="N4" s="737">
        <v>38565</v>
      </c>
      <c r="O4" s="737">
        <v>38596</v>
      </c>
      <c r="P4" s="736" t="s">
        <v>317</v>
      </c>
      <c r="Q4" s="492" t="s">
        <v>472</v>
      </c>
      <c r="R4" s="492">
        <v>426</v>
      </c>
      <c r="S4" s="492" t="s">
        <v>473</v>
      </c>
      <c r="T4" s="492"/>
      <c r="U4" s="492"/>
    </row>
    <row r="5" spans="1:17" s="732" customFormat="1" ht="12.75">
      <c r="A5" s="738" t="s">
        <v>474</v>
      </c>
      <c r="B5" s="756">
        <v>880000867</v>
      </c>
      <c r="C5" s="739" t="s">
        <v>472</v>
      </c>
      <c r="D5" s="740">
        <f>33377.09-D7</f>
        <v>22172.189999999995</v>
      </c>
      <c r="E5" s="740">
        <f>4986.01-E7</f>
        <v>-5221.33</v>
      </c>
      <c r="F5" s="740">
        <f>32026.62-F7</f>
        <v>18231.11</v>
      </c>
      <c r="G5" s="740">
        <f>-4929.5-G7</f>
        <v>-4929.5</v>
      </c>
      <c r="H5" s="740">
        <f>19599.85-H7</f>
        <v>9273.89</v>
      </c>
      <c r="I5" s="740">
        <f>9954.16-I7</f>
        <v>968.4700000000012</v>
      </c>
      <c r="J5" s="740">
        <f>515.56-J7</f>
        <v>-8774.460000000001</v>
      </c>
      <c r="K5" s="740">
        <f>18754.9-K7</f>
        <v>7046.580000000002</v>
      </c>
      <c r="L5" s="740">
        <f>1406.79-L7</f>
        <v>1406.79</v>
      </c>
      <c r="M5" s="740">
        <f>13985.16-M7</f>
        <v>89.47999999999956</v>
      </c>
      <c r="N5" s="740">
        <f>11979.6-N7</f>
        <v>11979.6</v>
      </c>
      <c r="O5" s="740">
        <f>9739.72-O7</f>
        <v>-4105.000000000002</v>
      </c>
      <c r="P5" s="740">
        <f aca="true" t="shared" si="0" ref="P5:P12">SUM(D5:O5)</f>
        <v>48137.82</v>
      </c>
      <c r="Q5" s="741">
        <f>P5</f>
        <v>48137.82</v>
      </c>
    </row>
    <row r="6" spans="1:17" s="732" customFormat="1" ht="12.75">
      <c r="A6" s="738" t="s">
        <v>475</v>
      </c>
      <c r="B6" s="756">
        <v>880001007</v>
      </c>
      <c r="C6" s="739" t="s">
        <v>472</v>
      </c>
      <c r="D6" s="740">
        <v>0</v>
      </c>
      <c r="E6" s="740">
        <v>0</v>
      </c>
      <c r="F6" s="740">
        <v>0</v>
      </c>
      <c r="G6" s="740">
        <v>2784.57</v>
      </c>
      <c r="H6" s="740">
        <v>27071.92</v>
      </c>
      <c r="I6" s="740">
        <v>45077.81</v>
      </c>
      <c r="J6" s="740">
        <v>12012.68</v>
      </c>
      <c r="K6" s="740">
        <f>94787.96</f>
        <v>94787.96</v>
      </c>
      <c r="L6" s="740">
        <v>0</v>
      </c>
      <c r="M6" s="740">
        <v>0</v>
      </c>
      <c r="N6" s="740">
        <v>0</v>
      </c>
      <c r="O6" s="740">
        <v>0</v>
      </c>
      <c r="P6" s="740">
        <f t="shared" si="0"/>
        <v>181734.94</v>
      </c>
      <c r="Q6" s="741">
        <f>P6</f>
        <v>181734.94</v>
      </c>
    </row>
    <row r="7" spans="1:17" ht="12.75">
      <c r="A7" s="742" t="s">
        <v>476</v>
      </c>
      <c r="B7" s="756">
        <v>880000867</v>
      </c>
      <c r="C7" s="739" t="s">
        <v>472</v>
      </c>
      <c r="D7" s="743">
        <f>4791.96+6412.94</f>
        <v>11204.9</v>
      </c>
      <c r="E7" s="743">
        <f>10207.34</f>
        <v>10207.34</v>
      </c>
      <c r="F7" s="743">
        <f>4159.55+3359.84+1528.47+4747.65</f>
        <v>13795.51</v>
      </c>
      <c r="G7" s="743">
        <v>0</v>
      </c>
      <c r="H7" s="743">
        <f>3902.26+6423.7</f>
        <v>10325.96</v>
      </c>
      <c r="I7" s="743">
        <f>4361.49+4624.2</f>
        <v>8985.689999999999</v>
      </c>
      <c r="J7" s="743">
        <f>4740.75+4549.27</f>
        <v>9290.02</v>
      </c>
      <c r="K7" s="743">
        <f>4003.3+3949.37+3755.65</f>
        <v>11708.32</v>
      </c>
      <c r="L7" s="743">
        <v>0</v>
      </c>
      <c r="M7" s="743">
        <f>3055.15+3774.4+3160.5+3905.63</f>
        <v>13895.68</v>
      </c>
      <c r="N7" s="743">
        <v>0</v>
      </c>
      <c r="O7" s="743">
        <f>1687.23+1959.51+37.25+4192.93+5967.8</f>
        <v>13844.720000000001</v>
      </c>
      <c r="P7" s="740">
        <f t="shared" si="0"/>
        <v>103258.13999999998</v>
      </c>
      <c r="Q7" s="741">
        <f>P7</f>
        <v>103258.13999999998</v>
      </c>
    </row>
    <row r="8" spans="1:17" ht="12.75">
      <c r="A8" s="742" t="s">
        <v>477</v>
      </c>
      <c r="B8" s="754">
        <v>880001087</v>
      </c>
      <c r="C8" s="739" t="s">
        <v>472</v>
      </c>
      <c r="D8" s="743"/>
      <c r="E8" s="743"/>
      <c r="F8" s="743"/>
      <c r="G8" s="743"/>
      <c r="H8" s="743"/>
      <c r="I8" s="743"/>
      <c r="J8" s="743">
        <v>125.33</v>
      </c>
      <c r="K8" s="743">
        <v>0</v>
      </c>
      <c r="L8" s="743">
        <v>43289.08</v>
      </c>
      <c r="M8" s="743">
        <v>-0.01</v>
      </c>
      <c r="N8" s="743">
        <v>0</v>
      </c>
      <c r="O8" s="743">
        <v>811.4</v>
      </c>
      <c r="P8" s="740">
        <f t="shared" si="0"/>
        <v>44225.8</v>
      </c>
      <c r="Q8" s="741">
        <f>P8</f>
        <v>44225.8</v>
      </c>
    </row>
    <row r="9" spans="1:19" ht="51">
      <c r="A9" s="744" t="s">
        <v>478</v>
      </c>
      <c r="B9" s="754" t="s">
        <v>479</v>
      </c>
      <c r="C9" s="739" t="s">
        <v>473</v>
      </c>
      <c r="D9" s="745"/>
      <c r="E9" s="745">
        <v>15534.18</v>
      </c>
      <c r="F9" s="745">
        <v>815386.84</v>
      </c>
      <c r="G9" s="745">
        <v>590958.66</v>
      </c>
      <c r="H9" s="745">
        <v>1052211.43</v>
      </c>
      <c r="I9" s="745">
        <v>918402.09</v>
      </c>
      <c r="J9" s="745">
        <v>25154.17</v>
      </c>
      <c r="K9" s="745">
        <v>969.27</v>
      </c>
      <c r="L9" s="745">
        <v>392849.55</v>
      </c>
      <c r="M9" s="745">
        <v>552.85</v>
      </c>
      <c r="N9" s="745">
        <v>691.23</v>
      </c>
      <c r="O9" s="745">
        <v>43552.98</v>
      </c>
      <c r="P9" s="740">
        <f t="shared" si="0"/>
        <v>3856263.25</v>
      </c>
      <c r="Q9" s="614"/>
      <c r="R9" s="746"/>
      <c r="S9" s="746">
        <f>P9</f>
        <v>3856263.25</v>
      </c>
    </row>
    <row r="10" spans="1:17" ht="25.5">
      <c r="A10" s="744" t="s">
        <v>478</v>
      </c>
      <c r="B10" s="754" t="s">
        <v>480</v>
      </c>
      <c r="C10" s="739" t="s">
        <v>472</v>
      </c>
      <c r="D10" s="745"/>
      <c r="E10" s="745">
        <v>0</v>
      </c>
      <c r="F10" s="745">
        <v>0</v>
      </c>
      <c r="G10" s="745">
        <v>0</v>
      </c>
      <c r="H10" s="745">
        <v>0</v>
      </c>
      <c r="I10" s="745">
        <v>0</v>
      </c>
      <c r="J10" s="745">
        <v>0</v>
      </c>
      <c r="K10" s="745">
        <v>0</v>
      </c>
      <c r="L10" s="745">
        <v>0</v>
      </c>
      <c r="M10" s="745">
        <v>0</v>
      </c>
      <c r="N10" s="745">
        <v>0</v>
      </c>
      <c r="O10" s="745">
        <v>4924.62</v>
      </c>
      <c r="P10" s="740">
        <f t="shared" si="0"/>
        <v>4924.62</v>
      </c>
      <c r="Q10" s="741">
        <f>P10</f>
        <v>4924.62</v>
      </c>
    </row>
    <row r="11" spans="1:17" ht="12.75">
      <c r="A11" s="744" t="s">
        <v>481</v>
      </c>
      <c r="B11" s="754">
        <v>88000021</v>
      </c>
      <c r="C11" s="747" t="s">
        <v>472</v>
      </c>
      <c r="D11" s="674">
        <f>9246.08+12.24</f>
        <v>9258.32</v>
      </c>
      <c r="E11" s="674">
        <f>1121.12+21.02</f>
        <v>1142.1399999999999</v>
      </c>
      <c r="F11" s="674">
        <f>3936.11+35</f>
        <v>3971.11</v>
      </c>
      <c r="G11" s="674">
        <v>485.9</v>
      </c>
      <c r="H11" s="748">
        <v>540.5</v>
      </c>
      <c r="I11" s="748">
        <v>1043.1</v>
      </c>
      <c r="J11" s="748">
        <v>1162.5</v>
      </c>
      <c r="K11" s="748">
        <v>11142.17</v>
      </c>
      <c r="L11" s="748">
        <v>16988.47</v>
      </c>
      <c r="M11" s="748">
        <v>40340.49</v>
      </c>
      <c r="N11" s="745">
        <v>53351.61</v>
      </c>
      <c r="O11" s="745">
        <v>21554.02</v>
      </c>
      <c r="P11" s="740">
        <f t="shared" si="0"/>
        <v>160980.33</v>
      </c>
      <c r="Q11" s="741">
        <f>P11</f>
        <v>160980.33</v>
      </c>
    </row>
    <row r="12" spans="1:18" ht="12.75">
      <c r="A12" s="744" t="s">
        <v>482</v>
      </c>
      <c r="B12" s="754">
        <v>42630006</v>
      </c>
      <c r="C12" s="739" t="s">
        <v>483</v>
      </c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>
        <v>90000</v>
      </c>
      <c r="P12" s="740">
        <f t="shared" si="0"/>
        <v>90000</v>
      </c>
      <c r="R12" s="746">
        <f>P12</f>
        <v>90000</v>
      </c>
    </row>
    <row r="13" spans="1:16" ht="12.75">
      <c r="A13" s="742"/>
      <c r="B13" s="754"/>
      <c r="C13" s="742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0"/>
    </row>
    <row r="14" spans="1:16" ht="12.75">
      <c r="A14" s="742" t="s">
        <v>317</v>
      </c>
      <c r="B14" s="754"/>
      <c r="C14" s="742"/>
      <c r="D14" s="745">
        <f aca="true" t="shared" si="1" ref="D14:O14">SUM(D5:D13)</f>
        <v>42635.409999999996</v>
      </c>
      <c r="E14" s="745">
        <f t="shared" si="1"/>
        <v>21662.33</v>
      </c>
      <c r="F14" s="745">
        <f t="shared" si="1"/>
        <v>851384.57</v>
      </c>
      <c r="G14" s="745">
        <f t="shared" si="1"/>
        <v>589299.63</v>
      </c>
      <c r="H14" s="745">
        <f t="shared" si="1"/>
        <v>1099423.7</v>
      </c>
      <c r="I14" s="745">
        <f t="shared" si="1"/>
        <v>974477.1599999999</v>
      </c>
      <c r="J14" s="745">
        <f t="shared" si="1"/>
        <v>38970.24</v>
      </c>
      <c r="K14" s="745">
        <f t="shared" si="1"/>
        <v>125654.30000000002</v>
      </c>
      <c r="L14" s="745">
        <f t="shared" si="1"/>
        <v>454533.89</v>
      </c>
      <c r="M14" s="745">
        <f t="shared" si="1"/>
        <v>54878.49</v>
      </c>
      <c r="N14" s="745">
        <f t="shared" si="1"/>
        <v>66022.44</v>
      </c>
      <c r="O14" s="745">
        <f t="shared" si="1"/>
        <v>170582.74</v>
      </c>
      <c r="P14" s="740">
        <f>SUM(D14:O14)</f>
        <v>4489524.9</v>
      </c>
    </row>
    <row r="15" ht="12.75">
      <c r="B15" s="757"/>
    </row>
    <row r="16" spans="1:16" s="732" customFormat="1" ht="12.75">
      <c r="A16" s="735" t="s">
        <v>469</v>
      </c>
      <c r="B16" s="758" t="s">
        <v>470</v>
      </c>
      <c r="C16" s="735" t="s">
        <v>471</v>
      </c>
      <c r="D16" s="737">
        <v>38261</v>
      </c>
      <c r="E16" s="737">
        <v>38292</v>
      </c>
      <c r="F16" s="737">
        <v>38322</v>
      </c>
      <c r="G16" s="737">
        <v>38353</v>
      </c>
      <c r="H16" s="737">
        <v>38384</v>
      </c>
      <c r="I16" s="737">
        <v>38412</v>
      </c>
      <c r="J16" s="737">
        <v>38443</v>
      </c>
      <c r="K16" s="737">
        <v>38473</v>
      </c>
      <c r="L16" s="737">
        <v>38504</v>
      </c>
      <c r="M16" s="737">
        <v>38534</v>
      </c>
      <c r="N16" s="737">
        <v>38565</v>
      </c>
      <c r="O16" s="737">
        <v>38596</v>
      </c>
      <c r="P16" s="736" t="s">
        <v>317</v>
      </c>
    </row>
    <row r="17" spans="1:17" ht="12.75">
      <c r="A17" s="744" t="s">
        <v>484</v>
      </c>
      <c r="B17" s="754">
        <v>92500300</v>
      </c>
      <c r="C17" s="739" t="s">
        <v>472</v>
      </c>
      <c r="D17" s="674">
        <v>6375</v>
      </c>
      <c r="E17" s="745">
        <v>7331.19</v>
      </c>
      <c r="F17" s="745"/>
      <c r="G17" s="745">
        <f>49440.2+18427.44</f>
        <v>67867.64</v>
      </c>
      <c r="H17" s="745"/>
      <c r="I17" s="745">
        <f>43853.38+25835</f>
        <v>69688.38</v>
      </c>
      <c r="J17" s="745">
        <v>21480.98</v>
      </c>
      <c r="K17" s="674"/>
      <c r="L17" s="674"/>
      <c r="M17" s="674"/>
      <c r="N17" s="674"/>
      <c r="O17" s="674"/>
      <c r="P17" s="749">
        <f>SUM(D17:O17)</f>
        <v>172743.19000000003</v>
      </c>
      <c r="Q17" s="750">
        <f>P17</f>
        <v>172743.19000000003</v>
      </c>
    </row>
    <row r="18" spans="1:17" ht="12.75">
      <c r="A18" s="744" t="s">
        <v>485</v>
      </c>
      <c r="B18" s="755">
        <v>92500300</v>
      </c>
      <c r="C18" s="739" t="s">
        <v>472</v>
      </c>
      <c r="D18" s="674">
        <f>13672.72+6881.68+139.15</f>
        <v>20693.550000000003</v>
      </c>
      <c r="E18" s="751"/>
      <c r="F18" s="745">
        <v>3611</v>
      </c>
      <c r="G18" s="745"/>
      <c r="H18" s="745"/>
      <c r="I18" s="745">
        <v>135</v>
      </c>
      <c r="J18" s="745"/>
      <c r="K18" s="674"/>
      <c r="L18" s="674"/>
      <c r="M18" s="674"/>
      <c r="N18" s="674">
        <v>20270</v>
      </c>
      <c r="O18" s="674"/>
      <c r="P18" s="749">
        <f>SUM(D18:O18)</f>
        <v>44709.55</v>
      </c>
      <c r="Q18" s="750">
        <f>P18</f>
        <v>44709.55</v>
      </c>
    </row>
    <row r="19" spans="1:16" ht="12.75">
      <c r="A19" s="744"/>
      <c r="B19" s="755"/>
      <c r="C19" s="739"/>
      <c r="D19" s="674"/>
      <c r="E19" s="745"/>
      <c r="F19" s="745"/>
      <c r="G19" s="745"/>
      <c r="H19" s="745"/>
      <c r="I19" s="745"/>
      <c r="J19" s="745"/>
      <c r="K19" s="674"/>
      <c r="L19" s="674"/>
      <c r="M19" s="674"/>
      <c r="N19" s="674"/>
      <c r="O19" s="674"/>
      <c r="P19" s="749"/>
    </row>
    <row r="20" spans="1:19" ht="13.5" thickBot="1">
      <c r="A20" s="742" t="s">
        <v>317</v>
      </c>
      <c r="B20" s="742"/>
      <c r="C20" s="742"/>
      <c r="D20" s="745">
        <f aca="true" t="shared" si="2" ref="D20:O20">SUM(D17:D19)</f>
        <v>27068.550000000003</v>
      </c>
      <c r="E20" s="745">
        <f t="shared" si="2"/>
        <v>7331.19</v>
      </c>
      <c r="F20" s="745">
        <f t="shared" si="2"/>
        <v>3611</v>
      </c>
      <c r="G20" s="745">
        <f t="shared" si="2"/>
        <v>67867.64</v>
      </c>
      <c r="H20" s="745">
        <f t="shared" si="2"/>
        <v>0</v>
      </c>
      <c r="I20" s="745">
        <f t="shared" si="2"/>
        <v>69823.38</v>
      </c>
      <c r="J20" s="745">
        <f t="shared" si="2"/>
        <v>21480.98</v>
      </c>
      <c r="K20" s="745">
        <f t="shared" si="2"/>
        <v>0</v>
      </c>
      <c r="L20" s="745">
        <f t="shared" si="2"/>
        <v>0</v>
      </c>
      <c r="M20" s="745">
        <f t="shared" si="2"/>
        <v>0</v>
      </c>
      <c r="N20" s="745">
        <f t="shared" si="2"/>
        <v>20270</v>
      </c>
      <c r="O20" s="745">
        <f t="shared" si="2"/>
        <v>0</v>
      </c>
      <c r="P20" s="740">
        <f>SUM(D20:O20)</f>
        <v>217452.74000000002</v>
      </c>
      <c r="Q20" s="752">
        <f>SUM(Q5:Q19)</f>
        <v>760714.3900000001</v>
      </c>
      <c r="R20" s="753">
        <f>SUM(R5:R19)</f>
        <v>90000</v>
      </c>
      <c r="S20" s="753">
        <f>SUM(S5:S19)</f>
        <v>3856263.25</v>
      </c>
    </row>
    <row r="21" ht="13.5" thickTop="1"/>
    <row r="23" ht="25.5">
      <c r="A23" s="334" t="s">
        <v>486</v>
      </c>
    </row>
    <row r="24" ht="12.75">
      <c r="A24" s="334" t="s">
        <v>487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I368"/>
  <sheetViews>
    <sheetView zoomScale="75" zoomScaleNormal="75" workbookViewId="0" topLeftCell="A1">
      <selection activeCell="A2" sqref="A2"/>
    </sheetView>
  </sheetViews>
  <sheetFormatPr defaultColWidth="9.33203125" defaultRowHeight="10.5"/>
  <cols>
    <col min="1" max="1" width="26" style="334" customWidth="1"/>
    <col min="2" max="2" width="9.33203125" style="334" customWidth="1"/>
    <col min="3" max="3" width="12.5" style="334" bestFit="1" customWidth="1"/>
    <col min="4" max="7" width="13.66015625" style="334" bestFit="1" customWidth="1"/>
    <col min="8" max="8" width="13.33203125" style="334" bestFit="1" customWidth="1"/>
    <col min="9" max="16384" width="9.33203125" style="334" customWidth="1"/>
  </cols>
  <sheetData>
    <row r="1" ht="12.75">
      <c r="A1" s="334" t="s">
        <v>313</v>
      </c>
    </row>
    <row r="2" ht="38.25">
      <c r="A2" s="334" t="s">
        <v>314</v>
      </c>
    </row>
    <row r="3" ht="12.75">
      <c r="A3" s="334" t="s">
        <v>315</v>
      </c>
    </row>
    <row r="4" ht="12.75">
      <c r="A4" s="334" t="s">
        <v>316</v>
      </c>
    </row>
    <row r="7" spans="3:8" ht="12.75">
      <c r="C7" s="491">
        <v>37256</v>
      </c>
      <c r="D7" s="491">
        <v>37621</v>
      </c>
      <c r="E7" s="491">
        <v>37986</v>
      </c>
      <c r="F7" s="491">
        <v>38352</v>
      </c>
      <c r="G7" s="491">
        <v>38717</v>
      </c>
      <c r="H7" s="334" t="s">
        <v>317</v>
      </c>
    </row>
    <row r="8" ht="12.75">
      <c r="A8" s="492" t="s">
        <v>318</v>
      </c>
    </row>
    <row r="9" spans="3:61" ht="12.75"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</row>
    <row r="10" spans="1:61" ht="12.75">
      <c r="A10" s="334" t="s">
        <v>319</v>
      </c>
      <c r="C10" s="493">
        <v>91834459</v>
      </c>
      <c r="D10" s="493">
        <v>113859282</v>
      </c>
      <c r="E10" s="493">
        <v>119878457</v>
      </c>
      <c r="F10" s="493">
        <v>156619070</v>
      </c>
      <c r="G10" s="493">
        <f>96734159+G58</f>
        <v>99508463.9869</v>
      </c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</row>
    <row r="11" spans="1:61" ht="12.75">
      <c r="A11" s="334" t="s">
        <v>320</v>
      </c>
      <c r="C11" s="494">
        <v>86655828</v>
      </c>
      <c r="D11" s="494">
        <v>91846293</v>
      </c>
      <c r="E11" s="494">
        <v>93734638</v>
      </c>
      <c r="F11" s="494">
        <v>99031393</v>
      </c>
      <c r="G11" s="494">
        <f>101974877+G58</f>
        <v>104749181.9869</v>
      </c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</row>
    <row r="12" spans="3:61" ht="12.75"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</row>
    <row r="13" spans="1:61" ht="12.75">
      <c r="A13" s="334" t="s">
        <v>224</v>
      </c>
      <c r="C13" s="493">
        <f>C11-C10</f>
        <v>-5178631</v>
      </c>
      <c r="D13" s="493">
        <f>D11-D10</f>
        <v>-22012989</v>
      </c>
      <c r="E13" s="493">
        <f>E11-E10</f>
        <v>-26143819</v>
      </c>
      <c r="F13" s="493">
        <f>F11-F10</f>
        <v>-57587677</v>
      </c>
      <c r="G13" s="493">
        <f>G11-G10</f>
        <v>5240718</v>
      </c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</row>
    <row r="14" spans="1:61" ht="25.5">
      <c r="A14" s="334" t="s">
        <v>321</v>
      </c>
      <c r="C14" s="493">
        <f>C46*0.63</f>
        <v>-3142.44</v>
      </c>
      <c r="D14" s="493">
        <f>D46*0.63</f>
        <v>-716457.42</v>
      </c>
      <c r="E14" s="493">
        <f>E46*0.63</f>
        <v>-1997835.84</v>
      </c>
      <c r="F14" s="493">
        <f>F46*0.63</f>
        <v>-2540.16</v>
      </c>
      <c r="G14" s="493">
        <f>G46*0.63</f>
        <v>957580.47</v>
      </c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</row>
    <row r="15" spans="1:61" ht="12.75">
      <c r="A15" s="334" t="s">
        <v>322</v>
      </c>
      <c r="C15" s="495">
        <f>SUM(C13:C14)</f>
        <v>-5181773.44</v>
      </c>
      <c r="D15" s="495">
        <f>SUM(D13:D14)</f>
        <v>-22729446.42</v>
      </c>
      <c r="E15" s="495">
        <f>SUM(E13:E14)</f>
        <v>-28141654.84</v>
      </c>
      <c r="F15" s="495">
        <f>SUM(F13:F14)</f>
        <v>-57590217.16</v>
      </c>
      <c r="G15" s="495">
        <f>SUM(G13:G14)</f>
        <v>6198298.47</v>
      </c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</row>
    <row r="16" spans="3:61" ht="12.75">
      <c r="C16" s="496"/>
      <c r="D16" s="496"/>
      <c r="E16" s="496"/>
      <c r="F16" s="496"/>
      <c r="G16" s="496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</row>
    <row r="17" spans="1:61" ht="25.5">
      <c r="A17" s="334" t="s">
        <v>323</v>
      </c>
      <c r="C17" s="496">
        <f>C15*0.35</f>
        <v>-1813620.7040000001</v>
      </c>
      <c r="D17" s="496">
        <f>D15*0.35</f>
        <v>-7955306.247</v>
      </c>
      <c r="E17" s="496">
        <f>E15*0.35</f>
        <v>-9849579.194</v>
      </c>
      <c r="F17" s="496">
        <f>F15*0.35</f>
        <v>-20156576.005999997</v>
      </c>
      <c r="G17" s="496">
        <f>G15*0.35</f>
        <v>2169404.4645</v>
      </c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</row>
    <row r="18" spans="3:61" ht="12.75"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</row>
    <row r="19" spans="3:61" ht="12.75"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</row>
    <row r="20" spans="1:61" ht="12.75">
      <c r="A20" s="492" t="s">
        <v>324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</row>
    <row r="21" spans="3:61" ht="12.75"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</row>
    <row r="22" spans="1:61" ht="12.75">
      <c r="A22" s="334" t="s">
        <v>319</v>
      </c>
      <c r="C22" s="493">
        <v>62019582</v>
      </c>
      <c r="D22" s="493">
        <v>90544827</v>
      </c>
      <c r="E22" s="493">
        <v>108592378</v>
      </c>
      <c r="F22" s="493">
        <v>143400439</v>
      </c>
      <c r="G22" s="493">
        <f>66701421+G65</f>
        <v>69899976.41586</v>
      </c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</row>
    <row r="23" spans="1:61" ht="12.75">
      <c r="A23" s="334" t="s">
        <v>320</v>
      </c>
      <c r="C23" s="494">
        <v>58035784</v>
      </c>
      <c r="D23" s="494">
        <v>64288059</v>
      </c>
      <c r="E23" s="494">
        <v>70395062</v>
      </c>
      <c r="F23" s="494">
        <v>76042562</v>
      </c>
      <c r="G23" s="494">
        <f>77904196+G65</f>
        <v>81102751.41586</v>
      </c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</row>
    <row r="24" spans="3:61" ht="12.75"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</row>
    <row r="25" spans="1:61" ht="12.75">
      <c r="A25" s="334" t="s">
        <v>224</v>
      </c>
      <c r="C25" s="493">
        <f>C23-C22</f>
        <v>-3983798</v>
      </c>
      <c r="D25" s="493">
        <f>D23-D22</f>
        <v>-26256768</v>
      </c>
      <c r="E25" s="493">
        <f>E23-E22</f>
        <v>-38197316</v>
      </c>
      <c r="F25" s="493">
        <f>F23-F22</f>
        <v>-67357877</v>
      </c>
      <c r="G25" s="493">
        <f>G23-G22</f>
        <v>11202775</v>
      </c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</row>
    <row r="26" spans="1:61" ht="25.5">
      <c r="A26" s="334" t="s">
        <v>325</v>
      </c>
      <c r="C26" s="493">
        <f>C46*0.37</f>
        <v>-1845.56</v>
      </c>
      <c r="D26" s="493">
        <f>D46*0.37</f>
        <v>-420776.58</v>
      </c>
      <c r="E26" s="493">
        <f>E46*0.37</f>
        <v>-1173332.16</v>
      </c>
      <c r="F26" s="493">
        <f>F46*0.37</f>
        <v>-1491.84</v>
      </c>
      <c r="G26" s="493">
        <f>G46*0.37</f>
        <v>562388.53</v>
      </c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</row>
    <row r="27" spans="1:61" ht="12.75">
      <c r="A27" s="334" t="s">
        <v>322</v>
      </c>
      <c r="C27" s="495">
        <f>SUM(C25:C26)</f>
        <v>-3985643.56</v>
      </c>
      <c r="D27" s="495">
        <f>SUM(D25:D26)</f>
        <v>-26677544.58</v>
      </c>
      <c r="E27" s="495">
        <f>SUM(E25:E26)</f>
        <v>-39370648.16</v>
      </c>
      <c r="F27" s="495">
        <f>SUM(F25:F26)</f>
        <v>-67359368.84</v>
      </c>
      <c r="G27" s="495">
        <f>SUM(G25:G26)</f>
        <v>11765163.53</v>
      </c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</row>
    <row r="28" spans="3:61" ht="12.75"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</row>
    <row r="29" spans="1:61" ht="25.5">
      <c r="A29" s="334" t="s">
        <v>323</v>
      </c>
      <c r="C29" s="496">
        <f>C27*0.35</f>
        <v>-1394975.246</v>
      </c>
      <c r="D29" s="496">
        <f>D27*0.35</f>
        <v>-9337140.602999998</v>
      </c>
      <c r="E29" s="496">
        <f>E27*0.35</f>
        <v>-13779726.855999999</v>
      </c>
      <c r="F29" s="496">
        <f>F27*0.35</f>
        <v>-23575779.094</v>
      </c>
      <c r="G29" s="496">
        <f>G27*0.35</f>
        <v>4117807.2354999995</v>
      </c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</row>
    <row r="30" spans="3:61" ht="12.75"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</row>
    <row r="31" spans="1:61" ht="12.75">
      <c r="A31" s="334" t="s">
        <v>326</v>
      </c>
      <c r="C31" s="493"/>
      <c r="D31" s="497">
        <v>0.25</v>
      </c>
      <c r="E31" s="497">
        <v>0.75</v>
      </c>
      <c r="F31" s="497">
        <v>0.25</v>
      </c>
      <c r="G31" s="497">
        <v>0.75</v>
      </c>
      <c r="H31" s="498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</row>
    <row r="32" spans="1:61" ht="12.75">
      <c r="A32" s="499">
        <v>37894</v>
      </c>
      <c r="C32" s="493"/>
      <c r="D32" s="493">
        <f>D31*D29</f>
        <v>-2334285.1507499996</v>
      </c>
      <c r="E32" s="493">
        <f>E31*E29</f>
        <v>-10334795.141999999</v>
      </c>
      <c r="F32" s="493"/>
      <c r="G32" s="493"/>
      <c r="H32" s="500">
        <f>SUM(D32:G32)</f>
        <v>-12669080.29275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</row>
    <row r="33" spans="1:61" ht="12.75">
      <c r="A33" s="499">
        <v>38625</v>
      </c>
      <c r="C33" s="493"/>
      <c r="D33" s="493"/>
      <c r="E33" s="493"/>
      <c r="F33" s="493">
        <f>F31*F29</f>
        <v>-5893944.7735</v>
      </c>
      <c r="G33" s="493">
        <f>G31*G29</f>
        <v>3088355.4266249994</v>
      </c>
      <c r="H33" s="500">
        <f>SUM(D33:G33)</f>
        <v>-2805589.3468750007</v>
      </c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</row>
    <row r="34" spans="1:61" ht="12.75">
      <c r="A34" s="499" t="s">
        <v>327</v>
      </c>
      <c r="C34" s="493"/>
      <c r="D34" s="493"/>
      <c r="E34" s="493"/>
      <c r="F34" s="493"/>
      <c r="G34" s="493"/>
      <c r="H34" s="500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</row>
    <row r="35" spans="1:61" ht="12.75">
      <c r="A35" s="499">
        <v>37529</v>
      </c>
      <c r="C35" s="493">
        <f>C29+B35</f>
        <v>-1394975.246</v>
      </c>
      <c r="D35" s="493">
        <f>(0.75*D29)+C35</f>
        <v>-8397830.698249998</v>
      </c>
      <c r="E35" s="493"/>
      <c r="F35" s="493"/>
      <c r="G35" s="493"/>
      <c r="H35" s="500">
        <f>D35</f>
        <v>-8397830.698249998</v>
      </c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</row>
    <row r="36" spans="1:61" ht="12.75">
      <c r="A36" s="499">
        <v>37894</v>
      </c>
      <c r="C36" s="493">
        <f>C29</f>
        <v>-1394975.246</v>
      </c>
      <c r="D36" s="493">
        <f>D29+C36</f>
        <v>-10732115.848999998</v>
      </c>
      <c r="E36" s="493">
        <f>(0.75*E29)+D36</f>
        <v>-21066910.990999997</v>
      </c>
      <c r="F36" s="493"/>
      <c r="G36" s="493"/>
      <c r="H36" s="500">
        <f>E36</f>
        <v>-21066910.990999997</v>
      </c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</row>
    <row r="37" spans="1:61" ht="12.75">
      <c r="A37" s="499">
        <v>38260</v>
      </c>
      <c r="C37" s="493">
        <f>C29</f>
        <v>-1394975.246</v>
      </c>
      <c r="D37" s="493">
        <f>D29+C37</f>
        <v>-10732115.848999998</v>
      </c>
      <c r="E37" s="493">
        <f>E29+D37</f>
        <v>-24511842.705</v>
      </c>
      <c r="F37" s="493">
        <f>(0.75*F29)+E37</f>
        <v>-42193677.0255</v>
      </c>
      <c r="G37" s="493"/>
      <c r="H37" s="500">
        <f>F37</f>
        <v>-42193677.0255</v>
      </c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</row>
    <row r="38" spans="1:61" ht="12.75">
      <c r="A38" s="499">
        <v>38625</v>
      </c>
      <c r="C38" s="493">
        <f>C29</f>
        <v>-1394975.246</v>
      </c>
      <c r="D38" s="493">
        <f>D29+C38</f>
        <v>-10732115.848999998</v>
      </c>
      <c r="E38" s="493">
        <f>E29+D38</f>
        <v>-24511842.705</v>
      </c>
      <c r="F38" s="493">
        <f>F29+E38</f>
        <v>-48087621.798999995</v>
      </c>
      <c r="G38" s="493">
        <f>(0.75*G29)+F38</f>
        <v>-44999266.372375</v>
      </c>
      <c r="H38" s="500">
        <f>G38</f>
        <v>-44999266.372375</v>
      </c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</row>
    <row r="39" spans="3:61" ht="12.75">
      <c r="C39" s="493"/>
      <c r="D39" s="493"/>
      <c r="E39" s="493"/>
      <c r="F39" s="493"/>
      <c r="G39" s="493"/>
      <c r="H39" s="498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</row>
    <row r="40" spans="3:61" ht="12.75"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</row>
    <row r="41" spans="1:61" ht="12.75">
      <c r="A41" s="501" t="s">
        <v>328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</row>
    <row r="42" spans="3:61" ht="12.75"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</row>
    <row r="43" spans="1:61" ht="12.75">
      <c r="A43" s="334" t="s">
        <v>319</v>
      </c>
      <c r="C43" s="493">
        <v>9705070</v>
      </c>
      <c r="D43" s="493">
        <v>10116668</v>
      </c>
      <c r="E43" s="493">
        <v>11779141</v>
      </c>
      <c r="F43" s="493">
        <v>8446043</v>
      </c>
      <c r="G43" s="493">
        <f>5267316+G72</f>
        <v>6505519.926</v>
      </c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</row>
    <row r="44" spans="1:61" ht="12.75">
      <c r="A44" s="334" t="s">
        <v>320</v>
      </c>
      <c r="C44" s="494">
        <v>9700082</v>
      </c>
      <c r="D44" s="494">
        <v>8979434</v>
      </c>
      <c r="E44" s="494">
        <v>8607973</v>
      </c>
      <c r="F44" s="494">
        <v>8442011</v>
      </c>
      <c r="G44" s="494">
        <f>6787285+G72</f>
        <v>8025488.926</v>
      </c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</row>
    <row r="45" spans="3:61" ht="12.75"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</row>
    <row r="46" spans="1:61" ht="12.75">
      <c r="A46" s="334" t="s">
        <v>224</v>
      </c>
      <c r="C46" s="493">
        <f>C44-C43</f>
        <v>-4988</v>
      </c>
      <c r="D46" s="493">
        <f>D44-D43</f>
        <v>-1137234</v>
      </c>
      <c r="E46" s="493">
        <f>E44-E43</f>
        <v>-3171168</v>
      </c>
      <c r="F46" s="493">
        <f>F44-F43</f>
        <v>-4032</v>
      </c>
      <c r="G46" s="493">
        <f>G44-G43</f>
        <v>1519969</v>
      </c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</row>
    <row r="47" spans="3:61" ht="12.75"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</row>
    <row r="48" spans="3:61" ht="12.75"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</row>
    <row r="49" spans="3:61" ht="12.75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</row>
    <row r="50" spans="3:61" ht="12.75"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</row>
    <row r="51" spans="1:61" ht="25.5">
      <c r="A51" s="334" t="s">
        <v>329</v>
      </c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</row>
    <row r="52" spans="3:61" ht="12.75">
      <c r="C52" s="502"/>
      <c r="D52" s="502"/>
      <c r="E52" s="502"/>
      <c r="F52" s="502"/>
      <c r="G52" s="502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</row>
    <row r="53" spans="1:61" ht="12.75">
      <c r="A53" s="492" t="s">
        <v>318</v>
      </c>
      <c r="G53" s="657">
        <v>2005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</row>
    <row r="54" spans="1:61" ht="12.75">
      <c r="A54" s="334" t="s">
        <v>330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/>
      <c r="BH54" s="493"/>
      <c r="BI54" s="493"/>
    </row>
    <row r="55" spans="1:61" ht="25.5">
      <c r="A55" s="334" t="s">
        <v>331</v>
      </c>
      <c r="B55" s="496"/>
      <c r="C55" s="503"/>
      <c r="D55" s="504"/>
      <c r="E55" s="493">
        <v>1573958.55</v>
      </c>
      <c r="F55" s="656">
        <v>0.75</v>
      </c>
      <c r="G55" s="493">
        <f>E55*F55</f>
        <v>1180468.9125</v>
      </c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3"/>
      <c r="BF55" s="493"/>
      <c r="BG55" s="493"/>
      <c r="BH55" s="493"/>
      <c r="BI55" s="493"/>
    </row>
    <row r="56" spans="1:61" ht="25.5">
      <c r="A56" s="334" t="s">
        <v>332</v>
      </c>
      <c r="B56" s="505"/>
      <c r="C56" s="506"/>
      <c r="D56" s="504"/>
      <c r="E56" s="493">
        <v>1493343.2</v>
      </c>
      <c r="F56" s="656">
        <v>0.667</v>
      </c>
      <c r="G56" s="493">
        <f>E56*F56</f>
        <v>996059.9144</v>
      </c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</row>
    <row r="57" spans="1:61" ht="25.5">
      <c r="A57" s="334" t="s">
        <v>333</v>
      </c>
      <c r="B57" s="505"/>
      <c r="C57" s="506"/>
      <c r="D57" s="504"/>
      <c r="E57" s="493">
        <v>1195552.32</v>
      </c>
      <c r="F57" s="656">
        <v>0.5</v>
      </c>
      <c r="G57" s="493">
        <f>E57*F57</f>
        <v>597776.16</v>
      </c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</row>
    <row r="58" spans="2:61" ht="13.5" thickBot="1">
      <c r="B58" s="505"/>
      <c r="C58" s="506"/>
      <c r="D58" s="505"/>
      <c r="F58" s="656"/>
      <c r="G58" s="507">
        <f>SUM(G55:G57)</f>
        <v>2774304.9869000004</v>
      </c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</row>
    <row r="59" spans="3:61" ht="13.5" thickTop="1">
      <c r="C59" s="493"/>
      <c r="D59" s="493"/>
      <c r="E59" s="493"/>
      <c r="F59" s="656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</row>
    <row r="60" spans="1:61" ht="12.75">
      <c r="A60" s="492" t="s">
        <v>324</v>
      </c>
      <c r="C60" s="493"/>
      <c r="D60" s="493"/>
      <c r="E60" s="493"/>
      <c r="F60" s="656"/>
      <c r="G60" s="657">
        <v>2005</v>
      </c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</row>
    <row r="61" spans="3:61" ht="12.75">
      <c r="C61" s="493"/>
      <c r="D61" s="493"/>
      <c r="E61" s="493"/>
      <c r="F61" s="656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</row>
    <row r="62" spans="1:61" ht="25.5">
      <c r="A62" s="334" t="s">
        <v>331</v>
      </c>
      <c r="B62" s="496"/>
      <c r="C62" s="503"/>
      <c r="D62" s="504"/>
      <c r="E62" s="493">
        <v>2198810.7</v>
      </c>
      <c r="F62" s="656">
        <v>0.75</v>
      </c>
      <c r="G62" s="496">
        <f>E62*F62</f>
        <v>1649108.0250000001</v>
      </c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</row>
    <row r="63" spans="1:61" ht="25.5">
      <c r="A63" s="334" t="s">
        <v>332</v>
      </c>
      <c r="B63" s="505"/>
      <c r="C63" s="506"/>
      <c r="D63" s="504"/>
      <c r="E63" s="493">
        <v>1571267.58</v>
      </c>
      <c r="F63" s="656">
        <v>0.667</v>
      </c>
      <c r="G63" s="496">
        <f>E63*F63</f>
        <v>1048035.4758600001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</row>
    <row r="64" spans="1:61" ht="25.5">
      <c r="A64" s="334" t="s">
        <v>333</v>
      </c>
      <c r="B64" s="505"/>
      <c r="C64" s="506"/>
      <c r="D64" s="504"/>
      <c r="E64" s="493">
        <v>1002823.83</v>
      </c>
      <c r="F64" s="656">
        <v>0.5</v>
      </c>
      <c r="G64" s="496">
        <f>E64*F64</f>
        <v>501411.915</v>
      </c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</row>
    <row r="65" spans="3:61" ht="13.5" thickBot="1">
      <c r="C65" s="493"/>
      <c r="D65" s="493"/>
      <c r="E65" s="493"/>
      <c r="F65" s="656"/>
      <c r="G65" s="507">
        <f>SUM(G62:G64)</f>
        <v>3198555.41586</v>
      </c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</row>
    <row r="66" spans="3:61" ht="13.5" thickTop="1">
      <c r="C66" s="493"/>
      <c r="D66" s="493"/>
      <c r="E66" s="493"/>
      <c r="F66" s="656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</row>
    <row r="67" spans="1:61" ht="12.75">
      <c r="A67" s="501" t="s">
        <v>328</v>
      </c>
      <c r="C67" s="493"/>
      <c r="D67" s="493"/>
      <c r="E67" s="493"/>
      <c r="F67" s="656"/>
      <c r="G67" s="657">
        <v>2005</v>
      </c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</row>
    <row r="68" spans="3:61" ht="12.75">
      <c r="C68" s="493"/>
      <c r="D68" s="493"/>
      <c r="E68" s="493"/>
      <c r="F68" s="656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</row>
    <row r="69" spans="1:61" ht="25.5">
      <c r="A69" s="334" t="s">
        <v>331</v>
      </c>
      <c r="B69" s="496"/>
      <c r="C69" s="503"/>
      <c r="D69" s="504"/>
      <c r="E69" s="493">
        <v>851250</v>
      </c>
      <c r="F69" s="656">
        <v>0.75</v>
      </c>
      <c r="G69" s="493">
        <f>E69*F69</f>
        <v>638437.5</v>
      </c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</row>
    <row r="70" spans="1:61" ht="25.5">
      <c r="A70" s="334" t="s">
        <v>332</v>
      </c>
      <c r="B70" s="505"/>
      <c r="C70" s="506"/>
      <c r="D70" s="504"/>
      <c r="E70" s="493">
        <v>608328</v>
      </c>
      <c r="F70" s="656">
        <v>0.667</v>
      </c>
      <c r="G70" s="493">
        <f>E70*F70</f>
        <v>405754.776</v>
      </c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</row>
    <row r="71" spans="1:61" ht="25.5">
      <c r="A71" s="334" t="s">
        <v>333</v>
      </c>
      <c r="B71" s="505"/>
      <c r="C71" s="506"/>
      <c r="D71" s="504"/>
      <c r="E71" s="493">
        <v>388023.3</v>
      </c>
      <c r="F71" s="656">
        <v>0.5</v>
      </c>
      <c r="G71" s="493">
        <f>E71*F71</f>
        <v>194011.65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</row>
    <row r="72" spans="3:61" ht="13.5" thickBot="1">
      <c r="C72" s="493"/>
      <c r="D72" s="493"/>
      <c r="E72" s="493"/>
      <c r="F72" s="493"/>
      <c r="G72" s="507">
        <f>SUM(G69:G71)</f>
        <v>1238203.926</v>
      </c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3"/>
      <c r="BG72" s="493"/>
      <c r="BH72" s="493"/>
      <c r="BI72" s="493"/>
    </row>
    <row r="73" spans="3:61" ht="13.5" thickTop="1"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</row>
    <row r="74" spans="3:61" ht="12.75"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493"/>
    </row>
    <row r="75" spans="3:61" ht="12.75"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</row>
    <row r="76" spans="3:61" ht="12.75"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</row>
    <row r="77" spans="3:61" ht="12.75"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</row>
    <row r="78" spans="3:61" ht="12.75"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3"/>
      <c r="BG78" s="493"/>
      <c r="BH78" s="493"/>
      <c r="BI78" s="493"/>
    </row>
    <row r="79" spans="3:61" ht="12.75"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</row>
    <row r="80" spans="3:61" ht="12.75"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3"/>
      <c r="BG80" s="493"/>
      <c r="BH80" s="493"/>
      <c r="BI80" s="493"/>
    </row>
    <row r="81" spans="3:61" ht="12.75"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</row>
    <row r="82" spans="3:61" ht="12.75"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</row>
    <row r="83" spans="3:61" ht="12.75"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493"/>
      <c r="BG83" s="493"/>
      <c r="BH83" s="493"/>
      <c r="BI83" s="493"/>
    </row>
    <row r="84" spans="3:61" ht="12.75"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3"/>
      <c r="BG84" s="493"/>
      <c r="BH84" s="493"/>
      <c r="BI84" s="493"/>
    </row>
    <row r="85" spans="3:61" ht="12.75"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  <c r="BH85" s="493"/>
      <c r="BI85" s="493"/>
    </row>
    <row r="86" spans="3:61" ht="12.75"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3"/>
      <c r="BG86" s="493"/>
      <c r="BH86" s="493"/>
      <c r="BI86" s="493"/>
    </row>
    <row r="87" spans="3:61" ht="12.75"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</row>
    <row r="88" spans="3:61" ht="12.75"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</row>
    <row r="89" spans="3:61" ht="12.75"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</row>
    <row r="90" spans="3:61" ht="12.75"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3"/>
      <c r="BG90" s="493"/>
      <c r="BH90" s="493"/>
      <c r="BI90" s="493"/>
    </row>
    <row r="91" spans="3:61" ht="12.75"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</row>
    <row r="92" spans="3:61" ht="12.75"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</row>
    <row r="93" spans="3:61" ht="12.75"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</row>
    <row r="94" spans="3:61" ht="12.75"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</row>
    <row r="95" spans="3:61" ht="12.75"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</row>
    <row r="96" spans="3:61" ht="12.75"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</row>
    <row r="97" spans="3:61" ht="12.75"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</row>
    <row r="98" spans="3:61" ht="12.75"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3"/>
      <c r="BG98" s="493"/>
      <c r="BH98" s="493"/>
      <c r="BI98" s="493"/>
    </row>
    <row r="99" spans="3:61" ht="12.75"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493"/>
      <c r="BI99" s="493"/>
    </row>
    <row r="100" spans="3:61" ht="12.75"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3"/>
      <c r="BG100" s="493"/>
      <c r="BH100" s="493"/>
      <c r="BI100" s="493"/>
    </row>
    <row r="101" spans="3:61" ht="12.75"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</row>
    <row r="102" spans="3:61" ht="12.75"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</row>
    <row r="103" spans="3:61" ht="12.75"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</row>
    <row r="104" spans="3:61" ht="12.75"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</row>
    <row r="105" spans="3:61" ht="12.75"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</row>
    <row r="106" spans="3:61" ht="12.75"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3"/>
      <c r="BG106" s="493"/>
      <c r="BH106" s="493"/>
      <c r="BI106" s="493"/>
    </row>
    <row r="107" spans="3:61" ht="12.75"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</row>
    <row r="108" spans="3:61" ht="12.75"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</row>
    <row r="109" spans="3:61" ht="12.75"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</row>
    <row r="110" spans="3:61" ht="12.75"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3"/>
      <c r="BG110" s="493"/>
      <c r="BH110" s="493"/>
      <c r="BI110" s="493"/>
    </row>
    <row r="111" spans="3:61" ht="12.75"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</row>
    <row r="112" spans="3:61" ht="12.75"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3"/>
      <c r="BG112" s="493"/>
      <c r="BH112" s="493"/>
      <c r="BI112" s="493"/>
    </row>
    <row r="113" spans="3:61" ht="12.75"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</row>
    <row r="114" spans="3:61" ht="12.75"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3"/>
      <c r="BG114" s="493"/>
      <c r="BH114" s="493"/>
      <c r="BI114" s="493"/>
    </row>
    <row r="115" spans="3:61" ht="12.75"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</row>
    <row r="116" spans="3:61" ht="12.75"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3"/>
      <c r="BG116" s="493"/>
      <c r="BH116" s="493"/>
      <c r="BI116" s="493"/>
    </row>
    <row r="117" spans="3:61" ht="12.75"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</row>
    <row r="118" spans="3:61" ht="12.75"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3"/>
      <c r="BG118" s="493"/>
      <c r="BH118" s="493"/>
      <c r="BI118" s="493"/>
    </row>
    <row r="119" spans="3:61" ht="12.75"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</row>
    <row r="120" spans="3:61" ht="12.75"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3"/>
      <c r="BG120" s="493"/>
      <c r="BH120" s="493"/>
      <c r="BI120" s="493"/>
    </row>
    <row r="121" spans="3:61" ht="12.75"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</row>
    <row r="122" spans="3:61" ht="12.75"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</row>
    <row r="123" spans="3:61" ht="12.75"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</row>
    <row r="124" spans="3:61" ht="12.75"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493"/>
      <c r="BH124" s="493"/>
      <c r="BI124" s="493"/>
    </row>
    <row r="125" spans="3:61" ht="12.75"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493"/>
      <c r="V125" s="493"/>
      <c r="W125" s="493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</row>
    <row r="126" spans="3:61" ht="12.75"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3"/>
      <c r="BG126" s="493"/>
      <c r="BH126" s="493"/>
      <c r="BI126" s="493"/>
    </row>
    <row r="127" spans="3:61" ht="12.75"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</row>
    <row r="128" spans="3:61" ht="12.75"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3"/>
      <c r="BG128" s="493"/>
      <c r="BH128" s="493"/>
      <c r="BI128" s="493"/>
    </row>
    <row r="129" spans="3:61" ht="12.75"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3"/>
      <c r="AD129" s="493"/>
      <c r="AE129" s="493"/>
      <c r="AF129" s="493"/>
      <c r="AG129" s="493"/>
      <c r="AH129" s="493"/>
      <c r="AI129" s="493"/>
      <c r="AJ129" s="493"/>
      <c r="AK129" s="493"/>
      <c r="AL129" s="493"/>
      <c r="AM129" s="493"/>
      <c r="AN129" s="493"/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493"/>
      <c r="BB129" s="493"/>
      <c r="BC129" s="493"/>
      <c r="BD129" s="493"/>
      <c r="BE129" s="493"/>
      <c r="BF129" s="493"/>
      <c r="BG129" s="493"/>
      <c r="BH129" s="493"/>
      <c r="BI129" s="493"/>
    </row>
    <row r="130" spans="3:61" ht="12.75"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3"/>
      <c r="BG130" s="493"/>
      <c r="BH130" s="493"/>
      <c r="BI130" s="493"/>
    </row>
    <row r="131" spans="3:61" ht="12.75"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3"/>
      <c r="AD131" s="493"/>
      <c r="AE131" s="493"/>
      <c r="AF131" s="493"/>
      <c r="AG131" s="493"/>
      <c r="AH131" s="493"/>
      <c r="AI131" s="493"/>
      <c r="AJ131" s="493"/>
      <c r="AK131" s="493"/>
      <c r="AL131" s="493"/>
      <c r="AM131" s="493"/>
      <c r="AN131" s="493"/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493"/>
      <c r="BB131" s="493"/>
      <c r="BC131" s="493"/>
      <c r="BD131" s="493"/>
      <c r="BE131" s="493"/>
      <c r="BF131" s="493"/>
      <c r="BG131" s="493"/>
      <c r="BH131" s="493"/>
      <c r="BI131" s="493"/>
    </row>
    <row r="132" spans="3:61" ht="12.75"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3"/>
      <c r="BG132" s="493"/>
      <c r="BH132" s="493"/>
      <c r="BI132" s="493"/>
    </row>
    <row r="133" spans="3:61" ht="12.75"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3"/>
      <c r="AF133" s="493"/>
      <c r="AG133" s="493"/>
      <c r="AH133" s="493"/>
      <c r="AI133" s="493"/>
      <c r="AJ133" s="493"/>
      <c r="AK133" s="493"/>
      <c r="AL133" s="493"/>
      <c r="AM133" s="493"/>
      <c r="AN133" s="493"/>
      <c r="AO133" s="493"/>
      <c r="AP133" s="493"/>
      <c r="AQ133" s="493"/>
      <c r="AR133" s="493"/>
      <c r="AS133" s="493"/>
      <c r="AT133" s="493"/>
      <c r="AU133" s="493"/>
      <c r="AV133" s="493"/>
      <c r="AW133" s="493"/>
      <c r="AX133" s="493"/>
      <c r="AY133" s="493"/>
      <c r="AZ133" s="493"/>
      <c r="BA133" s="493"/>
      <c r="BB133" s="493"/>
      <c r="BC133" s="493"/>
      <c r="BD133" s="493"/>
      <c r="BE133" s="493"/>
      <c r="BF133" s="493"/>
      <c r="BG133" s="493"/>
      <c r="BH133" s="493"/>
      <c r="BI133" s="493"/>
    </row>
    <row r="134" spans="3:61" ht="12.75"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3"/>
      <c r="BG134" s="493"/>
      <c r="BH134" s="493"/>
      <c r="BI134" s="493"/>
    </row>
    <row r="135" spans="3:61" ht="12.75"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  <c r="W135" s="493"/>
      <c r="X135" s="493"/>
      <c r="Y135" s="493"/>
      <c r="Z135" s="493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493"/>
      <c r="AY135" s="493"/>
      <c r="AZ135" s="493"/>
      <c r="BA135" s="493"/>
      <c r="BB135" s="493"/>
      <c r="BC135" s="493"/>
      <c r="BD135" s="493"/>
      <c r="BE135" s="493"/>
      <c r="BF135" s="493"/>
      <c r="BG135" s="493"/>
      <c r="BH135" s="493"/>
      <c r="BI135" s="493"/>
    </row>
    <row r="136" spans="3:61" ht="12.75"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493"/>
    </row>
    <row r="137" spans="3:61" ht="12.75"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</row>
    <row r="138" spans="3:61" ht="12.75"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3"/>
      <c r="BG138" s="493"/>
      <c r="BH138" s="493"/>
      <c r="BI138" s="493"/>
    </row>
    <row r="139" spans="3:61" ht="12.75"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3"/>
      <c r="AL139" s="493"/>
      <c r="AM139" s="493"/>
      <c r="AN139" s="493"/>
      <c r="AO139" s="493"/>
      <c r="AP139" s="493"/>
      <c r="AQ139" s="493"/>
      <c r="AR139" s="493"/>
      <c r="AS139" s="493"/>
      <c r="AT139" s="493"/>
      <c r="AU139" s="493"/>
      <c r="AV139" s="493"/>
      <c r="AW139" s="493"/>
      <c r="AX139" s="493"/>
      <c r="AY139" s="493"/>
      <c r="AZ139" s="493"/>
      <c r="BA139" s="493"/>
      <c r="BB139" s="493"/>
      <c r="BC139" s="493"/>
      <c r="BD139" s="493"/>
      <c r="BE139" s="493"/>
      <c r="BF139" s="493"/>
      <c r="BG139" s="493"/>
      <c r="BH139" s="493"/>
      <c r="BI139" s="493"/>
    </row>
    <row r="140" spans="3:61" ht="12.75"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3"/>
      <c r="BG140" s="493"/>
      <c r="BH140" s="493"/>
      <c r="BI140" s="493"/>
    </row>
    <row r="141" spans="3:61" ht="12.75"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  <c r="AT141" s="493"/>
      <c r="AU141" s="493"/>
      <c r="AV141" s="493"/>
      <c r="AW141" s="493"/>
      <c r="AX141" s="493"/>
      <c r="AY141" s="493"/>
      <c r="AZ141" s="493"/>
      <c r="BA141" s="493"/>
      <c r="BB141" s="493"/>
      <c r="BC141" s="493"/>
      <c r="BD141" s="493"/>
      <c r="BE141" s="493"/>
      <c r="BF141" s="493"/>
      <c r="BG141" s="493"/>
      <c r="BH141" s="493"/>
      <c r="BI141" s="493"/>
    </row>
    <row r="142" spans="3:61" ht="12.75"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3"/>
      <c r="BG142" s="493"/>
      <c r="BH142" s="493"/>
      <c r="BI142" s="493"/>
    </row>
    <row r="143" spans="3:61" ht="12.75"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3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493"/>
      <c r="AW143" s="493"/>
      <c r="AX143" s="493"/>
      <c r="AY143" s="493"/>
      <c r="AZ143" s="493"/>
      <c r="BA143" s="493"/>
      <c r="BB143" s="493"/>
      <c r="BC143" s="493"/>
      <c r="BD143" s="493"/>
      <c r="BE143" s="493"/>
      <c r="BF143" s="493"/>
      <c r="BG143" s="493"/>
      <c r="BH143" s="493"/>
      <c r="BI143" s="493"/>
    </row>
    <row r="144" spans="3:61" ht="12.75"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3"/>
      <c r="BG144" s="493"/>
      <c r="BH144" s="493"/>
      <c r="BI144" s="493"/>
    </row>
    <row r="145" spans="3:61" ht="12.75"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  <c r="W145" s="493"/>
      <c r="X145" s="493"/>
      <c r="Y145" s="493"/>
      <c r="Z145" s="493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493"/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</row>
    <row r="146" spans="3:61" ht="12.75"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3"/>
      <c r="BG146" s="493"/>
      <c r="BH146" s="493"/>
      <c r="BI146" s="493"/>
    </row>
    <row r="147" spans="3:61" ht="12.75"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3"/>
      <c r="BD147" s="493"/>
      <c r="BE147" s="493"/>
      <c r="BF147" s="493"/>
      <c r="BG147" s="493"/>
      <c r="BH147" s="493"/>
      <c r="BI147" s="493"/>
    </row>
    <row r="148" spans="3:61" ht="12.75"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3"/>
      <c r="BG148" s="493"/>
      <c r="BH148" s="493"/>
      <c r="BI148" s="493"/>
    </row>
    <row r="149" spans="3:61" ht="12.75">
      <c r="C149" s="493"/>
      <c r="D149" s="493"/>
      <c r="E149" s="493"/>
      <c r="F149" s="493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3"/>
      <c r="Y149" s="493"/>
      <c r="Z149" s="493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  <c r="AV149" s="493"/>
      <c r="AW149" s="493"/>
      <c r="AX149" s="493"/>
      <c r="AY149" s="493"/>
      <c r="AZ149" s="493"/>
      <c r="BA149" s="493"/>
      <c r="BB149" s="493"/>
      <c r="BC149" s="493"/>
      <c r="BD149" s="493"/>
      <c r="BE149" s="493"/>
      <c r="BF149" s="493"/>
      <c r="BG149" s="493"/>
      <c r="BH149" s="493"/>
      <c r="BI149" s="493"/>
    </row>
    <row r="150" spans="3:61" ht="12.75"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3"/>
      <c r="BG150" s="493"/>
      <c r="BH150" s="493"/>
      <c r="BI150" s="493"/>
    </row>
    <row r="151" spans="3:61" ht="12.75">
      <c r="C151" s="493"/>
      <c r="D151" s="493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</row>
    <row r="152" spans="3:61" ht="12.75">
      <c r="C152" s="493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3"/>
      <c r="BG152" s="493"/>
      <c r="BH152" s="493"/>
      <c r="BI152" s="493"/>
    </row>
    <row r="153" spans="3:61" ht="12.75"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  <c r="AV153" s="493"/>
      <c r="AW153" s="493"/>
      <c r="AX153" s="493"/>
      <c r="AY153" s="493"/>
      <c r="AZ153" s="493"/>
      <c r="BA153" s="493"/>
      <c r="BB153" s="493"/>
      <c r="BC153" s="493"/>
      <c r="BD153" s="493"/>
      <c r="BE153" s="493"/>
      <c r="BF153" s="493"/>
      <c r="BG153" s="493"/>
      <c r="BH153" s="493"/>
      <c r="BI153" s="493"/>
    </row>
    <row r="154" spans="3:61" ht="12.75"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3"/>
      <c r="BG154" s="493"/>
      <c r="BH154" s="493"/>
      <c r="BI154" s="493"/>
    </row>
    <row r="155" spans="3:61" ht="12.75">
      <c r="C155" s="493"/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/>
      <c r="AY155" s="493"/>
      <c r="AZ155" s="493"/>
      <c r="BA155" s="493"/>
      <c r="BB155" s="493"/>
      <c r="BC155" s="493"/>
      <c r="BD155" s="493"/>
      <c r="BE155" s="493"/>
      <c r="BF155" s="493"/>
      <c r="BG155" s="493"/>
      <c r="BH155" s="493"/>
      <c r="BI155" s="493"/>
    </row>
    <row r="156" spans="3:61" ht="12.75"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3"/>
      <c r="BD156" s="493"/>
      <c r="BE156" s="493"/>
      <c r="BF156" s="493"/>
      <c r="BG156" s="493"/>
      <c r="BH156" s="493"/>
      <c r="BI156" s="493"/>
    </row>
    <row r="157" spans="3:61" ht="12.75"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3"/>
      <c r="BD157" s="493"/>
      <c r="BE157" s="493"/>
      <c r="BF157" s="493"/>
      <c r="BG157" s="493"/>
      <c r="BH157" s="493"/>
      <c r="BI157" s="493"/>
    </row>
    <row r="158" spans="3:61" ht="12.75"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3"/>
      <c r="BG158" s="493"/>
      <c r="BH158" s="493"/>
      <c r="BI158" s="493"/>
    </row>
    <row r="159" spans="3:61" ht="12.75"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3"/>
      <c r="Y159" s="493"/>
      <c r="Z159" s="493"/>
      <c r="AA159" s="493"/>
      <c r="AB159" s="493"/>
      <c r="AC159" s="493"/>
      <c r="AD159" s="493"/>
      <c r="AE159" s="493"/>
      <c r="AF159" s="493"/>
      <c r="AG159" s="493"/>
      <c r="AH159" s="493"/>
      <c r="AI159" s="493"/>
      <c r="AJ159" s="493"/>
      <c r="AK159" s="493"/>
      <c r="AL159" s="493"/>
      <c r="AM159" s="493"/>
      <c r="AN159" s="493"/>
      <c r="AO159" s="493"/>
      <c r="AP159" s="493"/>
      <c r="AQ159" s="493"/>
      <c r="AR159" s="493"/>
      <c r="AS159" s="493"/>
      <c r="AT159" s="493"/>
      <c r="AU159" s="493"/>
      <c r="AV159" s="493"/>
      <c r="AW159" s="493"/>
      <c r="AX159" s="493"/>
      <c r="AY159" s="493"/>
      <c r="AZ159" s="493"/>
      <c r="BA159" s="493"/>
      <c r="BB159" s="493"/>
      <c r="BC159" s="493"/>
      <c r="BD159" s="493"/>
      <c r="BE159" s="493"/>
      <c r="BF159" s="493"/>
      <c r="BG159" s="493"/>
      <c r="BH159" s="493"/>
      <c r="BI159" s="493"/>
    </row>
    <row r="160" spans="3:61" ht="12.75"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3"/>
      <c r="BB160" s="493"/>
      <c r="BC160" s="493"/>
      <c r="BD160" s="493"/>
      <c r="BE160" s="493"/>
      <c r="BF160" s="493"/>
      <c r="BG160" s="493"/>
      <c r="BH160" s="493"/>
      <c r="BI160" s="493"/>
    </row>
    <row r="161" spans="3:61" ht="12.75"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3"/>
      <c r="Y161" s="493"/>
      <c r="Z161" s="493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  <c r="AV161" s="493"/>
      <c r="AW161" s="493"/>
      <c r="AX161" s="493"/>
      <c r="AY161" s="493"/>
      <c r="AZ161" s="493"/>
      <c r="BA161" s="493"/>
      <c r="BB161" s="493"/>
      <c r="BC161" s="493"/>
      <c r="BD161" s="493"/>
      <c r="BE161" s="493"/>
      <c r="BF161" s="493"/>
      <c r="BG161" s="493"/>
      <c r="BH161" s="493"/>
      <c r="BI161" s="493"/>
    </row>
    <row r="162" spans="3:61" ht="12.75"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93"/>
      <c r="AW162" s="493"/>
      <c r="AX162" s="493"/>
      <c r="AY162" s="493"/>
      <c r="AZ162" s="493"/>
      <c r="BA162" s="493"/>
      <c r="BB162" s="493"/>
      <c r="BC162" s="493"/>
      <c r="BD162" s="493"/>
      <c r="BE162" s="493"/>
      <c r="BF162" s="493"/>
      <c r="BG162" s="493"/>
      <c r="BH162" s="493"/>
      <c r="BI162" s="493"/>
    </row>
    <row r="163" spans="3:61" ht="12.75">
      <c r="C163" s="493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  <c r="W163" s="493"/>
      <c r="X163" s="493"/>
      <c r="Y163" s="493"/>
      <c r="Z163" s="493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493"/>
      <c r="AR163" s="493"/>
      <c r="AS163" s="493"/>
      <c r="AT163" s="493"/>
      <c r="AU163" s="493"/>
      <c r="AV163" s="493"/>
      <c r="AW163" s="493"/>
      <c r="AX163" s="493"/>
      <c r="AY163" s="493"/>
      <c r="AZ163" s="493"/>
      <c r="BA163" s="493"/>
      <c r="BB163" s="493"/>
      <c r="BC163" s="493"/>
      <c r="BD163" s="493"/>
      <c r="BE163" s="493"/>
      <c r="BF163" s="493"/>
      <c r="BG163" s="493"/>
      <c r="BH163" s="493"/>
      <c r="BI163" s="493"/>
    </row>
    <row r="164" spans="3:61" ht="12.75">
      <c r="C164" s="493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3"/>
      <c r="U164" s="493"/>
      <c r="V164" s="493"/>
      <c r="W164" s="493"/>
      <c r="X164" s="493"/>
      <c r="Y164" s="493"/>
      <c r="Z164" s="493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  <c r="AL164" s="493"/>
      <c r="AM164" s="493"/>
      <c r="AN164" s="493"/>
      <c r="AO164" s="493"/>
      <c r="AP164" s="493"/>
      <c r="AQ164" s="493"/>
      <c r="AR164" s="493"/>
      <c r="AS164" s="493"/>
      <c r="AT164" s="493"/>
      <c r="AU164" s="493"/>
      <c r="AV164" s="493"/>
      <c r="AW164" s="493"/>
      <c r="AX164" s="493"/>
      <c r="AY164" s="493"/>
      <c r="AZ164" s="493"/>
      <c r="BA164" s="493"/>
      <c r="BB164" s="493"/>
      <c r="BC164" s="493"/>
      <c r="BD164" s="493"/>
      <c r="BE164" s="493"/>
      <c r="BF164" s="493"/>
      <c r="BG164" s="493"/>
      <c r="BH164" s="493"/>
      <c r="BI164" s="493"/>
    </row>
    <row r="165" spans="3:61" ht="12.75"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493"/>
      <c r="V165" s="493"/>
      <c r="W165" s="493"/>
      <c r="X165" s="493"/>
      <c r="Y165" s="493"/>
      <c r="Z165" s="493"/>
      <c r="AA165" s="493"/>
      <c r="AB165" s="493"/>
      <c r="AC165" s="493"/>
      <c r="AD165" s="493"/>
      <c r="AE165" s="493"/>
      <c r="AF165" s="493"/>
      <c r="AG165" s="493"/>
      <c r="AH165" s="493"/>
      <c r="AI165" s="493"/>
      <c r="AJ165" s="493"/>
      <c r="AK165" s="493"/>
      <c r="AL165" s="493"/>
      <c r="AM165" s="493"/>
      <c r="AN165" s="493"/>
      <c r="AO165" s="493"/>
      <c r="AP165" s="493"/>
      <c r="AQ165" s="493"/>
      <c r="AR165" s="493"/>
      <c r="AS165" s="493"/>
      <c r="AT165" s="493"/>
      <c r="AU165" s="493"/>
      <c r="AV165" s="493"/>
      <c r="AW165" s="493"/>
      <c r="AX165" s="493"/>
      <c r="AY165" s="493"/>
      <c r="AZ165" s="493"/>
      <c r="BA165" s="493"/>
      <c r="BB165" s="493"/>
      <c r="BC165" s="493"/>
      <c r="BD165" s="493"/>
      <c r="BE165" s="493"/>
      <c r="BF165" s="493"/>
      <c r="BG165" s="493"/>
      <c r="BH165" s="493"/>
      <c r="BI165" s="493"/>
    </row>
    <row r="166" spans="3:61" ht="12.75"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493"/>
      <c r="V166" s="493"/>
      <c r="W166" s="493"/>
      <c r="X166" s="493"/>
      <c r="Y166" s="493"/>
      <c r="Z166" s="493"/>
      <c r="AA166" s="493"/>
      <c r="AB166" s="493"/>
      <c r="AC166" s="493"/>
      <c r="AD166" s="493"/>
      <c r="AE166" s="493"/>
      <c r="AF166" s="493"/>
      <c r="AG166" s="493"/>
      <c r="AH166" s="493"/>
      <c r="AI166" s="493"/>
      <c r="AJ166" s="493"/>
      <c r="AK166" s="493"/>
      <c r="AL166" s="493"/>
      <c r="AM166" s="493"/>
      <c r="AN166" s="493"/>
      <c r="AO166" s="493"/>
      <c r="AP166" s="493"/>
      <c r="AQ166" s="493"/>
      <c r="AR166" s="493"/>
      <c r="AS166" s="493"/>
      <c r="AT166" s="493"/>
      <c r="AU166" s="493"/>
      <c r="AV166" s="493"/>
      <c r="AW166" s="493"/>
      <c r="AX166" s="493"/>
      <c r="AY166" s="493"/>
      <c r="AZ166" s="493"/>
      <c r="BA166" s="493"/>
      <c r="BB166" s="493"/>
      <c r="BC166" s="493"/>
      <c r="BD166" s="493"/>
      <c r="BE166" s="493"/>
      <c r="BF166" s="493"/>
      <c r="BG166" s="493"/>
      <c r="BH166" s="493"/>
      <c r="BI166" s="493"/>
    </row>
    <row r="167" spans="3:61" ht="12.75"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493"/>
      <c r="V167" s="493"/>
      <c r="W167" s="493"/>
      <c r="X167" s="493"/>
      <c r="Y167" s="493"/>
      <c r="Z167" s="493"/>
      <c r="AA167" s="493"/>
      <c r="AB167" s="493"/>
      <c r="AC167" s="493"/>
      <c r="AD167" s="493"/>
      <c r="AE167" s="493"/>
      <c r="AF167" s="493"/>
      <c r="AG167" s="493"/>
      <c r="AH167" s="493"/>
      <c r="AI167" s="493"/>
      <c r="AJ167" s="493"/>
      <c r="AK167" s="493"/>
      <c r="AL167" s="493"/>
      <c r="AM167" s="493"/>
      <c r="AN167" s="493"/>
      <c r="AO167" s="493"/>
      <c r="AP167" s="493"/>
      <c r="AQ167" s="493"/>
      <c r="AR167" s="493"/>
      <c r="AS167" s="493"/>
      <c r="AT167" s="493"/>
      <c r="AU167" s="493"/>
      <c r="AV167" s="493"/>
      <c r="AW167" s="493"/>
      <c r="AX167" s="493"/>
      <c r="AY167" s="493"/>
      <c r="AZ167" s="493"/>
      <c r="BA167" s="493"/>
      <c r="BB167" s="493"/>
      <c r="BC167" s="493"/>
      <c r="BD167" s="493"/>
      <c r="BE167" s="493"/>
      <c r="BF167" s="493"/>
      <c r="BG167" s="493"/>
      <c r="BH167" s="493"/>
      <c r="BI167" s="493"/>
    </row>
    <row r="168" spans="3:61" ht="12.75"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  <c r="N168" s="493"/>
      <c r="O168" s="493"/>
      <c r="P168" s="493"/>
      <c r="Q168" s="493"/>
      <c r="R168" s="493"/>
      <c r="S168" s="493"/>
      <c r="T168" s="493"/>
      <c r="U168" s="493"/>
      <c r="V168" s="493"/>
      <c r="W168" s="493"/>
      <c r="X168" s="493"/>
      <c r="Y168" s="493"/>
      <c r="Z168" s="493"/>
      <c r="AA168" s="493"/>
      <c r="AB168" s="493"/>
      <c r="AC168" s="493"/>
      <c r="AD168" s="493"/>
      <c r="AE168" s="493"/>
      <c r="AF168" s="493"/>
      <c r="AG168" s="493"/>
      <c r="AH168" s="493"/>
      <c r="AI168" s="493"/>
      <c r="AJ168" s="493"/>
      <c r="AK168" s="493"/>
      <c r="AL168" s="493"/>
      <c r="AM168" s="493"/>
      <c r="AN168" s="493"/>
      <c r="AO168" s="493"/>
      <c r="AP168" s="493"/>
      <c r="AQ168" s="493"/>
      <c r="AR168" s="493"/>
      <c r="AS168" s="493"/>
      <c r="AT168" s="493"/>
      <c r="AU168" s="493"/>
      <c r="AV168" s="493"/>
      <c r="AW168" s="493"/>
      <c r="AX168" s="493"/>
      <c r="AY168" s="493"/>
      <c r="AZ168" s="493"/>
      <c r="BA168" s="493"/>
      <c r="BB168" s="493"/>
      <c r="BC168" s="493"/>
      <c r="BD168" s="493"/>
      <c r="BE168" s="493"/>
      <c r="BF168" s="493"/>
      <c r="BG168" s="493"/>
      <c r="BH168" s="493"/>
      <c r="BI168" s="493"/>
    </row>
    <row r="169" spans="3:61" ht="12.75"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493"/>
      <c r="V169" s="493"/>
      <c r="W169" s="493"/>
      <c r="X169" s="493"/>
      <c r="Y169" s="493"/>
      <c r="Z169" s="493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  <c r="AV169" s="493"/>
      <c r="AW169" s="493"/>
      <c r="AX169" s="493"/>
      <c r="AY169" s="493"/>
      <c r="AZ169" s="493"/>
      <c r="BA169" s="493"/>
      <c r="BB169" s="493"/>
      <c r="BC169" s="493"/>
      <c r="BD169" s="493"/>
      <c r="BE169" s="493"/>
      <c r="BF169" s="493"/>
      <c r="BG169" s="493"/>
      <c r="BH169" s="493"/>
      <c r="BI169" s="493"/>
    </row>
    <row r="170" spans="3:61" ht="12.75"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/>
      <c r="U170" s="493"/>
      <c r="V170" s="493"/>
      <c r="W170" s="493"/>
      <c r="X170" s="493"/>
      <c r="Y170" s="493"/>
      <c r="Z170" s="493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  <c r="AV170" s="493"/>
      <c r="AW170" s="493"/>
      <c r="AX170" s="493"/>
      <c r="AY170" s="493"/>
      <c r="AZ170" s="493"/>
      <c r="BA170" s="493"/>
      <c r="BB170" s="493"/>
      <c r="BC170" s="493"/>
      <c r="BD170" s="493"/>
      <c r="BE170" s="493"/>
      <c r="BF170" s="493"/>
      <c r="BG170" s="493"/>
      <c r="BH170" s="493"/>
      <c r="BI170" s="493"/>
    </row>
    <row r="171" spans="3:61" ht="12.75"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  <c r="AV171" s="493"/>
      <c r="AW171" s="493"/>
      <c r="AX171" s="493"/>
      <c r="AY171" s="493"/>
      <c r="AZ171" s="493"/>
      <c r="BA171" s="493"/>
      <c r="BB171" s="493"/>
      <c r="BC171" s="493"/>
      <c r="BD171" s="493"/>
      <c r="BE171" s="493"/>
      <c r="BF171" s="493"/>
      <c r="BG171" s="493"/>
      <c r="BH171" s="493"/>
      <c r="BI171" s="493"/>
    </row>
    <row r="172" spans="3:61" ht="12.75">
      <c r="C172" s="493"/>
      <c r="D172" s="493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  <c r="W172" s="493"/>
      <c r="X172" s="493"/>
      <c r="Y172" s="493"/>
      <c r="Z172" s="493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  <c r="AV172" s="493"/>
      <c r="AW172" s="493"/>
      <c r="AX172" s="493"/>
      <c r="AY172" s="493"/>
      <c r="AZ172" s="493"/>
      <c r="BA172" s="493"/>
      <c r="BB172" s="493"/>
      <c r="BC172" s="493"/>
      <c r="BD172" s="493"/>
      <c r="BE172" s="493"/>
      <c r="BF172" s="493"/>
      <c r="BG172" s="493"/>
      <c r="BH172" s="493"/>
      <c r="BI172" s="493"/>
    </row>
    <row r="173" spans="3:61" ht="12.75"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 s="493"/>
      <c r="X173" s="493"/>
      <c r="Y173" s="493"/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493"/>
      <c r="AK173" s="493"/>
      <c r="AL173" s="493"/>
      <c r="AM173" s="493"/>
      <c r="AN173" s="493"/>
      <c r="AO173" s="493"/>
      <c r="AP173" s="493"/>
      <c r="AQ173" s="493"/>
      <c r="AR173" s="493"/>
      <c r="AS173" s="493"/>
      <c r="AT173" s="493"/>
      <c r="AU173" s="493"/>
      <c r="AV173" s="493"/>
      <c r="AW173" s="493"/>
      <c r="AX173" s="493"/>
      <c r="AY173" s="493"/>
      <c r="AZ173" s="493"/>
      <c r="BA173" s="493"/>
      <c r="BB173" s="493"/>
      <c r="BC173" s="493"/>
      <c r="BD173" s="493"/>
      <c r="BE173" s="493"/>
      <c r="BF173" s="493"/>
      <c r="BG173" s="493"/>
      <c r="BH173" s="493"/>
      <c r="BI173" s="493"/>
    </row>
    <row r="174" spans="3:61" ht="12.75"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3"/>
      <c r="AS174" s="493"/>
      <c r="AT174" s="493"/>
      <c r="AU174" s="493"/>
      <c r="AV174" s="493"/>
      <c r="AW174" s="493"/>
      <c r="AX174" s="493"/>
      <c r="AY174" s="493"/>
      <c r="AZ174" s="493"/>
      <c r="BA174" s="493"/>
      <c r="BB174" s="493"/>
      <c r="BC174" s="493"/>
      <c r="BD174" s="493"/>
      <c r="BE174" s="493"/>
      <c r="BF174" s="493"/>
      <c r="BG174" s="493"/>
      <c r="BH174" s="493"/>
      <c r="BI174" s="493"/>
    </row>
    <row r="175" spans="3:61" ht="12.75">
      <c r="C175" s="493"/>
      <c r="D175" s="493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</row>
    <row r="176" spans="3:61" ht="12.75"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493"/>
      <c r="V176" s="493"/>
      <c r="W176" s="493"/>
      <c r="X176" s="493"/>
      <c r="Y176" s="493"/>
      <c r="Z176" s="493"/>
      <c r="AA176" s="493"/>
      <c r="AB176" s="493"/>
      <c r="AC176" s="493"/>
      <c r="AD176" s="493"/>
      <c r="AE176" s="493"/>
      <c r="AF176" s="493"/>
      <c r="AG176" s="493"/>
      <c r="AH176" s="493"/>
      <c r="AI176" s="493"/>
      <c r="AJ176" s="493"/>
      <c r="AK176" s="493"/>
      <c r="AL176" s="493"/>
      <c r="AM176" s="493"/>
      <c r="AN176" s="493"/>
      <c r="AO176" s="493"/>
      <c r="AP176" s="493"/>
      <c r="AQ176" s="493"/>
      <c r="AR176" s="493"/>
      <c r="AS176" s="493"/>
      <c r="AT176" s="493"/>
      <c r="AU176" s="493"/>
      <c r="AV176" s="493"/>
      <c r="AW176" s="493"/>
      <c r="AX176" s="493"/>
      <c r="AY176" s="493"/>
      <c r="AZ176" s="493"/>
      <c r="BA176" s="493"/>
      <c r="BB176" s="493"/>
      <c r="BC176" s="493"/>
      <c r="BD176" s="493"/>
      <c r="BE176" s="493"/>
      <c r="BF176" s="493"/>
      <c r="BG176" s="493"/>
      <c r="BH176" s="493"/>
      <c r="BI176" s="493"/>
    </row>
    <row r="177" spans="3:61" ht="12.75">
      <c r="C177" s="493"/>
      <c r="D177" s="493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493"/>
      <c r="Y177" s="493"/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3"/>
      <c r="AS177" s="493"/>
      <c r="AT177" s="493"/>
      <c r="AU177" s="493"/>
      <c r="AV177" s="493"/>
      <c r="AW177" s="49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</row>
    <row r="178" spans="3:61" ht="12.75">
      <c r="C178" s="493"/>
      <c r="D178" s="493"/>
      <c r="E178" s="493"/>
      <c r="F178" s="493"/>
      <c r="G178" s="493"/>
      <c r="H178" s="493"/>
      <c r="I178" s="493"/>
      <c r="J178" s="493"/>
      <c r="K178" s="493"/>
      <c r="L178" s="493"/>
      <c r="M178" s="493"/>
      <c r="N178" s="493"/>
      <c r="O178" s="493"/>
      <c r="P178" s="493"/>
      <c r="Q178" s="493"/>
      <c r="R178" s="493"/>
      <c r="S178" s="493"/>
      <c r="T178" s="493"/>
      <c r="U178" s="493"/>
      <c r="V178" s="493"/>
      <c r="W178" s="493"/>
      <c r="X178" s="493"/>
      <c r="Y178" s="493"/>
      <c r="Z178" s="493"/>
      <c r="AA178" s="493"/>
      <c r="AB178" s="493"/>
      <c r="AC178" s="493"/>
      <c r="AD178" s="493"/>
      <c r="AE178" s="493"/>
      <c r="AF178" s="493"/>
      <c r="AG178" s="493"/>
      <c r="AH178" s="493"/>
      <c r="AI178" s="493"/>
      <c r="AJ178" s="493"/>
      <c r="AK178" s="493"/>
      <c r="AL178" s="493"/>
      <c r="AM178" s="493"/>
      <c r="AN178" s="493"/>
      <c r="AO178" s="493"/>
      <c r="AP178" s="493"/>
      <c r="AQ178" s="493"/>
      <c r="AR178" s="493"/>
      <c r="AS178" s="493"/>
      <c r="AT178" s="493"/>
      <c r="AU178" s="493"/>
      <c r="AV178" s="493"/>
      <c r="AW178" s="493"/>
      <c r="AX178" s="493"/>
      <c r="AY178" s="493"/>
      <c r="AZ178" s="493"/>
      <c r="BA178" s="493"/>
      <c r="BB178" s="493"/>
      <c r="BC178" s="493"/>
      <c r="BD178" s="493"/>
      <c r="BE178" s="493"/>
      <c r="BF178" s="493"/>
      <c r="BG178" s="493"/>
      <c r="BH178" s="493"/>
      <c r="BI178" s="493"/>
    </row>
    <row r="179" spans="3:61" ht="12.75">
      <c r="C179" s="493"/>
      <c r="D179" s="493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</row>
    <row r="180" spans="3:61" ht="12.75">
      <c r="C180" s="493"/>
      <c r="D180" s="493"/>
      <c r="E180" s="493"/>
      <c r="F180" s="493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  <c r="Q180" s="493"/>
      <c r="R180" s="493"/>
      <c r="S180" s="493"/>
      <c r="T180" s="493"/>
      <c r="U180" s="493"/>
      <c r="V180" s="493"/>
      <c r="W180" s="493"/>
      <c r="X180" s="493"/>
      <c r="Y180" s="493"/>
      <c r="Z180" s="493"/>
      <c r="AA180" s="493"/>
      <c r="AB180" s="493"/>
      <c r="AC180" s="493"/>
      <c r="AD180" s="493"/>
      <c r="AE180" s="493"/>
      <c r="AF180" s="493"/>
      <c r="AG180" s="493"/>
      <c r="AH180" s="493"/>
      <c r="AI180" s="493"/>
      <c r="AJ180" s="493"/>
      <c r="AK180" s="493"/>
      <c r="AL180" s="493"/>
      <c r="AM180" s="493"/>
      <c r="AN180" s="493"/>
      <c r="AO180" s="493"/>
      <c r="AP180" s="493"/>
      <c r="AQ180" s="493"/>
      <c r="AR180" s="493"/>
      <c r="AS180" s="493"/>
      <c r="AT180" s="493"/>
      <c r="AU180" s="493"/>
      <c r="AV180" s="493"/>
      <c r="AW180" s="493"/>
      <c r="AX180" s="493"/>
      <c r="AY180" s="493"/>
      <c r="AZ180" s="493"/>
      <c r="BA180" s="493"/>
      <c r="BB180" s="493"/>
      <c r="BC180" s="493"/>
      <c r="BD180" s="493"/>
      <c r="BE180" s="493"/>
      <c r="BF180" s="493"/>
      <c r="BG180" s="493"/>
      <c r="BH180" s="493"/>
      <c r="BI180" s="493"/>
    </row>
    <row r="181" spans="3:61" ht="12.75">
      <c r="C181" s="493"/>
      <c r="D181" s="493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Q181" s="493"/>
      <c r="AR181" s="493"/>
      <c r="AS181" s="493"/>
      <c r="AT181" s="493"/>
      <c r="AU181" s="493"/>
      <c r="AV181" s="493"/>
      <c r="AW181" s="493"/>
      <c r="AX181" s="493"/>
      <c r="AY181" s="493"/>
      <c r="AZ181" s="493"/>
      <c r="BA181" s="493"/>
      <c r="BB181" s="493"/>
      <c r="BC181" s="493"/>
      <c r="BD181" s="493"/>
      <c r="BE181" s="493"/>
      <c r="BF181" s="493"/>
      <c r="BG181" s="493"/>
      <c r="BH181" s="493"/>
      <c r="BI181" s="493"/>
    </row>
    <row r="182" spans="3:61" ht="12.75">
      <c r="C182" s="493"/>
      <c r="D182" s="493"/>
      <c r="E182" s="493"/>
      <c r="F182" s="493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  <c r="Q182" s="493"/>
      <c r="R182" s="493"/>
      <c r="S182" s="493"/>
      <c r="T182" s="493"/>
      <c r="U182" s="493"/>
      <c r="V182" s="493"/>
      <c r="W182" s="493"/>
      <c r="X182" s="493"/>
      <c r="Y182" s="493"/>
      <c r="Z182" s="493"/>
      <c r="AA182" s="493"/>
      <c r="AB182" s="493"/>
      <c r="AC182" s="493"/>
      <c r="AD182" s="493"/>
      <c r="AE182" s="493"/>
      <c r="AF182" s="493"/>
      <c r="AG182" s="493"/>
      <c r="AH182" s="493"/>
      <c r="AI182" s="493"/>
      <c r="AJ182" s="493"/>
      <c r="AK182" s="493"/>
      <c r="AL182" s="493"/>
      <c r="AM182" s="493"/>
      <c r="AN182" s="493"/>
      <c r="AO182" s="493"/>
      <c r="AP182" s="493"/>
      <c r="AQ182" s="493"/>
      <c r="AR182" s="493"/>
      <c r="AS182" s="493"/>
      <c r="AT182" s="493"/>
      <c r="AU182" s="493"/>
      <c r="AV182" s="493"/>
      <c r="AW182" s="493"/>
      <c r="AX182" s="493"/>
      <c r="AY182" s="493"/>
      <c r="AZ182" s="493"/>
      <c r="BA182" s="493"/>
      <c r="BB182" s="493"/>
      <c r="BC182" s="493"/>
      <c r="BD182" s="493"/>
      <c r="BE182" s="493"/>
      <c r="BF182" s="493"/>
      <c r="BG182" s="493"/>
      <c r="BH182" s="493"/>
      <c r="BI182" s="493"/>
    </row>
    <row r="183" spans="3:61" ht="12.75"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3"/>
      <c r="AC183" s="493"/>
      <c r="AD183" s="493"/>
      <c r="AE183" s="493"/>
      <c r="AF183" s="493"/>
      <c r="AG183" s="493"/>
      <c r="AH183" s="493"/>
      <c r="AI183" s="493"/>
      <c r="AJ183" s="493"/>
      <c r="AK183" s="493"/>
      <c r="AL183" s="493"/>
      <c r="AM183" s="493"/>
      <c r="AN183" s="493"/>
      <c r="AO183" s="493"/>
      <c r="AP183" s="493"/>
      <c r="AQ183" s="493"/>
      <c r="AR183" s="493"/>
      <c r="AS183" s="493"/>
      <c r="AT183" s="493"/>
      <c r="AU183" s="493"/>
      <c r="AV183" s="493"/>
      <c r="AW183" s="493"/>
      <c r="AX183" s="493"/>
      <c r="AY183" s="493"/>
      <c r="AZ183" s="493"/>
      <c r="BA183" s="493"/>
      <c r="BB183" s="493"/>
      <c r="BC183" s="493"/>
      <c r="BD183" s="493"/>
      <c r="BE183" s="493"/>
      <c r="BF183" s="493"/>
      <c r="BG183" s="493"/>
      <c r="BH183" s="493"/>
      <c r="BI183" s="493"/>
    </row>
    <row r="184" spans="3:61" ht="12.75"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3"/>
      <c r="X184" s="493"/>
      <c r="Y184" s="493"/>
      <c r="Z184" s="493"/>
      <c r="AA184" s="493"/>
      <c r="AB184" s="493"/>
      <c r="AC184" s="493"/>
      <c r="AD184" s="493"/>
      <c r="AE184" s="493"/>
      <c r="AF184" s="493"/>
      <c r="AG184" s="493"/>
      <c r="AH184" s="493"/>
      <c r="AI184" s="493"/>
      <c r="AJ184" s="493"/>
      <c r="AK184" s="493"/>
      <c r="AL184" s="493"/>
      <c r="AM184" s="493"/>
      <c r="AN184" s="493"/>
      <c r="AO184" s="493"/>
      <c r="AP184" s="493"/>
      <c r="AQ184" s="493"/>
      <c r="AR184" s="493"/>
      <c r="AS184" s="493"/>
      <c r="AT184" s="493"/>
      <c r="AU184" s="493"/>
      <c r="AV184" s="493"/>
      <c r="AW184" s="493"/>
      <c r="AX184" s="493"/>
      <c r="AY184" s="493"/>
      <c r="AZ184" s="493"/>
      <c r="BA184" s="493"/>
      <c r="BB184" s="493"/>
      <c r="BC184" s="493"/>
      <c r="BD184" s="493"/>
      <c r="BE184" s="493"/>
      <c r="BF184" s="493"/>
      <c r="BG184" s="493"/>
      <c r="BH184" s="493"/>
      <c r="BI184" s="493"/>
    </row>
    <row r="185" spans="3:61" ht="12.75">
      <c r="C185" s="493"/>
      <c r="D185" s="493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  <c r="Q185" s="493"/>
      <c r="R185" s="493"/>
      <c r="S185" s="493"/>
      <c r="T185" s="493"/>
      <c r="U185" s="493"/>
      <c r="V185" s="493"/>
      <c r="W185" s="493"/>
      <c r="X185" s="493"/>
      <c r="Y185" s="493"/>
      <c r="Z185" s="493"/>
      <c r="AA185" s="493"/>
      <c r="AB185" s="493"/>
      <c r="AC185" s="493"/>
      <c r="AD185" s="493"/>
      <c r="AE185" s="493"/>
      <c r="AF185" s="493"/>
      <c r="AG185" s="493"/>
      <c r="AH185" s="493"/>
      <c r="AI185" s="493"/>
      <c r="AJ185" s="493"/>
      <c r="AK185" s="493"/>
      <c r="AL185" s="493"/>
      <c r="AM185" s="493"/>
      <c r="AN185" s="493"/>
      <c r="AO185" s="493"/>
      <c r="AP185" s="493"/>
      <c r="AQ185" s="493"/>
      <c r="AR185" s="493"/>
      <c r="AS185" s="493"/>
      <c r="AT185" s="493"/>
      <c r="AU185" s="493"/>
      <c r="AV185" s="493"/>
      <c r="AW185" s="493"/>
      <c r="AX185" s="493"/>
      <c r="AY185" s="493"/>
      <c r="AZ185" s="493"/>
      <c r="BA185" s="493"/>
      <c r="BB185" s="493"/>
      <c r="BC185" s="493"/>
      <c r="BD185" s="493"/>
      <c r="BE185" s="493"/>
      <c r="BF185" s="493"/>
      <c r="BG185" s="493"/>
      <c r="BH185" s="493"/>
      <c r="BI185" s="493"/>
    </row>
    <row r="186" spans="3:61" ht="12.75">
      <c r="C186" s="493"/>
      <c r="D186" s="493"/>
      <c r="E186" s="493"/>
      <c r="F186" s="493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  <c r="Q186" s="493"/>
      <c r="R186" s="493"/>
      <c r="S186" s="493"/>
      <c r="T186" s="493"/>
      <c r="U186" s="493"/>
      <c r="V186" s="493"/>
      <c r="W186" s="493"/>
      <c r="X186" s="493"/>
      <c r="Y186" s="493"/>
      <c r="Z186" s="493"/>
      <c r="AA186" s="493"/>
      <c r="AB186" s="493"/>
      <c r="AC186" s="493"/>
      <c r="AD186" s="493"/>
      <c r="AE186" s="493"/>
      <c r="AF186" s="493"/>
      <c r="AG186" s="493"/>
      <c r="AH186" s="493"/>
      <c r="AI186" s="493"/>
      <c r="AJ186" s="493"/>
      <c r="AK186" s="493"/>
      <c r="AL186" s="493"/>
      <c r="AM186" s="493"/>
      <c r="AN186" s="493"/>
      <c r="AO186" s="493"/>
      <c r="AP186" s="493"/>
      <c r="AQ186" s="493"/>
      <c r="AR186" s="493"/>
      <c r="AS186" s="493"/>
      <c r="AT186" s="493"/>
      <c r="AU186" s="493"/>
      <c r="AV186" s="493"/>
      <c r="AW186" s="493"/>
      <c r="AX186" s="493"/>
      <c r="AY186" s="493"/>
      <c r="AZ186" s="493"/>
      <c r="BA186" s="493"/>
      <c r="BB186" s="493"/>
      <c r="BC186" s="493"/>
      <c r="BD186" s="493"/>
      <c r="BE186" s="493"/>
      <c r="BF186" s="493"/>
      <c r="BG186" s="493"/>
      <c r="BH186" s="493"/>
      <c r="BI186" s="493"/>
    </row>
    <row r="187" spans="3:61" ht="12.75">
      <c r="C187" s="493"/>
      <c r="D187" s="493"/>
      <c r="E187" s="493"/>
      <c r="F187" s="493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  <c r="Q187" s="493"/>
      <c r="R187" s="493"/>
      <c r="S187" s="493"/>
      <c r="T187" s="493"/>
      <c r="U187" s="493"/>
      <c r="V187" s="493"/>
      <c r="W187" s="493"/>
      <c r="X187" s="493"/>
      <c r="Y187" s="493"/>
      <c r="Z187" s="493"/>
      <c r="AA187" s="493"/>
      <c r="AB187" s="493"/>
      <c r="AC187" s="493"/>
      <c r="AD187" s="493"/>
      <c r="AE187" s="493"/>
      <c r="AF187" s="493"/>
      <c r="AG187" s="493"/>
      <c r="AH187" s="493"/>
      <c r="AI187" s="493"/>
      <c r="AJ187" s="493"/>
      <c r="AK187" s="493"/>
      <c r="AL187" s="493"/>
      <c r="AM187" s="493"/>
      <c r="AN187" s="493"/>
      <c r="AO187" s="493"/>
      <c r="AP187" s="493"/>
      <c r="AQ187" s="493"/>
      <c r="AR187" s="493"/>
      <c r="AS187" s="493"/>
      <c r="AT187" s="493"/>
      <c r="AU187" s="493"/>
      <c r="AV187" s="493"/>
      <c r="AW187" s="493"/>
      <c r="AX187" s="493"/>
      <c r="AY187" s="493"/>
      <c r="AZ187" s="493"/>
      <c r="BA187" s="493"/>
      <c r="BB187" s="493"/>
      <c r="BC187" s="493"/>
      <c r="BD187" s="493"/>
      <c r="BE187" s="493"/>
      <c r="BF187" s="493"/>
      <c r="BG187" s="493"/>
      <c r="BH187" s="493"/>
      <c r="BI187" s="493"/>
    </row>
    <row r="188" spans="3:61" ht="12.75">
      <c r="C188" s="493"/>
      <c r="D188" s="493"/>
      <c r="E188" s="493"/>
      <c r="F188" s="493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3"/>
      <c r="U188" s="493"/>
      <c r="V188" s="493"/>
      <c r="W188" s="493"/>
      <c r="X188" s="493"/>
      <c r="Y188" s="493"/>
      <c r="Z188" s="493"/>
      <c r="AA188" s="493"/>
      <c r="AB188" s="493"/>
      <c r="AC188" s="493"/>
      <c r="AD188" s="493"/>
      <c r="AE188" s="493"/>
      <c r="AF188" s="493"/>
      <c r="AG188" s="493"/>
      <c r="AH188" s="493"/>
      <c r="AI188" s="493"/>
      <c r="AJ188" s="493"/>
      <c r="AK188" s="493"/>
      <c r="AL188" s="493"/>
      <c r="AM188" s="493"/>
      <c r="AN188" s="493"/>
      <c r="AO188" s="493"/>
      <c r="AP188" s="493"/>
      <c r="AQ188" s="493"/>
      <c r="AR188" s="493"/>
      <c r="AS188" s="493"/>
      <c r="AT188" s="493"/>
      <c r="AU188" s="493"/>
      <c r="AV188" s="493"/>
      <c r="AW188" s="493"/>
      <c r="AX188" s="493"/>
      <c r="AY188" s="493"/>
      <c r="AZ188" s="493"/>
      <c r="BA188" s="493"/>
      <c r="BB188" s="493"/>
      <c r="BC188" s="493"/>
      <c r="BD188" s="493"/>
      <c r="BE188" s="493"/>
      <c r="BF188" s="493"/>
      <c r="BG188" s="493"/>
      <c r="BH188" s="493"/>
      <c r="BI188" s="493"/>
    </row>
    <row r="189" spans="3:61" ht="12.75">
      <c r="C189" s="493"/>
      <c r="D189" s="493"/>
      <c r="E189" s="493"/>
      <c r="F189" s="493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493"/>
      <c r="V189" s="493"/>
      <c r="W189" s="493"/>
      <c r="X189" s="493"/>
      <c r="Y189" s="493"/>
      <c r="Z189" s="493"/>
      <c r="AA189" s="493"/>
      <c r="AB189" s="493"/>
      <c r="AC189" s="493"/>
      <c r="AD189" s="493"/>
      <c r="AE189" s="493"/>
      <c r="AF189" s="493"/>
      <c r="AG189" s="493"/>
      <c r="AH189" s="493"/>
      <c r="AI189" s="493"/>
      <c r="AJ189" s="493"/>
      <c r="AK189" s="493"/>
      <c r="AL189" s="493"/>
      <c r="AM189" s="493"/>
      <c r="AN189" s="493"/>
      <c r="AO189" s="493"/>
      <c r="AP189" s="493"/>
      <c r="AQ189" s="493"/>
      <c r="AR189" s="493"/>
      <c r="AS189" s="493"/>
      <c r="AT189" s="493"/>
      <c r="AU189" s="493"/>
      <c r="AV189" s="493"/>
      <c r="AW189" s="493"/>
      <c r="AX189" s="493"/>
      <c r="AY189" s="493"/>
      <c r="AZ189" s="493"/>
      <c r="BA189" s="493"/>
      <c r="BB189" s="493"/>
      <c r="BC189" s="493"/>
      <c r="BD189" s="493"/>
      <c r="BE189" s="493"/>
      <c r="BF189" s="493"/>
      <c r="BG189" s="493"/>
      <c r="BH189" s="493"/>
      <c r="BI189" s="493"/>
    </row>
    <row r="190" spans="3:61" ht="12.75">
      <c r="C190" s="493"/>
      <c r="D190" s="493"/>
      <c r="E190" s="493"/>
      <c r="F190" s="493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3"/>
      <c r="AO190" s="493"/>
      <c r="AP190" s="493"/>
      <c r="AQ190" s="493"/>
      <c r="AR190" s="493"/>
      <c r="AS190" s="493"/>
      <c r="AT190" s="493"/>
      <c r="AU190" s="493"/>
      <c r="AV190" s="493"/>
      <c r="AW190" s="493"/>
      <c r="AX190" s="493"/>
      <c r="AY190" s="493"/>
      <c r="AZ190" s="493"/>
      <c r="BA190" s="493"/>
      <c r="BB190" s="493"/>
      <c r="BC190" s="493"/>
      <c r="BD190" s="493"/>
      <c r="BE190" s="493"/>
      <c r="BF190" s="493"/>
      <c r="BG190" s="493"/>
      <c r="BH190" s="493"/>
      <c r="BI190" s="493"/>
    </row>
    <row r="191" spans="3:61" ht="12.75">
      <c r="C191" s="493"/>
      <c r="D191" s="493"/>
      <c r="E191" s="493"/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3"/>
      <c r="R191" s="493"/>
      <c r="S191" s="493"/>
      <c r="T191" s="493"/>
      <c r="U191" s="493"/>
      <c r="V191" s="493"/>
      <c r="W191" s="493"/>
      <c r="X191" s="493"/>
      <c r="Y191" s="493"/>
      <c r="Z191" s="493"/>
      <c r="AA191" s="493"/>
      <c r="AB191" s="493"/>
      <c r="AC191" s="493"/>
      <c r="AD191" s="493"/>
      <c r="AE191" s="493"/>
      <c r="AF191" s="493"/>
      <c r="AG191" s="493"/>
      <c r="AH191" s="493"/>
      <c r="AI191" s="493"/>
      <c r="AJ191" s="493"/>
      <c r="AK191" s="493"/>
      <c r="AL191" s="493"/>
      <c r="AM191" s="493"/>
      <c r="AN191" s="493"/>
      <c r="AO191" s="493"/>
      <c r="AP191" s="493"/>
      <c r="AQ191" s="493"/>
      <c r="AR191" s="493"/>
      <c r="AS191" s="493"/>
      <c r="AT191" s="493"/>
      <c r="AU191" s="493"/>
      <c r="AV191" s="493"/>
      <c r="AW191" s="493"/>
      <c r="AX191" s="493"/>
      <c r="AY191" s="493"/>
      <c r="AZ191" s="493"/>
      <c r="BA191" s="493"/>
      <c r="BB191" s="493"/>
      <c r="BC191" s="493"/>
      <c r="BD191" s="493"/>
      <c r="BE191" s="493"/>
      <c r="BF191" s="493"/>
      <c r="BG191" s="493"/>
      <c r="BH191" s="493"/>
      <c r="BI191" s="493"/>
    </row>
    <row r="192" spans="3:61" ht="12.75"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493"/>
      <c r="V192" s="493"/>
      <c r="W192" s="493"/>
      <c r="X192" s="493"/>
      <c r="Y192" s="493"/>
      <c r="Z192" s="493"/>
      <c r="AA192" s="493"/>
      <c r="AB192" s="493"/>
      <c r="AC192" s="493"/>
      <c r="AD192" s="493"/>
      <c r="AE192" s="493"/>
      <c r="AF192" s="493"/>
      <c r="AG192" s="493"/>
      <c r="AH192" s="493"/>
      <c r="AI192" s="493"/>
      <c r="AJ192" s="493"/>
      <c r="AK192" s="493"/>
      <c r="AL192" s="493"/>
      <c r="AM192" s="493"/>
      <c r="AN192" s="493"/>
      <c r="AO192" s="493"/>
      <c r="AP192" s="493"/>
      <c r="AQ192" s="493"/>
      <c r="AR192" s="493"/>
      <c r="AS192" s="493"/>
      <c r="AT192" s="493"/>
      <c r="AU192" s="493"/>
      <c r="AV192" s="493"/>
      <c r="AW192" s="493"/>
      <c r="AX192" s="493"/>
      <c r="AY192" s="493"/>
      <c r="AZ192" s="493"/>
      <c r="BA192" s="493"/>
      <c r="BB192" s="493"/>
      <c r="BC192" s="493"/>
      <c r="BD192" s="493"/>
      <c r="BE192" s="493"/>
      <c r="BF192" s="493"/>
      <c r="BG192" s="493"/>
      <c r="BH192" s="493"/>
      <c r="BI192" s="493"/>
    </row>
    <row r="193" spans="3:61" ht="12.75">
      <c r="C193" s="493"/>
      <c r="D193" s="493"/>
      <c r="E193" s="493"/>
      <c r="F193" s="493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493"/>
      <c r="V193" s="493"/>
      <c r="W193" s="493"/>
      <c r="X193" s="493"/>
      <c r="Y193" s="493"/>
      <c r="Z193" s="493"/>
      <c r="AA193" s="493"/>
      <c r="AB193" s="493"/>
      <c r="AC193" s="493"/>
      <c r="AD193" s="493"/>
      <c r="AE193" s="493"/>
      <c r="AF193" s="493"/>
      <c r="AG193" s="493"/>
      <c r="AH193" s="493"/>
      <c r="AI193" s="493"/>
      <c r="AJ193" s="493"/>
      <c r="AK193" s="493"/>
      <c r="AL193" s="493"/>
      <c r="AM193" s="493"/>
      <c r="AN193" s="493"/>
      <c r="AO193" s="493"/>
      <c r="AP193" s="493"/>
      <c r="AQ193" s="493"/>
      <c r="AR193" s="493"/>
      <c r="AS193" s="493"/>
      <c r="AT193" s="493"/>
      <c r="AU193" s="493"/>
      <c r="AV193" s="493"/>
      <c r="AW193" s="493"/>
      <c r="AX193" s="493"/>
      <c r="AY193" s="493"/>
      <c r="AZ193" s="493"/>
      <c r="BA193" s="493"/>
      <c r="BB193" s="493"/>
      <c r="BC193" s="493"/>
      <c r="BD193" s="493"/>
      <c r="BE193" s="493"/>
      <c r="BF193" s="493"/>
      <c r="BG193" s="493"/>
      <c r="BH193" s="493"/>
      <c r="BI193" s="493"/>
    </row>
    <row r="194" spans="3:61" ht="12.75">
      <c r="C194" s="493"/>
      <c r="D194" s="493"/>
      <c r="E194" s="493"/>
      <c r="F194" s="493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493"/>
      <c r="V194" s="493"/>
      <c r="W194" s="493"/>
      <c r="X194" s="493"/>
      <c r="Y194" s="493"/>
      <c r="Z194" s="493"/>
      <c r="AA194" s="493"/>
      <c r="AB194" s="493"/>
      <c r="AC194" s="493"/>
      <c r="AD194" s="493"/>
      <c r="AE194" s="493"/>
      <c r="AF194" s="493"/>
      <c r="AG194" s="493"/>
      <c r="AH194" s="493"/>
      <c r="AI194" s="493"/>
      <c r="AJ194" s="493"/>
      <c r="AK194" s="493"/>
      <c r="AL194" s="493"/>
      <c r="AM194" s="493"/>
      <c r="AN194" s="493"/>
      <c r="AO194" s="493"/>
      <c r="AP194" s="493"/>
      <c r="AQ194" s="493"/>
      <c r="AR194" s="493"/>
      <c r="AS194" s="493"/>
      <c r="AT194" s="493"/>
      <c r="AU194" s="493"/>
      <c r="AV194" s="493"/>
      <c r="AW194" s="493"/>
      <c r="AX194" s="493"/>
      <c r="AY194" s="493"/>
      <c r="AZ194" s="493"/>
      <c r="BA194" s="493"/>
      <c r="BB194" s="493"/>
      <c r="BC194" s="493"/>
      <c r="BD194" s="493"/>
      <c r="BE194" s="493"/>
      <c r="BF194" s="493"/>
      <c r="BG194" s="493"/>
      <c r="BH194" s="493"/>
      <c r="BI194" s="493"/>
    </row>
    <row r="195" spans="3:61" ht="12.75">
      <c r="C195" s="493"/>
      <c r="D195" s="493"/>
      <c r="E195" s="493"/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493"/>
      <c r="V195" s="493"/>
      <c r="W195" s="493"/>
      <c r="X195" s="493"/>
      <c r="Y195" s="493"/>
      <c r="Z195" s="493"/>
      <c r="AA195" s="493"/>
      <c r="AB195" s="493"/>
      <c r="AC195" s="493"/>
      <c r="AD195" s="493"/>
      <c r="AE195" s="493"/>
      <c r="AF195" s="493"/>
      <c r="AG195" s="493"/>
      <c r="AH195" s="493"/>
      <c r="AI195" s="493"/>
      <c r="AJ195" s="493"/>
      <c r="AK195" s="493"/>
      <c r="AL195" s="493"/>
      <c r="AM195" s="493"/>
      <c r="AN195" s="493"/>
      <c r="AO195" s="493"/>
      <c r="AP195" s="493"/>
      <c r="AQ195" s="493"/>
      <c r="AR195" s="493"/>
      <c r="AS195" s="493"/>
      <c r="AT195" s="493"/>
      <c r="AU195" s="493"/>
      <c r="AV195" s="493"/>
      <c r="AW195" s="493"/>
      <c r="AX195" s="493"/>
      <c r="AY195" s="493"/>
      <c r="AZ195" s="493"/>
      <c r="BA195" s="493"/>
      <c r="BB195" s="493"/>
      <c r="BC195" s="493"/>
      <c r="BD195" s="493"/>
      <c r="BE195" s="493"/>
      <c r="BF195" s="493"/>
      <c r="BG195" s="493"/>
      <c r="BH195" s="493"/>
      <c r="BI195" s="493"/>
    </row>
    <row r="196" spans="3:61" ht="12.75">
      <c r="C196" s="493"/>
      <c r="D196" s="493"/>
      <c r="E196" s="493"/>
      <c r="F196" s="493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3"/>
      <c r="U196" s="493"/>
      <c r="V196" s="493"/>
      <c r="W196" s="493"/>
      <c r="X196" s="493"/>
      <c r="Y196" s="493"/>
      <c r="Z196" s="493"/>
      <c r="AA196" s="493"/>
      <c r="AB196" s="493"/>
      <c r="AC196" s="493"/>
      <c r="AD196" s="493"/>
      <c r="AE196" s="493"/>
      <c r="AF196" s="493"/>
      <c r="AG196" s="493"/>
      <c r="AH196" s="493"/>
      <c r="AI196" s="493"/>
      <c r="AJ196" s="493"/>
      <c r="AK196" s="493"/>
      <c r="AL196" s="493"/>
      <c r="AM196" s="493"/>
      <c r="AN196" s="493"/>
      <c r="AO196" s="493"/>
      <c r="AP196" s="493"/>
      <c r="AQ196" s="493"/>
      <c r="AR196" s="493"/>
      <c r="AS196" s="493"/>
      <c r="AT196" s="493"/>
      <c r="AU196" s="493"/>
      <c r="AV196" s="493"/>
      <c r="AW196" s="493"/>
      <c r="AX196" s="493"/>
      <c r="AY196" s="493"/>
      <c r="AZ196" s="493"/>
      <c r="BA196" s="493"/>
      <c r="BB196" s="493"/>
      <c r="BC196" s="493"/>
      <c r="BD196" s="493"/>
      <c r="BE196" s="493"/>
      <c r="BF196" s="493"/>
      <c r="BG196" s="493"/>
      <c r="BH196" s="493"/>
      <c r="BI196" s="493"/>
    </row>
    <row r="197" spans="3:61" ht="12.75"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493"/>
      <c r="V197" s="493"/>
      <c r="W197" s="493"/>
      <c r="X197" s="493"/>
      <c r="Y197" s="493"/>
      <c r="Z197" s="493"/>
      <c r="AA197" s="493"/>
      <c r="AB197" s="493"/>
      <c r="AC197" s="493"/>
      <c r="AD197" s="493"/>
      <c r="AE197" s="493"/>
      <c r="AF197" s="493"/>
      <c r="AG197" s="493"/>
      <c r="AH197" s="493"/>
      <c r="AI197" s="493"/>
      <c r="AJ197" s="493"/>
      <c r="AK197" s="493"/>
      <c r="AL197" s="493"/>
      <c r="AM197" s="493"/>
      <c r="AN197" s="493"/>
      <c r="AO197" s="493"/>
      <c r="AP197" s="493"/>
      <c r="AQ197" s="493"/>
      <c r="AR197" s="493"/>
      <c r="AS197" s="493"/>
      <c r="AT197" s="493"/>
      <c r="AU197" s="493"/>
      <c r="AV197" s="493"/>
      <c r="AW197" s="493"/>
      <c r="AX197" s="493"/>
      <c r="AY197" s="493"/>
      <c r="AZ197" s="493"/>
      <c r="BA197" s="493"/>
      <c r="BB197" s="493"/>
      <c r="BC197" s="493"/>
      <c r="BD197" s="493"/>
      <c r="BE197" s="493"/>
      <c r="BF197" s="493"/>
      <c r="BG197" s="493"/>
      <c r="BH197" s="493"/>
      <c r="BI197" s="493"/>
    </row>
    <row r="198" spans="3:61" ht="12.75"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493"/>
      <c r="Y198" s="493"/>
      <c r="Z198" s="493"/>
      <c r="AA198" s="493"/>
      <c r="AB198" s="493"/>
      <c r="AC198" s="493"/>
      <c r="AD198" s="493"/>
      <c r="AE198" s="493"/>
      <c r="AF198" s="493"/>
      <c r="AG198" s="493"/>
      <c r="AH198" s="493"/>
      <c r="AI198" s="493"/>
      <c r="AJ198" s="493"/>
      <c r="AK198" s="493"/>
      <c r="AL198" s="493"/>
      <c r="AM198" s="493"/>
      <c r="AN198" s="493"/>
      <c r="AO198" s="493"/>
      <c r="AP198" s="493"/>
      <c r="AQ198" s="493"/>
      <c r="AR198" s="493"/>
      <c r="AS198" s="493"/>
      <c r="AT198" s="493"/>
      <c r="AU198" s="493"/>
      <c r="AV198" s="493"/>
      <c r="AW198" s="493"/>
      <c r="AX198" s="493"/>
      <c r="AY198" s="493"/>
      <c r="AZ198" s="493"/>
      <c r="BA198" s="493"/>
      <c r="BB198" s="493"/>
      <c r="BC198" s="493"/>
      <c r="BD198" s="493"/>
      <c r="BE198" s="493"/>
      <c r="BF198" s="493"/>
      <c r="BG198" s="493"/>
      <c r="BH198" s="493"/>
      <c r="BI198" s="493"/>
    </row>
    <row r="199" spans="3:61" ht="12.75"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493"/>
      <c r="V199" s="493"/>
      <c r="W199" s="493"/>
      <c r="X199" s="493"/>
      <c r="Y199" s="493"/>
      <c r="Z199" s="493"/>
      <c r="AA199" s="493"/>
      <c r="AB199" s="493"/>
      <c r="AC199" s="493"/>
      <c r="AD199" s="493"/>
      <c r="AE199" s="493"/>
      <c r="AF199" s="493"/>
      <c r="AG199" s="493"/>
      <c r="AH199" s="493"/>
      <c r="AI199" s="493"/>
      <c r="AJ199" s="493"/>
      <c r="AK199" s="493"/>
      <c r="AL199" s="493"/>
      <c r="AM199" s="493"/>
      <c r="AN199" s="493"/>
      <c r="AO199" s="493"/>
      <c r="AP199" s="493"/>
      <c r="AQ199" s="493"/>
      <c r="AR199" s="493"/>
      <c r="AS199" s="493"/>
      <c r="AT199" s="493"/>
      <c r="AU199" s="493"/>
      <c r="AV199" s="493"/>
      <c r="AW199" s="493"/>
      <c r="AX199" s="493"/>
      <c r="AY199" s="493"/>
      <c r="AZ199" s="493"/>
      <c r="BA199" s="493"/>
      <c r="BB199" s="493"/>
      <c r="BC199" s="493"/>
      <c r="BD199" s="493"/>
      <c r="BE199" s="493"/>
      <c r="BF199" s="493"/>
      <c r="BG199" s="493"/>
      <c r="BH199" s="493"/>
      <c r="BI199" s="493"/>
    </row>
    <row r="200" spans="3:61" ht="12.75"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3"/>
      <c r="R200" s="493"/>
      <c r="S200" s="493"/>
      <c r="T200" s="493"/>
      <c r="U200" s="493"/>
      <c r="V200" s="493"/>
      <c r="W200" s="493"/>
      <c r="X200" s="493"/>
      <c r="Y200" s="493"/>
      <c r="Z200" s="493"/>
      <c r="AA200" s="493"/>
      <c r="AB200" s="493"/>
      <c r="AC200" s="493"/>
      <c r="AD200" s="493"/>
      <c r="AE200" s="493"/>
      <c r="AF200" s="493"/>
      <c r="AG200" s="493"/>
      <c r="AH200" s="493"/>
      <c r="AI200" s="493"/>
      <c r="AJ200" s="493"/>
      <c r="AK200" s="493"/>
      <c r="AL200" s="493"/>
      <c r="AM200" s="493"/>
      <c r="AN200" s="493"/>
      <c r="AO200" s="493"/>
      <c r="AP200" s="493"/>
      <c r="AQ200" s="493"/>
      <c r="AR200" s="493"/>
      <c r="AS200" s="493"/>
      <c r="AT200" s="493"/>
      <c r="AU200" s="493"/>
      <c r="AV200" s="493"/>
      <c r="AW200" s="493"/>
      <c r="AX200" s="493"/>
      <c r="AY200" s="493"/>
      <c r="AZ200" s="493"/>
      <c r="BA200" s="493"/>
      <c r="BB200" s="493"/>
      <c r="BC200" s="493"/>
      <c r="BD200" s="493"/>
      <c r="BE200" s="493"/>
      <c r="BF200" s="493"/>
      <c r="BG200" s="493"/>
      <c r="BH200" s="493"/>
      <c r="BI200" s="493"/>
    </row>
    <row r="201" spans="3:61" ht="12.75"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  <c r="M201" s="493"/>
      <c r="N201" s="493"/>
      <c r="O201" s="493"/>
      <c r="P201" s="493"/>
      <c r="Q201" s="493"/>
      <c r="R201" s="493"/>
      <c r="S201" s="493"/>
      <c r="T201" s="493"/>
      <c r="U201" s="493"/>
      <c r="V201" s="493"/>
      <c r="W201" s="493"/>
      <c r="X201" s="493"/>
      <c r="Y201" s="493"/>
      <c r="Z201" s="493"/>
      <c r="AA201" s="493"/>
      <c r="AB201" s="493"/>
      <c r="AC201" s="493"/>
      <c r="AD201" s="493"/>
      <c r="AE201" s="493"/>
      <c r="AF201" s="493"/>
      <c r="AG201" s="493"/>
      <c r="AH201" s="493"/>
      <c r="AI201" s="493"/>
      <c r="AJ201" s="493"/>
      <c r="AK201" s="493"/>
      <c r="AL201" s="493"/>
      <c r="AM201" s="493"/>
      <c r="AN201" s="493"/>
      <c r="AO201" s="493"/>
      <c r="AP201" s="493"/>
      <c r="AQ201" s="493"/>
      <c r="AR201" s="493"/>
      <c r="AS201" s="493"/>
      <c r="AT201" s="493"/>
      <c r="AU201" s="493"/>
      <c r="AV201" s="493"/>
      <c r="AW201" s="493"/>
      <c r="AX201" s="493"/>
      <c r="AY201" s="493"/>
      <c r="AZ201" s="493"/>
      <c r="BA201" s="493"/>
      <c r="BB201" s="493"/>
      <c r="BC201" s="493"/>
      <c r="BD201" s="493"/>
      <c r="BE201" s="493"/>
      <c r="BF201" s="493"/>
      <c r="BG201" s="493"/>
      <c r="BH201" s="493"/>
      <c r="BI201" s="493"/>
    </row>
    <row r="202" spans="3:61" ht="12.75"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493"/>
      <c r="V202" s="493"/>
      <c r="W202" s="493"/>
      <c r="X202" s="493"/>
      <c r="Y202" s="493"/>
      <c r="Z202" s="493"/>
      <c r="AA202" s="493"/>
      <c r="AB202" s="493"/>
      <c r="AC202" s="493"/>
      <c r="AD202" s="493"/>
      <c r="AE202" s="493"/>
      <c r="AF202" s="493"/>
      <c r="AG202" s="493"/>
      <c r="AH202" s="493"/>
      <c r="AI202" s="493"/>
      <c r="AJ202" s="493"/>
      <c r="AK202" s="493"/>
      <c r="AL202" s="493"/>
      <c r="AM202" s="493"/>
      <c r="AN202" s="493"/>
      <c r="AO202" s="493"/>
      <c r="AP202" s="493"/>
      <c r="AQ202" s="493"/>
      <c r="AR202" s="493"/>
      <c r="AS202" s="493"/>
      <c r="AT202" s="493"/>
      <c r="AU202" s="493"/>
      <c r="AV202" s="493"/>
      <c r="AW202" s="493"/>
      <c r="AX202" s="493"/>
      <c r="AY202" s="493"/>
      <c r="AZ202" s="493"/>
      <c r="BA202" s="493"/>
      <c r="BB202" s="493"/>
      <c r="BC202" s="493"/>
      <c r="BD202" s="493"/>
      <c r="BE202" s="493"/>
      <c r="BF202" s="493"/>
      <c r="BG202" s="493"/>
      <c r="BH202" s="493"/>
      <c r="BI202" s="493"/>
    </row>
    <row r="203" spans="3:61" ht="12.75">
      <c r="C203" s="493"/>
      <c r="D203" s="493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3"/>
      <c r="R203" s="493"/>
      <c r="S203" s="493"/>
      <c r="T203" s="493"/>
      <c r="U203" s="493"/>
      <c r="V203" s="493"/>
      <c r="W203" s="493"/>
      <c r="X203" s="493"/>
      <c r="Y203" s="493"/>
      <c r="Z203" s="493"/>
      <c r="AA203" s="493"/>
      <c r="AB203" s="493"/>
      <c r="AC203" s="493"/>
      <c r="AD203" s="493"/>
      <c r="AE203" s="493"/>
      <c r="AF203" s="493"/>
      <c r="AG203" s="493"/>
      <c r="AH203" s="493"/>
      <c r="AI203" s="493"/>
      <c r="AJ203" s="493"/>
      <c r="AK203" s="493"/>
      <c r="AL203" s="493"/>
      <c r="AM203" s="493"/>
      <c r="AN203" s="493"/>
      <c r="AO203" s="493"/>
      <c r="AP203" s="493"/>
      <c r="AQ203" s="493"/>
      <c r="AR203" s="493"/>
      <c r="AS203" s="493"/>
      <c r="AT203" s="493"/>
      <c r="AU203" s="493"/>
      <c r="AV203" s="493"/>
      <c r="AW203" s="493"/>
      <c r="AX203" s="493"/>
      <c r="AY203" s="493"/>
      <c r="AZ203" s="493"/>
      <c r="BA203" s="493"/>
      <c r="BB203" s="493"/>
      <c r="BC203" s="493"/>
      <c r="BD203" s="493"/>
      <c r="BE203" s="493"/>
      <c r="BF203" s="493"/>
      <c r="BG203" s="493"/>
      <c r="BH203" s="493"/>
      <c r="BI203" s="493"/>
    </row>
    <row r="204" spans="3:61" ht="12.75">
      <c r="C204" s="493"/>
      <c r="D204" s="493"/>
      <c r="E204" s="493"/>
      <c r="F204" s="493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  <c r="Q204" s="493"/>
      <c r="R204" s="493"/>
      <c r="S204" s="493"/>
      <c r="T204" s="493"/>
      <c r="U204" s="493"/>
      <c r="V204" s="493"/>
      <c r="W204" s="493"/>
      <c r="X204" s="493"/>
      <c r="Y204" s="493"/>
      <c r="Z204" s="493"/>
      <c r="AA204" s="493"/>
      <c r="AB204" s="493"/>
      <c r="AC204" s="493"/>
      <c r="AD204" s="493"/>
      <c r="AE204" s="493"/>
      <c r="AF204" s="493"/>
      <c r="AG204" s="493"/>
      <c r="AH204" s="493"/>
      <c r="AI204" s="493"/>
      <c r="AJ204" s="493"/>
      <c r="AK204" s="493"/>
      <c r="AL204" s="493"/>
      <c r="AM204" s="493"/>
      <c r="AN204" s="493"/>
      <c r="AO204" s="493"/>
      <c r="AP204" s="493"/>
      <c r="AQ204" s="493"/>
      <c r="AR204" s="493"/>
      <c r="AS204" s="493"/>
      <c r="AT204" s="493"/>
      <c r="AU204" s="493"/>
      <c r="AV204" s="493"/>
      <c r="AW204" s="493"/>
      <c r="AX204" s="493"/>
      <c r="AY204" s="493"/>
      <c r="AZ204" s="493"/>
      <c r="BA204" s="493"/>
      <c r="BB204" s="493"/>
      <c r="BC204" s="493"/>
      <c r="BD204" s="493"/>
      <c r="BE204" s="493"/>
      <c r="BF204" s="493"/>
      <c r="BG204" s="493"/>
      <c r="BH204" s="493"/>
      <c r="BI204" s="493"/>
    </row>
    <row r="205" spans="3:61" ht="12.75">
      <c r="C205" s="493"/>
      <c r="D205" s="493"/>
      <c r="E205" s="493"/>
      <c r="F205" s="493"/>
      <c r="G205" s="493"/>
      <c r="H205" s="493"/>
      <c r="I205" s="493"/>
      <c r="J205" s="493"/>
      <c r="K205" s="493"/>
      <c r="L205" s="493"/>
      <c r="M205" s="493"/>
      <c r="N205" s="493"/>
      <c r="O205" s="493"/>
      <c r="P205" s="493"/>
      <c r="Q205" s="493"/>
      <c r="R205" s="493"/>
      <c r="S205" s="493"/>
      <c r="T205" s="493"/>
      <c r="U205" s="493"/>
      <c r="V205" s="493"/>
      <c r="W205" s="493"/>
      <c r="X205" s="493"/>
      <c r="Y205" s="493"/>
      <c r="Z205" s="493"/>
      <c r="AA205" s="493"/>
      <c r="AB205" s="493"/>
      <c r="AC205" s="493"/>
      <c r="AD205" s="493"/>
      <c r="AE205" s="493"/>
      <c r="AF205" s="493"/>
      <c r="AG205" s="493"/>
      <c r="AH205" s="493"/>
      <c r="AI205" s="493"/>
      <c r="AJ205" s="493"/>
      <c r="AK205" s="493"/>
      <c r="AL205" s="493"/>
      <c r="AM205" s="493"/>
      <c r="AN205" s="493"/>
      <c r="AO205" s="493"/>
      <c r="AP205" s="493"/>
      <c r="AQ205" s="493"/>
      <c r="AR205" s="493"/>
      <c r="AS205" s="493"/>
      <c r="AT205" s="493"/>
      <c r="AU205" s="493"/>
      <c r="AV205" s="493"/>
      <c r="AW205" s="493"/>
      <c r="AX205" s="493"/>
      <c r="AY205" s="493"/>
      <c r="AZ205" s="493"/>
      <c r="BA205" s="493"/>
      <c r="BB205" s="493"/>
      <c r="BC205" s="493"/>
      <c r="BD205" s="493"/>
      <c r="BE205" s="493"/>
      <c r="BF205" s="493"/>
      <c r="BG205" s="493"/>
      <c r="BH205" s="493"/>
      <c r="BI205" s="493"/>
    </row>
    <row r="206" spans="3:61" ht="12.75">
      <c r="C206" s="493"/>
      <c r="D206" s="493"/>
      <c r="E206" s="493"/>
      <c r="F206" s="493"/>
      <c r="G206" s="493"/>
      <c r="H206" s="493"/>
      <c r="I206" s="493"/>
      <c r="J206" s="493"/>
      <c r="K206" s="493"/>
      <c r="L206" s="493"/>
      <c r="M206" s="493"/>
      <c r="N206" s="493"/>
      <c r="O206" s="493"/>
      <c r="P206" s="493"/>
      <c r="Q206" s="493"/>
      <c r="R206" s="493"/>
      <c r="S206" s="493"/>
      <c r="T206" s="493"/>
      <c r="U206" s="493"/>
      <c r="V206" s="493"/>
      <c r="W206" s="493"/>
      <c r="X206" s="493"/>
      <c r="Y206" s="493"/>
      <c r="Z206" s="493"/>
      <c r="AA206" s="493"/>
      <c r="AB206" s="493"/>
      <c r="AC206" s="493"/>
      <c r="AD206" s="493"/>
      <c r="AE206" s="493"/>
      <c r="AF206" s="493"/>
      <c r="AG206" s="493"/>
      <c r="AH206" s="493"/>
      <c r="AI206" s="493"/>
      <c r="AJ206" s="493"/>
      <c r="AK206" s="493"/>
      <c r="AL206" s="493"/>
      <c r="AM206" s="493"/>
      <c r="AN206" s="493"/>
      <c r="AO206" s="493"/>
      <c r="AP206" s="493"/>
      <c r="AQ206" s="493"/>
      <c r="AR206" s="493"/>
      <c r="AS206" s="493"/>
      <c r="AT206" s="493"/>
      <c r="AU206" s="493"/>
      <c r="AV206" s="493"/>
      <c r="AW206" s="493"/>
      <c r="AX206" s="493"/>
      <c r="AY206" s="493"/>
      <c r="AZ206" s="493"/>
      <c r="BA206" s="493"/>
      <c r="BB206" s="493"/>
      <c r="BC206" s="493"/>
      <c r="BD206" s="493"/>
      <c r="BE206" s="493"/>
      <c r="BF206" s="493"/>
      <c r="BG206" s="493"/>
      <c r="BH206" s="493"/>
      <c r="BI206" s="493"/>
    </row>
    <row r="207" spans="3:61" ht="12.75">
      <c r="C207" s="493"/>
      <c r="D207" s="493"/>
      <c r="E207" s="493"/>
      <c r="F207" s="493"/>
      <c r="G207" s="493"/>
      <c r="H207" s="493"/>
      <c r="I207" s="493"/>
      <c r="J207" s="493"/>
      <c r="K207" s="493"/>
      <c r="L207" s="493"/>
      <c r="M207" s="493"/>
      <c r="N207" s="493"/>
      <c r="O207" s="493"/>
      <c r="P207" s="493"/>
      <c r="Q207" s="493"/>
      <c r="R207" s="493"/>
      <c r="S207" s="493"/>
      <c r="T207" s="493"/>
      <c r="U207" s="493"/>
      <c r="V207" s="493"/>
      <c r="W207" s="493"/>
      <c r="X207" s="493"/>
      <c r="Y207" s="493"/>
      <c r="Z207" s="493"/>
      <c r="AA207" s="493"/>
      <c r="AB207" s="493"/>
      <c r="AC207" s="493"/>
      <c r="AD207" s="493"/>
      <c r="AE207" s="493"/>
      <c r="AF207" s="493"/>
      <c r="AG207" s="493"/>
      <c r="AH207" s="493"/>
      <c r="AI207" s="493"/>
      <c r="AJ207" s="493"/>
      <c r="AK207" s="493"/>
      <c r="AL207" s="493"/>
      <c r="AM207" s="493"/>
      <c r="AN207" s="493"/>
      <c r="AO207" s="493"/>
      <c r="AP207" s="493"/>
      <c r="AQ207" s="493"/>
      <c r="AR207" s="493"/>
      <c r="AS207" s="493"/>
      <c r="AT207" s="493"/>
      <c r="AU207" s="493"/>
      <c r="AV207" s="493"/>
      <c r="AW207" s="493"/>
      <c r="AX207" s="493"/>
      <c r="AY207" s="493"/>
      <c r="AZ207" s="493"/>
      <c r="BA207" s="493"/>
      <c r="BB207" s="493"/>
      <c r="BC207" s="493"/>
      <c r="BD207" s="493"/>
      <c r="BE207" s="493"/>
      <c r="BF207" s="493"/>
      <c r="BG207" s="493"/>
      <c r="BH207" s="493"/>
      <c r="BI207" s="493"/>
    </row>
    <row r="208" spans="3:61" ht="12.75">
      <c r="C208" s="493"/>
      <c r="D208" s="493"/>
      <c r="E208" s="493"/>
      <c r="F208" s="493"/>
      <c r="G208" s="493"/>
      <c r="H208" s="493"/>
      <c r="I208" s="493"/>
      <c r="J208" s="493"/>
      <c r="K208" s="493"/>
      <c r="L208" s="493"/>
      <c r="M208" s="493"/>
      <c r="N208" s="493"/>
      <c r="O208" s="493"/>
      <c r="P208" s="493"/>
      <c r="Q208" s="493"/>
      <c r="R208" s="493"/>
      <c r="S208" s="493"/>
      <c r="T208" s="493"/>
      <c r="U208" s="493"/>
      <c r="V208" s="493"/>
      <c r="W208" s="493"/>
      <c r="X208" s="493"/>
      <c r="Y208" s="493"/>
      <c r="Z208" s="493"/>
      <c r="AA208" s="493"/>
      <c r="AB208" s="493"/>
      <c r="AC208" s="493"/>
      <c r="AD208" s="493"/>
      <c r="AE208" s="493"/>
      <c r="AF208" s="493"/>
      <c r="AG208" s="493"/>
      <c r="AH208" s="493"/>
      <c r="AI208" s="493"/>
      <c r="AJ208" s="493"/>
      <c r="AK208" s="493"/>
      <c r="AL208" s="493"/>
      <c r="AM208" s="493"/>
      <c r="AN208" s="493"/>
      <c r="AO208" s="493"/>
      <c r="AP208" s="493"/>
      <c r="AQ208" s="493"/>
      <c r="AR208" s="493"/>
      <c r="AS208" s="493"/>
      <c r="AT208" s="493"/>
      <c r="AU208" s="493"/>
      <c r="AV208" s="493"/>
      <c r="AW208" s="493"/>
      <c r="AX208" s="493"/>
      <c r="AY208" s="493"/>
      <c r="AZ208" s="493"/>
      <c r="BA208" s="493"/>
      <c r="BB208" s="493"/>
      <c r="BC208" s="493"/>
      <c r="BD208" s="493"/>
      <c r="BE208" s="493"/>
      <c r="BF208" s="493"/>
      <c r="BG208" s="493"/>
      <c r="BH208" s="493"/>
      <c r="BI208" s="493"/>
    </row>
    <row r="209" spans="3:61" ht="12.75">
      <c r="C209" s="493"/>
      <c r="D209" s="493"/>
      <c r="E209" s="493"/>
      <c r="F209" s="493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93"/>
      <c r="R209" s="493"/>
      <c r="S209" s="493"/>
      <c r="T209" s="493"/>
      <c r="U209" s="493"/>
      <c r="V209" s="493"/>
      <c r="W209" s="493"/>
      <c r="X209" s="493"/>
      <c r="Y209" s="493"/>
      <c r="Z209" s="493"/>
      <c r="AA209" s="493"/>
      <c r="AB209" s="493"/>
      <c r="AC209" s="493"/>
      <c r="AD209" s="493"/>
      <c r="AE209" s="493"/>
      <c r="AF209" s="493"/>
      <c r="AG209" s="493"/>
      <c r="AH209" s="493"/>
      <c r="AI209" s="493"/>
      <c r="AJ209" s="493"/>
      <c r="AK209" s="493"/>
      <c r="AL209" s="493"/>
      <c r="AM209" s="493"/>
      <c r="AN209" s="493"/>
      <c r="AO209" s="493"/>
      <c r="AP209" s="493"/>
      <c r="AQ209" s="493"/>
      <c r="AR209" s="493"/>
      <c r="AS209" s="493"/>
      <c r="AT209" s="493"/>
      <c r="AU209" s="493"/>
      <c r="AV209" s="493"/>
      <c r="AW209" s="493"/>
      <c r="AX209" s="493"/>
      <c r="AY209" s="493"/>
      <c r="AZ209" s="493"/>
      <c r="BA209" s="493"/>
      <c r="BB209" s="493"/>
      <c r="BC209" s="493"/>
      <c r="BD209" s="493"/>
      <c r="BE209" s="493"/>
      <c r="BF209" s="493"/>
      <c r="BG209" s="493"/>
      <c r="BH209" s="493"/>
      <c r="BI209" s="493"/>
    </row>
    <row r="210" spans="3:61" ht="12.75">
      <c r="C210" s="493"/>
      <c r="D210" s="493"/>
      <c r="E210" s="493"/>
      <c r="F210" s="493"/>
      <c r="G210" s="493"/>
      <c r="H210" s="493"/>
      <c r="I210" s="493"/>
      <c r="J210" s="493"/>
      <c r="K210" s="493"/>
      <c r="L210" s="493"/>
      <c r="M210" s="493"/>
      <c r="N210" s="493"/>
      <c r="O210" s="493"/>
      <c r="P210" s="493"/>
      <c r="Q210" s="493"/>
      <c r="R210" s="493"/>
      <c r="S210" s="493"/>
      <c r="T210" s="493"/>
      <c r="U210" s="493"/>
      <c r="V210" s="493"/>
      <c r="W210" s="493"/>
      <c r="X210" s="493"/>
      <c r="Y210" s="493"/>
      <c r="Z210" s="493"/>
      <c r="AA210" s="493"/>
      <c r="AB210" s="493"/>
      <c r="AC210" s="493"/>
      <c r="AD210" s="493"/>
      <c r="AE210" s="493"/>
      <c r="AF210" s="493"/>
      <c r="AG210" s="493"/>
      <c r="AH210" s="493"/>
      <c r="AI210" s="493"/>
      <c r="AJ210" s="493"/>
      <c r="AK210" s="493"/>
      <c r="AL210" s="493"/>
      <c r="AM210" s="493"/>
      <c r="AN210" s="493"/>
      <c r="AO210" s="493"/>
      <c r="AP210" s="493"/>
      <c r="AQ210" s="493"/>
      <c r="AR210" s="493"/>
      <c r="AS210" s="493"/>
      <c r="AT210" s="493"/>
      <c r="AU210" s="493"/>
      <c r="AV210" s="493"/>
      <c r="AW210" s="493"/>
      <c r="AX210" s="493"/>
      <c r="AY210" s="493"/>
      <c r="AZ210" s="493"/>
      <c r="BA210" s="493"/>
      <c r="BB210" s="493"/>
      <c r="BC210" s="493"/>
      <c r="BD210" s="493"/>
      <c r="BE210" s="493"/>
      <c r="BF210" s="493"/>
      <c r="BG210" s="493"/>
      <c r="BH210" s="493"/>
      <c r="BI210" s="493"/>
    </row>
    <row r="211" spans="3:61" ht="12.75">
      <c r="C211" s="493"/>
      <c r="D211" s="493"/>
      <c r="E211" s="493"/>
      <c r="F211" s="493"/>
      <c r="G211" s="493"/>
      <c r="H211" s="493"/>
      <c r="I211" s="493"/>
      <c r="J211" s="493"/>
      <c r="K211" s="493"/>
      <c r="L211" s="493"/>
      <c r="M211" s="493"/>
      <c r="N211" s="493"/>
      <c r="O211" s="493"/>
      <c r="P211" s="493"/>
      <c r="Q211" s="493"/>
      <c r="R211" s="493"/>
      <c r="S211" s="493"/>
      <c r="T211" s="493"/>
      <c r="U211" s="493"/>
      <c r="V211" s="493"/>
      <c r="W211" s="493"/>
      <c r="X211" s="493"/>
      <c r="Y211" s="493"/>
      <c r="Z211" s="493"/>
      <c r="AA211" s="493"/>
      <c r="AB211" s="493"/>
      <c r="AC211" s="493"/>
      <c r="AD211" s="493"/>
      <c r="AE211" s="493"/>
      <c r="AF211" s="493"/>
      <c r="AG211" s="493"/>
      <c r="AH211" s="493"/>
      <c r="AI211" s="493"/>
      <c r="AJ211" s="493"/>
      <c r="AK211" s="493"/>
      <c r="AL211" s="493"/>
      <c r="AM211" s="493"/>
      <c r="AN211" s="493"/>
      <c r="AO211" s="493"/>
      <c r="AP211" s="493"/>
      <c r="AQ211" s="493"/>
      <c r="AR211" s="493"/>
      <c r="AS211" s="493"/>
      <c r="AT211" s="493"/>
      <c r="AU211" s="493"/>
      <c r="AV211" s="493"/>
      <c r="AW211" s="493"/>
      <c r="AX211" s="493"/>
      <c r="AY211" s="493"/>
      <c r="AZ211" s="493"/>
      <c r="BA211" s="493"/>
      <c r="BB211" s="493"/>
      <c r="BC211" s="493"/>
      <c r="BD211" s="493"/>
      <c r="BE211" s="493"/>
      <c r="BF211" s="493"/>
      <c r="BG211" s="493"/>
      <c r="BH211" s="493"/>
      <c r="BI211" s="493"/>
    </row>
    <row r="212" spans="3:61" ht="12.75">
      <c r="C212" s="493"/>
      <c r="D212" s="493"/>
      <c r="E212" s="493"/>
      <c r="F212" s="493"/>
      <c r="G212" s="493"/>
      <c r="H212" s="493"/>
      <c r="I212" s="493"/>
      <c r="J212" s="493"/>
      <c r="K212" s="493"/>
      <c r="L212" s="493"/>
      <c r="M212" s="493"/>
      <c r="N212" s="493"/>
      <c r="O212" s="493"/>
      <c r="P212" s="493"/>
      <c r="Q212" s="493"/>
      <c r="R212" s="493"/>
      <c r="S212" s="493"/>
      <c r="T212" s="493"/>
      <c r="U212" s="493"/>
      <c r="V212" s="493"/>
      <c r="W212" s="493"/>
      <c r="X212" s="493"/>
      <c r="Y212" s="493"/>
      <c r="Z212" s="493"/>
      <c r="AA212" s="493"/>
      <c r="AB212" s="493"/>
      <c r="AC212" s="493"/>
      <c r="AD212" s="493"/>
      <c r="AE212" s="493"/>
      <c r="AF212" s="493"/>
      <c r="AG212" s="493"/>
      <c r="AH212" s="493"/>
      <c r="AI212" s="493"/>
      <c r="AJ212" s="493"/>
      <c r="AK212" s="493"/>
      <c r="AL212" s="493"/>
      <c r="AM212" s="493"/>
      <c r="AN212" s="493"/>
      <c r="AO212" s="493"/>
      <c r="AP212" s="493"/>
      <c r="AQ212" s="493"/>
      <c r="AR212" s="493"/>
      <c r="AS212" s="493"/>
      <c r="AT212" s="493"/>
      <c r="AU212" s="493"/>
      <c r="AV212" s="493"/>
      <c r="AW212" s="493"/>
      <c r="AX212" s="493"/>
      <c r="AY212" s="493"/>
      <c r="AZ212" s="493"/>
      <c r="BA212" s="493"/>
      <c r="BB212" s="493"/>
      <c r="BC212" s="493"/>
      <c r="BD212" s="493"/>
      <c r="BE212" s="493"/>
      <c r="BF212" s="493"/>
      <c r="BG212" s="493"/>
      <c r="BH212" s="493"/>
      <c r="BI212" s="493"/>
    </row>
    <row r="213" spans="3:61" ht="12.75">
      <c r="C213" s="493"/>
      <c r="D213" s="493"/>
      <c r="E213" s="493"/>
      <c r="F213" s="493"/>
      <c r="G213" s="493"/>
      <c r="H213" s="493"/>
      <c r="I213" s="493"/>
      <c r="J213" s="493"/>
      <c r="K213" s="493"/>
      <c r="L213" s="493"/>
      <c r="M213" s="493"/>
      <c r="N213" s="493"/>
      <c r="O213" s="493"/>
      <c r="P213" s="493"/>
      <c r="Q213" s="493"/>
      <c r="R213" s="493"/>
      <c r="S213" s="493"/>
      <c r="T213" s="493"/>
      <c r="U213" s="493"/>
      <c r="V213" s="493"/>
      <c r="W213" s="493"/>
      <c r="X213" s="493"/>
      <c r="Y213" s="493"/>
      <c r="Z213" s="493"/>
      <c r="AA213" s="493"/>
      <c r="AB213" s="493"/>
      <c r="AC213" s="493"/>
      <c r="AD213" s="493"/>
      <c r="AE213" s="493"/>
      <c r="AF213" s="493"/>
      <c r="AG213" s="493"/>
      <c r="AH213" s="493"/>
      <c r="AI213" s="493"/>
      <c r="AJ213" s="493"/>
      <c r="AK213" s="493"/>
      <c r="AL213" s="493"/>
      <c r="AM213" s="493"/>
      <c r="AN213" s="493"/>
      <c r="AO213" s="493"/>
      <c r="AP213" s="493"/>
      <c r="AQ213" s="493"/>
      <c r="AR213" s="493"/>
      <c r="AS213" s="493"/>
      <c r="AT213" s="493"/>
      <c r="AU213" s="493"/>
      <c r="AV213" s="493"/>
      <c r="AW213" s="493"/>
      <c r="AX213" s="493"/>
      <c r="AY213" s="493"/>
      <c r="AZ213" s="493"/>
      <c r="BA213" s="493"/>
      <c r="BB213" s="493"/>
      <c r="BC213" s="493"/>
      <c r="BD213" s="493"/>
      <c r="BE213" s="493"/>
      <c r="BF213" s="493"/>
      <c r="BG213" s="493"/>
      <c r="BH213" s="493"/>
      <c r="BI213" s="493"/>
    </row>
    <row r="214" spans="3:61" ht="12.75">
      <c r="C214" s="493"/>
      <c r="D214" s="493"/>
      <c r="E214" s="493"/>
      <c r="F214" s="493"/>
      <c r="G214" s="493"/>
      <c r="H214" s="493"/>
      <c r="I214" s="493"/>
      <c r="J214" s="493"/>
      <c r="K214" s="493"/>
      <c r="L214" s="493"/>
      <c r="M214" s="493"/>
      <c r="N214" s="493"/>
      <c r="O214" s="493"/>
      <c r="P214" s="493"/>
      <c r="Q214" s="493"/>
      <c r="R214" s="493"/>
      <c r="S214" s="493"/>
      <c r="T214" s="493"/>
      <c r="U214" s="493"/>
      <c r="V214" s="493"/>
      <c r="W214" s="493"/>
      <c r="X214" s="493"/>
      <c r="Y214" s="493"/>
      <c r="Z214" s="493"/>
      <c r="AA214" s="493"/>
      <c r="AB214" s="493"/>
      <c r="AC214" s="493"/>
      <c r="AD214" s="493"/>
      <c r="AE214" s="493"/>
      <c r="AF214" s="493"/>
      <c r="AG214" s="493"/>
      <c r="AH214" s="493"/>
      <c r="AI214" s="493"/>
      <c r="AJ214" s="493"/>
      <c r="AK214" s="493"/>
      <c r="AL214" s="493"/>
      <c r="AM214" s="493"/>
      <c r="AN214" s="493"/>
      <c r="AO214" s="493"/>
      <c r="AP214" s="493"/>
      <c r="AQ214" s="493"/>
      <c r="AR214" s="493"/>
      <c r="AS214" s="493"/>
      <c r="AT214" s="493"/>
      <c r="AU214" s="493"/>
      <c r="AV214" s="493"/>
      <c r="AW214" s="493"/>
      <c r="AX214" s="493"/>
      <c r="AY214" s="493"/>
      <c r="AZ214" s="493"/>
      <c r="BA214" s="493"/>
      <c r="BB214" s="493"/>
      <c r="BC214" s="493"/>
      <c r="BD214" s="493"/>
      <c r="BE214" s="493"/>
      <c r="BF214" s="493"/>
      <c r="BG214" s="493"/>
      <c r="BH214" s="493"/>
      <c r="BI214" s="493"/>
    </row>
    <row r="215" spans="3:61" ht="12.75">
      <c r="C215" s="493"/>
      <c r="D215" s="493"/>
      <c r="E215" s="493"/>
      <c r="F215" s="493"/>
      <c r="G215" s="493"/>
      <c r="H215" s="493"/>
      <c r="I215" s="493"/>
      <c r="J215" s="493"/>
      <c r="K215" s="493"/>
      <c r="L215" s="493"/>
      <c r="M215" s="493"/>
      <c r="N215" s="493"/>
      <c r="O215" s="493"/>
      <c r="P215" s="493"/>
      <c r="Q215" s="493"/>
      <c r="R215" s="493"/>
      <c r="S215" s="493"/>
      <c r="T215" s="493"/>
      <c r="U215" s="493"/>
      <c r="V215" s="493"/>
      <c r="W215" s="493"/>
      <c r="X215" s="493"/>
      <c r="Y215" s="493"/>
      <c r="Z215" s="493"/>
      <c r="AA215" s="493"/>
      <c r="AB215" s="493"/>
      <c r="AC215" s="493"/>
      <c r="AD215" s="493"/>
      <c r="AE215" s="493"/>
      <c r="AF215" s="493"/>
      <c r="AG215" s="493"/>
      <c r="AH215" s="493"/>
      <c r="AI215" s="493"/>
      <c r="AJ215" s="493"/>
      <c r="AK215" s="493"/>
      <c r="AL215" s="493"/>
      <c r="AM215" s="493"/>
      <c r="AN215" s="493"/>
      <c r="AO215" s="493"/>
      <c r="AP215" s="493"/>
      <c r="AQ215" s="493"/>
      <c r="AR215" s="493"/>
      <c r="AS215" s="493"/>
      <c r="AT215" s="493"/>
      <c r="AU215" s="493"/>
      <c r="AV215" s="493"/>
      <c r="AW215" s="493"/>
      <c r="AX215" s="493"/>
      <c r="AY215" s="493"/>
      <c r="AZ215" s="493"/>
      <c r="BA215" s="493"/>
      <c r="BB215" s="493"/>
      <c r="BC215" s="493"/>
      <c r="BD215" s="493"/>
      <c r="BE215" s="493"/>
      <c r="BF215" s="493"/>
      <c r="BG215" s="493"/>
      <c r="BH215" s="493"/>
      <c r="BI215" s="493"/>
    </row>
    <row r="216" spans="3:61" ht="12.75">
      <c r="C216" s="493"/>
      <c r="D216" s="493"/>
      <c r="E216" s="493"/>
      <c r="F216" s="493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W216" s="493"/>
      <c r="X216" s="493"/>
      <c r="Y216" s="493"/>
      <c r="Z216" s="493"/>
      <c r="AA216" s="493"/>
      <c r="AB216" s="493"/>
      <c r="AC216" s="493"/>
      <c r="AD216" s="493"/>
      <c r="AE216" s="493"/>
      <c r="AF216" s="493"/>
      <c r="AG216" s="493"/>
      <c r="AH216" s="493"/>
      <c r="AI216" s="493"/>
      <c r="AJ216" s="493"/>
      <c r="AK216" s="493"/>
      <c r="AL216" s="493"/>
      <c r="AM216" s="493"/>
      <c r="AN216" s="493"/>
      <c r="AO216" s="493"/>
      <c r="AP216" s="493"/>
      <c r="AQ216" s="493"/>
      <c r="AR216" s="493"/>
      <c r="AS216" s="493"/>
      <c r="AT216" s="493"/>
      <c r="AU216" s="493"/>
      <c r="AV216" s="493"/>
      <c r="AW216" s="493"/>
      <c r="AX216" s="493"/>
      <c r="AY216" s="493"/>
      <c r="AZ216" s="493"/>
      <c r="BA216" s="493"/>
      <c r="BB216" s="493"/>
      <c r="BC216" s="493"/>
      <c r="BD216" s="493"/>
      <c r="BE216" s="493"/>
      <c r="BF216" s="493"/>
      <c r="BG216" s="493"/>
      <c r="BH216" s="493"/>
      <c r="BI216" s="493"/>
    </row>
    <row r="217" spans="3:61" ht="12.75">
      <c r="C217" s="493"/>
      <c r="D217" s="493"/>
      <c r="E217" s="493"/>
      <c r="F217" s="493"/>
      <c r="G217" s="493"/>
      <c r="H217" s="493"/>
      <c r="I217" s="493"/>
      <c r="J217" s="493"/>
      <c r="K217" s="493"/>
      <c r="L217" s="493"/>
      <c r="M217" s="493"/>
      <c r="N217" s="493"/>
      <c r="O217" s="493"/>
      <c r="P217" s="493"/>
      <c r="Q217" s="493"/>
      <c r="R217" s="493"/>
      <c r="S217" s="493"/>
      <c r="T217" s="493"/>
      <c r="U217" s="493"/>
      <c r="V217" s="493"/>
      <c r="W217" s="493"/>
      <c r="X217" s="493"/>
      <c r="Y217" s="493"/>
      <c r="Z217" s="493"/>
      <c r="AA217" s="493"/>
      <c r="AB217" s="493"/>
      <c r="AC217" s="493"/>
      <c r="AD217" s="493"/>
      <c r="AE217" s="493"/>
      <c r="AF217" s="493"/>
      <c r="AG217" s="493"/>
      <c r="AH217" s="493"/>
      <c r="AI217" s="493"/>
      <c r="AJ217" s="493"/>
      <c r="AK217" s="493"/>
      <c r="AL217" s="493"/>
      <c r="AM217" s="493"/>
      <c r="AN217" s="493"/>
      <c r="AO217" s="493"/>
      <c r="AP217" s="493"/>
      <c r="AQ217" s="493"/>
      <c r="AR217" s="493"/>
      <c r="AS217" s="493"/>
      <c r="AT217" s="493"/>
      <c r="AU217" s="493"/>
      <c r="AV217" s="493"/>
      <c r="AW217" s="493"/>
      <c r="AX217" s="493"/>
      <c r="AY217" s="493"/>
      <c r="AZ217" s="493"/>
      <c r="BA217" s="493"/>
      <c r="BB217" s="493"/>
      <c r="BC217" s="493"/>
      <c r="BD217" s="493"/>
      <c r="BE217" s="493"/>
      <c r="BF217" s="493"/>
      <c r="BG217" s="493"/>
      <c r="BH217" s="493"/>
      <c r="BI217" s="493"/>
    </row>
    <row r="218" spans="3:61" ht="12.75">
      <c r="C218" s="493"/>
      <c r="D218" s="493"/>
      <c r="E218" s="493"/>
      <c r="F218" s="493"/>
      <c r="G218" s="493"/>
      <c r="H218" s="493"/>
      <c r="I218" s="493"/>
      <c r="J218" s="493"/>
      <c r="K218" s="493"/>
      <c r="L218" s="493"/>
      <c r="M218" s="493"/>
      <c r="N218" s="493"/>
      <c r="O218" s="493"/>
      <c r="P218" s="493"/>
      <c r="Q218" s="493"/>
      <c r="R218" s="493"/>
      <c r="S218" s="493"/>
      <c r="T218" s="493"/>
      <c r="U218" s="493"/>
      <c r="V218" s="493"/>
      <c r="W218" s="493"/>
      <c r="X218" s="493"/>
      <c r="Y218" s="493"/>
      <c r="Z218" s="493"/>
      <c r="AA218" s="493"/>
      <c r="AB218" s="493"/>
      <c r="AC218" s="493"/>
      <c r="AD218" s="493"/>
      <c r="AE218" s="493"/>
      <c r="AF218" s="493"/>
      <c r="AG218" s="493"/>
      <c r="AH218" s="493"/>
      <c r="AI218" s="493"/>
      <c r="AJ218" s="493"/>
      <c r="AK218" s="493"/>
      <c r="AL218" s="493"/>
      <c r="AM218" s="493"/>
      <c r="AN218" s="493"/>
      <c r="AO218" s="493"/>
      <c r="AP218" s="493"/>
      <c r="AQ218" s="493"/>
      <c r="AR218" s="493"/>
      <c r="AS218" s="493"/>
      <c r="AT218" s="493"/>
      <c r="AU218" s="493"/>
      <c r="AV218" s="493"/>
      <c r="AW218" s="493"/>
      <c r="AX218" s="493"/>
      <c r="AY218" s="493"/>
      <c r="AZ218" s="493"/>
      <c r="BA218" s="493"/>
      <c r="BB218" s="493"/>
      <c r="BC218" s="493"/>
      <c r="BD218" s="493"/>
      <c r="BE218" s="493"/>
      <c r="BF218" s="493"/>
      <c r="BG218" s="493"/>
      <c r="BH218" s="493"/>
      <c r="BI218" s="493"/>
    </row>
    <row r="219" spans="3:61" ht="12.75">
      <c r="C219" s="493"/>
      <c r="D219" s="493"/>
      <c r="E219" s="493"/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493"/>
      <c r="Y219" s="493"/>
      <c r="Z219" s="493"/>
      <c r="AA219" s="493"/>
      <c r="AB219" s="493"/>
      <c r="AC219" s="493"/>
      <c r="AD219" s="493"/>
      <c r="AE219" s="493"/>
      <c r="AF219" s="493"/>
      <c r="AG219" s="493"/>
      <c r="AH219" s="493"/>
      <c r="AI219" s="493"/>
      <c r="AJ219" s="493"/>
      <c r="AK219" s="493"/>
      <c r="AL219" s="493"/>
      <c r="AM219" s="493"/>
      <c r="AN219" s="493"/>
      <c r="AO219" s="493"/>
      <c r="AP219" s="493"/>
      <c r="AQ219" s="493"/>
      <c r="AR219" s="493"/>
      <c r="AS219" s="493"/>
      <c r="AT219" s="493"/>
      <c r="AU219" s="493"/>
      <c r="AV219" s="493"/>
      <c r="AW219" s="493"/>
      <c r="AX219" s="493"/>
      <c r="AY219" s="493"/>
      <c r="AZ219" s="493"/>
      <c r="BA219" s="493"/>
      <c r="BB219" s="493"/>
      <c r="BC219" s="493"/>
      <c r="BD219" s="493"/>
      <c r="BE219" s="493"/>
      <c r="BF219" s="493"/>
      <c r="BG219" s="493"/>
      <c r="BH219" s="493"/>
      <c r="BI219" s="493"/>
    </row>
    <row r="220" spans="3:61" ht="12.75">
      <c r="C220" s="493"/>
      <c r="D220" s="493"/>
      <c r="E220" s="493"/>
      <c r="F220" s="493"/>
      <c r="G220" s="493"/>
      <c r="H220" s="493"/>
      <c r="I220" s="493"/>
      <c r="J220" s="493"/>
      <c r="K220" s="493"/>
      <c r="L220" s="493"/>
      <c r="M220" s="493"/>
      <c r="N220" s="493"/>
      <c r="O220" s="493"/>
      <c r="P220" s="493"/>
      <c r="Q220" s="493"/>
      <c r="R220" s="493"/>
      <c r="S220" s="493"/>
      <c r="T220" s="493"/>
      <c r="U220" s="493"/>
      <c r="V220" s="493"/>
      <c r="W220" s="493"/>
      <c r="X220" s="493"/>
      <c r="Y220" s="493"/>
      <c r="Z220" s="493"/>
      <c r="AA220" s="493"/>
      <c r="AB220" s="493"/>
      <c r="AC220" s="493"/>
      <c r="AD220" s="493"/>
      <c r="AE220" s="493"/>
      <c r="AF220" s="493"/>
      <c r="AG220" s="493"/>
      <c r="AH220" s="493"/>
      <c r="AI220" s="493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493"/>
      <c r="AU220" s="493"/>
      <c r="AV220" s="493"/>
      <c r="AW220" s="493"/>
      <c r="AX220" s="493"/>
      <c r="AY220" s="493"/>
      <c r="AZ220" s="493"/>
      <c r="BA220" s="493"/>
      <c r="BB220" s="493"/>
      <c r="BC220" s="493"/>
      <c r="BD220" s="493"/>
      <c r="BE220" s="493"/>
      <c r="BF220" s="493"/>
      <c r="BG220" s="493"/>
      <c r="BH220" s="493"/>
      <c r="BI220" s="493"/>
    </row>
    <row r="221" spans="3:61" ht="12.75">
      <c r="C221" s="493"/>
      <c r="D221" s="493"/>
      <c r="E221" s="493"/>
      <c r="F221" s="493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3"/>
      <c r="R221" s="493"/>
      <c r="S221" s="493"/>
      <c r="T221" s="493"/>
      <c r="U221" s="493"/>
      <c r="V221" s="493"/>
      <c r="W221" s="493"/>
      <c r="X221" s="493"/>
      <c r="Y221" s="493"/>
      <c r="Z221" s="493"/>
      <c r="AA221" s="493"/>
      <c r="AB221" s="493"/>
      <c r="AC221" s="493"/>
      <c r="AD221" s="493"/>
      <c r="AE221" s="493"/>
      <c r="AF221" s="493"/>
      <c r="AG221" s="493"/>
      <c r="AH221" s="493"/>
      <c r="AI221" s="493"/>
      <c r="AJ221" s="493"/>
      <c r="AK221" s="493"/>
      <c r="AL221" s="493"/>
      <c r="AM221" s="493"/>
      <c r="AN221" s="493"/>
      <c r="AO221" s="493"/>
      <c r="AP221" s="493"/>
      <c r="AQ221" s="493"/>
      <c r="AR221" s="493"/>
      <c r="AS221" s="493"/>
      <c r="AT221" s="493"/>
      <c r="AU221" s="493"/>
      <c r="AV221" s="493"/>
      <c r="AW221" s="493"/>
      <c r="AX221" s="493"/>
      <c r="AY221" s="493"/>
      <c r="AZ221" s="493"/>
      <c r="BA221" s="493"/>
      <c r="BB221" s="493"/>
      <c r="BC221" s="493"/>
      <c r="BD221" s="493"/>
      <c r="BE221" s="493"/>
      <c r="BF221" s="493"/>
      <c r="BG221" s="493"/>
      <c r="BH221" s="493"/>
      <c r="BI221" s="493"/>
    </row>
    <row r="222" spans="3:61" ht="12.75"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493"/>
      <c r="AG222" s="493"/>
      <c r="AH222" s="493"/>
      <c r="AI222" s="493"/>
      <c r="AJ222" s="493"/>
      <c r="AK222" s="493"/>
      <c r="AL222" s="493"/>
      <c r="AM222" s="493"/>
      <c r="AN222" s="493"/>
      <c r="AO222" s="493"/>
      <c r="AP222" s="493"/>
      <c r="AQ222" s="493"/>
      <c r="AR222" s="493"/>
      <c r="AS222" s="493"/>
      <c r="AT222" s="493"/>
      <c r="AU222" s="493"/>
      <c r="AV222" s="493"/>
      <c r="AW222" s="493"/>
      <c r="AX222" s="493"/>
      <c r="AY222" s="493"/>
      <c r="AZ222" s="493"/>
      <c r="BA222" s="493"/>
      <c r="BB222" s="493"/>
      <c r="BC222" s="493"/>
      <c r="BD222" s="493"/>
      <c r="BE222" s="493"/>
      <c r="BF222" s="493"/>
      <c r="BG222" s="493"/>
      <c r="BH222" s="493"/>
      <c r="BI222" s="493"/>
    </row>
    <row r="223" spans="3:61" ht="12.75">
      <c r="C223" s="493"/>
      <c r="D223" s="493"/>
      <c r="E223" s="493"/>
      <c r="F223" s="493"/>
      <c r="G223" s="493"/>
      <c r="H223" s="493"/>
      <c r="I223" s="493"/>
      <c r="J223" s="493"/>
      <c r="K223" s="493"/>
      <c r="L223" s="493"/>
      <c r="M223" s="493"/>
      <c r="N223" s="493"/>
      <c r="O223" s="493"/>
      <c r="P223" s="493"/>
      <c r="Q223" s="493"/>
      <c r="R223" s="493"/>
      <c r="S223" s="493"/>
      <c r="T223" s="493"/>
      <c r="U223" s="493"/>
      <c r="V223" s="493"/>
      <c r="W223" s="493"/>
      <c r="X223" s="493"/>
      <c r="Y223" s="493"/>
      <c r="Z223" s="493"/>
      <c r="AA223" s="493"/>
      <c r="AB223" s="493"/>
      <c r="AC223" s="493"/>
      <c r="AD223" s="493"/>
      <c r="AE223" s="493"/>
      <c r="AF223" s="493"/>
      <c r="AG223" s="493"/>
      <c r="AH223" s="493"/>
      <c r="AI223" s="493"/>
      <c r="AJ223" s="493"/>
      <c r="AK223" s="493"/>
      <c r="AL223" s="493"/>
      <c r="AM223" s="493"/>
      <c r="AN223" s="493"/>
      <c r="AO223" s="493"/>
      <c r="AP223" s="493"/>
      <c r="AQ223" s="493"/>
      <c r="AR223" s="493"/>
      <c r="AS223" s="493"/>
      <c r="AT223" s="493"/>
      <c r="AU223" s="493"/>
      <c r="AV223" s="493"/>
      <c r="AW223" s="493"/>
      <c r="AX223" s="493"/>
      <c r="AY223" s="493"/>
      <c r="AZ223" s="493"/>
      <c r="BA223" s="493"/>
      <c r="BB223" s="493"/>
      <c r="BC223" s="493"/>
      <c r="BD223" s="493"/>
      <c r="BE223" s="493"/>
      <c r="BF223" s="493"/>
      <c r="BG223" s="493"/>
      <c r="BH223" s="493"/>
      <c r="BI223" s="493"/>
    </row>
    <row r="224" spans="3:61" ht="12.75">
      <c r="C224" s="493"/>
      <c r="D224" s="493"/>
      <c r="E224" s="493"/>
      <c r="F224" s="493"/>
      <c r="G224" s="493"/>
      <c r="H224" s="493"/>
      <c r="I224" s="493"/>
      <c r="J224" s="493"/>
      <c r="K224" s="493"/>
      <c r="L224" s="493"/>
      <c r="M224" s="493"/>
      <c r="N224" s="493"/>
      <c r="O224" s="493"/>
      <c r="P224" s="493"/>
      <c r="Q224" s="493"/>
      <c r="R224" s="493"/>
      <c r="S224" s="493"/>
      <c r="T224" s="493"/>
      <c r="U224" s="493"/>
      <c r="V224" s="493"/>
      <c r="W224" s="493"/>
      <c r="X224" s="493"/>
      <c r="Y224" s="493"/>
      <c r="Z224" s="493"/>
      <c r="AA224" s="493"/>
      <c r="AB224" s="493"/>
      <c r="AC224" s="493"/>
      <c r="AD224" s="493"/>
      <c r="AE224" s="493"/>
      <c r="AF224" s="493"/>
      <c r="AG224" s="493"/>
      <c r="AH224" s="493"/>
      <c r="AI224" s="493"/>
      <c r="AJ224" s="493"/>
      <c r="AK224" s="493"/>
      <c r="AL224" s="493"/>
      <c r="AM224" s="493"/>
      <c r="AN224" s="493"/>
      <c r="AO224" s="493"/>
      <c r="AP224" s="493"/>
      <c r="AQ224" s="493"/>
      <c r="AR224" s="493"/>
      <c r="AS224" s="493"/>
      <c r="AT224" s="493"/>
      <c r="AU224" s="493"/>
      <c r="AV224" s="493"/>
      <c r="AW224" s="493"/>
      <c r="AX224" s="493"/>
      <c r="AY224" s="493"/>
      <c r="AZ224" s="493"/>
      <c r="BA224" s="493"/>
      <c r="BB224" s="493"/>
      <c r="BC224" s="493"/>
      <c r="BD224" s="493"/>
      <c r="BE224" s="493"/>
      <c r="BF224" s="493"/>
      <c r="BG224" s="493"/>
      <c r="BH224" s="493"/>
      <c r="BI224" s="493"/>
    </row>
    <row r="225" spans="3:61" ht="12.75">
      <c r="C225" s="493"/>
      <c r="D225" s="493"/>
      <c r="E225" s="493"/>
      <c r="F225" s="493"/>
      <c r="G225" s="493"/>
      <c r="H225" s="493"/>
      <c r="I225" s="493"/>
      <c r="J225" s="493"/>
      <c r="K225" s="493"/>
      <c r="L225" s="493"/>
      <c r="M225" s="493"/>
      <c r="N225" s="493"/>
      <c r="O225" s="493"/>
      <c r="P225" s="493"/>
      <c r="Q225" s="493"/>
      <c r="R225" s="493"/>
      <c r="S225" s="493"/>
      <c r="T225" s="493"/>
      <c r="U225" s="493"/>
      <c r="V225" s="493"/>
      <c r="W225" s="493"/>
      <c r="X225" s="493"/>
      <c r="Y225" s="493"/>
      <c r="Z225" s="493"/>
      <c r="AA225" s="493"/>
      <c r="AB225" s="493"/>
      <c r="AC225" s="493"/>
      <c r="AD225" s="493"/>
      <c r="AE225" s="493"/>
      <c r="AF225" s="493"/>
      <c r="AG225" s="493"/>
      <c r="AH225" s="493"/>
      <c r="AI225" s="493"/>
      <c r="AJ225" s="493"/>
      <c r="AK225" s="493"/>
      <c r="AL225" s="493"/>
      <c r="AM225" s="493"/>
      <c r="AN225" s="493"/>
      <c r="AO225" s="493"/>
      <c r="AP225" s="493"/>
      <c r="AQ225" s="493"/>
      <c r="AR225" s="493"/>
      <c r="AS225" s="493"/>
      <c r="AT225" s="493"/>
      <c r="AU225" s="493"/>
      <c r="AV225" s="493"/>
      <c r="AW225" s="493"/>
      <c r="AX225" s="493"/>
      <c r="AY225" s="493"/>
      <c r="AZ225" s="493"/>
      <c r="BA225" s="493"/>
      <c r="BB225" s="493"/>
      <c r="BC225" s="493"/>
      <c r="BD225" s="493"/>
      <c r="BE225" s="493"/>
      <c r="BF225" s="493"/>
      <c r="BG225" s="493"/>
      <c r="BH225" s="493"/>
      <c r="BI225" s="493"/>
    </row>
    <row r="226" spans="3:61" ht="12.75">
      <c r="C226" s="493"/>
      <c r="D226" s="493"/>
      <c r="E226" s="493"/>
      <c r="F226" s="493"/>
      <c r="G226" s="493"/>
      <c r="H226" s="493"/>
      <c r="I226" s="493"/>
      <c r="J226" s="493"/>
      <c r="K226" s="493"/>
      <c r="L226" s="493"/>
      <c r="M226" s="493"/>
      <c r="N226" s="493"/>
      <c r="O226" s="493"/>
      <c r="P226" s="493"/>
      <c r="Q226" s="493"/>
      <c r="R226" s="493"/>
      <c r="S226" s="493"/>
      <c r="T226" s="493"/>
      <c r="U226" s="493"/>
      <c r="V226" s="493"/>
      <c r="W226" s="493"/>
      <c r="X226" s="493"/>
      <c r="Y226" s="493"/>
      <c r="Z226" s="493"/>
      <c r="AA226" s="493"/>
      <c r="AB226" s="493"/>
      <c r="AC226" s="493"/>
      <c r="AD226" s="493"/>
      <c r="AE226" s="493"/>
      <c r="AF226" s="493"/>
      <c r="AG226" s="493"/>
      <c r="AH226" s="493"/>
      <c r="AI226" s="493"/>
      <c r="AJ226" s="493"/>
      <c r="AK226" s="493"/>
      <c r="AL226" s="493"/>
      <c r="AM226" s="493"/>
      <c r="AN226" s="493"/>
      <c r="AO226" s="493"/>
      <c r="AP226" s="493"/>
      <c r="AQ226" s="493"/>
      <c r="AR226" s="493"/>
      <c r="AS226" s="493"/>
      <c r="AT226" s="493"/>
      <c r="AU226" s="493"/>
      <c r="AV226" s="493"/>
      <c r="AW226" s="493"/>
      <c r="AX226" s="493"/>
      <c r="AY226" s="493"/>
      <c r="AZ226" s="493"/>
      <c r="BA226" s="493"/>
      <c r="BB226" s="493"/>
      <c r="BC226" s="493"/>
      <c r="BD226" s="493"/>
      <c r="BE226" s="493"/>
      <c r="BF226" s="493"/>
      <c r="BG226" s="493"/>
      <c r="BH226" s="493"/>
      <c r="BI226" s="493"/>
    </row>
    <row r="227" spans="3:61" ht="12.75">
      <c r="C227" s="493"/>
      <c r="D227" s="493"/>
      <c r="E227" s="493"/>
      <c r="F227" s="493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3"/>
      <c r="R227" s="493"/>
      <c r="S227" s="493"/>
      <c r="T227" s="493"/>
      <c r="U227" s="493"/>
      <c r="V227" s="493"/>
      <c r="W227" s="493"/>
      <c r="X227" s="493"/>
      <c r="Y227" s="493"/>
      <c r="Z227" s="493"/>
      <c r="AA227" s="493"/>
      <c r="AB227" s="493"/>
      <c r="AC227" s="493"/>
      <c r="AD227" s="493"/>
      <c r="AE227" s="493"/>
      <c r="AF227" s="493"/>
      <c r="AG227" s="493"/>
      <c r="AH227" s="493"/>
      <c r="AI227" s="493"/>
      <c r="AJ227" s="493"/>
      <c r="AK227" s="493"/>
      <c r="AL227" s="493"/>
      <c r="AM227" s="493"/>
      <c r="AN227" s="493"/>
      <c r="AO227" s="493"/>
      <c r="AP227" s="493"/>
      <c r="AQ227" s="493"/>
      <c r="AR227" s="493"/>
      <c r="AS227" s="493"/>
      <c r="AT227" s="493"/>
      <c r="AU227" s="493"/>
      <c r="AV227" s="493"/>
      <c r="AW227" s="493"/>
      <c r="AX227" s="493"/>
      <c r="AY227" s="493"/>
      <c r="AZ227" s="493"/>
      <c r="BA227" s="493"/>
      <c r="BB227" s="493"/>
      <c r="BC227" s="493"/>
      <c r="BD227" s="493"/>
      <c r="BE227" s="493"/>
      <c r="BF227" s="493"/>
      <c r="BG227" s="493"/>
      <c r="BH227" s="493"/>
      <c r="BI227" s="493"/>
    </row>
    <row r="228" spans="3:61" ht="12.75">
      <c r="C228" s="493"/>
      <c r="D228" s="493"/>
      <c r="E228" s="493"/>
      <c r="F228" s="493"/>
      <c r="G228" s="493"/>
      <c r="H228" s="493"/>
      <c r="I228" s="493"/>
      <c r="J228" s="493"/>
      <c r="K228" s="493"/>
      <c r="L228" s="493"/>
      <c r="M228" s="493"/>
      <c r="N228" s="493"/>
      <c r="O228" s="493"/>
      <c r="P228" s="493"/>
      <c r="Q228" s="493"/>
      <c r="R228" s="493"/>
      <c r="S228" s="493"/>
      <c r="T228" s="493"/>
      <c r="U228" s="493"/>
      <c r="V228" s="493"/>
      <c r="W228" s="493"/>
      <c r="X228" s="493"/>
      <c r="Y228" s="493"/>
      <c r="Z228" s="493"/>
      <c r="AA228" s="493"/>
      <c r="AB228" s="493"/>
      <c r="AC228" s="493"/>
      <c r="AD228" s="493"/>
      <c r="AE228" s="493"/>
      <c r="AF228" s="493"/>
      <c r="AG228" s="493"/>
      <c r="AH228" s="493"/>
      <c r="AI228" s="493"/>
      <c r="AJ228" s="493"/>
      <c r="AK228" s="493"/>
      <c r="AL228" s="493"/>
      <c r="AM228" s="493"/>
      <c r="AN228" s="493"/>
      <c r="AO228" s="493"/>
      <c r="AP228" s="493"/>
      <c r="AQ228" s="493"/>
      <c r="AR228" s="493"/>
      <c r="AS228" s="493"/>
      <c r="AT228" s="493"/>
      <c r="AU228" s="493"/>
      <c r="AV228" s="493"/>
      <c r="AW228" s="493"/>
      <c r="AX228" s="493"/>
      <c r="AY228" s="493"/>
      <c r="AZ228" s="493"/>
      <c r="BA228" s="493"/>
      <c r="BB228" s="493"/>
      <c r="BC228" s="493"/>
      <c r="BD228" s="493"/>
      <c r="BE228" s="493"/>
      <c r="BF228" s="493"/>
      <c r="BG228" s="493"/>
      <c r="BH228" s="493"/>
      <c r="BI228" s="493"/>
    </row>
    <row r="229" spans="3:61" ht="12.75">
      <c r="C229" s="493"/>
      <c r="D229" s="493"/>
      <c r="E229" s="493"/>
      <c r="F229" s="493"/>
      <c r="G229" s="493"/>
      <c r="H229" s="493"/>
      <c r="I229" s="493"/>
      <c r="J229" s="493"/>
      <c r="K229" s="493"/>
      <c r="L229" s="493"/>
      <c r="M229" s="493"/>
      <c r="N229" s="493"/>
      <c r="O229" s="493"/>
      <c r="P229" s="493"/>
      <c r="Q229" s="493"/>
      <c r="R229" s="493"/>
      <c r="S229" s="493"/>
      <c r="T229" s="493"/>
      <c r="U229" s="493"/>
      <c r="V229" s="493"/>
      <c r="W229" s="493"/>
      <c r="X229" s="493"/>
      <c r="Y229" s="493"/>
      <c r="Z229" s="493"/>
      <c r="AA229" s="493"/>
      <c r="AB229" s="493"/>
      <c r="AC229" s="493"/>
      <c r="AD229" s="493"/>
      <c r="AE229" s="493"/>
      <c r="AF229" s="493"/>
      <c r="AG229" s="493"/>
      <c r="AH229" s="493"/>
      <c r="AI229" s="493"/>
      <c r="AJ229" s="493"/>
      <c r="AK229" s="493"/>
      <c r="AL229" s="493"/>
      <c r="AM229" s="493"/>
      <c r="AN229" s="493"/>
      <c r="AO229" s="493"/>
      <c r="AP229" s="493"/>
      <c r="AQ229" s="493"/>
      <c r="AR229" s="493"/>
      <c r="AS229" s="493"/>
      <c r="AT229" s="493"/>
      <c r="AU229" s="493"/>
      <c r="AV229" s="493"/>
      <c r="AW229" s="493"/>
      <c r="AX229" s="493"/>
      <c r="AY229" s="493"/>
      <c r="AZ229" s="493"/>
      <c r="BA229" s="493"/>
      <c r="BB229" s="493"/>
      <c r="BC229" s="493"/>
      <c r="BD229" s="493"/>
      <c r="BE229" s="493"/>
      <c r="BF229" s="493"/>
      <c r="BG229" s="493"/>
      <c r="BH229" s="493"/>
      <c r="BI229" s="493"/>
    </row>
    <row r="230" spans="3:61" ht="12.75">
      <c r="C230" s="493"/>
      <c r="D230" s="493"/>
      <c r="E230" s="493"/>
      <c r="F230" s="493"/>
      <c r="G230" s="493"/>
      <c r="H230" s="493"/>
      <c r="I230" s="493"/>
      <c r="J230" s="493"/>
      <c r="K230" s="493"/>
      <c r="L230" s="493"/>
      <c r="M230" s="493"/>
      <c r="N230" s="493"/>
      <c r="O230" s="493"/>
      <c r="P230" s="493"/>
      <c r="Q230" s="493"/>
      <c r="R230" s="493"/>
      <c r="S230" s="493"/>
      <c r="T230" s="493"/>
      <c r="U230" s="493"/>
      <c r="V230" s="493"/>
      <c r="W230" s="493"/>
      <c r="X230" s="493"/>
      <c r="Y230" s="493"/>
      <c r="Z230" s="493"/>
      <c r="AA230" s="493"/>
      <c r="AB230" s="493"/>
      <c r="AC230" s="493"/>
      <c r="AD230" s="493"/>
      <c r="AE230" s="493"/>
      <c r="AF230" s="493"/>
      <c r="AG230" s="493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3"/>
      <c r="AS230" s="493"/>
      <c r="AT230" s="493"/>
      <c r="AU230" s="493"/>
      <c r="AV230" s="493"/>
      <c r="AW230" s="493"/>
      <c r="AX230" s="493"/>
      <c r="AY230" s="493"/>
      <c r="AZ230" s="493"/>
      <c r="BA230" s="493"/>
      <c r="BB230" s="493"/>
      <c r="BC230" s="493"/>
      <c r="BD230" s="493"/>
      <c r="BE230" s="493"/>
      <c r="BF230" s="493"/>
      <c r="BG230" s="493"/>
      <c r="BH230" s="493"/>
      <c r="BI230" s="493"/>
    </row>
    <row r="231" spans="3:61" ht="12.75">
      <c r="C231" s="493"/>
      <c r="D231" s="493"/>
      <c r="E231" s="493"/>
      <c r="F231" s="493"/>
      <c r="G231" s="493"/>
      <c r="H231" s="493"/>
      <c r="I231" s="493"/>
      <c r="J231" s="493"/>
      <c r="K231" s="493"/>
      <c r="L231" s="493"/>
      <c r="M231" s="493"/>
      <c r="N231" s="493"/>
      <c r="O231" s="493"/>
      <c r="P231" s="493"/>
      <c r="Q231" s="493"/>
      <c r="R231" s="493"/>
      <c r="S231" s="493"/>
      <c r="T231" s="493"/>
      <c r="U231" s="493"/>
      <c r="V231" s="493"/>
      <c r="W231" s="493"/>
      <c r="X231" s="493"/>
      <c r="Y231" s="493"/>
      <c r="Z231" s="493"/>
      <c r="AA231" s="493"/>
      <c r="AB231" s="493"/>
      <c r="AC231" s="493"/>
      <c r="AD231" s="493"/>
      <c r="AE231" s="493"/>
      <c r="AF231" s="493"/>
      <c r="AG231" s="493"/>
      <c r="AH231" s="493"/>
      <c r="AI231" s="493"/>
      <c r="AJ231" s="493"/>
      <c r="AK231" s="493"/>
      <c r="AL231" s="493"/>
      <c r="AM231" s="493"/>
      <c r="AN231" s="493"/>
      <c r="AO231" s="493"/>
      <c r="AP231" s="493"/>
      <c r="AQ231" s="493"/>
      <c r="AR231" s="493"/>
      <c r="AS231" s="493"/>
      <c r="AT231" s="493"/>
      <c r="AU231" s="493"/>
      <c r="AV231" s="493"/>
      <c r="AW231" s="493"/>
      <c r="AX231" s="493"/>
      <c r="AY231" s="493"/>
      <c r="AZ231" s="493"/>
      <c r="BA231" s="493"/>
      <c r="BB231" s="493"/>
      <c r="BC231" s="493"/>
      <c r="BD231" s="493"/>
      <c r="BE231" s="493"/>
      <c r="BF231" s="493"/>
      <c r="BG231" s="493"/>
      <c r="BH231" s="493"/>
      <c r="BI231" s="493"/>
    </row>
    <row r="232" spans="3:61" ht="12.75">
      <c r="C232" s="493"/>
      <c r="D232" s="493"/>
      <c r="E232" s="493"/>
      <c r="F232" s="493"/>
      <c r="G232" s="493"/>
      <c r="H232" s="493"/>
      <c r="I232" s="493"/>
      <c r="J232" s="493"/>
      <c r="K232" s="493"/>
      <c r="L232" s="493"/>
      <c r="M232" s="493"/>
      <c r="N232" s="493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3"/>
      <c r="Z232" s="493"/>
      <c r="AA232" s="493"/>
      <c r="AB232" s="493"/>
      <c r="AC232" s="493"/>
      <c r="AD232" s="493"/>
      <c r="AE232" s="493"/>
      <c r="AF232" s="493"/>
      <c r="AG232" s="493"/>
      <c r="AH232" s="493"/>
      <c r="AI232" s="493"/>
      <c r="AJ232" s="493"/>
      <c r="AK232" s="493"/>
      <c r="AL232" s="493"/>
      <c r="AM232" s="493"/>
      <c r="AN232" s="493"/>
      <c r="AO232" s="493"/>
      <c r="AP232" s="493"/>
      <c r="AQ232" s="493"/>
      <c r="AR232" s="493"/>
      <c r="AS232" s="493"/>
      <c r="AT232" s="493"/>
      <c r="AU232" s="493"/>
      <c r="AV232" s="493"/>
      <c r="AW232" s="493"/>
      <c r="AX232" s="493"/>
      <c r="AY232" s="493"/>
      <c r="AZ232" s="493"/>
      <c r="BA232" s="493"/>
      <c r="BB232" s="493"/>
      <c r="BC232" s="493"/>
      <c r="BD232" s="493"/>
      <c r="BE232" s="493"/>
      <c r="BF232" s="493"/>
      <c r="BG232" s="493"/>
      <c r="BH232" s="493"/>
      <c r="BI232" s="493"/>
    </row>
    <row r="233" spans="3:61" ht="12.75">
      <c r="C233" s="493"/>
      <c r="D233" s="493"/>
      <c r="E233" s="493"/>
      <c r="F233" s="493"/>
      <c r="G233" s="493"/>
      <c r="H233" s="493"/>
      <c r="I233" s="493"/>
      <c r="J233" s="493"/>
      <c r="K233" s="493"/>
      <c r="L233" s="493"/>
      <c r="M233" s="493"/>
      <c r="N233" s="493"/>
      <c r="O233" s="493"/>
      <c r="P233" s="493"/>
      <c r="Q233" s="493"/>
      <c r="R233" s="493"/>
      <c r="S233" s="493"/>
      <c r="T233" s="493"/>
      <c r="U233" s="493"/>
      <c r="V233" s="493"/>
      <c r="W233" s="493"/>
      <c r="X233" s="493"/>
      <c r="Y233" s="493"/>
      <c r="Z233" s="493"/>
      <c r="AA233" s="493"/>
      <c r="AB233" s="493"/>
      <c r="AC233" s="493"/>
      <c r="AD233" s="493"/>
      <c r="AE233" s="493"/>
      <c r="AF233" s="493"/>
      <c r="AG233" s="493"/>
      <c r="AH233" s="493"/>
      <c r="AI233" s="493"/>
      <c r="AJ233" s="493"/>
      <c r="AK233" s="493"/>
      <c r="AL233" s="493"/>
      <c r="AM233" s="493"/>
      <c r="AN233" s="493"/>
      <c r="AO233" s="493"/>
      <c r="AP233" s="493"/>
      <c r="AQ233" s="493"/>
      <c r="AR233" s="493"/>
      <c r="AS233" s="493"/>
      <c r="AT233" s="493"/>
      <c r="AU233" s="493"/>
      <c r="AV233" s="493"/>
      <c r="AW233" s="493"/>
      <c r="AX233" s="493"/>
      <c r="AY233" s="493"/>
      <c r="AZ233" s="493"/>
      <c r="BA233" s="493"/>
      <c r="BB233" s="493"/>
      <c r="BC233" s="493"/>
      <c r="BD233" s="493"/>
      <c r="BE233" s="493"/>
      <c r="BF233" s="493"/>
      <c r="BG233" s="493"/>
      <c r="BH233" s="493"/>
      <c r="BI233" s="493"/>
    </row>
    <row r="234" spans="3:61" ht="12.75">
      <c r="C234" s="493"/>
      <c r="D234" s="493"/>
      <c r="E234" s="493"/>
      <c r="F234" s="493"/>
      <c r="G234" s="493"/>
      <c r="H234" s="493"/>
      <c r="I234" s="493"/>
      <c r="J234" s="493"/>
      <c r="K234" s="493"/>
      <c r="L234" s="493"/>
      <c r="M234" s="493"/>
      <c r="N234" s="493"/>
      <c r="O234" s="493"/>
      <c r="P234" s="493"/>
      <c r="Q234" s="493"/>
      <c r="R234" s="493"/>
      <c r="S234" s="493"/>
      <c r="T234" s="493"/>
      <c r="U234" s="493"/>
      <c r="V234" s="493"/>
      <c r="W234" s="493"/>
      <c r="X234" s="493"/>
      <c r="Y234" s="493"/>
      <c r="Z234" s="493"/>
      <c r="AA234" s="493"/>
      <c r="AB234" s="493"/>
      <c r="AC234" s="493"/>
      <c r="AD234" s="493"/>
      <c r="AE234" s="493"/>
      <c r="AF234" s="493"/>
      <c r="AG234" s="493"/>
      <c r="AH234" s="493"/>
      <c r="AI234" s="493"/>
      <c r="AJ234" s="493"/>
      <c r="AK234" s="493"/>
      <c r="AL234" s="493"/>
      <c r="AM234" s="493"/>
      <c r="AN234" s="493"/>
      <c r="AO234" s="493"/>
      <c r="AP234" s="493"/>
      <c r="AQ234" s="493"/>
      <c r="AR234" s="493"/>
      <c r="AS234" s="493"/>
      <c r="AT234" s="493"/>
      <c r="AU234" s="493"/>
      <c r="AV234" s="493"/>
      <c r="AW234" s="493"/>
      <c r="AX234" s="493"/>
      <c r="AY234" s="493"/>
      <c r="AZ234" s="493"/>
      <c r="BA234" s="493"/>
      <c r="BB234" s="493"/>
      <c r="BC234" s="493"/>
      <c r="BD234" s="493"/>
      <c r="BE234" s="493"/>
      <c r="BF234" s="493"/>
      <c r="BG234" s="493"/>
      <c r="BH234" s="493"/>
      <c r="BI234" s="493"/>
    </row>
    <row r="235" spans="3:61" ht="12.75">
      <c r="C235" s="493"/>
      <c r="D235" s="493"/>
      <c r="E235" s="493"/>
      <c r="F235" s="493"/>
      <c r="G235" s="493"/>
      <c r="H235" s="493"/>
      <c r="I235" s="493"/>
      <c r="J235" s="493"/>
      <c r="K235" s="493"/>
      <c r="L235" s="493"/>
      <c r="M235" s="493"/>
      <c r="N235" s="493"/>
      <c r="O235" s="493"/>
      <c r="P235" s="493"/>
      <c r="Q235" s="493"/>
      <c r="R235" s="493"/>
      <c r="S235" s="493"/>
      <c r="T235" s="493"/>
      <c r="U235" s="493"/>
      <c r="V235" s="493"/>
      <c r="W235" s="493"/>
      <c r="X235" s="493"/>
      <c r="Y235" s="493"/>
      <c r="Z235" s="493"/>
      <c r="AA235" s="493"/>
      <c r="AB235" s="493"/>
      <c r="AC235" s="493"/>
      <c r="AD235" s="493"/>
      <c r="AE235" s="493"/>
      <c r="AF235" s="493"/>
      <c r="AG235" s="493"/>
      <c r="AH235" s="493"/>
      <c r="AI235" s="493"/>
      <c r="AJ235" s="493"/>
      <c r="AK235" s="493"/>
      <c r="AL235" s="493"/>
      <c r="AM235" s="493"/>
      <c r="AN235" s="493"/>
      <c r="AO235" s="493"/>
      <c r="AP235" s="493"/>
      <c r="AQ235" s="493"/>
      <c r="AR235" s="493"/>
      <c r="AS235" s="493"/>
      <c r="AT235" s="493"/>
      <c r="AU235" s="493"/>
      <c r="AV235" s="493"/>
      <c r="AW235" s="493"/>
      <c r="AX235" s="493"/>
      <c r="AY235" s="493"/>
      <c r="AZ235" s="493"/>
      <c r="BA235" s="493"/>
      <c r="BB235" s="493"/>
      <c r="BC235" s="493"/>
      <c r="BD235" s="493"/>
      <c r="BE235" s="493"/>
      <c r="BF235" s="493"/>
      <c r="BG235" s="493"/>
      <c r="BH235" s="493"/>
      <c r="BI235" s="493"/>
    </row>
    <row r="236" spans="3:61" ht="12.75">
      <c r="C236" s="493"/>
      <c r="D236" s="493"/>
      <c r="E236" s="493"/>
      <c r="F236" s="493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93"/>
      <c r="R236" s="493"/>
      <c r="S236" s="493"/>
      <c r="T236" s="493"/>
      <c r="U236" s="493"/>
      <c r="V236" s="493"/>
      <c r="W236" s="493"/>
      <c r="X236" s="493"/>
      <c r="Y236" s="493"/>
      <c r="Z236" s="493"/>
      <c r="AA236" s="493"/>
      <c r="AB236" s="493"/>
      <c r="AC236" s="493"/>
      <c r="AD236" s="493"/>
      <c r="AE236" s="493"/>
      <c r="AF236" s="493"/>
      <c r="AG236" s="493"/>
      <c r="AH236" s="493"/>
      <c r="AI236" s="493"/>
      <c r="AJ236" s="493"/>
      <c r="AK236" s="493"/>
      <c r="AL236" s="493"/>
      <c r="AM236" s="493"/>
      <c r="AN236" s="493"/>
      <c r="AO236" s="493"/>
      <c r="AP236" s="493"/>
      <c r="AQ236" s="493"/>
      <c r="AR236" s="493"/>
      <c r="AS236" s="493"/>
      <c r="AT236" s="493"/>
      <c r="AU236" s="493"/>
      <c r="AV236" s="493"/>
      <c r="AW236" s="493"/>
      <c r="AX236" s="493"/>
      <c r="AY236" s="493"/>
      <c r="AZ236" s="493"/>
      <c r="BA236" s="493"/>
      <c r="BB236" s="493"/>
      <c r="BC236" s="493"/>
      <c r="BD236" s="493"/>
      <c r="BE236" s="493"/>
      <c r="BF236" s="493"/>
      <c r="BG236" s="493"/>
      <c r="BH236" s="493"/>
      <c r="BI236" s="493"/>
    </row>
    <row r="237" spans="3:61" ht="12.75">
      <c r="C237" s="493"/>
      <c r="D237" s="493"/>
      <c r="E237" s="493"/>
      <c r="F237" s="493"/>
      <c r="G237" s="493"/>
      <c r="H237" s="493"/>
      <c r="I237" s="493"/>
      <c r="J237" s="493"/>
      <c r="K237" s="493"/>
      <c r="L237" s="493"/>
      <c r="M237" s="493"/>
      <c r="N237" s="493"/>
      <c r="O237" s="493"/>
      <c r="P237" s="493"/>
      <c r="Q237" s="493"/>
      <c r="R237" s="493"/>
      <c r="S237" s="493"/>
      <c r="T237" s="493"/>
      <c r="U237" s="493"/>
      <c r="V237" s="493"/>
      <c r="W237" s="493"/>
      <c r="X237" s="493"/>
      <c r="Y237" s="493"/>
      <c r="Z237" s="493"/>
      <c r="AA237" s="493"/>
      <c r="AB237" s="493"/>
      <c r="AC237" s="493"/>
      <c r="AD237" s="493"/>
      <c r="AE237" s="493"/>
      <c r="AF237" s="493"/>
      <c r="AG237" s="493"/>
      <c r="AH237" s="493"/>
      <c r="AI237" s="493"/>
      <c r="AJ237" s="493"/>
      <c r="AK237" s="493"/>
      <c r="AL237" s="493"/>
      <c r="AM237" s="493"/>
      <c r="AN237" s="493"/>
      <c r="AO237" s="493"/>
      <c r="AP237" s="493"/>
      <c r="AQ237" s="493"/>
      <c r="AR237" s="493"/>
      <c r="AS237" s="493"/>
      <c r="AT237" s="493"/>
      <c r="AU237" s="493"/>
      <c r="AV237" s="493"/>
      <c r="AW237" s="493"/>
      <c r="AX237" s="493"/>
      <c r="AY237" s="493"/>
      <c r="AZ237" s="493"/>
      <c r="BA237" s="493"/>
      <c r="BB237" s="493"/>
      <c r="BC237" s="493"/>
      <c r="BD237" s="493"/>
      <c r="BE237" s="493"/>
      <c r="BF237" s="493"/>
      <c r="BG237" s="493"/>
      <c r="BH237" s="493"/>
      <c r="BI237" s="493"/>
    </row>
    <row r="238" spans="3:61" ht="12.75">
      <c r="C238" s="493"/>
      <c r="D238" s="493"/>
      <c r="E238" s="493"/>
      <c r="F238" s="493"/>
      <c r="G238" s="493"/>
      <c r="H238" s="493"/>
      <c r="I238" s="493"/>
      <c r="J238" s="493"/>
      <c r="K238" s="493"/>
      <c r="L238" s="493"/>
      <c r="M238" s="493"/>
      <c r="N238" s="493"/>
      <c r="O238" s="493"/>
      <c r="P238" s="493"/>
      <c r="Q238" s="493"/>
      <c r="R238" s="493"/>
      <c r="S238" s="493"/>
      <c r="T238" s="493"/>
      <c r="U238" s="493"/>
      <c r="V238" s="493"/>
      <c r="W238" s="493"/>
      <c r="X238" s="493"/>
      <c r="Y238" s="493"/>
      <c r="Z238" s="493"/>
      <c r="AA238" s="493"/>
      <c r="AB238" s="493"/>
      <c r="AC238" s="493"/>
      <c r="AD238" s="493"/>
      <c r="AE238" s="493"/>
      <c r="AF238" s="493"/>
      <c r="AG238" s="493"/>
      <c r="AH238" s="493"/>
      <c r="AI238" s="493"/>
      <c r="AJ238" s="493"/>
      <c r="AK238" s="493"/>
      <c r="AL238" s="493"/>
      <c r="AM238" s="493"/>
      <c r="AN238" s="493"/>
      <c r="AO238" s="493"/>
      <c r="AP238" s="493"/>
      <c r="AQ238" s="493"/>
      <c r="AR238" s="493"/>
      <c r="AS238" s="493"/>
      <c r="AT238" s="493"/>
      <c r="AU238" s="493"/>
      <c r="AV238" s="493"/>
      <c r="AW238" s="493"/>
      <c r="AX238" s="493"/>
      <c r="AY238" s="493"/>
      <c r="AZ238" s="493"/>
      <c r="BA238" s="493"/>
      <c r="BB238" s="493"/>
      <c r="BC238" s="493"/>
      <c r="BD238" s="493"/>
      <c r="BE238" s="493"/>
      <c r="BF238" s="493"/>
      <c r="BG238" s="493"/>
      <c r="BH238" s="493"/>
      <c r="BI238" s="493"/>
    </row>
    <row r="239" spans="3:61" ht="12.75">
      <c r="C239" s="493"/>
      <c r="D239" s="493"/>
      <c r="E239" s="493"/>
      <c r="F239" s="493"/>
      <c r="G239" s="493"/>
      <c r="H239" s="493"/>
      <c r="I239" s="493"/>
      <c r="J239" s="493"/>
      <c r="K239" s="493"/>
      <c r="L239" s="493"/>
      <c r="M239" s="493"/>
      <c r="N239" s="493"/>
      <c r="O239" s="493"/>
      <c r="P239" s="493"/>
      <c r="Q239" s="493"/>
      <c r="R239" s="493"/>
      <c r="S239" s="493"/>
      <c r="T239" s="493"/>
      <c r="U239" s="493"/>
      <c r="V239" s="493"/>
      <c r="W239" s="493"/>
      <c r="X239" s="493"/>
      <c r="Y239" s="493"/>
      <c r="Z239" s="493"/>
      <c r="AA239" s="493"/>
      <c r="AB239" s="493"/>
      <c r="AC239" s="493"/>
      <c r="AD239" s="493"/>
      <c r="AE239" s="493"/>
      <c r="AF239" s="493"/>
      <c r="AG239" s="493"/>
      <c r="AH239" s="493"/>
      <c r="AI239" s="493"/>
      <c r="AJ239" s="493"/>
      <c r="AK239" s="493"/>
      <c r="AL239" s="493"/>
      <c r="AM239" s="493"/>
      <c r="AN239" s="493"/>
      <c r="AO239" s="493"/>
      <c r="AP239" s="493"/>
      <c r="AQ239" s="493"/>
      <c r="AR239" s="493"/>
      <c r="AS239" s="493"/>
      <c r="AT239" s="493"/>
      <c r="AU239" s="493"/>
      <c r="AV239" s="493"/>
      <c r="AW239" s="493"/>
      <c r="AX239" s="493"/>
      <c r="AY239" s="493"/>
      <c r="AZ239" s="493"/>
      <c r="BA239" s="493"/>
      <c r="BB239" s="493"/>
      <c r="BC239" s="493"/>
      <c r="BD239" s="493"/>
      <c r="BE239" s="493"/>
      <c r="BF239" s="493"/>
      <c r="BG239" s="493"/>
      <c r="BH239" s="493"/>
      <c r="BI239" s="493"/>
    </row>
    <row r="240" spans="3:61" ht="12.75">
      <c r="C240" s="493"/>
      <c r="D240" s="493"/>
      <c r="E240" s="493"/>
      <c r="F240" s="493"/>
      <c r="G240" s="493"/>
      <c r="H240" s="493"/>
      <c r="I240" s="493"/>
      <c r="J240" s="493"/>
      <c r="K240" s="493"/>
      <c r="L240" s="493"/>
      <c r="M240" s="493"/>
      <c r="N240" s="493"/>
      <c r="O240" s="493"/>
      <c r="P240" s="493"/>
      <c r="Q240" s="493"/>
      <c r="R240" s="493"/>
      <c r="S240" s="493"/>
      <c r="T240" s="493"/>
      <c r="U240" s="493"/>
      <c r="V240" s="493"/>
      <c r="W240" s="493"/>
      <c r="X240" s="493"/>
      <c r="Y240" s="493"/>
      <c r="Z240" s="493"/>
      <c r="AA240" s="493"/>
      <c r="AB240" s="493"/>
      <c r="AC240" s="493"/>
      <c r="AD240" s="493"/>
      <c r="AE240" s="493"/>
      <c r="AF240" s="493"/>
      <c r="AG240" s="493"/>
      <c r="AH240" s="493"/>
      <c r="AI240" s="493"/>
      <c r="AJ240" s="493"/>
      <c r="AK240" s="493"/>
      <c r="AL240" s="493"/>
      <c r="AM240" s="493"/>
      <c r="AN240" s="493"/>
      <c r="AO240" s="493"/>
      <c r="AP240" s="493"/>
      <c r="AQ240" s="493"/>
      <c r="AR240" s="493"/>
      <c r="AS240" s="493"/>
      <c r="AT240" s="493"/>
      <c r="AU240" s="493"/>
      <c r="AV240" s="493"/>
      <c r="AW240" s="493"/>
      <c r="AX240" s="493"/>
      <c r="AY240" s="493"/>
      <c r="AZ240" s="493"/>
      <c r="BA240" s="493"/>
      <c r="BB240" s="493"/>
      <c r="BC240" s="493"/>
      <c r="BD240" s="493"/>
      <c r="BE240" s="493"/>
      <c r="BF240" s="493"/>
      <c r="BG240" s="493"/>
      <c r="BH240" s="493"/>
      <c r="BI240" s="493"/>
    </row>
    <row r="241" spans="3:61" ht="12.75"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3"/>
      <c r="R241" s="493"/>
      <c r="S241" s="493"/>
      <c r="T241" s="493"/>
      <c r="U241" s="493"/>
      <c r="V241" s="493"/>
      <c r="W241" s="493"/>
      <c r="X241" s="493"/>
      <c r="Y241" s="493"/>
      <c r="Z241" s="493"/>
      <c r="AA241" s="493"/>
      <c r="AB241" s="493"/>
      <c r="AC241" s="493"/>
      <c r="AD241" s="493"/>
      <c r="AE241" s="493"/>
      <c r="AF241" s="493"/>
      <c r="AG241" s="493"/>
      <c r="AH241" s="493"/>
      <c r="AI241" s="493"/>
      <c r="AJ241" s="493"/>
      <c r="AK241" s="493"/>
      <c r="AL241" s="493"/>
      <c r="AM241" s="493"/>
      <c r="AN241" s="493"/>
      <c r="AO241" s="493"/>
      <c r="AP241" s="493"/>
      <c r="AQ241" s="493"/>
      <c r="AR241" s="493"/>
      <c r="AS241" s="493"/>
      <c r="AT241" s="493"/>
      <c r="AU241" s="493"/>
      <c r="AV241" s="493"/>
      <c r="AW241" s="493"/>
      <c r="AX241" s="493"/>
      <c r="AY241" s="493"/>
      <c r="AZ241" s="493"/>
      <c r="BA241" s="493"/>
      <c r="BB241" s="493"/>
      <c r="BC241" s="493"/>
      <c r="BD241" s="493"/>
      <c r="BE241" s="493"/>
      <c r="BF241" s="493"/>
      <c r="BG241" s="493"/>
      <c r="BH241" s="493"/>
      <c r="BI241" s="493"/>
    </row>
    <row r="242" spans="3:61" ht="12.75">
      <c r="C242" s="493"/>
      <c r="D242" s="493"/>
      <c r="E242" s="493"/>
      <c r="F242" s="493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93"/>
      <c r="R242" s="493"/>
      <c r="S242" s="493"/>
      <c r="T242" s="493"/>
      <c r="U242" s="493"/>
      <c r="V242" s="493"/>
      <c r="W242" s="493"/>
      <c r="X242" s="493"/>
      <c r="Y242" s="493"/>
      <c r="Z242" s="493"/>
      <c r="AA242" s="493"/>
      <c r="AB242" s="493"/>
      <c r="AC242" s="493"/>
      <c r="AD242" s="493"/>
      <c r="AE242" s="493"/>
      <c r="AF242" s="493"/>
      <c r="AG242" s="493"/>
      <c r="AH242" s="493"/>
      <c r="AI242" s="493"/>
      <c r="AJ242" s="493"/>
      <c r="AK242" s="493"/>
      <c r="AL242" s="493"/>
      <c r="AM242" s="493"/>
      <c r="AN242" s="493"/>
      <c r="AO242" s="493"/>
      <c r="AP242" s="493"/>
      <c r="AQ242" s="493"/>
      <c r="AR242" s="493"/>
      <c r="AS242" s="493"/>
      <c r="AT242" s="493"/>
      <c r="AU242" s="493"/>
      <c r="AV242" s="493"/>
      <c r="AW242" s="493"/>
      <c r="AX242" s="493"/>
      <c r="AY242" s="493"/>
      <c r="AZ242" s="493"/>
      <c r="BA242" s="493"/>
      <c r="BB242" s="493"/>
      <c r="BC242" s="493"/>
      <c r="BD242" s="493"/>
      <c r="BE242" s="493"/>
      <c r="BF242" s="493"/>
      <c r="BG242" s="493"/>
      <c r="BH242" s="493"/>
      <c r="BI242" s="493"/>
    </row>
    <row r="243" spans="3:61" ht="12.75">
      <c r="C243" s="493"/>
      <c r="D243" s="493"/>
      <c r="E243" s="493"/>
      <c r="F243" s="493"/>
      <c r="G243" s="493"/>
      <c r="H243" s="493"/>
      <c r="I243" s="493"/>
      <c r="J243" s="493"/>
      <c r="K243" s="493"/>
      <c r="L243" s="493"/>
      <c r="M243" s="493"/>
      <c r="N243" s="493"/>
      <c r="O243" s="493"/>
      <c r="P243" s="493"/>
      <c r="Q243" s="493"/>
      <c r="R243" s="493"/>
      <c r="S243" s="493"/>
      <c r="T243" s="493"/>
      <c r="U243" s="493"/>
      <c r="V243" s="493"/>
      <c r="W243" s="493"/>
      <c r="X243" s="493"/>
      <c r="Y243" s="493"/>
      <c r="Z243" s="493"/>
      <c r="AA243" s="493"/>
      <c r="AB243" s="493"/>
      <c r="AC243" s="493"/>
      <c r="AD243" s="493"/>
      <c r="AE243" s="493"/>
      <c r="AF243" s="493"/>
      <c r="AG243" s="493"/>
      <c r="AH243" s="493"/>
      <c r="AI243" s="493"/>
      <c r="AJ243" s="493"/>
      <c r="AK243" s="493"/>
      <c r="AL243" s="493"/>
      <c r="AM243" s="493"/>
      <c r="AN243" s="493"/>
      <c r="AO243" s="493"/>
      <c r="AP243" s="493"/>
      <c r="AQ243" s="493"/>
      <c r="AR243" s="493"/>
      <c r="AS243" s="493"/>
      <c r="AT243" s="493"/>
      <c r="AU243" s="493"/>
      <c r="AV243" s="493"/>
      <c r="AW243" s="493"/>
      <c r="AX243" s="493"/>
      <c r="AY243" s="493"/>
      <c r="AZ243" s="493"/>
      <c r="BA243" s="493"/>
      <c r="BB243" s="493"/>
      <c r="BC243" s="493"/>
      <c r="BD243" s="493"/>
      <c r="BE243" s="493"/>
      <c r="BF243" s="493"/>
      <c r="BG243" s="493"/>
      <c r="BH243" s="493"/>
      <c r="BI243" s="493"/>
    </row>
    <row r="244" spans="3:61" ht="12.75"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3"/>
      <c r="R244" s="493"/>
      <c r="S244" s="493"/>
      <c r="T244" s="493"/>
      <c r="U244" s="493"/>
      <c r="V244" s="493"/>
      <c r="W244" s="493"/>
      <c r="X244" s="493"/>
      <c r="Y244" s="493"/>
      <c r="Z244" s="493"/>
      <c r="AA244" s="493"/>
      <c r="AB244" s="493"/>
      <c r="AC244" s="493"/>
      <c r="AD244" s="493"/>
      <c r="AE244" s="493"/>
      <c r="AF244" s="493"/>
      <c r="AG244" s="493"/>
      <c r="AH244" s="493"/>
      <c r="AI244" s="493"/>
      <c r="AJ244" s="493"/>
      <c r="AK244" s="493"/>
      <c r="AL244" s="493"/>
      <c r="AM244" s="493"/>
      <c r="AN244" s="493"/>
      <c r="AO244" s="493"/>
      <c r="AP244" s="493"/>
      <c r="AQ244" s="493"/>
      <c r="AR244" s="493"/>
      <c r="AS244" s="493"/>
      <c r="AT244" s="493"/>
      <c r="AU244" s="493"/>
      <c r="AV244" s="493"/>
      <c r="AW244" s="493"/>
      <c r="AX244" s="493"/>
      <c r="AY244" s="493"/>
      <c r="AZ244" s="493"/>
      <c r="BA244" s="493"/>
      <c r="BB244" s="493"/>
      <c r="BC244" s="493"/>
      <c r="BD244" s="493"/>
      <c r="BE244" s="493"/>
      <c r="BF244" s="493"/>
      <c r="BG244" s="493"/>
      <c r="BH244" s="493"/>
      <c r="BI244" s="493"/>
    </row>
    <row r="245" spans="3:61" ht="12.75">
      <c r="C245" s="493"/>
      <c r="D245" s="493"/>
      <c r="E245" s="493"/>
      <c r="F245" s="493"/>
      <c r="G245" s="493"/>
      <c r="H245" s="493"/>
      <c r="I245" s="493"/>
      <c r="J245" s="493"/>
      <c r="K245" s="493"/>
      <c r="L245" s="493"/>
      <c r="M245" s="493"/>
      <c r="N245" s="493"/>
      <c r="O245" s="493"/>
      <c r="P245" s="493"/>
      <c r="Q245" s="493"/>
      <c r="R245" s="493"/>
      <c r="S245" s="493"/>
      <c r="T245" s="493"/>
      <c r="U245" s="493"/>
      <c r="V245" s="493"/>
      <c r="W245" s="493"/>
      <c r="X245" s="493"/>
      <c r="Y245" s="493"/>
      <c r="Z245" s="493"/>
      <c r="AA245" s="493"/>
      <c r="AB245" s="493"/>
      <c r="AC245" s="493"/>
      <c r="AD245" s="493"/>
      <c r="AE245" s="493"/>
      <c r="AF245" s="493"/>
      <c r="AG245" s="493"/>
      <c r="AH245" s="493"/>
      <c r="AI245" s="493"/>
      <c r="AJ245" s="493"/>
      <c r="AK245" s="493"/>
      <c r="AL245" s="493"/>
      <c r="AM245" s="493"/>
      <c r="AN245" s="493"/>
      <c r="AO245" s="493"/>
      <c r="AP245" s="493"/>
      <c r="AQ245" s="493"/>
      <c r="AR245" s="493"/>
      <c r="AS245" s="493"/>
      <c r="AT245" s="493"/>
      <c r="AU245" s="493"/>
      <c r="AV245" s="493"/>
      <c r="AW245" s="493"/>
      <c r="AX245" s="493"/>
      <c r="AY245" s="493"/>
      <c r="AZ245" s="493"/>
      <c r="BA245" s="493"/>
      <c r="BB245" s="493"/>
      <c r="BC245" s="493"/>
      <c r="BD245" s="493"/>
      <c r="BE245" s="493"/>
      <c r="BF245" s="493"/>
      <c r="BG245" s="493"/>
      <c r="BH245" s="493"/>
      <c r="BI245" s="493"/>
    </row>
    <row r="246" spans="3:61" ht="12.75">
      <c r="C246" s="493"/>
      <c r="D246" s="493"/>
      <c r="E246" s="493"/>
      <c r="F246" s="493"/>
      <c r="G246" s="493"/>
      <c r="H246" s="493"/>
      <c r="I246" s="493"/>
      <c r="J246" s="493"/>
      <c r="K246" s="493"/>
      <c r="L246" s="493"/>
      <c r="M246" s="493"/>
      <c r="N246" s="493"/>
      <c r="O246" s="493"/>
      <c r="P246" s="493"/>
      <c r="Q246" s="493"/>
      <c r="R246" s="493"/>
      <c r="S246" s="493"/>
      <c r="T246" s="493"/>
      <c r="U246" s="493"/>
      <c r="V246" s="493"/>
      <c r="W246" s="493"/>
      <c r="X246" s="493"/>
      <c r="Y246" s="493"/>
      <c r="Z246" s="493"/>
      <c r="AA246" s="493"/>
      <c r="AB246" s="493"/>
      <c r="AC246" s="493"/>
      <c r="AD246" s="493"/>
      <c r="AE246" s="493"/>
      <c r="AF246" s="493"/>
      <c r="AG246" s="493"/>
      <c r="AH246" s="493"/>
      <c r="AI246" s="493"/>
      <c r="AJ246" s="493"/>
      <c r="AK246" s="493"/>
      <c r="AL246" s="493"/>
      <c r="AM246" s="493"/>
      <c r="AN246" s="493"/>
      <c r="AO246" s="493"/>
      <c r="AP246" s="493"/>
      <c r="AQ246" s="493"/>
      <c r="AR246" s="493"/>
      <c r="AS246" s="493"/>
      <c r="AT246" s="493"/>
      <c r="AU246" s="493"/>
      <c r="AV246" s="493"/>
      <c r="AW246" s="493"/>
      <c r="AX246" s="493"/>
      <c r="AY246" s="493"/>
      <c r="AZ246" s="493"/>
      <c r="BA246" s="493"/>
      <c r="BB246" s="493"/>
      <c r="BC246" s="493"/>
      <c r="BD246" s="493"/>
      <c r="BE246" s="493"/>
      <c r="BF246" s="493"/>
      <c r="BG246" s="493"/>
      <c r="BH246" s="493"/>
      <c r="BI246" s="493"/>
    </row>
    <row r="247" spans="3:61" ht="12.75">
      <c r="C247" s="493"/>
      <c r="D247" s="493"/>
      <c r="E247" s="493"/>
      <c r="F247" s="493"/>
      <c r="G247" s="493"/>
      <c r="H247" s="493"/>
      <c r="I247" s="493"/>
      <c r="J247" s="493"/>
      <c r="K247" s="493"/>
      <c r="L247" s="493"/>
      <c r="M247" s="493"/>
      <c r="N247" s="493"/>
      <c r="O247" s="493"/>
      <c r="P247" s="493"/>
      <c r="Q247" s="493"/>
      <c r="R247" s="493"/>
      <c r="S247" s="493"/>
      <c r="T247" s="493"/>
      <c r="U247" s="493"/>
      <c r="V247" s="493"/>
      <c r="W247" s="493"/>
      <c r="X247" s="493"/>
      <c r="Y247" s="493"/>
      <c r="Z247" s="493"/>
      <c r="AA247" s="493"/>
      <c r="AB247" s="493"/>
      <c r="AC247" s="493"/>
      <c r="AD247" s="493"/>
      <c r="AE247" s="493"/>
      <c r="AF247" s="493"/>
      <c r="AG247" s="493"/>
      <c r="AH247" s="493"/>
      <c r="AI247" s="493"/>
      <c r="AJ247" s="493"/>
      <c r="AK247" s="493"/>
      <c r="AL247" s="493"/>
      <c r="AM247" s="493"/>
      <c r="AN247" s="493"/>
      <c r="AO247" s="493"/>
      <c r="AP247" s="493"/>
      <c r="AQ247" s="493"/>
      <c r="AR247" s="493"/>
      <c r="AS247" s="493"/>
      <c r="AT247" s="493"/>
      <c r="AU247" s="493"/>
      <c r="AV247" s="493"/>
      <c r="AW247" s="493"/>
      <c r="AX247" s="493"/>
      <c r="AY247" s="493"/>
      <c r="AZ247" s="493"/>
      <c r="BA247" s="493"/>
      <c r="BB247" s="493"/>
      <c r="BC247" s="493"/>
      <c r="BD247" s="493"/>
      <c r="BE247" s="493"/>
      <c r="BF247" s="493"/>
      <c r="BG247" s="493"/>
      <c r="BH247" s="493"/>
      <c r="BI247" s="493"/>
    </row>
    <row r="248" spans="3:61" ht="12.75">
      <c r="C248" s="493"/>
      <c r="D248" s="493"/>
      <c r="E248" s="493"/>
      <c r="F248" s="493"/>
      <c r="G248" s="493"/>
      <c r="H248" s="493"/>
      <c r="I248" s="493"/>
      <c r="J248" s="493"/>
      <c r="K248" s="493"/>
      <c r="L248" s="493"/>
      <c r="M248" s="493"/>
      <c r="N248" s="493"/>
      <c r="O248" s="493"/>
      <c r="P248" s="493"/>
      <c r="Q248" s="493"/>
      <c r="R248" s="493"/>
      <c r="S248" s="493"/>
      <c r="T248" s="493"/>
      <c r="U248" s="493"/>
      <c r="V248" s="493"/>
      <c r="W248" s="493"/>
      <c r="X248" s="493"/>
      <c r="Y248" s="493"/>
      <c r="Z248" s="493"/>
      <c r="AA248" s="493"/>
      <c r="AB248" s="493"/>
      <c r="AC248" s="493"/>
      <c r="AD248" s="493"/>
      <c r="AE248" s="493"/>
      <c r="AF248" s="493"/>
      <c r="AG248" s="493"/>
      <c r="AH248" s="493"/>
      <c r="AI248" s="493"/>
      <c r="AJ248" s="493"/>
      <c r="AK248" s="493"/>
      <c r="AL248" s="493"/>
      <c r="AM248" s="493"/>
      <c r="AN248" s="493"/>
      <c r="AO248" s="493"/>
      <c r="AP248" s="493"/>
      <c r="AQ248" s="493"/>
      <c r="AR248" s="493"/>
      <c r="AS248" s="493"/>
      <c r="AT248" s="493"/>
      <c r="AU248" s="493"/>
      <c r="AV248" s="493"/>
      <c r="AW248" s="493"/>
      <c r="AX248" s="493"/>
      <c r="AY248" s="493"/>
      <c r="AZ248" s="493"/>
      <c r="BA248" s="493"/>
      <c r="BB248" s="493"/>
      <c r="BC248" s="493"/>
      <c r="BD248" s="493"/>
      <c r="BE248" s="493"/>
      <c r="BF248" s="493"/>
      <c r="BG248" s="493"/>
      <c r="BH248" s="493"/>
      <c r="BI248" s="493"/>
    </row>
    <row r="249" spans="3:61" ht="12.75">
      <c r="C249" s="493"/>
      <c r="D249" s="493"/>
      <c r="E249" s="493"/>
      <c r="F249" s="493"/>
      <c r="G249" s="493"/>
      <c r="H249" s="493"/>
      <c r="I249" s="493"/>
      <c r="J249" s="493"/>
      <c r="K249" s="493"/>
      <c r="L249" s="493"/>
      <c r="M249" s="493"/>
      <c r="N249" s="493"/>
      <c r="O249" s="493"/>
      <c r="P249" s="493"/>
      <c r="Q249" s="493"/>
      <c r="R249" s="493"/>
      <c r="S249" s="493"/>
      <c r="T249" s="493"/>
      <c r="U249" s="493"/>
      <c r="V249" s="493"/>
      <c r="W249" s="493"/>
      <c r="X249" s="493"/>
      <c r="Y249" s="493"/>
      <c r="Z249" s="493"/>
      <c r="AA249" s="493"/>
      <c r="AB249" s="493"/>
      <c r="AC249" s="493"/>
      <c r="AD249" s="493"/>
      <c r="AE249" s="493"/>
      <c r="AF249" s="493"/>
      <c r="AG249" s="493"/>
      <c r="AH249" s="493"/>
      <c r="AI249" s="493"/>
      <c r="AJ249" s="493"/>
      <c r="AK249" s="493"/>
      <c r="AL249" s="493"/>
      <c r="AM249" s="493"/>
      <c r="AN249" s="493"/>
      <c r="AO249" s="493"/>
      <c r="AP249" s="493"/>
      <c r="AQ249" s="493"/>
      <c r="AR249" s="493"/>
      <c r="AS249" s="493"/>
      <c r="AT249" s="493"/>
      <c r="AU249" s="493"/>
      <c r="AV249" s="493"/>
      <c r="AW249" s="493"/>
      <c r="AX249" s="493"/>
      <c r="AY249" s="493"/>
      <c r="AZ249" s="493"/>
      <c r="BA249" s="493"/>
      <c r="BB249" s="493"/>
      <c r="BC249" s="493"/>
      <c r="BD249" s="493"/>
      <c r="BE249" s="493"/>
      <c r="BF249" s="493"/>
      <c r="BG249" s="493"/>
      <c r="BH249" s="493"/>
      <c r="BI249" s="493"/>
    </row>
    <row r="250" spans="3:61" ht="12.75">
      <c r="C250" s="493"/>
      <c r="D250" s="493"/>
      <c r="E250" s="493"/>
      <c r="F250" s="493"/>
      <c r="G250" s="493"/>
      <c r="H250" s="493"/>
      <c r="I250" s="493"/>
      <c r="J250" s="493"/>
      <c r="K250" s="493"/>
      <c r="L250" s="493"/>
      <c r="M250" s="493"/>
      <c r="N250" s="493"/>
      <c r="O250" s="493"/>
      <c r="P250" s="493"/>
      <c r="Q250" s="493"/>
      <c r="R250" s="493"/>
      <c r="S250" s="493"/>
      <c r="T250" s="493"/>
      <c r="U250" s="493"/>
      <c r="V250" s="493"/>
      <c r="W250" s="493"/>
      <c r="X250" s="493"/>
      <c r="Y250" s="493"/>
      <c r="Z250" s="493"/>
      <c r="AA250" s="493"/>
      <c r="AB250" s="493"/>
      <c r="AC250" s="493"/>
      <c r="AD250" s="493"/>
      <c r="AE250" s="493"/>
      <c r="AF250" s="493"/>
      <c r="AG250" s="493"/>
      <c r="AH250" s="493"/>
      <c r="AI250" s="493"/>
      <c r="AJ250" s="493"/>
      <c r="AK250" s="493"/>
      <c r="AL250" s="493"/>
      <c r="AM250" s="493"/>
      <c r="AN250" s="493"/>
      <c r="AO250" s="493"/>
      <c r="AP250" s="493"/>
      <c r="AQ250" s="493"/>
      <c r="AR250" s="493"/>
      <c r="AS250" s="493"/>
      <c r="AT250" s="493"/>
      <c r="AU250" s="493"/>
      <c r="AV250" s="493"/>
      <c r="AW250" s="493"/>
      <c r="AX250" s="493"/>
      <c r="AY250" s="493"/>
      <c r="AZ250" s="493"/>
      <c r="BA250" s="493"/>
      <c r="BB250" s="493"/>
      <c r="BC250" s="493"/>
      <c r="BD250" s="493"/>
      <c r="BE250" s="493"/>
      <c r="BF250" s="493"/>
      <c r="BG250" s="493"/>
      <c r="BH250" s="493"/>
      <c r="BI250" s="493"/>
    </row>
    <row r="251" spans="3:61" ht="12.75">
      <c r="C251" s="493"/>
      <c r="D251" s="493"/>
      <c r="E251" s="493"/>
      <c r="F251" s="493"/>
      <c r="G251" s="493"/>
      <c r="H251" s="493"/>
      <c r="I251" s="493"/>
      <c r="J251" s="493"/>
      <c r="K251" s="493"/>
      <c r="L251" s="493"/>
      <c r="M251" s="493"/>
      <c r="N251" s="493"/>
      <c r="O251" s="493"/>
      <c r="P251" s="493"/>
      <c r="Q251" s="493"/>
      <c r="R251" s="493"/>
      <c r="S251" s="493"/>
      <c r="T251" s="493"/>
      <c r="U251" s="493"/>
      <c r="V251" s="493"/>
      <c r="W251" s="493"/>
      <c r="X251" s="493"/>
      <c r="Y251" s="493"/>
      <c r="Z251" s="493"/>
      <c r="AA251" s="493"/>
      <c r="AB251" s="493"/>
      <c r="AC251" s="493"/>
      <c r="AD251" s="493"/>
      <c r="AE251" s="493"/>
      <c r="AF251" s="493"/>
      <c r="AG251" s="493"/>
      <c r="AH251" s="493"/>
      <c r="AI251" s="493"/>
      <c r="AJ251" s="493"/>
      <c r="AK251" s="493"/>
      <c r="AL251" s="493"/>
      <c r="AM251" s="493"/>
      <c r="AN251" s="493"/>
      <c r="AO251" s="493"/>
      <c r="AP251" s="493"/>
      <c r="AQ251" s="493"/>
      <c r="AR251" s="493"/>
      <c r="AS251" s="493"/>
      <c r="AT251" s="493"/>
      <c r="AU251" s="493"/>
      <c r="AV251" s="493"/>
      <c r="AW251" s="493"/>
      <c r="AX251" s="493"/>
      <c r="AY251" s="493"/>
      <c r="AZ251" s="493"/>
      <c r="BA251" s="493"/>
      <c r="BB251" s="493"/>
      <c r="BC251" s="493"/>
      <c r="BD251" s="493"/>
      <c r="BE251" s="493"/>
      <c r="BF251" s="493"/>
      <c r="BG251" s="493"/>
      <c r="BH251" s="493"/>
      <c r="BI251" s="493"/>
    </row>
    <row r="252" spans="3:61" ht="12.75">
      <c r="C252" s="493"/>
      <c r="D252" s="493"/>
      <c r="E252" s="493"/>
      <c r="F252" s="493"/>
      <c r="G252" s="493"/>
      <c r="H252" s="493"/>
      <c r="I252" s="493"/>
      <c r="J252" s="493"/>
      <c r="K252" s="493"/>
      <c r="L252" s="493"/>
      <c r="M252" s="493"/>
      <c r="N252" s="493"/>
      <c r="O252" s="493"/>
      <c r="P252" s="493"/>
      <c r="Q252" s="493"/>
      <c r="R252" s="493"/>
      <c r="S252" s="493"/>
      <c r="T252" s="493"/>
      <c r="U252" s="493"/>
      <c r="V252" s="493"/>
      <c r="W252" s="493"/>
      <c r="X252" s="493"/>
      <c r="Y252" s="493"/>
      <c r="Z252" s="493"/>
      <c r="AA252" s="493"/>
      <c r="AB252" s="493"/>
      <c r="AC252" s="493"/>
      <c r="AD252" s="493"/>
      <c r="AE252" s="493"/>
      <c r="AF252" s="493"/>
      <c r="AG252" s="493"/>
      <c r="AH252" s="493"/>
      <c r="AI252" s="493"/>
      <c r="AJ252" s="493"/>
      <c r="AK252" s="493"/>
      <c r="AL252" s="493"/>
      <c r="AM252" s="493"/>
      <c r="AN252" s="493"/>
      <c r="AO252" s="493"/>
      <c r="AP252" s="493"/>
      <c r="AQ252" s="493"/>
      <c r="AR252" s="493"/>
      <c r="AS252" s="493"/>
      <c r="AT252" s="493"/>
      <c r="AU252" s="493"/>
      <c r="AV252" s="493"/>
      <c r="AW252" s="493"/>
      <c r="AX252" s="493"/>
      <c r="AY252" s="493"/>
      <c r="AZ252" s="493"/>
      <c r="BA252" s="493"/>
      <c r="BB252" s="493"/>
      <c r="BC252" s="493"/>
      <c r="BD252" s="493"/>
      <c r="BE252" s="493"/>
      <c r="BF252" s="493"/>
      <c r="BG252" s="493"/>
      <c r="BH252" s="493"/>
      <c r="BI252" s="493"/>
    </row>
    <row r="253" spans="3:61" ht="12.75">
      <c r="C253" s="493"/>
      <c r="D253" s="493"/>
      <c r="E253" s="493"/>
      <c r="F253" s="493"/>
      <c r="G253" s="493"/>
      <c r="H253" s="493"/>
      <c r="I253" s="493"/>
      <c r="J253" s="493"/>
      <c r="K253" s="493"/>
      <c r="L253" s="493"/>
      <c r="M253" s="493"/>
      <c r="N253" s="493"/>
      <c r="O253" s="493"/>
      <c r="P253" s="493"/>
      <c r="Q253" s="493"/>
      <c r="R253" s="493"/>
      <c r="S253" s="493"/>
      <c r="T253" s="493"/>
      <c r="U253" s="493"/>
      <c r="V253" s="493"/>
      <c r="W253" s="493"/>
      <c r="X253" s="493"/>
      <c r="Y253" s="493"/>
      <c r="Z253" s="493"/>
      <c r="AA253" s="493"/>
      <c r="AB253" s="493"/>
      <c r="AC253" s="493"/>
      <c r="AD253" s="493"/>
      <c r="AE253" s="493"/>
      <c r="AF253" s="493"/>
      <c r="AG253" s="493"/>
      <c r="AH253" s="493"/>
      <c r="AI253" s="493"/>
      <c r="AJ253" s="493"/>
      <c r="AK253" s="493"/>
      <c r="AL253" s="493"/>
      <c r="AM253" s="493"/>
      <c r="AN253" s="493"/>
      <c r="AO253" s="493"/>
      <c r="AP253" s="493"/>
      <c r="AQ253" s="493"/>
      <c r="AR253" s="493"/>
      <c r="AS253" s="493"/>
      <c r="AT253" s="493"/>
      <c r="AU253" s="493"/>
      <c r="AV253" s="493"/>
      <c r="AW253" s="493"/>
      <c r="AX253" s="493"/>
      <c r="AY253" s="493"/>
      <c r="AZ253" s="493"/>
      <c r="BA253" s="493"/>
      <c r="BB253" s="493"/>
      <c r="BC253" s="493"/>
      <c r="BD253" s="493"/>
      <c r="BE253" s="493"/>
      <c r="BF253" s="493"/>
      <c r="BG253" s="493"/>
      <c r="BH253" s="493"/>
      <c r="BI253" s="493"/>
    </row>
    <row r="254" spans="3:61" ht="12.75">
      <c r="C254" s="493"/>
      <c r="D254" s="493"/>
      <c r="E254" s="493"/>
      <c r="F254" s="493"/>
      <c r="G254" s="493"/>
      <c r="H254" s="493"/>
      <c r="I254" s="493"/>
      <c r="J254" s="493"/>
      <c r="K254" s="493"/>
      <c r="L254" s="493"/>
      <c r="M254" s="493"/>
      <c r="N254" s="493"/>
      <c r="O254" s="493"/>
      <c r="P254" s="493"/>
      <c r="Q254" s="493"/>
      <c r="R254" s="493"/>
      <c r="S254" s="493"/>
      <c r="T254" s="493"/>
      <c r="U254" s="493"/>
      <c r="V254" s="493"/>
      <c r="W254" s="493"/>
      <c r="X254" s="493"/>
      <c r="Y254" s="493"/>
      <c r="Z254" s="493"/>
      <c r="AA254" s="493"/>
      <c r="AB254" s="493"/>
      <c r="AC254" s="493"/>
      <c r="AD254" s="493"/>
      <c r="AE254" s="493"/>
      <c r="AF254" s="493"/>
      <c r="AG254" s="493"/>
      <c r="AH254" s="493"/>
      <c r="AI254" s="493"/>
      <c r="AJ254" s="493"/>
      <c r="AK254" s="493"/>
      <c r="AL254" s="493"/>
      <c r="AM254" s="493"/>
      <c r="AN254" s="493"/>
      <c r="AO254" s="493"/>
      <c r="AP254" s="493"/>
      <c r="AQ254" s="493"/>
      <c r="AR254" s="493"/>
      <c r="AS254" s="493"/>
      <c r="AT254" s="493"/>
      <c r="AU254" s="493"/>
      <c r="AV254" s="493"/>
      <c r="AW254" s="493"/>
      <c r="AX254" s="493"/>
      <c r="AY254" s="493"/>
      <c r="AZ254" s="493"/>
      <c r="BA254" s="493"/>
      <c r="BB254" s="493"/>
      <c r="BC254" s="493"/>
      <c r="BD254" s="493"/>
      <c r="BE254" s="493"/>
      <c r="BF254" s="493"/>
      <c r="BG254" s="493"/>
      <c r="BH254" s="493"/>
      <c r="BI254" s="493"/>
    </row>
    <row r="255" spans="3:61" ht="12.75">
      <c r="C255" s="493"/>
      <c r="D255" s="493"/>
      <c r="E255" s="493"/>
      <c r="F255" s="493"/>
      <c r="G255" s="493"/>
      <c r="H255" s="493"/>
      <c r="I255" s="493"/>
      <c r="J255" s="493"/>
      <c r="K255" s="493"/>
      <c r="L255" s="493"/>
      <c r="M255" s="493"/>
      <c r="N255" s="493"/>
      <c r="O255" s="493"/>
      <c r="P255" s="493"/>
      <c r="Q255" s="493"/>
      <c r="R255" s="493"/>
      <c r="S255" s="493"/>
      <c r="T255" s="493"/>
      <c r="U255" s="493"/>
      <c r="V255" s="493"/>
      <c r="W255" s="493"/>
      <c r="X255" s="493"/>
      <c r="Y255" s="493"/>
      <c r="Z255" s="493"/>
      <c r="AA255" s="493"/>
      <c r="AB255" s="493"/>
      <c r="AC255" s="493"/>
      <c r="AD255" s="493"/>
      <c r="AE255" s="493"/>
      <c r="AF255" s="493"/>
      <c r="AG255" s="493"/>
      <c r="AH255" s="493"/>
      <c r="AI255" s="493"/>
      <c r="AJ255" s="493"/>
      <c r="AK255" s="493"/>
      <c r="AL255" s="493"/>
      <c r="AM255" s="493"/>
      <c r="AN255" s="493"/>
      <c r="AO255" s="493"/>
      <c r="AP255" s="493"/>
      <c r="AQ255" s="493"/>
      <c r="AR255" s="493"/>
      <c r="AS255" s="493"/>
      <c r="AT255" s="493"/>
      <c r="AU255" s="493"/>
      <c r="AV255" s="493"/>
      <c r="AW255" s="493"/>
      <c r="AX255" s="493"/>
      <c r="AY255" s="493"/>
      <c r="AZ255" s="493"/>
      <c r="BA255" s="493"/>
      <c r="BB255" s="493"/>
      <c r="BC255" s="493"/>
      <c r="BD255" s="493"/>
      <c r="BE255" s="493"/>
      <c r="BF255" s="493"/>
      <c r="BG255" s="493"/>
      <c r="BH255" s="493"/>
      <c r="BI255" s="493"/>
    </row>
    <row r="256" spans="3:61" ht="12.75">
      <c r="C256" s="493"/>
      <c r="D256" s="493"/>
      <c r="E256" s="493"/>
      <c r="F256" s="493"/>
      <c r="G256" s="493"/>
      <c r="H256" s="493"/>
      <c r="I256" s="493"/>
      <c r="J256" s="493"/>
      <c r="K256" s="493"/>
      <c r="L256" s="493"/>
      <c r="M256" s="493"/>
      <c r="N256" s="493"/>
      <c r="O256" s="493"/>
      <c r="P256" s="493"/>
      <c r="Q256" s="493"/>
      <c r="R256" s="493"/>
      <c r="S256" s="493"/>
      <c r="T256" s="493"/>
      <c r="U256" s="493"/>
      <c r="V256" s="493"/>
      <c r="W256" s="493"/>
      <c r="X256" s="493"/>
      <c r="Y256" s="493"/>
      <c r="Z256" s="493"/>
      <c r="AA256" s="493"/>
      <c r="AB256" s="493"/>
      <c r="AC256" s="493"/>
      <c r="AD256" s="493"/>
      <c r="AE256" s="493"/>
      <c r="AF256" s="493"/>
      <c r="AG256" s="493"/>
      <c r="AH256" s="493"/>
      <c r="AI256" s="493"/>
      <c r="AJ256" s="493"/>
      <c r="AK256" s="493"/>
      <c r="AL256" s="493"/>
      <c r="AM256" s="493"/>
      <c r="AN256" s="493"/>
      <c r="AO256" s="493"/>
      <c r="AP256" s="493"/>
      <c r="AQ256" s="493"/>
      <c r="AR256" s="493"/>
      <c r="AS256" s="493"/>
      <c r="AT256" s="493"/>
      <c r="AU256" s="493"/>
      <c r="AV256" s="493"/>
      <c r="AW256" s="493"/>
      <c r="AX256" s="493"/>
      <c r="AY256" s="493"/>
      <c r="AZ256" s="493"/>
      <c r="BA256" s="493"/>
      <c r="BB256" s="493"/>
      <c r="BC256" s="493"/>
      <c r="BD256" s="493"/>
      <c r="BE256" s="493"/>
      <c r="BF256" s="493"/>
      <c r="BG256" s="493"/>
      <c r="BH256" s="493"/>
      <c r="BI256" s="493"/>
    </row>
    <row r="257" spans="3:61" ht="12.75">
      <c r="C257" s="493"/>
      <c r="D257" s="493"/>
      <c r="E257" s="493"/>
      <c r="F257" s="493"/>
      <c r="G257" s="493"/>
      <c r="H257" s="493"/>
      <c r="I257" s="493"/>
      <c r="J257" s="493"/>
      <c r="K257" s="493"/>
      <c r="L257" s="493"/>
      <c r="M257" s="493"/>
      <c r="N257" s="493"/>
      <c r="O257" s="493"/>
      <c r="P257" s="493"/>
      <c r="Q257" s="493"/>
      <c r="R257" s="493"/>
      <c r="S257" s="493"/>
      <c r="T257" s="493"/>
      <c r="U257" s="493"/>
      <c r="V257" s="493"/>
      <c r="W257" s="493"/>
      <c r="X257" s="493"/>
      <c r="Y257" s="493"/>
      <c r="Z257" s="493"/>
      <c r="AA257" s="493"/>
      <c r="AB257" s="493"/>
      <c r="AC257" s="493"/>
      <c r="AD257" s="493"/>
      <c r="AE257" s="493"/>
      <c r="AF257" s="493"/>
      <c r="AG257" s="493"/>
      <c r="AH257" s="493"/>
      <c r="AI257" s="493"/>
      <c r="AJ257" s="493"/>
      <c r="AK257" s="493"/>
      <c r="AL257" s="493"/>
      <c r="AM257" s="493"/>
      <c r="AN257" s="493"/>
      <c r="AO257" s="493"/>
      <c r="AP257" s="493"/>
      <c r="AQ257" s="493"/>
      <c r="AR257" s="493"/>
      <c r="AS257" s="493"/>
      <c r="AT257" s="493"/>
      <c r="AU257" s="493"/>
      <c r="AV257" s="493"/>
      <c r="AW257" s="493"/>
      <c r="AX257" s="493"/>
      <c r="AY257" s="493"/>
      <c r="AZ257" s="493"/>
      <c r="BA257" s="493"/>
      <c r="BB257" s="493"/>
      <c r="BC257" s="493"/>
      <c r="BD257" s="493"/>
      <c r="BE257" s="493"/>
      <c r="BF257" s="493"/>
      <c r="BG257" s="493"/>
      <c r="BH257" s="493"/>
      <c r="BI257" s="493"/>
    </row>
    <row r="258" spans="3:61" ht="12.75">
      <c r="C258" s="493"/>
      <c r="D258" s="493"/>
      <c r="E258" s="493"/>
      <c r="F258" s="493"/>
      <c r="G258" s="493"/>
      <c r="H258" s="493"/>
      <c r="I258" s="493"/>
      <c r="J258" s="493"/>
      <c r="K258" s="493"/>
      <c r="L258" s="493"/>
      <c r="M258" s="493"/>
      <c r="N258" s="493"/>
      <c r="O258" s="493"/>
      <c r="P258" s="493"/>
      <c r="Q258" s="493"/>
      <c r="R258" s="493"/>
      <c r="S258" s="493"/>
      <c r="T258" s="493"/>
      <c r="U258" s="493"/>
      <c r="V258" s="493"/>
      <c r="W258" s="493"/>
      <c r="X258" s="493"/>
      <c r="Y258" s="493"/>
      <c r="Z258" s="493"/>
      <c r="AA258" s="493"/>
      <c r="AB258" s="493"/>
      <c r="AC258" s="493"/>
      <c r="AD258" s="493"/>
      <c r="AE258" s="493"/>
      <c r="AF258" s="493"/>
      <c r="AG258" s="493"/>
      <c r="AH258" s="493"/>
      <c r="AI258" s="493"/>
      <c r="AJ258" s="493"/>
      <c r="AK258" s="493"/>
      <c r="AL258" s="493"/>
      <c r="AM258" s="493"/>
      <c r="AN258" s="493"/>
      <c r="AO258" s="493"/>
      <c r="AP258" s="493"/>
      <c r="AQ258" s="493"/>
      <c r="AR258" s="493"/>
      <c r="AS258" s="493"/>
      <c r="AT258" s="493"/>
      <c r="AU258" s="493"/>
      <c r="AV258" s="493"/>
      <c r="AW258" s="493"/>
      <c r="AX258" s="493"/>
      <c r="AY258" s="493"/>
      <c r="AZ258" s="493"/>
      <c r="BA258" s="493"/>
      <c r="BB258" s="493"/>
      <c r="BC258" s="493"/>
      <c r="BD258" s="493"/>
      <c r="BE258" s="493"/>
      <c r="BF258" s="493"/>
      <c r="BG258" s="493"/>
      <c r="BH258" s="493"/>
      <c r="BI258" s="493"/>
    </row>
    <row r="259" spans="3:61" ht="12.75">
      <c r="C259" s="493"/>
      <c r="D259" s="493"/>
      <c r="E259" s="493"/>
      <c r="F259" s="493"/>
      <c r="G259" s="493"/>
      <c r="H259" s="493"/>
      <c r="I259" s="493"/>
      <c r="J259" s="493"/>
      <c r="K259" s="493"/>
      <c r="L259" s="493"/>
      <c r="M259" s="493"/>
      <c r="N259" s="493"/>
      <c r="O259" s="493"/>
      <c r="P259" s="493"/>
      <c r="Q259" s="493"/>
      <c r="R259" s="493"/>
      <c r="S259" s="493"/>
      <c r="T259" s="493"/>
      <c r="U259" s="493"/>
      <c r="V259" s="493"/>
      <c r="W259" s="493"/>
      <c r="X259" s="493"/>
      <c r="Y259" s="493"/>
      <c r="Z259" s="493"/>
      <c r="AA259" s="493"/>
      <c r="AB259" s="493"/>
      <c r="AC259" s="493"/>
      <c r="AD259" s="493"/>
      <c r="AE259" s="493"/>
      <c r="AF259" s="493"/>
      <c r="AG259" s="493"/>
      <c r="AH259" s="493"/>
      <c r="AI259" s="493"/>
      <c r="AJ259" s="493"/>
      <c r="AK259" s="493"/>
      <c r="AL259" s="493"/>
      <c r="AM259" s="493"/>
      <c r="AN259" s="493"/>
      <c r="AO259" s="493"/>
      <c r="AP259" s="493"/>
      <c r="AQ259" s="493"/>
      <c r="AR259" s="493"/>
      <c r="AS259" s="493"/>
      <c r="AT259" s="493"/>
      <c r="AU259" s="493"/>
      <c r="AV259" s="493"/>
      <c r="AW259" s="493"/>
      <c r="AX259" s="493"/>
      <c r="AY259" s="493"/>
      <c r="AZ259" s="493"/>
      <c r="BA259" s="493"/>
      <c r="BB259" s="493"/>
      <c r="BC259" s="493"/>
      <c r="BD259" s="493"/>
      <c r="BE259" s="493"/>
      <c r="BF259" s="493"/>
      <c r="BG259" s="493"/>
      <c r="BH259" s="493"/>
      <c r="BI259" s="493"/>
    </row>
    <row r="260" spans="3:61" ht="12.75">
      <c r="C260" s="493"/>
      <c r="D260" s="493"/>
      <c r="E260" s="493"/>
      <c r="F260" s="493"/>
      <c r="G260" s="493"/>
      <c r="H260" s="493"/>
      <c r="I260" s="493"/>
      <c r="J260" s="493"/>
      <c r="K260" s="493"/>
      <c r="L260" s="493"/>
      <c r="M260" s="493"/>
      <c r="N260" s="493"/>
      <c r="O260" s="493"/>
      <c r="P260" s="493"/>
      <c r="Q260" s="493"/>
      <c r="R260" s="493"/>
      <c r="S260" s="493"/>
      <c r="T260" s="493"/>
      <c r="U260" s="493"/>
      <c r="V260" s="493"/>
      <c r="W260" s="493"/>
      <c r="X260" s="493"/>
      <c r="Y260" s="493"/>
      <c r="Z260" s="493"/>
      <c r="AA260" s="493"/>
      <c r="AB260" s="493"/>
      <c r="AC260" s="493"/>
      <c r="AD260" s="493"/>
      <c r="AE260" s="493"/>
      <c r="AF260" s="493"/>
      <c r="AG260" s="493"/>
      <c r="AH260" s="493"/>
      <c r="AI260" s="493"/>
      <c r="AJ260" s="493"/>
      <c r="AK260" s="493"/>
      <c r="AL260" s="493"/>
      <c r="AM260" s="493"/>
      <c r="AN260" s="493"/>
      <c r="AO260" s="493"/>
      <c r="AP260" s="493"/>
      <c r="AQ260" s="493"/>
      <c r="AR260" s="493"/>
      <c r="AS260" s="493"/>
      <c r="AT260" s="493"/>
      <c r="AU260" s="493"/>
      <c r="AV260" s="493"/>
      <c r="AW260" s="493"/>
      <c r="AX260" s="493"/>
      <c r="AY260" s="493"/>
      <c r="AZ260" s="493"/>
      <c r="BA260" s="493"/>
      <c r="BB260" s="493"/>
      <c r="BC260" s="493"/>
      <c r="BD260" s="493"/>
      <c r="BE260" s="493"/>
      <c r="BF260" s="493"/>
      <c r="BG260" s="493"/>
      <c r="BH260" s="493"/>
      <c r="BI260" s="493"/>
    </row>
    <row r="261" spans="3:61" ht="12.75">
      <c r="C261" s="493"/>
      <c r="D261" s="493"/>
      <c r="E261" s="493"/>
      <c r="F261" s="493"/>
      <c r="G261" s="493"/>
      <c r="H261" s="493"/>
      <c r="I261" s="493"/>
      <c r="J261" s="493"/>
      <c r="K261" s="493"/>
      <c r="L261" s="493"/>
      <c r="M261" s="493"/>
      <c r="N261" s="493"/>
      <c r="O261" s="493"/>
      <c r="P261" s="493"/>
      <c r="Q261" s="493"/>
      <c r="R261" s="493"/>
      <c r="S261" s="493"/>
      <c r="T261" s="493"/>
      <c r="U261" s="493"/>
      <c r="V261" s="493"/>
      <c r="W261" s="493"/>
      <c r="X261" s="493"/>
      <c r="Y261" s="493"/>
      <c r="Z261" s="493"/>
      <c r="AA261" s="493"/>
      <c r="AB261" s="493"/>
      <c r="AC261" s="493"/>
      <c r="AD261" s="493"/>
      <c r="AE261" s="493"/>
      <c r="AF261" s="493"/>
      <c r="AG261" s="493"/>
      <c r="AH261" s="493"/>
      <c r="AI261" s="493"/>
      <c r="AJ261" s="493"/>
      <c r="AK261" s="493"/>
      <c r="AL261" s="493"/>
      <c r="AM261" s="493"/>
      <c r="AN261" s="493"/>
      <c r="AO261" s="493"/>
      <c r="AP261" s="493"/>
      <c r="AQ261" s="493"/>
      <c r="AR261" s="493"/>
      <c r="AS261" s="493"/>
      <c r="AT261" s="493"/>
      <c r="AU261" s="493"/>
      <c r="AV261" s="493"/>
      <c r="AW261" s="493"/>
      <c r="AX261" s="493"/>
      <c r="AY261" s="493"/>
      <c r="AZ261" s="493"/>
      <c r="BA261" s="493"/>
      <c r="BB261" s="493"/>
      <c r="BC261" s="493"/>
      <c r="BD261" s="493"/>
      <c r="BE261" s="493"/>
      <c r="BF261" s="493"/>
      <c r="BG261" s="493"/>
      <c r="BH261" s="493"/>
      <c r="BI261" s="493"/>
    </row>
    <row r="262" spans="3:61" ht="12.75">
      <c r="C262" s="493"/>
      <c r="D262" s="493"/>
      <c r="E262" s="493"/>
      <c r="F262" s="493"/>
      <c r="G262" s="493"/>
      <c r="H262" s="493"/>
      <c r="I262" s="493"/>
      <c r="J262" s="493"/>
      <c r="K262" s="493"/>
      <c r="L262" s="493"/>
      <c r="M262" s="493"/>
      <c r="N262" s="493"/>
      <c r="O262" s="493"/>
      <c r="P262" s="493"/>
      <c r="Q262" s="493"/>
      <c r="R262" s="493"/>
      <c r="S262" s="493"/>
      <c r="T262" s="493"/>
      <c r="U262" s="493"/>
      <c r="V262" s="493"/>
      <c r="W262" s="493"/>
      <c r="X262" s="493"/>
      <c r="Y262" s="493"/>
      <c r="Z262" s="493"/>
      <c r="AA262" s="493"/>
      <c r="AB262" s="493"/>
      <c r="AC262" s="493"/>
      <c r="AD262" s="493"/>
      <c r="AE262" s="493"/>
      <c r="AF262" s="493"/>
      <c r="AG262" s="493"/>
      <c r="AH262" s="493"/>
      <c r="AI262" s="493"/>
      <c r="AJ262" s="493"/>
      <c r="AK262" s="493"/>
      <c r="AL262" s="493"/>
      <c r="AM262" s="493"/>
      <c r="AN262" s="493"/>
      <c r="AO262" s="493"/>
      <c r="AP262" s="493"/>
      <c r="AQ262" s="493"/>
      <c r="AR262" s="493"/>
      <c r="AS262" s="493"/>
      <c r="AT262" s="493"/>
      <c r="AU262" s="493"/>
      <c r="AV262" s="493"/>
      <c r="AW262" s="493"/>
      <c r="AX262" s="493"/>
      <c r="AY262" s="493"/>
      <c r="AZ262" s="493"/>
      <c r="BA262" s="493"/>
      <c r="BB262" s="493"/>
      <c r="BC262" s="493"/>
      <c r="BD262" s="493"/>
      <c r="BE262" s="493"/>
      <c r="BF262" s="493"/>
      <c r="BG262" s="493"/>
      <c r="BH262" s="493"/>
      <c r="BI262" s="493"/>
    </row>
    <row r="263" spans="3:61" ht="12.75">
      <c r="C263" s="493"/>
      <c r="D263" s="493"/>
      <c r="E263" s="493"/>
      <c r="F263" s="493"/>
      <c r="G263" s="493"/>
      <c r="H263" s="493"/>
      <c r="I263" s="493"/>
      <c r="J263" s="493"/>
      <c r="K263" s="493"/>
      <c r="L263" s="493"/>
      <c r="M263" s="493"/>
      <c r="N263" s="493"/>
      <c r="O263" s="493"/>
      <c r="P263" s="493"/>
      <c r="Q263" s="493"/>
      <c r="R263" s="493"/>
      <c r="S263" s="493"/>
      <c r="T263" s="493"/>
      <c r="U263" s="493"/>
      <c r="V263" s="493"/>
      <c r="W263" s="493"/>
      <c r="X263" s="493"/>
      <c r="Y263" s="493"/>
      <c r="Z263" s="493"/>
      <c r="AA263" s="493"/>
      <c r="AB263" s="493"/>
      <c r="AC263" s="493"/>
      <c r="AD263" s="493"/>
      <c r="AE263" s="493"/>
      <c r="AF263" s="493"/>
      <c r="AG263" s="493"/>
      <c r="AH263" s="493"/>
      <c r="AI263" s="493"/>
      <c r="AJ263" s="493"/>
      <c r="AK263" s="493"/>
      <c r="AL263" s="493"/>
      <c r="AM263" s="493"/>
      <c r="AN263" s="493"/>
      <c r="AO263" s="493"/>
      <c r="AP263" s="493"/>
      <c r="AQ263" s="493"/>
      <c r="AR263" s="493"/>
      <c r="AS263" s="493"/>
      <c r="AT263" s="493"/>
      <c r="AU263" s="493"/>
      <c r="AV263" s="493"/>
      <c r="AW263" s="493"/>
      <c r="AX263" s="493"/>
      <c r="AY263" s="493"/>
      <c r="AZ263" s="493"/>
      <c r="BA263" s="493"/>
      <c r="BB263" s="493"/>
      <c r="BC263" s="493"/>
      <c r="BD263" s="493"/>
      <c r="BE263" s="493"/>
      <c r="BF263" s="493"/>
      <c r="BG263" s="493"/>
      <c r="BH263" s="493"/>
      <c r="BI263" s="493"/>
    </row>
    <row r="264" spans="3:61" ht="12.75">
      <c r="C264" s="493"/>
      <c r="D264" s="493"/>
      <c r="E264" s="493"/>
      <c r="F264" s="493"/>
      <c r="G264" s="493"/>
      <c r="H264" s="493"/>
      <c r="I264" s="493"/>
      <c r="J264" s="493"/>
      <c r="K264" s="493"/>
      <c r="L264" s="493"/>
      <c r="M264" s="493"/>
      <c r="N264" s="493"/>
      <c r="O264" s="493"/>
      <c r="P264" s="493"/>
      <c r="Q264" s="493"/>
      <c r="R264" s="493"/>
      <c r="S264" s="493"/>
      <c r="T264" s="493"/>
      <c r="U264" s="493"/>
      <c r="V264" s="493"/>
      <c r="W264" s="493"/>
      <c r="X264" s="493"/>
      <c r="Y264" s="493"/>
      <c r="Z264" s="493"/>
      <c r="AA264" s="493"/>
      <c r="AB264" s="493"/>
      <c r="AC264" s="493"/>
      <c r="AD264" s="493"/>
      <c r="AE264" s="493"/>
      <c r="AF264" s="493"/>
      <c r="AG264" s="493"/>
      <c r="AH264" s="493"/>
      <c r="AI264" s="493"/>
      <c r="AJ264" s="493"/>
      <c r="AK264" s="493"/>
      <c r="AL264" s="493"/>
      <c r="AM264" s="493"/>
      <c r="AN264" s="493"/>
      <c r="AO264" s="493"/>
      <c r="AP264" s="493"/>
      <c r="AQ264" s="493"/>
      <c r="AR264" s="493"/>
      <c r="AS264" s="493"/>
      <c r="AT264" s="493"/>
      <c r="AU264" s="493"/>
      <c r="AV264" s="493"/>
      <c r="AW264" s="493"/>
      <c r="AX264" s="493"/>
      <c r="AY264" s="493"/>
      <c r="AZ264" s="493"/>
      <c r="BA264" s="493"/>
      <c r="BB264" s="493"/>
      <c r="BC264" s="493"/>
      <c r="BD264" s="493"/>
      <c r="BE264" s="493"/>
      <c r="BF264" s="493"/>
      <c r="BG264" s="493"/>
      <c r="BH264" s="493"/>
      <c r="BI264" s="493"/>
    </row>
    <row r="265" spans="3:61" ht="12.75">
      <c r="C265" s="493"/>
      <c r="D265" s="493"/>
      <c r="E265" s="493"/>
      <c r="F265" s="493"/>
      <c r="G265" s="493"/>
      <c r="H265" s="493"/>
      <c r="I265" s="493"/>
      <c r="J265" s="493"/>
      <c r="K265" s="493"/>
      <c r="L265" s="493"/>
      <c r="M265" s="493"/>
      <c r="N265" s="493"/>
      <c r="O265" s="493"/>
      <c r="P265" s="493"/>
      <c r="Q265" s="493"/>
      <c r="R265" s="493"/>
      <c r="S265" s="493"/>
      <c r="T265" s="493"/>
      <c r="U265" s="493"/>
      <c r="V265" s="493"/>
      <c r="W265" s="493"/>
      <c r="X265" s="493"/>
      <c r="Y265" s="493"/>
      <c r="Z265" s="493"/>
      <c r="AA265" s="493"/>
      <c r="AB265" s="493"/>
      <c r="AC265" s="493"/>
      <c r="AD265" s="493"/>
      <c r="AE265" s="493"/>
      <c r="AF265" s="493"/>
      <c r="AG265" s="493"/>
      <c r="AH265" s="493"/>
      <c r="AI265" s="493"/>
      <c r="AJ265" s="493"/>
      <c r="AK265" s="493"/>
      <c r="AL265" s="493"/>
      <c r="AM265" s="493"/>
      <c r="AN265" s="493"/>
      <c r="AO265" s="493"/>
      <c r="AP265" s="493"/>
      <c r="AQ265" s="493"/>
      <c r="AR265" s="493"/>
      <c r="AS265" s="493"/>
      <c r="AT265" s="493"/>
      <c r="AU265" s="493"/>
      <c r="AV265" s="493"/>
      <c r="AW265" s="493"/>
      <c r="AX265" s="493"/>
      <c r="AY265" s="493"/>
      <c r="AZ265" s="493"/>
      <c r="BA265" s="493"/>
      <c r="BB265" s="493"/>
      <c r="BC265" s="493"/>
      <c r="BD265" s="493"/>
      <c r="BE265" s="493"/>
      <c r="BF265" s="493"/>
      <c r="BG265" s="493"/>
      <c r="BH265" s="493"/>
      <c r="BI265" s="493"/>
    </row>
    <row r="266" spans="3:61" ht="12.75">
      <c r="C266" s="493"/>
      <c r="D266" s="493"/>
      <c r="E266" s="493"/>
      <c r="F266" s="493"/>
      <c r="G266" s="493"/>
      <c r="H266" s="493"/>
      <c r="I266" s="493"/>
      <c r="J266" s="493"/>
      <c r="K266" s="493"/>
      <c r="L266" s="493"/>
      <c r="M266" s="493"/>
      <c r="N266" s="493"/>
      <c r="O266" s="493"/>
      <c r="P266" s="493"/>
      <c r="Q266" s="493"/>
      <c r="R266" s="493"/>
      <c r="S266" s="493"/>
      <c r="T266" s="493"/>
      <c r="U266" s="493"/>
      <c r="V266" s="493"/>
      <c r="W266" s="493"/>
      <c r="X266" s="493"/>
      <c r="Y266" s="493"/>
      <c r="Z266" s="493"/>
      <c r="AA266" s="493"/>
      <c r="AB266" s="493"/>
      <c r="AC266" s="493"/>
      <c r="AD266" s="493"/>
      <c r="AE266" s="493"/>
      <c r="AF266" s="493"/>
      <c r="AG266" s="493"/>
      <c r="AH266" s="493"/>
      <c r="AI266" s="493"/>
      <c r="AJ266" s="493"/>
      <c r="AK266" s="493"/>
      <c r="AL266" s="493"/>
      <c r="AM266" s="493"/>
      <c r="AN266" s="493"/>
      <c r="AO266" s="493"/>
      <c r="AP266" s="493"/>
      <c r="AQ266" s="493"/>
      <c r="AR266" s="493"/>
      <c r="AS266" s="493"/>
      <c r="AT266" s="493"/>
      <c r="AU266" s="493"/>
      <c r="AV266" s="493"/>
      <c r="AW266" s="493"/>
      <c r="AX266" s="493"/>
      <c r="AY266" s="493"/>
      <c r="AZ266" s="493"/>
      <c r="BA266" s="493"/>
      <c r="BB266" s="493"/>
      <c r="BC266" s="493"/>
      <c r="BD266" s="493"/>
      <c r="BE266" s="493"/>
      <c r="BF266" s="493"/>
      <c r="BG266" s="493"/>
      <c r="BH266" s="493"/>
      <c r="BI266" s="493"/>
    </row>
    <row r="267" spans="3:61" ht="12.75">
      <c r="C267" s="493"/>
      <c r="D267" s="493"/>
      <c r="E267" s="493"/>
      <c r="F267" s="493"/>
      <c r="G267" s="493"/>
      <c r="H267" s="493"/>
      <c r="I267" s="493"/>
      <c r="J267" s="493"/>
      <c r="K267" s="493"/>
      <c r="L267" s="493"/>
      <c r="M267" s="493"/>
      <c r="N267" s="493"/>
      <c r="O267" s="493"/>
      <c r="P267" s="493"/>
      <c r="Q267" s="493"/>
      <c r="R267" s="493"/>
      <c r="S267" s="493"/>
      <c r="T267" s="493"/>
      <c r="U267" s="493"/>
      <c r="V267" s="493"/>
      <c r="W267" s="493"/>
      <c r="X267" s="493"/>
      <c r="Y267" s="493"/>
      <c r="Z267" s="493"/>
      <c r="AA267" s="493"/>
      <c r="AB267" s="493"/>
      <c r="AC267" s="493"/>
      <c r="AD267" s="493"/>
      <c r="AE267" s="493"/>
      <c r="AF267" s="493"/>
      <c r="AG267" s="493"/>
      <c r="AH267" s="493"/>
      <c r="AI267" s="493"/>
      <c r="AJ267" s="493"/>
      <c r="AK267" s="493"/>
      <c r="AL267" s="493"/>
      <c r="AM267" s="493"/>
      <c r="AN267" s="493"/>
      <c r="AO267" s="493"/>
      <c r="AP267" s="493"/>
      <c r="AQ267" s="493"/>
      <c r="AR267" s="493"/>
      <c r="AS267" s="493"/>
      <c r="AT267" s="493"/>
      <c r="AU267" s="493"/>
      <c r="AV267" s="493"/>
      <c r="AW267" s="493"/>
      <c r="AX267" s="493"/>
      <c r="AY267" s="493"/>
      <c r="AZ267" s="493"/>
      <c r="BA267" s="493"/>
      <c r="BB267" s="493"/>
      <c r="BC267" s="493"/>
      <c r="BD267" s="493"/>
      <c r="BE267" s="493"/>
      <c r="BF267" s="493"/>
      <c r="BG267" s="493"/>
      <c r="BH267" s="493"/>
      <c r="BI267" s="493"/>
    </row>
    <row r="268" spans="3:61" ht="12.75">
      <c r="C268" s="493"/>
      <c r="D268" s="493"/>
      <c r="E268" s="493"/>
      <c r="F268" s="493"/>
      <c r="G268" s="493"/>
      <c r="H268" s="493"/>
      <c r="I268" s="493"/>
      <c r="J268" s="493"/>
      <c r="K268" s="493"/>
      <c r="L268" s="493"/>
      <c r="M268" s="493"/>
      <c r="N268" s="493"/>
      <c r="O268" s="493"/>
      <c r="P268" s="493"/>
      <c r="Q268" s="493"/>
      <c r="R268" s="493"/>
      <c r="S268" s="493"/>
      <c r="T268" s="493"/>
      <c r="U268" s="493"/>
      <c r="V268" s="493"/>
      <c r="W268" s="493"/>
      <c r="X268" s="493"/>
      <c r="Y268" s="493"/>
      <c r="Z268" s="493"/>
      <c r="AA268" s="493"/>
      <c r="AB268" s="493"/>
      <c r="AC268" s="493"/>
      <c r="AD268" s="493"/>
      <c r="AE268" s="493"/>
      <c r="AF268" s="493"/>
      <c r="AG268" s="493"/>
      <c r="AH268" s="493"/>
      <c r="AI268" s="493"/>
      <c r="AJ268" s="493"/>
      <c r="AK268" s="493"/>
      <c r="AL268" s="493"/>
      <c r="AM268" s="493"/>
      <c r="AN268" s="493"/>
      <c r="AO268" s="493"/>
      <c r="AP268" s="493"/>
      <c r="AQ268" s="493"/>
      <c r="AR268" s="493"/>
      <c r="AS268" s="493"/>
      <c r="AT268" s="493"/>
      <c r="AU268" s="493"/>
      <c r="AV268" s="493"/>
      <c r="AW268" s="493"/>
      <c r="AX268" s="493"/>
      <c r="AY268" s="493"/>
      <c r="AZ268" s="493"/>
      <c r="BA268" s="493"/>
      <c r="BB268" s="493"/>
      <c r="BC268" s="493"/>
      <c r="BD268" s="493"/>
      <c r="BE268" s="493"/>
      <c r="BF268" s="493"/>
      <c r="BG268" s="493"/>
      <c r="BH268" s="493"/>
      <c r="BI268" s="493"/>
    </row>
    <row r="269" spans="3:61" ht="12.75">
      <c r="C269" s="493"/>
      <c r="D269" s="493"/>
      <c r="E269" s="493"/>
      <c r="F269" s="493"/>
      <c r="G269" s="493"/>
      <c r="H269" s="493"/>
      <c r="I269" s="493"/>
      <c r="J269" s="493"/>
      <c r="K269" s="493"/>
      <c r="L269" s="493"/>
      <c r="M269" s="493"/>
      <c r="N269" s="493"/>
      <c r="O269" s="493"/>
      <c r="P269" s="493"/>
      <c r="Q269" s="493"/>
      <c r="R269" s="493"/>
      <c r="S269" s="493"/>
      <c r="T269" s="493"/>
      <c r="U269" s="493"/>
      <c r="V269" s="493"/>
      <c r="W269" s="493"/>
      <c r="X269" s="493"/>
      <c r="Y269" s="493"/>
      <c r="Z269" s="493"/>
      <c r="AA269" s="493"/>
      <c r="AB269" s="493"/>
      <c r="AC269" s="493"/>
      <c r="AD269" s="493"/>
      <c r="AE269" s="493"/>
      <c r="AF269" s="493"/>
      <c r="AG269" s="493"/>
      <c r="AH269" s="493"/>
      <c r="AI269" s="493"/>
      <c r="AJ269" s="493"/>
      <c r="AK269" s="493"/>
      <c r="AL269" s="493"/>
      <c r="AM269" s="493"/>
      <c r="AN269" s="493"/>
      <c r="AO269" s="493"/>
      <c r="AP269" s="493"/>
      <c r="AQ269" s="493"/>
      <c r="AR269" s="493"/>
      <c r="AS269" s="493"/>
      <c r="AT269" s="493"/>
      <c r="AU269" s="493"/>
      <c r="AV269" s="493"/>
      <c r="AW269" s="493"/>
      <c r="AX269" s="493"/>
      <c r="AY269" s="493"/>
      <c r="AZ269" s="493"/>
      <c r="BA269" s="493"/>
      <c r="BB269" s="493"/>
      <c r="BC269" s="493"/>
      <c r="BD269" s="493"/>
      <c r="BE269" s="493"/>
      <c r="BF269" s="493"/>
      <c r="BG269" s="493"/>
      <c r="BH269" s="493"/>
      <c r="BI269" s="493"/>
    </row>
    <row r="270" spans="3:61" ht="12.75">
      <c r="C270" s="493"/>
      <c r="D270" s="493"/>
      <c r="E270" s="493"/>
      <c r="F270" s="493"/>
      <c r="G270" s="493"/>
      <c r="H270" s="493"/>
      <c r="I270" s="493"/>
      <c r="J270" s="493"/>
      <c r="K270" s="493"/>
      <c r="L270" s="493"/>
      <c r="M270" s="493"/>
      <c r="N270" s="493"/>
      <c r="O270" s="493"/>
      <c r="P270" s="493"/>
      <c r="Q270" s="493"/>
      <c r="R270" s="493"/>
      <c r="S270" s="493"/>
      <c r="T270" s="493"/>
      <c r="U270" s="493"/>
      <c r="V270" s="493"/>
      <c r="W270" s="493"/>
      <c r="X270" s="493"/>
      <c r="Y270" s="493"/>
      <c r="Z270" s="493"/>
      <c r="AA270" s="493"/>
      <c r="AB270" s="493"/>
      <c r="AC270" s="493"/>
      <c r="AD270" s="493"/>
      <c r="AE270" s="493"/>
      <c r="AF270" s="493"/>
      <c r="AG270" s="493"/>
      <c r="AH270" s="493"/>
      <c r="AI270" s="493"/>
      <c r="AJ270" s="493"/>
      <c r="AK270" s="493"/>
      <c r="AL270" s="493"/>
      <c r="AM270" s="493"/>
      <c r="AN270" s="493"/>
      <c r="AO270" s="493"/>
      <c r="AP270" s="493"/>
      <c r="AQ270" s="493"/>
      <c r="AR270" s="493"/>
      <c r="AS270" s="493"/>
      <c r="AT270" s="493"/>
      <c r="AU270" s="493"/>
      <c r="AV270" s="493"/>
      <c r="AW270" s="493"/>
      <c r="AX270" s="493"/>
      <c r="AY270" s="493"/>
      <c r="AZ270" s="493"/>
      <c r="BA270" s="493"/>
      <c r="BB270" s="493"/>
      <c r="BC270" s="493"/>
      <c r="BD270" s="493"/>
      <c r="BE270" s="493"/>
      <c r="BF270" s="493"/>
      <c r="BG270" s="493"/>
      <c r="BH270" s="493"/>
      <c r="BI270" s="493"/>
    </row>
    <row r="271" spans="3:61" ht="12.75">
      <c r="C271" s="493"/>
      <c r="D271" s="493"/>
      <c r="E271" s="493"/>
      <c r="F271" s="493"/>
      <c r="G271" s="493"/>
      <c r="H271" s="493"/>
      <c r="I271" s="493"/>
      <c r="J271" s="493"/>
      <c r="K271" s="493"/>
      <c r="L271" s="493"/>
      <c r="M271" s="493"/>
      <c r="N271" s="493"/>
      <c r="O271" s="493"/>
      <c r="P271" s="493"/>
      <c r="Q271" s="493"/>
      <c r="R271" s="493"/>
      <c r="S271" s="493"/>
      <c r="T271" s="493"/>
      <c r="U271" s="493"/>
      <c r="V271" s="493"/>
      <c r="W271" s="493"/>
      <c r="X271" s="493"/>
      <c r="Y271" s="493"/>
      <c r="Z271" s="493"/>
      <c r="AA271" s="493"/>
      <c r="AB271" s="493"/>
      <c r="AC271" s="493"/>
      <c r="AD271" s="493"/>
      <c r="AE271" s="493"/>
      <c r="AF271" s="493"/>
      <c r="AG271" s="493"/>
      <c r="AH271" s="493"/>
      <c r="AI271" s="493"/>
      <c r="AJ271" s="493"/>
      <c r="AK271" s="493"/>
      <c r="AL271" s="493"/>
      <c r="AM271" s="493"/>
      <c r="AN271" s="493"/>
      <c r="AO271" s="493"/>
      <c r="AP271" s="493"/>
      <c r="AQ271" s="493"/>
      <c r="AR271" s="493"/>
      <c r="AS271" s="493"/>
      <c r="AT271" s="493"/>
      <c r="AU271" s="493"/>
      <c r="AV271" s="493"/>
      <c r="AW271" s="493"/>
      <c r="AX271" s="493"/>
      <c r="AY271" s="493"/>
      <c r="AZ271" s="493"/>
      <c r="BA271" s="493"/>
      <c r="BB271" s="493"/>
      <c r="BC271" s="493"/>
      <c r="BD271" s="493"/>
      <c r="BE271" s="493"/>
      <c r="BF271" s="493"/>
      <c r="BG271" s="493"/>
      <c r="BH271" s="493"/>
      <c r="BI271" s="493"/>
    </row>
    <row r="272" spans="3:61" ht="12.75">
      <c r="C272" s="493"/>
      <c r="D272" s="493"/>
      <c r="E272" s="493"/>
      <c r="F272" s="493"/>
      <c r="G272" s="493"/>
      <c r="H272" s="493"/>
      <c r="I272" s="493"/>
      <c r="J272" s="493"/>
      <c r="K272" s="493"/>
      <c r="L272" s="493"/>
      <c r="M272" s="493"/>
      <c r="N272" s="493"/>
      <c r="O272" s="493"/>
      <c r="P272" s="493"/>
      <c r="Q272" s="493"/>
      <c r="R272" s="493"/>
      <c r="S272" s="493"/>
      <c r="T272" s="493"/>
      <c r="U272" s="493"/>
      <c r="V272" s="493"/>
      <c r="W272" s="493"/>
      <c r="X272" s="493"/>
      <c r="Y272" s="493"/>
      <c r="Z272" s="493"/>
      <c r="AA272" s="493"/>
      <c r="AB272" s="493"/>
      <c r="AC272" s="493"/>
      <c r="AD272" s="493"/>
      <c r="AE272" s="493"/>
      <c r="AF272" s="493"/>
      <c r="AG272" s="493"/>
      <c r="AH272" s="493"/>
      <c r="AI272" s="493"/>
      <c r="AJ272" s="493"/>
      <c r="AK272" s="493"/>
      <c r="AL272" s="493"/>
      <c r="AM272" s="493"/>
      <c r="AN272" s="493"/>
      <c r="AO272" s="493"/>
      <c r="AP272" s="493"/>
      <c r="AQ272" s="493"/>
      <c r="AR272" s="493"/>
      <c r="AS272" s="493"/>
      <c r="AT272" s="493"/>
      <c r="AU272" s="493"/>
      <c r="AV272" s="493"/>
      <c r="AW272" s="493"/>
      <c r="AX272" s="493"/>
      <c r="AY272" s="493"/>
      <c r="AZ272" s="493"/>
      <c r="BA272" s="493"/>
      <c r="BB272" s="493"/>
      <c r="BC272" s="493"/>
      <c r="BD272" s="493"/>
      <c r="BE272" s="493"/>
      <c r="BF272" s="493"/>
      <c r="BG272" s="493"/>
      <c r="BH272" s="493"/>
      <c r="BI272" s="493"/>
    </row>
    <row r="273" spans="3:61" ht="12.75">
      <c r="C273" s="493"/>
      <c r="D273" s="493"/>
      <c r="E273" s="493"/>
      <c r="F273" s="493"/>
      <c r="G273" s="493"/>
      <c r="H273" s="493"/>
      <c r="I273" s="493"/>
      <c r="J273" s="493"/>
      <c r="K273" s="493"/>
      <c r="L273" s="493"/>
      <c r="M273" s="493"/>
      <c r="N273" s="493"/>
      <c r="O273" s="493"/>
      <c r="P273" s="493"/>
      <c r="Q273" s="493"/>
      <c r="R273" s="493"/>
      <c r="S273" s="493"/>
      <c r="T273" s="493"/>
      <c r="U273" s="493"/>
      <c r="V273" s="493"/>
      <c r="W273" s="493"/>
      <c r="X273" s="493"/>
      <c r="Y273" s="493"/>
      <c r="Z273" s="493"/>
      <c r="AA273" s="493"/>
      <c r="AB273" s="493"/>
      <c r="AC273" s="493"/>
      <c r="AD273" s="493"/>
      <c r="AE273" s="493"/>
      <c r="AF273" s="493"/>
      <c r="AG273" s="493"/>
      <c r="AH273" s="493"/>
      <c r="AI273" s="493"/>
      <c r="AJ273" s="493"/>
      <c r="AK273" s="493"/>
      <c r="AL273" s="493"/>
      <c r="AM273" s="493"/>
      <c r="AN273" s="493"/>
      <c r="AO273" s="493"/>
      <c r="AP273" s="493"/>
      <c r="AQ273" s="493"/>
      <c r="AR273" s="493"/>
      <c r="AS273" s="493"/>
      <c r="AT273" s="493"/>
      <c r="AU273" s="493"/>
      <c r="AV273" s="493"/>
      <c r="AW273" s="493"/>
      <c r="AX273" s="493"/>
      <c r="AY273" s="493"/>
      <c r="AZ273" s="493"/>
      <c r="BA273" s="493"/>
      <c r="BB273" s="493"/>
      <c r="BC273" s="493"/>
      <c r="BD273" s="493"/>
      <c r="BE273" s="493"/>
      <c r="BF273" s="493"/>
      <c r="BG273" s="493"/>
      <c r="BH273" s="493"/>
      <c r="BI273" s="493"/>
    </row>
    <row r="274" spans="3:61" ht="12.75">
      <c r="C274" s="493"/>
      <c r="D274" s="493"/>
      <c r="E274" s="493"/>
      <c r="F274" s="493"/>
      <c r="G274" s="493"/>
      <c r="H274" s="493"/>
      <c r="I274" s="493"/>
      <c r="J274" s="493"/>
      <c r="K274" s="493"/>
      <c r="L274" s="493"/>
      <c r="M274" s="493"/>
      <c r="N274" s="493"/>
      <c r="O274" s="493"/>
      <c r="P274" s="493"/>
      <c r="Q274" s="493"/>
      <c r="R274" s="493"/>
      <c r="S274" s="493"/>
      <c r="T274" s="493"/>
      <c r="U274" s="493"/>
      <c r="V274" s="493"/>
      <c r="W274" s="493"/>
      <c r="X274" s="493"/>
      <c r="Y274" s="493"/>
      <c r="Z274" s="493"/>
      <c r="AA274" s="493"/>
      <c r="AB274" s="493"/>
      <c r="AC274" s="493"/>
      <c r="AD274" s="493"/>
      <c r="AE274" s="493"/>
      <c r="AF274" s="493"/>
      <c r="AG274" s="493"/>
      <c r="AH274" s="493"/>
      <c r="AI274" s="493"/>
      <c r="AJ274" s="493"/>
      <c r="AK274" s="493"/>
      <c r="AL274" s="493"/>
      <c r="AM274" s="493"/>
      <c r="AN274" s="493"/>
      <c r="AO274" s="493"/>
      <c r="AP274" s="493"/>
      <c r="AQ274" s="493"/>
      <c r="AR274" s="493"/>
      <c r="AS274" s="493"/>
      <c r="AT274" s="493"/>
      <c r="AU274" s="493"/>
      <c r="AV274" s="493"/>
      <c r="AW274" s="493"/>
      <c r="AX274" s="493"/>
      <c r="AY274" s="493"/>
      <c r="AZ274" s="493"/>
      <c r="BA274" s="493"/>
      <c r="BB274" s="493"/>
      <c r="BC274" s="493"/>
      <c r="BD274" s="493"/>
      <c r="BE274" s="493"/>
      <c r="BF274" s="493"/>
      <c r="BG274" s="493"/>
      <c r="BH274" s="493"/>
      <c r="BI274" s="493"/>
    </row>
    <row r="275" spans="3:61" ht="12.75">
      <c r="C275" s="493"/>
      <c r="D275" s="493"/>
      <c r="E275" s="493"/>
      <c r="F275" s="493"/>
      <c r="G275" s="493"/>
      <c r="H275" s="493"/>
      <c r="I275" s="493"/>
      <c r="J275" s="493"/>
      <c r="K275" s="493"/>
      <c r="L275" s="493"/>
      <c r="M275" s="493"/>
      <c r="N275" s="493"/>
      <c r="O275" s="493"/>
      <c r="P275" s="493"/>
      <c r="Q275" s="493"/>
      <c r="R275" s="493"/>
      <c r="S275" s="493"/>
      <c r="T275" s="493"/>
      <c r="U275" s="493"/>
      <c r="V275" s="493"/>
      <c r="W275" s="493"/>
      <c r="X275" s="493"/>
      <c r="Y275" s="493"/>
      <c r="Z275" s="493"/>
      <c r="AA275" s="493"/>
      <c r="AB275" s="493"/>
      <c r="AC275" s="493"/>
      <c r="AD275" s="493"/>
      <c r="AE275" s="493"/>
      <c r="AF275" s="493"/>
      <c r="AG275" s="493"/>
      <c r="AH275" s="493"/>
      <c r="AI275" s="493"/>
      <c r="AJ275" s="493"/>
      <c r="AK275" s="493"/>
      <c r="AL275" s="493"/>
      <c r="AM275" s="493"/>
      <c r="AN275" s="493"/>
      <c r="AO275" s="493"/>
      <c r="AP275" s="493"/>
      <c r="AQ275" s="493"/>
      <c r="AR275" s="493"/>
      <c r="AS275" s="493"/>
      <c r="AT275" s="493"/>
      <c r="AU275" s="493"/>
      <c r="AV275" s="493"/>
      <c r="AW275" s="493"/>
      <c r="AX275" s="493"/>
      <c r="AY275" s="493"/>
      <c r="AZ275" s="493"/>
      <c r="BA275" s="493"/>
      <c r="BB275" s="493"/>
      <c r="BC275" s="493"/>
      <c r="BD275" s="493"/>
      <c r="BE275" s="493"/>
      <c r="BF275" s="493"/>
      <c r="BG275" s="493"/>
      <c r="BH275" s="493"/>
      <c r="BI275" s="493"/>
    </row>
    <row r="276" spans="3:61" ht="12.75">
      <c r="C276" s="493"/>
      <c r="D276" s="493"/>
      <c r="E276" s="493"/>
      <c r="F276" s="493"/>
      <c r="G276" s="493"/>
      <c r="H276" s="493"/>
      <c r="I276" s="493"/>
      <c r="J276" s="493"/>
      <c r="K276" s="493"/>
      <c r="L276" s="493"/>
      <c r="M276" s="493"/>
      <c r="N276" s="493"/>
      <c r="O276" s="493"/>
      <c r="P276" s="493"/>
      <c r="Q276" s="493"/>
      <c r="R276" s="493"/>
      <c r="S276" s="493"/>
      <c r="T276" s="493"/>
      <c r="U276" s="493"/>
      <c r="V276" s="493"/>
      <c r="W276" s="493"/>
      <c r="X276" s="493"/>
      <c r="Y276" s="493"/>
      <c r="Z276" s="493"/>
      <c r="AA276" s="493"/>
      <c r="AB276" s="493"/>
      <c r="AC276" s="493"/>
      <c r="AD276" s="493"/>
      <c r="AE276" s="493"/>
      <c r="AF276" s="493"/>
      <c r="AG276" s="493"/>
      <c r="AH276" s="493"/>
      <c r="AI276" s="493"/>
      <c r="AJ276" s="493"/>
      <c r="AK276" s="493"/>
      <c r="AL276" s="493"/>
      <c r="AM276" s="493"/>
      <c r="AN276" s="493"/>
      <c r="AO276" s="493"/>
      <c r="AP276" s="493"/>
      <c r="AQ276" s="493"/>
      <c r="AR276" s="493"/>
      <c r="AS276" s="493"/>
      <c r="AT276" s="493"/>
      <c r="AU276" s="493"/>
      <c r="AV276" s="493"/>
      <c r="AW276" s="493"/>
      <c r="AX276" s="493"/>
      <c r="AY276" s="493"/>
      <c r="AZ276" s="493"/>
      <c r="BA276" s="493"/>
      <c r="BB276" s="493"/>
      <c r="BC276" s="493"/>
      <c r="BD276" s="493"/>
      <c r="BE276" s="493"/>
      <c r="BF276" s="493"/>
      <c r="BG276" s="493"/>
      <c r="BH276" s="493"/>
      <c r="BI276" s="493"/>
    </row>
    <row r="277" spans="3:61" ht="12.75">
      <c r="C277" s="493"/>
      <c r="D277" s="493"/>
      <c r="E277" s="493"/>
      <c r="F277" s="493"/>
      <c r="G277" s="493"/>
      <c r="H277" s="493"/>
      <c r="I277" s="493"/>
      <c r="J277" s="493"/>
      <c r="K277" s="493"/>
      <c r="L277" s="493"/>
      <c r="M277" s="493"/>
      <c r="N277" s="493"/>
      <c r="O277" s="493"/>
      <c r="P277" s="493"/>
      <c r="Q277" s="493"/>
      <c r="R277" s="493"/>
      <c r="S277" s="493"/>
      <c r="T277" s="493"/>
      <c r="U277" s="493"/>
      <c r="V277" s="493"/>
      <c r="W277" s="493"/>
      <c r="X277" s="493"/>
      <c r="Y277" s="493"/>
      <c r="Z277" s="493"/>
      <c r="AA277" s="493"/>
      <c r="AB277" s="493"/>
      <c r="AC277" s="493"/>
      <c r="AD277" s="493"/>
      <c r="AE277" s="493"/>
      <c r="AF277" s="493"/>
      <c r="AG277" s="493"/>
      <c r="AH277" s="493"/>
      <c r="AI277" s="493"/>
      <c r="AJ277" s="493"/>
      <c r="AK277" s="493"/>
      <c r="AL277" s="493"/>
      <c r="AM277" s="493"/>
      <c r="AN277" s="493"/>
      <c r="AO277" s="493"/>
      <c r="AP277" s="493"/>
      <c r="AQ277" s="493"/>
      <c r="AR277" s="493"/>
      <c r="AS277" s="493"/>
      <c r="AT277" s="493"/>
      <c r="AU277" s="493"/>
      <c r="AV277" s="493"/>
      <c r="AW277" s="493"/>
      <c r="AX277" s="493"/>
      <c r="AY277" s="493"/>
      <c r="AZ277" s="493"/>
      <c r="BA277" s="493"/>
      <c r="BB277" s="493"/>
      <c r="BC277" s="493"/>
      <c r="BD277" s="493"/>
      <c r="BE277" s="493"/>
      <c r="BF277" s="493"/>
      <c r="BG277" s="493"/>
      <c r="BH277" s="493"/>
      <c r="BI277" s="493"/>
    </row>
    <row r="278" spans="3:61" ht="12.75">
      <c r="C278" s="493"/>
      <c r="D278" s="493"/>
      <c r="E278" s="493"/>
      <c r="F278" s="493"/>
      <c r="G278" s="493"/>
      <c r="H278" s="493"/>
      <c r="I278" s="493"/>
      <c r="J278" s="493"/>
      <c r="K278" s="493"/>
      <c r="L278" s="493"/>
      <c r="M278" s="493"/>
      <c r="N278" s="493"/>
      <c r="O278" s="493"/>
      <c r="P278" s="493"/>
      <c r="Q278" s="493"/>
      <c r="R278" s="493"/>
      <c r="S278" s="493"/>
      <c r="T278" s="493"/>
      <c r="U278" s="493"/>
      <c r="V278" s="493"/>
      <c r="W278" s="493"/>
      <c r="X278" s="493"/>
      <c r="Y278" s="493"/>
      <c r="Z278" s="493"/>
      <c r="AA278" s="493"/>
      <c r="AB278" s="493"/>
      <c r="AC278" s="493"/>
      <c r="AD278" s="493"/>
      <c r="AE278" s="493"/>
      <c r="AF278" s="493"/>
      <c r="AG278" s="493"/>
      <c r="AH278" s="493"/>
      <c r="AI278" s="493"/>
      <c r="AJ278" s="493"/>
      <c r="AK278" s="493"/>
      <c r="AL278" s="493"/>
      <c r="AM278" s="493"/>
      <c r="AN278" s="493"/>
      <c r="AO278" s="493"/>
      <c r="AP278" s="493"/>
      <c r="AQ278" s="493"/>
      <c r="AR278" s="493"/>
      <c r="AS278" s="493"/>
      <c r="AT278" s="493"/>
      <c r="AU278" s="493"/>
      <c r="AV278" s="493"/>
      <c r="AW278" s="493"/>
      <c r="AX278" s="493"/>
      <c r="AY278" s="493"/>
      <c r="AZ278" s="493"/>
      <c r="BA278" s="493"/>
      <c r="BB278" s="493"/>
      <c r="BC278" s="493"/>
      <c r="BD278" s="493"/>
      <c r="BE278" s="493"/>
      <c r="BF278" s="493"/>
      <c r="BG278" s="493"/>
      <c r="BH278" s="493"/>
      <c r="BI278" s="493"/>
    </row>
    <row r="279" spans="3:61" ht="12.75">
      <c r="C279" s="493"/>
      <c r="D279" s="493"/>
      <c r="E279" s="493"/>
      <c r="F279" s="493"/>
      <c r="G279" s="493"/>
      <c r="H279" s="493"/>
      <c r="I279" s="493"/>
      <c r="J279" s="493"/>
      <c r="K279" s="493"/>
      <c r="L279" s="493"/>
      <c r="M279" s="493"/>
      <c r="N279" s="493"/>
      <c r="O279" s="493"/>
      <c r="P279" s="493"/>
      <c r="Q279" s="493"/>
      <c r="R279" s="493"/>
      <c r="S279" s="493"/>
      <c r="T279" s="493"/>
      <c r="U279" s="493"/>
      <c r="V279" s="493"/>
      <c r="W279" s="493"/>
      <c r="X279" s="493"/>
      <c r="Y279" s="493"/>
      <c r="Z279" s="493"/>
      <c r="AA279" s="493"/>
      <c r="AB279" s="493"/>
      <c r="AC279" s="493"/>
      <c r="AD279" s="493"/>
      <c r="AE279" s="493"/>
      <c r="AF279" s="493"/>
      <c r="AG279" s="493"/>
      <c r="AH279" s="493"/>
      <c r="AI279" s="493"/>
      <c r="AJ279" s="493"/>
      <c r="AK279" s="493"/>
      <c r="AL279" s="493"/>
      <c r="AM279" s="493"/>
      <c r="AN279" s="493"/>
      <c r="AO279" s="493"/>
      <c r="AP279" s="493"/>
      <c r="AQ279" s="493"/>
      <c r="AR279" s="493"/>
      <c r="AS279" s="493"/>
      <c r="AT279" s="493"/>
      <c r="AU279" s="493"/>
      <c r="AV279" s="493"/>
      <c r="AW279" s="493"/>
      <c r="AX279" s="493"/>
      <c r="AY279" s="493"/>
      <c r="AZ279" s="493"/>
      <c r="BA279" s="493"/>
      <c r="BB279" s="493"/>
      <c r="BC279" s="493"/>
      <c r="BD279" s="493"/>
      <c r="BE279" s="493"/>
      <c r="BF279" s="493"/>
      <c r="BG279" s="493"/>
      <c r="BH279" s="493"/>
      <c r="BI279" s="493"/>
    </row>
    <row r="280" spans="3:61" ht="12.75">
      <c r="C280" s="493"/>
      <c r="D280" s="493"/>
      <c r="E280" s="493"/>
      <c r="F280" s="493"/>
      <c r="G280" s="493"/>
      <c r="H280" s="493"/>
      <c r="I280" s="493"/>
      <c r="J280" s="493"/>
      <c r="K280" s="493"/>
      <c r="L280" s="493"/>
      <c r="M280" s="493"/>
      <c r="N280" s="493"/>
      <c r="O280" s="493"/>
      <c r="P280" s="493"/>
      <c r="Q280" s="493"/>
      <c r="R280" s="493"/>
      <c r="S280" s="493"/>
      <c r="T280" s="493"/>
      <c r="U280" s="493"/>
      <c r="V280" s="493"/>
      <c r="W280" s="493"/>
      <c r="X280" s="493"/>
      <c r="Y280" s="493"/>
      <c r="Z280" s="493"/>
      <c r="AA280" s="493"/>
      <c r="AB280" s="493"/>
      <c r="AC280" s="493"/>
      <c r="AD280" s="493"/>
      <c r="AE280" s="493"/>
      <c r="AF280" s="493"/>
      <c r="AG280" s="493"/>
      <c r="AH280" s="493"/>
      <c r="AI280" s="493"/>
      <c r="AJ280" s="493"/>
      <c r="AK280" s="493"/>
      <c r="AL280" s="493"/>
      <c r="AM280" s="493"/>
      <c r="AN280" s="493"/>
      <c r="AO280" s="493"/>
      <c r="AP280" s="493"/>
      <c r="AQ280" s="493"/>
      <c r="AR280" s="493"/>
      <c r="AS280" s="493"/>
      <c r="AT280" s="493"/>
      <c r="AU280" s="493"/>
      <c r="AV280" s="493"/>
      <c r="AW280" s="493"/>
      <c r="AX280" s="493"/>
      <c r="AY280" s="493"/>
      <c r="AZ280" s="493"/>
      <c r="BA280" s="493"/>
      <c r="BB280" s="493"/>
      <c r="BC280" s="493"/>
      <c r="BD280" s="493"/>
      <c r="BE280" s="493"/>
      <c r="BF280" s="493"/>
      <c r="BG280" s="493"/>
      <c r="BH280" s="493"/>
      <c r="BI280" s="493"/>
    </row>
    <row r="281" spans="3:61" ht="12.75">
      <c r="C281" s="493"/>
      <c r="D281" s="493"/>
      <c r="E281" s="493"/>
      <c r="F281" s="493"/>
      <c r="G281" s="493"/>
      <c r="H281" s="493"/>
      <c r="I281" s="493"/>
      <c r="J281" s="493"/>
      <c r="K281" s="493"/>
      <c r="L281" s="493"/>
      <c r="M281" s="493"/>
      <c r="N281" s="493"/>
      <c r="O281" s="493"/>
      <c r="P281" s="493"/>
      <c r="Q281" s="493"/>
      <c r="R281" s="493"/>
      <c r="S281" s="493"/>
      <c r="T281" s="493"/>
      <c r="U281" s="493"/>
      <c r="V281" s="493"/>
      <c r="W281" s="493"/>
      <c r="X281" s="493"/>
      <c r="Y281" s="493"/>
      <c r="Z281" s="493"/>
      <c r="AA281" s="493"/>
      <c r="AB281" s="493"/>
      <c r="AC281" s="493"/>
      <c r="AD281" s="493"/>
      <c r="AE281" s="493"/>
      <c r="AF281" s="493"/>
      <c r="AG281" s="493"/>
      <c r="AH281" s="493"/>
      <c r="AI281" s="493"/>
      <c r="AJ281" s="493"/>
      <c r="AK281" s="493"/>
      <c r="AL281" s="493"/>
      <c r="AM281" s="493"/>
      <c r="AN281" s="493"/>
      <c r="AO281" s="493"/>
      <c r="AP281" s="493"/>
      <c r="AQ281" s="493"/>
      <c r="AR281" s="493"/>
      <c r="AS281" s="493"/>
      <c r="AT281" s="493"/>
      <c r="AU281" s="493"/>
      <c r="AV281" s="493"/>
      <c r="AW281" s="493"/>
      <c r="AX281" s="493"/>
      <c r="AY281" s="493"/>
      <c r="AZ281" s="493"/>
      <c r="BA281" s="493"/>
      <c r="BB281" s="493"/>
      <c r="BC281" s="493"/>
      <c r="BD281" s="493"/>
      <c r="BE281" s="493"/>
      <c r="BF281" s="493"/>
      <c r="BG281" s="493"/>
      <c r="BH281" s="493"/>
      <c r="BI281" s="493"/>
    </row>
    <row r="282" spans="3:61" ht="12.75">
      <c r="C282" s="493"/>
      <c r="D282" s="493"/>
      <c r="E282" s="493"/>
      <c r="F282" s="493"/>
      <c r="G282" s="493"/>
      <c r="H282" s="493"/>
      <c r="I282" s="493"/>
      <c r="J282" s="493"/>
      <c r="K282" s="493"/>
      <c r="L282" s="493"/>
      <c r="M282" s="493"/>
      <c r="N282" s="493"/>
      <c r="O282" s="493"/>
      <c r="P282" s="493"/>
      <c r="Q282" s="493"/>
      <c r="R282" s="493"/>
      <c r="S282" s="493"/>
      <c r="T282" s="493"/>
      <c r="U282" s="493"/>
      <c r="V282" s="493"/>
      <c r="W282" s="493"/>
      <c r="X282" s="493"/>
      <c r="Y282" s="493"/>
      <c r="Z282" s="493"/>
      <c r="AA282" s="493"/>
      <c r="AB282" s="493"/>
      <c r="AC282" s="493"/>
      <c r="AD282" s="493"/>
      <c r="AE282" s="493"/>
      <c r="AF282" s="493"/>
      <c r="AG282" s="493"/>
      <c r="AH282" s="493"/>
      <c r="AI282" s="493"/>
      <c r="AJ282" s="493"/>
      <c r="AK282" s="493"/>
      <c r="AL282" s="493"/>
      <c r="AM282" s="493"/>
      <c r="AN282" s="493"/>
      <c r="AO282" s="493"/>
      <c r="AP282" s="493"/>
      <c r="AQ282" s="493"/>
      <c r="AR282" s="493"/>
      <c r="AS282" s="493"/>
      <c r="AT282" s="493"/>
      <c r="AU282" s="493"/>
      <c r="AV282" s="493"/>
      <c r="AW282" s="493"/>
      <c r="AX282" s="493"/>
      <c r="AY282" s="493"/>
      <c r="AZ282" s="493"/>
      <c r="BA282" s="493"/>
      <c r="BB282" s="493"/>
      <c r="BC282" s="493"/>
      <c r="BD282" s="493"/>
      <c r="BE282" s="493"/>
      <c r="BF282" s="493"/>
      <c r="BG282" s="493"/>
      <c r="BH282" s="493"/>
      <c r="BI282" s="493"/>
    </row>
    <row r="283" spans="3:61" ht="12.75">
      <c r="C283" s="493"/>
      <c r="D283" s="493"/>
      <c r="E283" s="493"/>
      <c r="F283" s="493"/>
      <c r="G283" s="493"/>
      <c r="H283" s="493"/>
      <c r="I283" s="493"/>
      <c r="J283" s="493"/>
      <c r="K283" s="493"/>
      <c r="L283" s="493"/>
      <c r="M283" s="493"/>
      <c r="N283" s="493"/>
      <c r="O283" s="493"/>
      <c r="P283" s="493"/>
      <c r="Q283" s="493"/>
      <c r="R283" s="493"/>
      <c r="S283" s="493"/>
      <c r="T283" s="493"/>
      <c r="U283" s="493"/>
      <c r="V283" s="493"/>
      <c r="W283" s="493"/>
      <c r="X283" s="493"/>
      <c r="Y283" s="493"/>
      <c r="Z283" s="493"/>
      <c r="AA283" s="493"/>
      <c r="AB283" s="493"/>
      <c r="AC283" s="493"/>
      <c r="AD283" s="493"/>
      <c r="AE283" s="493"/>
      <c r="AF283" s="493"/>
      <c r="AG283" s="493"/>
      <c r="AH283" s="493"/>
      <c r="AI283" s="493"/>
      <c r="AJ283" s="493"/>
      <c r="AK283" s="493"/>
      <c r="AL283" s="493"/>
      <c r="AM283" s="493"/>
      <c r="AN283" s="493"/>
      <c r="AO283" s="493"/>
      <c r="AP283" s="493"/>
      <c r="AQ283" s="493"/>
      <c r="AR283" s="493"/>
      <c r="AS283" s="493"/>
      <c r="AT283" s="493"/>
      <c r="AU283" s="493"/>
      <c r="AV283" s="493"/>
      <c r="AW283" s="493"/>
      <c r="AX283" s="493"/>
      <c r="AY283" s="493"/>
      <c r="AZ283" s="493"/>
      <c r="BA283" s="493"/>
      <c r="BB283" s="493"/>
      <c r="BC283" s="493"/>
      <c r="BD283" s="493"/>
      <c r="BE283" s="493"/>
      <c r="BF283" s="493"/>
      <c r="BG283" s="493"/>
      <c r="BH283" s="493"/>
      <c r="BI283" s="493"/>
    </row>
    <row r="284" spans="3:61" ht="12.75">
      <c r="C284" s="493"/>
      <c r="D284" s="493"/>
      <c r="E284" s="493"/>
      <c r="F284" s="493"/>
      <c r="G284" s="493"/>
      <c r="H284" s="493"/>
      <c r="I284" s="493"/>
      <c r="J284" s="493"/>
      <c r="K284" s="493"/>
      <c r="L284" s="493"/>
      <c r="M284" s="493"/>
      <c r="N284" s="493"/>
      <c r="O284" s="493"/>
      <c r="P284" s="493"/>
      <c r="Q284" s="493"/>
      <c r="R284" s="493"/>
      <c r="S284" s="493"/>
      <c r="T284" s="493"/>
      <c r="U284" s="493"/>
      <c r="V284" s="493"/>
      <c r="W284" s="493"/>
      <c r="X284" s="493"/>
      <c r="Y284" s="493"/>
      <c r="Z284" s="493"/>
      <c r="AA284" s="493"/>
      <c r="AB284" s="493"/>
      <c r="AC284" s="493"/>
      <c r="AD284" s="493"/>
      <c r="AE284" s="493"/>
      <c r="AF284" s="493"/>
      <c r="AG284" s="493"/>
      <c r="AH284" s="493"/>
      <c r="AI284" s="493"/>
      <c r="AJ284" s="493"/>
      <c r="AK284" s="493"/>
      <c r="AL284" s="493"/>
      <c r="AM284" s="493"/>
      <c r="AN284" s="493"/>
      <c r="AO284" s="493"/>
      <c r="AP284" s="493"/>
      <c r="AQ284" s="493"/>
      <c r="AR284" s="493"/>
      <c r="AS284" s="493"/>
      <c r="AT284" s="493"/>
      <c r="AU284" s="493"/>
      <c r="AV284" s="493"/>
      <c r="AW284" s="493"/>
      <c r="AX284" s="493"/>
      <c r="AY284" s="493"/>
      <c r="AZ284" s="493"/>
      <c r="BA284" s="493"/>
      <c r="BB284" s="493"/>
      <c r="BC284" s="493"/>
      <c r="BD284" s="493"/>
      <c r="BE284" s="493"/>
      <c r="BF284" s="493"/>
      <c r="BG284" s="493"/>
      <c r="BH284" s="493"/>
      <c r="BI284" s="493"/>
    </row>
    <row r="285" spans="3:61" ht="12.75">
      <c r="C285" s="493"/>
      <c r="D285" s="493"/>
      <c r="E285" s="493"/>
      <c r="F285" s="493"/>
      <c r="G285" s="493"/>
      <c r="H285" s="493"/>
      <c r="I285" s="493"/>
      <c r="J285" s="493"/>
      <c r="K285" s="493"/>
      <c r="L285" s="493"/>
      <c r="M285" s="493"/>
      <c r="N285" s="493"/>
      <c r="O285" s="493"/>
      <c r="P285" s="493"/>
      <c r="Q285" s="493"/>
      <c r="R285" s="493"/>
      <c r="S285" s="493"/>
      <c r="T285" s="493"/>
      <c r="U285" s="493"/>
      <c r="V285" s="493"/>
      <c r="W285" s="493"/>
      <c r="X285" s="493"/>
      <c r="Y285" s="493"/>
      <c r="Z285" s="493"/>
      <c r="AA285" s="493"/>
      <c r="AB285" s="493"/>
      <c r="AC285" s="493"/>
      <c r="AD285" s="493"/>
      <c r="AE285" s="493"/>
      <c r="AF285" s="493"/>
      <c r="AG285" s="493"/>
      <c r="AH285" s="493"/>
      <c r="AI285" s="493"/>
      <c r="AJ285" s="493"/>
      <c r="AK285" s="493"/>
      <c r="AL285" s="493"/>
      <c r="AM285" s="493"/>
      <c r="AN285" s="493"/>
      <c r="AO285" s="493"/>
      <c r="AP285" s="493"/>
      <c r="AQ285" s="493"/>
      <c r="AR285" s="493"/>
      <c r="AS285" s="493"/>
      <c r="AT285" s="493"/>
      <c r="AU285" s="493"/>
      <c r="AV285" s="493"/>
      <c r="AW285" s="493"/>
      <c r="AX285" s="493"/>
      <c r="AY285" s="493"/>
      <c r="AZ285" s="493"/>
      <c r="BA285" s="493"/>
      <c r="BB285" s="493"/>
      <c r="BC285" s="493"/>
      <c r="BD285" s="493"/>
      <c r="BE285" s="493"/>
      <c r="BF285" s="493"/>
      <c r="BG285" s="493"/>
      <c r="BH285" s="493"/>
      <c r="BI285" s="493"/>
    </row>
    <row r="286" spans="3:61" ht="12.75">
      <c r="C286" s="493"/>
      <c r="D286" s="493"/>
      <c r="E286" s="493"/>
      <c r="F286" s="493"/>
      <c r="G286" s="493"/>
      <c r="H286" s="493"/>
      <c r="I286" s="493"/>
      <c r="J286" s="493"/>
      <c r="K286" s="493"/>
      <c r="L286" s="493"/>
      <c r="M286" s="493"/>
      <c r="N286" s="493"/>
      <c r="O286" s="493"/>
      <c r="P286" s="493"/>
      <c r="Q286" s="493"/>
      <c r="R286" s="493"/>
      <c r="S286" s="493"/>
      <c r="T286" s="493"/>
      <c r="U286" s="493"/>
      <c r="V286" s="493"/>
      <c r="W286" s="493"/>
      <c r="X286" s="493"/>
      <c r="Y286" s="493"/>
      <c r="Z286" s="493"/>
      <c r="AA286" s="493"/>
      <c r="AB286" s="493"/>
      <c r="AC286" s="493"/>
      <c r="AD286" s="493"/>
      <c r="AE286" s="493"/>
      <c r="AF286" s="493"/>
      <c r="AG286" s="493"/>
      <c r="AH286" s="493"/>
      <c r="AI286" s="493"/>
      <c r="AJ286" s="493"/>
      <c r="AK286" s="493"/>
      <c r="AL286" s="493"/>
      <c r="AM286" s="493"/>
      <c r="AN286" s="493"/>
      <c r="AO286" s="493"/>
      <c r="AP286" s="493"/>
      <c r="AQ286" s="493"/>
      <c r="AR286" s="493"/>
      <c r="AS286" s="493"/>
      <c r="AT286" s="493"/>
      <c r="AU286" s="493"/>
      <c r="AV286" s="493"/>
      <c r="AW286" s="493"/>
      <c r="AX286" s="493"/>
      <c r="AY286" s="493"/>
      <c r="AZ286" s="493"/>
      <c r="BA286" s="493"/>
      <c r="BB286" s="493"/>
      <c r="BC286" s="493"/>
      <c r="BD286" s="493"/>
      <c r="BE286" s="493"/>
      <c r="BF286" s="493"/>
      <c r="BG286" s="493"/>
      <c r="BH286" s="493"/>
      <c r="BI286" s="493"/>
    </row>
    <row r="287" spans="3:61" ht="12.75">
      <c r="C287" s="493"/>
      <c r="D287" s="493"/>
      <c r="E287" s="493"/>
      <c r="F287" s="493"/>
      <c r="G287" s="493"/>
      <c r="H287" s="493"/>
      <c r="I287" s="493"/>
      <c r="J287" s="493"/>
      <c r="K287" s="493"/>
      <c r="L287" s="493"/>
      <c r="M287" s="493"/>
      <c r="N287" s="493"/>
      <c r="O287" s="493"/>
      <c r="P287" s="493"/>
      <c r="Q287" s="493"/>
      <c r="R287" s="493"/>
      <c r="S287" s="493"/>
      <c r="T287" s="493"/>
      <c r="U287" s="493"/>
      <c r="V287" s="493"/>
      <c r="W287" s="493"/>
      <c r="X287" s="493"/>
      <c r="Y287" s="493"/>
      <c r="Z287" s="493"/>
      <c r="AA287" s="493"/>
      <c r="AB287" s="493"/>
      <c r="AC287" s="493"/>
      <c r="AD287" s="493"/>
      <c r="AE287" s="493"/>
      <c r="AF287" s="493"/>
      <c r="AG287" s="493"/>
      <c r="AH287" s="493"/>
      <c r="AI287" s="493"/>
      <c r="AJ287" s="493"/>
      <c r="AK287" s="493"/>
      <c r="AL287" s="493"/>
      <c r="AM287" s="493"/>
      <c r="AN287" s="493"/>
      <c r="AO287" s="493"/>
      <c r="AP287" s="493"/>
      <c r="AQ287" s="493"/>
      <c r="AR287" s="493"/>
      <c r="AS287" s="493"/>
      <c r="AT287" s="493"/>
      <c r="AU287" s="493"/>
      <c r="AV287" s="493"/>
      <c r="AW287" s="493"/>
      <c r="AX287" s="493"/>
      <c r="AY287" s="493"/>
      <c r="AZ287" s="493"/>
      <c r="BA287" s="493"/>
      <c r="BB287" s="493"/>
      <c r="BC287" s="493"/>
      <c r="BD287" s="493"/>
      <c r="BE287" s="493"/>
      <c r="BF287" s="493"/>
      <c r="BG287" s="493"/>
      <c r="BH287" s="493"/>
      <c r="BI287" s="493"/>
    </row>
    <row r="288" spans="3:61" ht="12.75">
      <c r="C288" s="493"/>
      <c r="D288" s="493"/>
      <c r="E288" s="493"/>
      <c r="F288" s="493"/>
      <c r="G288" s="493"/>
      <c r="H288" s="493"/>
      <c r="I288" s="493"/>
      <c r="J288" s="493"/>
      <c r="K288" s="493"/>
      <c r="L288" s="493"/>
      <c r="M288" s="493"/>
      <c r="N288" s="493"/>
      <c r="O288" s="493"/>
      <c r="P288" s="493"/>
      <c r="Q288" s="493"/>
      <c r="R288" s="493"/>
      <c r="S288" s="493"/>
      <c r="T288" s="493"/>
      <c r="U288" s="493"/>
      <c r="V288" s="493"/>
      <c r="W288" s="493"/>
      <c r="X288" s="493"/>
      <c r="Y288" s="493"/>
      <c r="Z288" s="493"/>
      <c r="AA288" s="493"/>
      <c r="AB288" s="493"/>
      <c r="AC288" s="493"/>
      <c r="AD288" s="493"/>
      <c r="AE288" s="493"/>
      <c r="AF288" s="493"/>
      <c r="AG288" s="493"/>
      <c r="AH288" s="493"/>
      <c r="AI288" s="493"/>
      <c r="AJ288" s="493"/>
      <c r="AK288" s="493"/>
      <c r="AL288" s="493"/>
      <c r="AM288" s="493"/>
      <c r="AN288" s="493"/>
      <c r="AO288" s="493"/>
      <c r="AP288" s="493"/>
      <c r="AQ288" s="493"/>
      <c r="AR288" s="493"/>
      <c r="AS288" s="493"/>
      <c r="AT288" s="493"/>
      <c r="AU288" s="493"/>
      <c r="AV288" s="493"/>
      <c r="AW288" s="493"/>
      <c r="AX288" s="493"/>
      <c r="AY288" s="493"/>
      <c r="AZ288" s="493"/>
      <c r="BA288" s="493"/>
      <c r="BB288" s="493"/>
      <c r="BC288" s="493"/>
      <c r="BD288" s="493"/>
      <c r="BE288" s="493"/>
      <c r="BF288" s="493"/>
      <c r="BG288" s="493"/>
      <c r="BH288" s="493"/>
      <c r="BI288" s="493"/>
    </row>
    <row r="289" spans="3:61" ht="12.75">
      <c r="C289" s="493"/>
      <c r="D289" s="493"/>
      <c r="E289" s="493"/>
      <c r="F289" s="493"/>
      <c r="G289" s="493"/>
      <c r="H289" s="493"/>
      <c r="I289" s="493"/>
      <c r="J289" s="493"/>
      <c r="K289" s="493"/>
      <c r="L289" s="493"/>
      <c r="M289" s="493"/>
      <c r="N289" s="493"/>
      <c r="O289" s="493"/>
      <c r="P289" s="493"/>
      <c r="Q289" s="493"/>
      <c r="R289" s="493"/>
      <c r="S289" s="493"/>
      <c r="T289" s="493"/>
      <c r="U289" s="493"/>
      <c r="V289" s="493"/>
      <c r="W289" s="493"/>
      <c r="X289" s="493"/>
      <c r="Y289" s="493"/>
      <c r="Z289" s="493"/>
      <c r="AA289" s="493"/>
      <c r="AB289" s="493"/>
      <c r="AC289" s="493"/>
      <c r="AD289" s="493"/>
      <c r="AE289" s="493"/>
      <c r="AF289" s="493"/>
      <c r="AG289" s="493"/>
      <c r="AH289" s="493"/>
      <c r="AI289" s="493"/>
      <c r="AJ289" s="493"/>
      <c r="AK289" s="493"/>
      <c r="AL289" s="493"/>
      <c r="AM289" s="493"/>
      <c r="AN289" s="493"/>
      <c r="AO289" s="493"/>
      <c r="AP289" s="493"/>
      <c r="AQ289" s="493"/>
      <c r="AR289" s="493"/>
      <c r="AS289" s="493"/>
      <c r="AT289" s="493"/>
      <c r="AU289" s="493"/>
      <c r="AV289" s="493"/>
      <c r="AW289" s="493"/>
      <c r="AX289" s="493"/>
      <c r="AY289" s="493"/>
      <c r="AZ289" s="493"/>
      <c r="BA289" s="493"/>
      <c r="BB289" s="493"/>
      <c r="BC289" s="493"/>
      <c r="BD289" s="493"/>
      <c r="BE289" s="493"/>
      <c r="BF289" s="493"/>
      <c r="BG289" s="493"/>
      <c r="BH289" s="493"/>
      <c r="BI289" s="493"/>
    </row>
    <row r="290" spans="3:61" ht="12.75">
      <c r="C290" s="493"/>
      <c r="D290" s="493"/>
      <c r="E290" s="493"/>
      <c r="F290" s="493"/>
      <c r="G290" s="493"/>
      <c r="H290" s="493"/>
      <c r="I290" s="493"/>
      <c r="J290" s="493"/>
      <c r="K290" s="493"/>
      <c r="L290" s="493"/>
      <c r="M290" s="493"/>
      <c r="N290" s="493"/>
      <c r="O290" s="493"/>
      <c r="P290" s="493"/>
      <c r="Q290" s="493"/>
      <c r="R290" s="493"/>
      <c r="S290" s="493"/>
      <c r="T290" s="493"/>
      <c r="U290" s="493"/>
      <c r="V290" s="493"/>
      <c r="W290" s="493"/>
      <c r="X290" s="493"/>
      <c r="Y290" s="493"/>
      <c r="Z290" s="493"/>
      <c r="AA290" s="493"/>
      <c r="AB290" s="493"/>
      <c r="AC290" s="493"/>
      <c r="AD290" s="493"/>
      <c r="AE290" s="493"/>
      <c r="AF290" s="493"/>
      <c r="AG290" s="493"/>
      <c r="AH290" s="493"/>
      <c r="AI290" s="493"/>
      <c r="AJ290" s="493"/>
      <c r="AK290" s="493"/>
      <c r="AL290" s="493"/>
      <c r="AM290" s="493"/>
      <c r="AN290" s="493"/>
      <c r="AO290" s="493"/>
      <c r="AP290" s="493"/>
      <c r="AQ290" s="493"/>
      <c r="AR290" s="493"/>
      <c r="AS290" s="493"/>
      <c r="AT290" s="493"/>
      <c r="AU290" s="493"/>
      <c r="AV290" s="493"/>
      <c r="AW290" s="493"/>
      <c r="AX290" s="493"/>
      <c r="AY290" s="493"/>
      <c r="AZ290" s="493"/>
      <c r="BA290" s="493"/>
      <c r="BB290" s="493"/>
      <c r="BC290" s="493"/>
      <c r="BD290" s="493"/>
      <c r="BE290" s="493"/>
      <c r="BF290" s="493"/>
      <c r="BG290" s="493"/>
      <c r="BH290" s="493"/>
      <c r="BI290" s="493"/>
    </row>
    <row r="291" spans="3:61" ht="12.75">
      <c r="C291" s="493"/>
      <c r="D291" s="493"/>
      <c r="E291" s="493"/>
      <c r="F291" s="493"/>
      <c r="G291" s="493"/>
      <c r="H291" s="493"/>
      <c r="I291" s="493"/>
      <c r="J291" s="493"/>
      <c r="K291" s="493"/>
      <c r="L291" s="493"/>
      <c r="M291" s="493"/>
      <c r="N291" s="493"/>
      <c r="O291" s="493"/>
      <c r="P291" s="493"/>
      <c r="Q291" s="493"/>
      <c r="R291" s="493"/>
      <c r="S291" s="493"/>
      <c r="T291" s="493"/>
      <c r="U291" s="493"/>
      <c r="V291" s="493"/>
      <c r="W291" s="493"/>
      <c r="X291" s="493"/>
      <c r="Y291" s="493"/>
      <c r="Z291" s="493"/>
      <c r="AA291" s="493"/>
      <c r="AB291" s="493"/>
      <c r="AC291" s="493"/>
      <c r="AD291" s="493"/>
      <c r="AE291" s="493"/>
      <c r="AF291" s="493"/>
      <c r="AG291" s="493"/>
      <c r="AH291" s="493"/>
      <c r="AI291" s="493"/>
      <c r="AJ291" s="493"/>
      <c r="AK291" s="493"/>
      <c r="AL291" s="493"/>
      <c r="AM291" s="493"/>
      <c r="AN291" s="493"/>
      <c r="AO291" s="493"/>
      <c r="AP291" s="493"/>
      <c r="AQ291" s="493"/>
      <c r="AR291" s="493"/>
      <c r="AS291" s="493"/>
      <c r="AT291" s="493"/>
      <c r="AU291" s="493"/>
      <c r="AV291" s="493"/>
      <c r="AW291" s="493"/>
      <c r="AX291" s="493"/>
      <c r="AY291" s="493"/>
      <c r="AZ291" s="493"/>
      <c r="BA291" s="493"/>
      <c r="BB291" s="493"/>
      <c r="BC291" s="493"/>
      <c r="BD291" s="493"/>
      <c r="BE291" s="493"/>
      <c r="BF291" s="493"/>
      <c r="BG291" s="493"/>
      <c r="BH291" s="493"/>
      <c r="BI291" s="493"/>
    </row>
    <row r="292" spans="3:61" ht="12.75">
      <c r="C292" s="493"/>
      <c r="D292" s="493"/>
      <c r="E292" s="493"/>
      <c r="F292" s="493"/>
      <c r="G292" s="493"/>
      <c r="H292" s="493"/>
      <c r="I292" s="493"/>
      <c r="J292" s="493"/>
      <c r="K292" s="493"/>
      <c r="L292" s="493"/>
      <c r="M292" s="493"/>
      <c r="N292" s="493"/>
      <c r="O292" s="493"/>
      <c r="P292" s="493"/>
      <c r="Q292" s="493"/>
      <c r="R292" s="493"/>
      <c r="S292" s="493"/>
      <c r="T292" s="493"/>
      <c r="U292" s="493"/>
      <c r="V292" s="493"/>
      <c r="W292" s="493"/>
      <c r="X292" s="493"/>
      <c r="Y292" s="493"/>
      <c r="Z292" s="493"/>
      <c r="AA292" s="493"/>
      <c r="AB292" s="493"/>
      <c r="AC292" s="493"/>
      <c r="AD292" s="493"/>
      <c r="AE292" s="493"/>
      <c r="AF292" s="493"/>
      <c r="AG292" s="493"/>
      <c r="AH292" s="493"/>
      <c r="AI292" s="493"/>
      <c r="AJ292" s="493"/>
      <c r="AK292" s="493"/>
      <c r="AL292" s="493"/>
      <c r="AM292" s="493"/>
      <c r="AN292" s="493"/>
      <c r="AO292" s="493"/>
      <c r="AP292" s="493"/>
      <c r="AQ292" s="493"/>
      <c r="AR292" s="493"/>
      <c r="AS292" s="493"/>
      <c r="AT292" s="493"/>
      <c r="AU292" s="493"/>
      <c r="AV292" s="493"/>
      <c r="AW292" s="493"/>
      <c r="AX292" s="493"/>
      <c r="AY292" s="493"/>
      <c r="AZ292" s="493"/>
      <c r="BA292" s="493"/>
      <c r="BB292" s="493"/>
      <c r="BC292" s="493"/>
      <c r="BD292" s="493"/>
      <c r="BE292" s="493"/>
      <c r="BF292" s="493"/>
      <c r="BG292" s="493"/>
      <c r="BH292" s="493"/>
      <c r="BI292" s="493"/>
    </row>
    <row r="293" spans="3:61" ht="12.75">
      <c r="C293" s="493"/>
      <c r="D293" s="493"/>
      <c r="E293" s="493"/>
      <c r="F293" s="493"/>
      <c r="G293" s="493"/>
      <c r="H293" s="493"/>
      <c r="I293" s="493"/>
      <c r="J293" s="493"/>
      <c r="K293" s="493"/>
      <c r="L293" s="493"/>
      <c r="M293" s="493"/>
      <c r="N293" s="493"/>
      <c r="O293" s="493"/>
      <c r="P293" s="493"/>
      <c r="Q293" s="493"/>
      <c r="R293" s="493"/>
      <c r="S293" s="493"/>
      <c r="T293" s="493"/>
      <c r="U293" s="493"/>
      <c r="V293" s="493"/>
      <c r="W293" s="493"/>
      <c r="X293" s="493"/>
      <c r="Y293" s="493"/>
      <c r="Z293" s="493"/>
      <c r="AA293" s="493"/>
      <c r="AB293" s="493"/>
      <c r="AC293" s="493"/>
      <c r="AD293" s="493"/>
      <c r="AE293" s="493"/>
      <c r="AF293" s="493"/>
      <c r="AG293" s="493"/>
      <c r="AH293" s="493"/>
      <c r="AI293" s="493"/>
      <c r="AJ293" s="493"/>
      <c r="AK293" s="493"/>
      <c r="AL293" s="493"/>
      <c r="AM293" s="493"/>
      <c r="AN293" s="493"/>
      <c r="AO293" s="493"/>
      <c r="AP293" s="493"/>
      <c r="AQ293" s="493"/>
      <c r="AR293" s="493"/>
      <c r="AS293" s="493"/>
      <c r="AT293" s="493"/>
      <c r="AU293" s="493"/>
      <c r="AV293" s="493"/>
      <c r="AW293" s="493"/>
      <c r="AX293" s="493"/>
      <c r="AY293" s="493"/>
      <c r="AZ293" s="493"/>
      <c r="BA293" s="493"/>
      <c r="BB293" s="493"/>
      <c r="BC293" s="493"/>
      <c r="BD293" s="493"/>
      <c r="BE293" s="493"/>
      <c r="BF293" s="493"/>
      <c r="BG293" s="493"/>
      <c r="BH293" s="493"/>
      <c r="BI293" s="493"/>
    </row>
    <row r="294" spans="3:61" ht="12.75">
      <c r="C294" s="493"/>
      <c r="D294" s="493"/>
      <c r="E294" s="493"/>
      <c r="F294" s="493"/>
      <c r="G294" s="493"/>
      <c r="H294" s="493"/>
      <c r="I294" s="493"/>
      <c r="J294" s="493"/>
      <c r="K294" s="493"/>
      <c r="L294" s="493"/>
      <c r="M294" s="493"/>
      <c r="N294" s="493"/>
      <c r="O294" s="493"/>
      <c r="P294" s="493"/>
      <c r="Q294" s="493"/>
      <c r="R294" s="493"/>
      <c r="S294" s="493"/>
      <c r="T294" s="493"/>
      <c r="U294" s="493"/>
      <c r="V294" s="493"/>
      <c r="W294" s="493"/>
      <c r="X294" s="493"/>
      <c r="Y294" s="493"/>
      <c r="Z294" s="493"/>
      <c r="AA294" s="493"/>
      <c r="AB294" s="493"/>
      <c r="AC294" s="493"/>
      <c r="AD294" s="493"/>
      <c r="AE294" s="493"/>
      <c r="AF294" s="493"/>
      <c r="AG294" s="493"/>
      <c r="AH294" s="493"/>
      <c r="AI294" s="493"/>
      <c r="AJ294" s="493"/>
      <c r="AK294" s="493"/>
      <c r="AL294" s="493"/>
      <c r="AM294" s="493"/>
      <c r="AN294" s="493"/>
      <c r="AO294" s="493"/>
      <c r="AP294" s="493"/>
      <c r="AQ294" s="493"/>
      <c r="AR294" s="493"/>
      <c r="AS294" s="493"/>
      <c r="AT294" s="493"/>
      <c r="AU294" s="493"/>
      <c r="AV294" s="493"/>
      <c r="AW294" s="493"/>
      <c r="AX294" s="493"/>
      <c r="AY294" s="493"/>
      <c r="AZ294" s="493"/>
      <c r="BA294" s="493"/>
      <c r="BB294" s="493"/>
      <c r="BC294" s="493"/>
      <c r="BD294" s="493"/>
      <c r="BE294" s="493"/>
      <c r="BF294" s="493"/>
      <c r="BG294" s="493"/>
      <c r="BH294" s="493"/>
      <c r="BI294" s="493"/>
    </row>
    <row r="295" spans="3:61" ht="12.75">
      <c r="C295" s="493"/>
      <c r="D295" s="493"/>
      <c r="E295" s="493"/>
      <c r="F295" s="493"/>
      <c r="G295" s="493"/>
      <c r="H295" s="493"/>
      <c r="I295" s="493"/>
      <c r="J295" s="493"/>
      <c r="K295" s="493"/>
      <c r="L295" s="493"/>
      <c r="M295" s="493"/>
      <c r="N295" s="493"/>
      <c r="O295" s="493"/>
      <c r="P295" s="493"/>
      <c r="Q295" s="493"/>
      <c r="R295" s="493"/>
      <c r="S295" s="493"/>
      <c r="T295" s="493"/>
      <c r="U295" s="493"/>
      <c r="V295" s="493"/>
      <c r="W295" s="493"/>
      <c r="X295" s="493"/>
      <c r="Y295" s="493"/>
      <c r="Z295" s="493"/>
      <c r="AA295" s="493"/>
      <c r="AB295" s="493"/>
      <c r="AC295" s="493"/>
      <c r="AD295" s="493"/>
      <c r="AE295" s="493"/>
      <c r="AF295" s="493"/>
      <c r="AG295" s="493"/>
      <c r="AH295" s="493"/>
      <c r="AI295" s="493"/>
      <c r="AJ295" s="493"/>
      <c r="AK295" s="493"/>
      <c r="AL295" s="493"/>
      <c r="AM295" s="493"/>
      <c r="AN295" s="493"/>
      <c r="AO295" s="493"/>
      <c r="AP295" s="493"/>
      <c r="AQ295" s="493"/>
      <c r="AR295" s="493"/>
      <c r="AS295" s="493"/>
      <c r="AT295" s="493"/>
      <c r="AU295" s="493"/>
      <c r="AV295" s="493"/>
      <c r="AW295" s="493"/>
      <c r="AX295" s="493"/>
      <c r="AY295" s="493"/>
      <c r="AZ295" s="493"/>
      <c r="BA295" s="493"/>
      <c r="BB295" s="493"/>
      <c r="BC295" s="493"/>
      <c r="BD295" s="493"/>
      <c r="BE295" s="493"/>
      <c r="BF295" s="493"/>
      <c r="BG295" s="493"/>
      <c r="BH295" s="493"/>
      <c r="BI295" s="493"/>
    </row>
    <row r="296" spans="3:61" ht="12.75">
      <c r="C296" s="493"/>
      <c r="D296" s="493"/>
      <c r="E296" s="493"/>
      <c r="F296" s="493"/>
      <c r="G296" s="493"/>
      <c r="H296" s="493"/>
      <c r="I296" s="493"/>
      <c r="J296" s="493"/>
      <c r="K296" s="493"/>
      <c r="L296" s="493"/>
      <c r="M296" s="493"/>
      <c r="N296" s="493"/>
      <c r="O296" s="493"/>
      <c r="P296" s="493"/>
      <c r="Q296" s="493"/>
      <c r="R296" s="493"/>
      <c r="S296" s="493"/>
      <c r="T296" s="493"/>
      <c r="U296" s="493"/>
      <c r="V296" s="493"/>
      <c r="W296" s="493"/>
      <c r="X296" s="493"/>
      <c r="Y296" s="493"/>
      <c r="Z296" s="493"/>
      <c r="AA296" s="493"/>
      <c r="AB296" s="493"/>
      <c r="AC296" s="493"/>
      <c r="AD296" s="493"/>
      <c r="AE296" s="493"/>
      <c r="AF296" s="493"/>
      <c r="AG296" s="493"/>
      <c r="AH296" s="493"/>
      <c r="AI296" s="493"/>
      <c r="AJ296" s="493"/>
      <c r="AK296" s="493"/>
      <c r="AL296" s="493"/>
      <c r="AM296" s="493"/>
      <c r="AN296" s="493"/>
      <c r="AO296" s="493"/>
      <c r="AP296" s="493"/>
      <c r="AQ296" s="493"/>
      <c r="AR296" s="493"/>
      <c r="AS296" s="493"/>
      <c r="AT296" s="493"/>
      <c r="AU296" s="493"/>
      <c r="AV296" s="493"/>
      <c r="AW296" s="493"/>
      <c r="AX296" s="493"/>
      <c r="AY296" s="493"/>
      <c r="AZ296" s="493"/>
      <c r="BA296" s="493"/>
      <c r="BB296" s="493"/>
      <c r="BC296" s="493"/>
      <c r="BD296" s="493"/>
      <c r="BE296" s="493"/>
      <c r="BF296" s="493"/>
      <c r="BG296" s="493"/>
      <c r="BH296" s="493"/>
      <c r="BI296" s="493"/>
    </row>
    <row r="297" spans="3:61" ht="12.75">
      <c r="C297" s="493"/>
      <c r="D297" s="493"/>
      <c r="E297" s="493"/>
      <c r="F297" s="493"/>
      <c r="G297" s="493"/>
      <c r="H297" s="493"/>
      <c r="I297" s="493"/>
      <c r="J297" s="493"/>
      <c r="K297" s="493"/>
      <c r="L297" s="493"/>
      <c r="M297" s="493"/>
      <c r="N297" s="493"/>
      <c r="O297" s="493"/>
      <c r="P297" s="493"/>
      <c r="Q297" s="493"/>
      <c r="R297" s="493"/>
      <c r="S297" s="493"/>
      <c r="T297" s="493"/>
      <c r="U297" s="493"/>
      <c r="V297" s="493"/>
      <c r="W297" s="493"/>
      <c r="X297" s="493"/>
      <c r="Y297" s="493"/>
      <c r="Z297" s="493"/>
      <c r="AA297" s="493"/>
      <c r="AB297" s="493"/>
      <c r="AC297" s="493"/>
      <c r="AD297" s="493"/>
      <c r="AE297" s="493"/>
      <c r="AF297" s="493"/>
      <c r="AG297" s="493"/>
      <c r="AH297" s="493"/>
      <c r="AI297" s="493"/>
      <c r="AJ297" s="493"/>
      <c r="AK297" s="493"/>
      <c r="AL297" s="493"/>
      <c r="AM297" s="493"/>
      <c r="AN297" s="493"/>
      <c r="AO297" s="493"/>
      <c r="AP297" s="493"/>
      <c r="AQ297" s="493"/>
      <c r="AR297" s="493"/>
      <c r="AS297" s="493"/>
      <c r="AT297" s="493"/>
      <c r="AU297" s="493"/>
      <c r="AV297" s="493"/>
      <c r="AW297" s="493"/>
      <c r="AX297" s="493"/>
      <c r="AY297" s="493"/>
      <c r="AZ297" s="493"/>
      <c r="BA297" s="493"/>
      <c r="BB297" s="493"/>
      <c r="BC297" s="493"/>
      <c r="BD297" s="493"/>
      <c r="BE297" s="493"/>
      <c r="BF297" s="493"/>
      <c r="BG297" s="493"/>
      <c r="BH297" s="493"/>
      <c r="BI297" s="493"/>
    </row>
    <row r="298" spans="3:61" ht="12.75">
      <c r="C298" s="493"/>
      <c r="D298" s="493"/>
      <c r="E298" s="493"/>
      <c r="F298" s="493"/>
      <c r="G298" s="493"/>
      <c r="H298" s="493"/>
      <c r="I298" s="493"/>
      <c r="J298" s="493"/>
      <c r="K298" s="493"/>
      <c r="L298" s="493"/>
      <c r="M298" s="493"/>
      <c r="N298" s="493"/>
      <c r="O298" s="493"/>
      <c r="P298" s="493"/>
      <c r="Q298" s="493"/>
      <c r="R298" s="493"/>
      <c r="S298" s="493"/>
      <c r="T298" s="493"/>
      <c r="U298" s="493"/>
      <c r="V298" s="493"/>
      <c r="W298" s="493"/>
      <c r="X298" s="493"/>
      <c r="Y298" s="493"/>
      <c r="Z298" s="493"/>
      <c r="AA298" s="493"/>
      <c r="AB298" s="493"/>
      <c r="AC298" s="493"/>
      <c r="AD298" s="493"/>
      <c r="AE298" s="493"/>
      <c r="AF298" s="493"/>
      <c r="AG298" s="493"/>
      <c r="AH298" s="493"/>
      <c r="AI298" s="493"/>
      <c r="AJ298" s="493"/>
      <c r="AK298" s="493"/>
      <c r="AL298" s="493"/>
      <c r="AM298" s="493"/>
      <c r="AN298" s="493"/>
      <c r="AO298" s="493"/>
      <c r="AP298" s="493"/>
      <c r="AQ298" s="493"/>
      <c r="AR298" s="493"/>
      <c r="AS298" s="493"/>
      <c r="AT298" s="493"/>
      <c r="AU298" s="493"/>
      <c r="AV298" s="493"/>
      <c r="AW298" s="493"/>
      <c r="AX298" s="493"/>
      <c r="AY298" s="493"/>
      <c r="AZ298" s="493"/>
      <c r="BA298" s="493"/>
      <c r="BB298" s="493"/>
      <c r="BC298" s="493"/>
      <c r="BD298" s="493"/>
      <c r="BE298" s="493"/>
      <c r="BF298" s="493"/>
      <c r="BG298" s="493"/>
      <c r="BH298" s="493"/>
      <c r="BI298" s="493"/>
    </row>
    <row r="299" spans="3:61" ht="12.75">
      <c r="C299" s="493"/>
      <c r="D299" s="493"/>
      <c r="E299" s="493"/>
      <c r="F299" s="493"/>
      <c r="G299" s="493"/>
      <c r="H299" s="493"/>
      <c r="I299" s="493"/>
      <c r="J299" s="493"/>
      <c r="K299" s="493"/>
      <c r="L299" s="493"/>
      <c r="M299" s="493"/>
      <c r="N299" s="493"/>
      <c r="O299" s="493"/>
      <c r="P299" s="493"/>
      <c r="Q299" s="493"/>
      <c r="R299" s="493"/>
      <c r="S299" s="493"/>
      <c r="T299" s="493"/>
      <c r="U299" s="493"/>
      <c r="V299" s="493"/>
      <c r="W299" s="493"/>
      <c r="X299" s="493"/>
      <c r="Y299" s="493"/>
      <c r="Z299" s="493"/>
      <c r="AA299" s="493"/>
      <c r="AB299" s="493"/>
      <c r="AC299" s="493"/>
      <c r="AD299" s="493"/>
      <c r="AE299" s="493"/>
      <c r="AF299" s="493"/>
      <c r="AG299" s="493"/>
      <c r="AH299" s="493"/>
      <c r="AI299" s="493"/>
      <c r="AJ299" s="493"/>
      <c r="AK299" s="493"/>
      <c r="AL299" s="493"/>
      <c r="AM299" s="493"/>
      <c r="AN299" s="493"/>
      <c r="AO299" s="493"/>
      <c r="AP299" s="493"/>
      <c r="AQ299" s="493"/>
      <c r="AR299" s="493"/>
      <c r="AS299" s="493"/>
      <c r="AT299" s="493"/>
      <c r="AU299" s="493"/>
      <c r="AV299" s="493"/>
      <c r="AW299" s="493"/>
      <c r="AX299" s="493"/>
      <c r="AY299" s="493"/>
      <c r="AZ299" s="493"/>
      <c r="BA299" s="493"/>
      <c r="BB299" s="493"/>
      <c r="BC299" s="493"/>
      <c r="BD299" s="493"/>
      <c r="BE299" s="493"/>
      <c r="BF299" s="493"/>
      <c r="BG299" s="493"/>
      <c r="BH299" s="493"/>
      <c r="BI299" s="493"/>
    </row>
    <row r="300" spans="3:61" ht="12.75">
      <c r="C300" s="493"/>
      <c r="D300" s="493"/>
      <c r="E300" s="493"/>
      <c r="F300" s="493"/>
      <c r="G300" s="493"/>
      <c r="H300" s="493"/>
      <c r="I300" s="493"/>
      <c r="J300" s="493"/>
      <c r="K300" s="493"/>
      <c r="L300" s="493"/>
      <c r="M300" s="493"/>
      <c r="N300" s="493"/>
      <c r="O300" s="493"/>
      <c r="P300" s="493"/>
      <c r="Q300" s="493"/>
      <c r="R300" s="493"/>
      <c r="S300" s="493"/>
      <c r="T300" s="493"/>
      <c r="U300" s="493"/>
      <c r="V300" s="493"/>
      <c r="W300" s="493"/>
      <c r="X300" s="493"/>
      <c r="Y300" s="493"/>
      <c r="Z300" s="493"/>
      <c r="AA300" s="493"/>
      <c r="AB300" s="493"/>
      <c r="AC300" s="493"/>
      <c r="AD300" s="493"/>
      <c r="AE300" s="493"/>
      <c r="AF300" s="493"/>
      <c r="AG300" s="493"/>
      <c r="AH300" s="493"/>
      <c r="AI300" s="493"/>
      <c r="AJ300" s="493"/>
      <c r="AK300" s="493"/>
      <c r="AL300" s="493"/>
      <c r="AM300" s="493"/>
      <c r="AN300" s="493"/>
      <c r="AO300" s="493"/>
      <c r="AP300" s="493"/>
      <c r="AQ300" s="493"/>
      <c r="AR300" s="493"/>
      <c r="AS300" s="493"/>
      <c r="AT300" s="493"/>
      <c r="AU300" s="493"/>
      <c r="AV300" s="493"/>
      <c r="AW300" s="493"/>
      <c r="AX300" s="493"/>
      <c r="AY300" s="493"/>
      <c r="AZ300" s="493"/>
      <c r="BA300" s="493"/>
      <c r="BB300" s="493"/>
      <c r="BC300" s="493"/>
      <c r="BD300" s="493"/>
      <c r="BE300" s="493"/>
      <c r="BF300" s="493"/>
      <c r="BG300" s="493"/>
      <c r="BH300" s="493"/>
      <c r="BI300" s="493"/>
    </row>
    <row r="301" spans="3:61" ht="12.75">
      <c r="C301" s="493"/>
      <c r="D301" s="493"/>
      <c r="E301" s="493"/>
      <c r="F301" s="493"/>
      <c r="G301" s="493"/>
      <c r="H301" s="493"/>
      <c r="I301" s="493"/>
      <c r="J301" s="493"/>
      <c r="K301" s="493"/>
      <c r="L301" s="493"/>
      <c r="M301" s="493"/>
      <c r="N301" s="493"/>
      <c r="O301" s="493"/>
      <c r="P301" s="493"/>
      <c r="Q301" s="493"/>
      <c r="R301" s="493"/>
      <c r="S301" s="493"/>
      <c r="T301" s="493"/>
      <c r="U301" s="493"/>
      <c r="V301" s="493"/>
      <c r="W301" s="493"/>
      <c r="X301" s="493"/>
      <c r="Y301" s="493"/>
      <c r="Z301" s="493"/>
      <c r="AA301" s="493"/>
      <c r="AB301" s="493"/>
      <c r="AC301" s="493"/>
      <c r="AD301" s="493"/>
      <c r="AE301" s="493"/>
      <c r="AF301" s="493"/>
      <c r="AG301" s="493"/>
      <c r="AH301" s="493"/>
      <c r="AI301" s="493"/>
      <c r="AJ301" s="493"/>
      <c r="AK301" s="493"/>
      <c r="AL301" s="493"/>
      <c r="AM301" s="493"/>
      <c r="AN301" s="493"/>
      <c r="AO301" s="493"/>
      <c r="AP301" s="493"/>
      <c r="AQ301" s="493"/>
      <c r="AR301" s="493"/>
      <c r="AS301" s="493"/>
      <c r="AT301" s="493"/>
      <c r="AU301" s="493"/>
      <c r="AV301" s="493"/>
      <c r="AW301" s="493"/>
      <c r="AX301" s="493"/>
      <c r="AY301" s="493"/>
      <c r="AZ301" s="493"/>
      <c r="BA301" s="493"/>
      <c r="BB301" s="493"/>
      <c r="BC301" s="493"/>
      <c r="BD301" s="493"/>
      <c r="BE301" s="493"/>
      <c r="BF301" s="493"/>
      <c r="BG301" s="493"/>
      <c r="BH301" s="493"/>
      <c r="BI301" s="493"/>
    </row>
    <row r="302" spans="3:61" ht="12.75">
      <c r="C302" s="493"/>
      <c r="D302" s="493"/>
      <c r="E302" s="493"/>
      <c r="F302" s="493"/>
      <c r="G302" s="493"/>
      <c r="H302" s="493"/>
      <c r="I302" s="493"/>
      <c r="J302" s="493"/>
      <c r="K302" s="493"/>
      <c r="L302" s="493"/>
      <c r="M302" s="493"/>
      <c r="N302" s="493"/>
      <c r="O302" s="493"/>
      <c r="P302" s="493"/>
      <c r="Q302" s="493"/>
      <c r="R302" s="493"/>
      <c r="S302" s="493"/>
      <c r="T302" s="493"/>
      <c r="U302" s="493"/>
      <c r="V302" s="493"/>
      <c r="W302" s="493"/>
      <c r="X302" s="493"/>
      <c r="Y302" s="493"/>
      <c r="Z302" s="493"/>
      <c r="AA302" s="493"/>
      <c r="AB302" s="493"/>
      <c r="AC302" s="493"/>
      <c r="AD302" s="493"/>
      <c r="AE302" s="493"/>
      <c r="AF302" s="493"/>
      <c r="AG302" s="493"/>
      <c r="AH302" s="493"/>
      <c r="AI302" s="493"/>
      <c r="AJ302" s="493"/>
      <c r="AK302" s="493"/>
      <c r="AL302" s="493"/>
      <c r="AM302" s="493"/>
      <c r="AN302" s="493"/>
      <c r="AO302" s="493"/>
      <c r="AP302" s="493"/>
      <c r="AQ302" s="493"/>
      <c r="AR302" s="493"/>
      <c r="AS302" s="493"/>
      <c r="AT302" s="493"/>
      <c r="AU302" s="493"/>
      <c r="AV302" s="493"/>
      <c r="AW302" s="493"/>
      <c r="AX302" s="493"/>
      <c r="AY302" s="493"/>
      <c r="AZ302" s="493"/>
      <c r="BA302" s="493"/>
      <c r="BB302" s="493"/>
      <c r="BC302" s="493"/>
      <c r="BD302" s="493"/>
      <c r="BE302" s="493"/>
      <c r="BF302" s="493"/>
      <c r="BG302" s="493"/>
      <c r="BH302" s="493"/>
      <c r="BI302" s="493"/>
    </row>
    <row r="303" spans="3:61" ht="12.75">
      <c r="C303" s="493"/>
      <c r="D303" s="493"/>
      <c r="E303" s="493"/>
      <c r="F303" s="493"/>
      <c r="G303" s="493"/>
      <c r="H303" s="493"/>
      <c r="I303" s="493"/>
      <c r="J303" s="493"/>
      <c r="K303" s="493"/>
      <c r="L303" s="493"/>
      <c r="M303" s="493"/>
      <c r="N303" s="493"/>
      <c r="O303" s="493"/>
      <c r="P303" s="493"/>
      <c r="Q303" s="493"/>
      <c r="R303" s="493"/>
      <c r="S303" s="493"/>
      <c r="T303" s="493"/>
      <c r="U303" s="493"/>
      <c r="V303" s="493"/>
      <c r="W303" s="493"/>
      <c r="X303" s="493"/>
      <c r="Y303" s="493"/>
      <c r="Z303" s="493"/>
      <c r="AA303" s="493"/>
      <c r="AB303" s="493"/>
      <c r="AC303" s="493"/>
      <c r="AD303" s="493"/>
      <c r="AE303" s="493"/>
      <c r="AF303" s="493"/>
      <c r="AG303" s="493"/>
      <c r="AH303" s="493"/>
      <c r="AI303" s="493"/>
      <c r="AJ303" s="493"/>
      <c r="AK303" s="493"/>
      <c r="AL303" s="493"/>
      <c r="AM303" s="493"/>
      <c r="AN303" s="493"/>
      <c r="AO303" s="493"/>
      <c r="AP303" s="493"/>
      <c r="AQ303" s="493"/>
      <c r="AR303" s="493"/>
      <c r="AS303" s="493"/>
      <c r="AT303" s="493"/>
      <c r="AU303" s="493"/>
      <c r="AV303" s="493"/>
      <c r="AW303" s="493"/>
      <c r="AX303" s="493"/>
      <c r="AY303" s="493"/>
      <c r="AZ303" s="493"/>
      <c r="BA303" s="493"/>
      <c r="BB303" s="493"/>
      <c r="BC303" s="493"/>
      <c r="BD303" s="493"/>
      <c r="BE303" s="493"/>
      <c r="BF303" s="493"/>
      <c r="BG303" s="493"/>
      <c r="BH303" s="493"/>
      <c r="BI303" s="493"/>
    </row>
    <row r="304" spans="3:61" ht="12.75">
      <c r="C304" s="493"/>
      <c r="D304" s="493"/>
      <c r="E304" s="493"/>
      <c r="F304" s="493"/>
      <c r="G304" s="493"/>
      <c r="H304" s="493"/>
      <c r="I304" s="493"/>
      <c r="J304" s="493"/>
      <c r="K304" s="493"/>
      <c r="L304" s="493"/>
      <c r="M304" s="493"/>
      <c r="N304" s="493"/>
      <c r="O304" s="493"/>
      <c r="P304" s="493"/>
      <c r="Q304" s="493"/>
      <c r="R304" s="493"/>
      <c r="S304" s="493"/>
      <c r="T304" s="493"/>
      <c r="U304" s="493"/>
      <c r="V304" s="493"/>
      <c r="W304" s="493"/>
      <c r="X304" s="493"/>
      <c r="Y304" s="493"/>
      <c r="Z304" s="493"/>
      <c r="AA304" s="493"/>
      <c r="AB304" s="493"/>
      <c r="AC304" s="493"/>
      <c r="AD304" s="493"/>
      <c r="AE304" s="493"/>
      <c r="AF304" s="493"/>
      <c r="AG304" s="493"/>
      <c r="AH304" s="493"/>
      <c r="AI304" s="493"/>
      <c r="AJ304" s="493"/>
      <c r="AK304" s="493"/>
      <c r="AL304" s="493"/>
      <c r="AM304" s="493"/>
      <c r="AN304" s="493"/>
      <c r="AO304" s="493"/>
      <c r="AP304" s="493"/>
      <c r="AQ304" s="493"/>
      <c r="AR304" s="493"/>
      <c r="AS304" s="493"/>
      <c r="AT304" s="493"/>
      <c r="AU304" s="493"/>
      <c r="AV304" s="493"/>
      <c r="AW304" s="493"/>
      <c r="AX304" s="493"/>
      <c r="AY304" s="493"/>
      <c r="AZ304" s="493"/>
      <c r="BA304" s="493"/>
      <c r="BB304" s="493"/>
      <c r="BC304" s="493"/>
      <c r="BD304" s="493"/>
      <c r="BE304" s="493"/>
      <c r="BF304" s="493"/>
      <c r="BG304" s="493"/>
      <c r="BH304" s="493"/>
      <c r="BI304" s="493"/>
    </row>
    <row r="305" spans="3:61" ht="12.75">
      <c r="C305" s="493"/>
      <c r="D305" s="493"/>
      <c r="E305" s="493"/>
      <c r="F305" s="493"/>
      <c r="G305" s="493"/>
      <c r="H305" s="493"/>
      <c r="I305" s="493"/>
      <c r="J305" s="493"/>
      <c r="K305" s="493"/>
      <c r="L305" s="493"/>
      <c r="M305" s="493"/>
      <c r="N305" s="493"/>
      <c r="O305" s="493"/>
      <c r="P305" s="493"/>
      <c r="Q305" s="493"/>
      <c r="R305" s="493"/>
      <c r="S305" s="493"/>
      <c r="T305" s="493"/>
      <c r="U305" s="493"/>
      <c r="V305" s="493"/>
      <c r="W305" s="493"/>
      <c r="X305" s="493"/>
      <c r="Y305" s="493"/>
      <c r="Z305" s="493"/>
      <c r="AA305" s="493"/>
      <c r="AB305" s="493"/>
      <c r="AC305" s="493"/>
      <c r="AD305" s="493"/>
      <c r="AE305" s="493"/>
      <c r="AF305" s="493"/>
      <c r="AG305" s="493"/>
      <c r="AH305" s="493"/>
      <c r="AI305" s="493"/>
      <c r="AJ305" s="493"/>
      <c r="AK305" s="493"/>
      <c r="AL305" s="493"/>
      <c r="AM305" s="493"/>
      <c r="AN305" s="493"/>
      <c r="AO305" s="493"/>
      <c r="AP305" s="493"/>
      <c r="AQ305" s="493"/>
      <c r="AR305" s="493"/>
      <c r="AS305" s="493"/>
      <c r="AT305" s="493"/>
      <c r="AU305" s="493"/>
      <c r="AV305" s="493"/>
      <c r="AW305" s="493"/>
      <c r="AX305" s="493"/>
      <c r="AY305" s="493"/>
      <c r="AZ305" s="493"/>
      <c r="BA305" s="493"/>
      <c r="BB305" s="493"/>
      <c r="BC305" s="493"/>
      <c r="BD305" s="493"/>
      <c r="BE305" s="493"/>
      <c r="BF305" s="493"/>
      <c r="BG305" s="493"/>
      <c r="BH305" s="493"/>
      <c r="BI305" s="493"/>
    </row>
    <row r="306" spans="3:61" ht="12.75">
      <c r="C306" s="493"/>
      <c r="D306" s="493"/>
      <c r="E306" s="493"/>
      <c r="F306" s="493"/>
      <c r="G306" s="493"/>
      <c r="H306" s="493"/>
      <c r="I306" s="493"/>
      <c r="J306" s="493"/>
      <c r="K306" s="493"/>
      <c r="L306" s="493"/>
      <c r="M306" s="493"/>
      <c r="N306" s="493"/>
      <c r="O306" s="493"/>
      <c r="P306" s="493"/>
      <c r="Q306" s="493"/>
      <c r="R306" s="493"/>
      <c r="S306" s="493"/>
      <c r="T306" s="493"/>
      <c r="U306" s="493"/>
      <c r="V306" s="493"/>
      <c r="W306" s="493"/>
      <c r="X306" s="493"/>
      <c r="Y306" s="493"/>
      <c r="Z306" s="493"/>
      <c r="AA306" s="493"/>
      <c r="AB306" s="493"/>
      <c r="AC306" s="493"/>
      <c r="AD306" s="493"/>
      <c r="AE306" s="493"/>
      <c r="AF306" s="493"/>
      <c r="AG306" s="493"/>
      <c r="AH306" s="493"/>
      <c r="AI306" s="493"/>
      <c r="AJ306" s="493"/>
      <c r="AK306" s="493"/>
      <c r="AL306" s="493"/>
      <c r="AM306" s="493"/>
      <c r="AN306" s="493"/>
      <c r="AO306" s="493"/>
      <c r="AP306" s="493"/>
      <c r="AQ306" s="493"/>
      <c r="AR306" s="493"/>
      <c r="AS306" s="493"/>
      <c r="AT306" s="493"/>
      <c r="AU306" s="493"/>
      <c r="AV306" s="493"/>
      <c r="AW306" s="493"/>
      <c r="AX306" s="493"/>
      <c r="AY306" s="493"/>
      <c r="AZ306" s="493"/>
      <c r="BA306" s="493"/>
      <c r="BB306" s="493"/>
      <c r="BC306" s="493"/>
      <c r="BD306" s="493"/>
      <c r="BE306" s="493"/>
      <c r="BF306" s="493"/>
      <c r="BG306" s="493"/>
      <c r="BH306" s="493"/>
      <c r="BI306" s="493"/>
    </row>
    <row r="307" spans="3:61" ht="12.75">
      <c r="C307" s="493"/>
      <c r="D307" s="493"/>
      <c r="E307" s="493"/>
      <c r="F307" s="493"/>
      <c r="G307" s="493"/>
      <c r="H307" s="493"/>
      <c r="I307" s="493"/>
      <c r="J307" s="493"/>
      <c r="K307" s="493"/>
      <c r="L307" s="493"/>
      <c r="M307" s="493"/>
      <c r="N307" s="493"/>
      <c r="O307" s="493"/>
      <c r="P307" s="493"/>
      <c r="Q307" s="493"/>
      <c r="R307" s="493"/>
      <c r="S307" s="493"/>
      <c r="T307" s="493"/>
      <c r="U307" s="493"/>
      <c r="V307" s="493"/>
      <c r="W307" s="493"/>
      <c r="X307" s="493"/>
      <c r="Y307" s="493"/>
      <c r="Z307" s="493"/>
      <c r="AA307" s="493"/>
      <c r="AB307" s="493"/>
      <c r="AC307" s="493"/>
      <c r="AD307" s="493"/>
      <c r="AE307" s="493"/>
      <c r="AF307" s="493"/>
      <c r="AG307" s="493"/>
      <c r="AH307" s="493"/>
      <c r="AI307" s="493"/>
      <c r="AJ307" s="493"/>
      <c r="AK307" s="493"/>
      <c r="AL307" s="493"/>
      <c r="AM307" s="493"/>
      <c r="AN307" s="493"/>
      <c r="AO307" s="493"/>
      <c r="AP307" s="493"/>
      <c r="AQ307" s="493"/>
      <c r="AR307" s="493"/>
      <c r="AS307" s="493"/>
      <c r="AT307" s="493"/>
      <c r="AU307" s="493"/>
      <c r="AV307" s="493"/>
      <c r="AW307" s="493"/>
      <c r="AX307" s="493"/>
      <c r="AY307" s="493"/>
      <c r="AZ307" s="493"/>
      <c r="BA307" s="493"/>
      <c r="BB307" s="493"/>
      <c r="BC307" s="493"/>
      <c r="BD307" s="493"/>
      <c r="BE307" s="493"/>
      <c r="BF307" s="493"/>
      <c r="BG307" s="493"/>
      <c r="BH307" s="493"/>
      <c r="BI307" s="493"/>
    </row>
    <row r="308" spans="3:61" ht="12.75">
      <c r="C308" s="493"/>
      <c r="D308" s="493"/>
      <c r="E308" s="493"/>
      <c r="F308" s="493"/>
      <c r="G308" s="493"/>
      <c r="H308" s="493"/>
      <c r="I308" s="493"/>
      <c r="J308" s="493"/>
      <c r="K308" s="493"/>
      <c r="L308" s="493"/>
      <c r="M308" s="493"/>
      <c r="N308" s="493"/>
      <c r="O308" s="493"/>
      <c r="P308" s="493"/>
      <c r="Q308" s="493"/>
      <c r="R308" s="493"/>
      <c r="S308" s="493"/>
      <c r="T308" s="493"/>
      <c r="U308" s="493"/>
      <c r="V308" s="493"/>
      <c r="W308" s="493"/>
      <c r="X308" s="493"/>
      <c r="Y308" s="493"/>
      <c r="Z308" s="493"/>
      <c r="AA308" s="493"/>
      <c r="AB308" s="493"/>
      <c r="AC308" s="493"/>
      <c r="AD308" s="493"/>
      <c r="AE308" s="493"/>
      <c r="AF308" s="493"/>
      <c r="AG308" s="493"/>
      <c r="AH308" s="493"/>
      <c r="AI308" s="493"/>
      <c r="AJ308" s="493"/>
      <c r="AK308" s="493"/>
      <c r="AL308" s="493"/>
      <c r="AM308" s="493"/>
      <c r="AN308" s="493"/>
      <c r="AO308" s="493"/>
      <c r="AP308" s="493"/>
      <c r="AQ308" s="493"/>
      <c r="AR308" s="493"/>
      <c r="AS308" s="493"/>
      <c r="AT308" s="493"/>
      <c r="AU308" s="493"/>
      <c r="AV308" s="493"/>
      <c r="AW308" s="493"/>
      <c r="AX308" s="493"/>
      <c r="AY308" s="493"/>
      <c r="AZ308" s="493"/>
      <c r="BA308" s="493"/>
      <c r="BB308" s="493"/>
      <c r="BC308" s="493"/>
      <c r="BD308" s="493"/>
      <c r="BE308" s="493"/>
      <c r="BF308" s="493"/>
      <c r="BG308" s="493"/>
      <c r="BH308" s="493"/>
      <c r="BI308" s="493"/>
    </row>
    <row r="309" spans="3:61" ht="12.75">
      <c r="C309" s="493"/>
      <c r="D309" s="493"/>
      <c r="E309" s="493"/>
      <c r="F309" s="493"/>
      <c r="G309" s="493"/>
      <c r="H309" s="493"/>
      <c r="I309" s="493"/>
      <c r="J309" s="493"/>
      <c r="K309" s="493"/>
      <c r="L309" s="493"/>
      <c r="M309" s="493"/>
      <c r="N309" s="493"/>
      <c r="O309" s="493"/>
      <c r="P309" s="493"/>
      <c r="Q309" s="493"/>
      <c r="R309" s="493"/>
      <c r="S309" s="493"/>
      <c r="T309" s="493"/>
      <c r="U309" s="493"/>
      <c r="V309" s="493"/>
      <c r="W309" s="493"/>
      <c r="X309" s="493"/>
      <c r="Y309" s="493"/>
      <c r="Z309" s="493"/>
      <c r="AA309" s="493"/>
      <c r="AB309" s="493"/>
      <c r="AC309" s="493"/>
      <c r="AD309" s="493"/>
      <c r="AE309" s="493"/>
      <c r="AF309" s="493"/>
      <c r="AG309" s="493"/>
      <c r="AH309" s="493"/>
      <c r="AI309" s="493"/>
      <c r="AJ309" s="493"/>
      <c r="AK309" s="493"/>
      <c r="AL309" s="493"/>
      <c r="AM309" s="493"/>
      <c r="AN309" s="493"/>
      <c r="AO309" s="493"/>
      <c r="AP309" s="493"/>
      <c r="AQ309" s="493"/>
      <c r="AR309" s="493"/>
      <c r="AS309" s="493"/>
      <c r="AT309" s="493"/>
      <c r="AU309" s="493"/>
      <c r="AV309" s="493"/>
      <c r="AW309" s="493"/>
      <c r="AX309" s="493"/>
      <c r="AY309" s="493"/>
      <c r="AZ309" s="493"/>
      <c r="BA309" s="493"/>
      <c r="BB309" s="493"/>
      <c r="BC309" s="493"/>
      <c r="BD309" s="493"/>
      <c r="BE309" s="493"/>
      <c r="BF309" s="493"/>
      <c r="BG309" s="493"/>
      <c r="BH309" s="493"/>
      <c r="BI309" s="493"/>
    </row>
    <row r="310" spans="3:61" ht="12.75">
      <c r="C310" s="493"/>
      <c r="D310" s="493"/>
      <c r="E310" s="493"/>
      <c r="F310" s="493"/>
      <c r="G310" s="493"/>
      <c r="H310" s="493"/>
      <c r="I310" s="493"/>
      <c r="J310" s="493"/>
      <c r="K310" s="493"/>
      <c r="L310" s="493"/>
      <c r="M310" s="493"/>
      <c r="N310" s="493"/>
      <c r="O310" s="493"/>
      <c r="P310" s="493"/>
      <c r="Q310" s="493"/>
      <c r="R310" s="493"/>
      <c r="S310" s="493"/>
      <c r="T310" s="493"/>
      <c r="U310" s="493"/>
      <c r="V310" s="493"/>
      <c r="W310" s="493"/>
      <c r="X310" s="493"/>
      <c r="Y310" s="493"/>
      <c r="Z310" s="493"/>
      <c r="AA310" s="493"/>
      <c r="AB310" s="493"/>
      <c r="AC310" s="493"/>
      <c r="AD310" s="493"/>
      <c r="AE310" s="493"/>
      <c r="AF310" s="493"/>
      <c r="AG310" s="493"/>
      <c r="AH310" s="493"/>
      <c r="AI310" s="493"/>
      <c r="AJ310" s="493"/>
      <c r="AK310" s="493"/>
      <c r="AL310" s="493"/>
      <c r="AM310" s="493"/>
      <c r="AN310" s="493"/>
      <c r="AO310" s="493"/>
      <c r="AP310" s="493"/>
      <c r="AQ310" s="493"/>
      <c r="AR310" s="493"/>
      <c r="AS310" s="493"/>
      <c r="AT310" s="493"/>
      <c r="AU310" s="493"/>
      <c r="AV310" s="493"/>
      <c r="AW310" s="493"/>
      <c r="AX310" s="493"/>
      <c r="AY310" s="493"/>
      <c r="AZ310" s="493"/>
      <c r="BA310" s="493"/>
      <c r="BB310" s="493"/>
      <c r="BC310" s="493"/>
      <c r="BD310" s="493"/>
      <c r="BE310" s="493"/>
      <c r="BF310" s="493"/>
      <c r="BG310" s="493"/>
      <c r="BH310" s="493"/>
      <c r="BI310" s="493"/>
    </row>
    <row r="311" spans="3:61" ht="12.75">
      <c r="C311" s="493"/>
      <c r="D311" s="493"/>
      <c r="E311" s="493"/>
      <c r="F311" s="493"/>
      <c r="G311" s="493"/>
      <c r="H311" s="493"/>
      <c r="I311" s="493"/>
      <c r="J311" s="493"/>
      <c r="K311" s="493"/>
      <c r="L311" s="493"/>
      <c r="M311" s="493"/>
      <c r="N311" s="493"/>
      <c r="O311" s="493"/>
      <c r="P311" s="493"/>
      <c r="Q311" s="493"/>
      <c r="R311" s="493"/>
      <c r="S311" s="493"/>
      <c r="T311" s="493"/>
      <c r="U311" s="493"/>
      <c r="V311" s="493"/>
      <c r="W311" s="493"/>
      <c r="X311" s="493"/>
      <c r="Y311" s="493"/>
      <c r="Z311" s="493"/>
      <c r="AA311" s="493"/>
      <c r="AB311" s="493"/>
      <c r="AC311" s="493"/>
      <c r="AD311" s="493"/>
      <c r="AE311" s="493"/>
      <c r="AF311" s="493"/>
      <c r="AG311" s="493"/>
      <c r="AH311" s="493"/>
      <c r="AI311" s="493"/>
      <c r="AJ311" s="493"/>
      <c r="AK311" s="493"/>
      <c r="AL311" s="493"/>
      <c r="AM311" s="493"/>
      <c r="AN311" s="493"/>
      <c r="AO311" s="493"/>
      <c r="AP311" s="493"/>
      <c r="AQ311" s="493"/>
      <c r="AR311" s="493"/>
      <c r="AS311" s="493"/>
      <c r="AT311" s="493"/>
      <c r="AU311" s="493"/>
      <c r="AV311" s="493"/>
      <c r="AW311" s="493"/>
      <c r="AX311" s="493"/>
      <c r="AY311" s="493"/>
      <c r="AZ311" s="493"/>
      <c r="BA311" s="493"/>
      <c r="BB311" s="493"/>
      <c r="BC311" s="493"/>
      <c r="BD311" s="493"/>
      <c r="BE311" s="493"/>
      <c r="BF311" s="493"/>
      <c r="BG311" s="493"/>
      <c r="BH311" s="493"/>
      <c r="BI311" s="493"/>
    </row>
    <row r="312" spans="3:61" ht="12.75">
      <c r="C312" s="493"/>
      <c r="D312" s="493"/>
      <c r="E312" s="493"/>
      <c r="F312" s="493"/>
      <c r="G312" s="493"/>
      <c r="H312" s="493"/>
      <c r="I312" s="493"/>
      <c r="J312" s="493"/>
      <c r="K312" s="493"/>
      <c r="L312" s="493"/>
      <c r="M312" s="493"/>
      <c r="N312" s="493"/>
      <c r="O312" s="493"/>
      <c r="P312" s="493"/>
      <c r="Q312" s="493"/>
      <c r="R312" s="493"/>
      <c r="S312" s="493"/>
      <c r="T312" s="493"/>
      <c r="U312" s="493"/>
      <c r="V312" s="493"/>
      <c r="W312" s="493"/>
      <c r="X312" s="493"/>
      <c r="Y312" s="493"/>
      <c r="Z312" s="493"/>
      <c r="AA312" s="493"/>
      <c r="AB312" s="493"/>
      <c r="AC312" s="493"/>
      <c r="AD312" s="493"/>
      <c r="AE312" s="493"/>
      <c r="AF312" s="493"/>
      <c r="AG312" s="493"/>
      <c r="AH312" s="493"/>
      <c r="AI312" s="493"/>
      <c r="AJ312" s="493"/>
      <c r="AK312" s="493"/>
      <c r="AL312" s="493"/>
      <c r="AM312" s="493"/>
      <c r="AN312" s="493"/>
      <c r="AO312" s="493"/>
      <c r="AP312" s="493"/>
      <c r="AQ312" s="493"/>
      <c r="AR312" s="493"/>
      <c r="AS312" s="493"/>
      <c r="AT312" s="493"/>
      <c r="AU312" s="493"/>
      <c r="AV312" s="493"/>
      <c r="AW312" s="493"/>
      <c r="AX312" s="493"/>
      <c r="AY312" s="493"/>
      <c r="AZ312" s="493"/>
      <c r="BA312" s="493"/>
      <c r="BB312" s="493"/>
      <c r="BC312" s="493"/>
      <c r="BD312" s="493"/>
      <c r="BE312" s="493"/>
      <c r="BF312" s="493"/>
      <c r="BG312" s="493"/>
      <c r="BH312" s="493"/>
      <c r="BI312" s="493"/>
    </row>
    <row r="313" spans="3:61" ht="12.75">
      <c r="C313" s="493"/>
      <c r="D313" s="493"/>
      <c r="E313" s="493"/>
      <c r="F313" s="493"/>
      <c r="G313" s="493"/>
      <c r="H313" s="493"/>
      <c r="I313" s="493"/>
      <c r="J313" s="493"/>
      <c r="K313" s="493"/>
      <c r="L313" s="493"/>
      <c r="M313" s="493"/>
      <c r="N313" s="493"/>
      <c r="O313" s="493"/>
      <c r="P313" s="493"/>
      <c r="Q313" s="493"/>
      <c r="R313" s="493"/>
      <c r="S313" s="493"/>
      <c r="T313" s="493"/>
      <c r="U313" s="493"/>
      <c r="V313" s="493"/>
      <c r="W313" s="493"/>
      <c r="X313" s="493"/>
      <c r="Y313" s="493"/>
      <c r="Z313" s="493"/>
      <c r="AA313" s="493"/>
      <c r="AB313" s="493"/>
      <c r="AC313" s="493"/>
      <c r="AD313" s="493"/>
      <c r="AE313" s="493"/>
      <c r="AF313" s="493"/>
      <c r="AG313" s="493"/>
      <c r="AH313" s="493"/>
      <c r="AI313" s="493"/>
      <c r="AJ313" s="493"/>
      <c r="AK313" s="493"/>
      <c r="AL313" s="493"/>
      <c r="AM313" s="493"/>
      <c r="AN313" s="493"/>
      <c r="AO313" s="493"/>
      <c r="AP313" s="493"/>
      <c r="AQ313" s="493"/>
      <c r="AR313" s="493"/>
      <c r="AS313" s="493"/>
      <c r="AT313" s="493"/>
      <c r="AU313" s="493"/>
      <c r="AV313" s="493"/>
      <c r="AW313" s="493"/>
      <c r="AX313" s="493"/>
      <c r="AY313" s="493"/>
      <c r="AZ313" s="493"/>
      <c r="BA313" s="493"/>
      <c r="BB313" s="493"/>
      <c r="BC313" s="493"/>
      <c r="BD313" s="493"/>
      <c r="BE313" s="493"/>
      <c r="BF313" s="493"/>
      <c r="BG313" s="493"/>
      <c r="BH313" s="493"/>
      <c r="BI313" s="493"/>
    </row>
    <row r="314" spans="3:61" ht="12.75">
      <c r="C314" s="493"/>
      <c r="D314" s="493"/>
      <c r="E314" s="493"/>
      <c r="F314" s="493"/>
      <c r="G314" s="493"/>
      <c r="H314" s="493"/>
      <c r="I314" s="493"/>
      <c r="J314" s="493"/>
      <c r="K314" s="493"/>
      <c r="L314" s="493"/>
      <c r="M314" s="493"/>
      <c r="N314" s="493"/>
      <c r="O314" s="493"/>
      <c r="P314" s="493"/>
      <c r="Q314" s="493"/>
      <c r="R314" s="493"/>
      <c r="S314" s="493"/>
      <c r="T314" s="493"/>
      <c r="U314" s="493"/>
      <c r="V314" s="493"/>
      <c r="W314" s="493"/>
      <c r="X314" s="493"/>
      <c r="Y314" s="493"/>
      <c r="Z314" s="493"/>
      <c r="AA314" s="493"/>
      <c r="AB314" s="493"/>
      <c r="AC314" s="493"/>
      <c r="AD314" s="493"/>
      <c r="AE314" s="493"/>
      <c r="AF314" s="493"/>
      <c r="AG314" s="493"/>
      <c r="AH314" s="493"/>
      <c r="AI314" s="493"/>
      <c r="AJ314" s="493"/>
      <c r="AK314" s="493"/>
      <c r="AL314" s="493"/>
      <c r="AM314" s="493"/>
      <c r="AN314" s="493"/>
      <c r="AO314" s="493"/>
      <c r="AP314" s="493"/>
      <c r="AQ314" s="493"/>
      <c r="AR314" s="493"/>
      <c r="AS314" s="493"/>
      <c r="AT314" s="493"/>
      <c r="AU314" s="493"/>
      <c r="AV314" s="493"/>
      <c r="AW314" s="493"/>
      <c r="AX314" s="493"/>
      <c r="AY314" s="493"/>
      <c r="AZ314" s="493"/>
      <c r="BA314" s="493"/>
      <c r="BB314" s="493"/>
      <c r="BC314" s="493"/>
      <c r="BD314" s="493"/>
      <c r="BE314" s="493"/>
      <c r="BF314" s="493"/>
      <c r="BG314" s="493"/>
      <c r="BH314" s="493"/>
      <c r="BI314" s="493"/>
    </row>
    <row r="315" spans="3:61" ht="12.75">
      <c r="C315" s="493"/>
      <c r="D315" s="493"/>
      <c r="E315" s="493"/>
      <c r="F315" s="493"/>
      <c r="G315" s="493"/>
      <c r="H315" s="493"/>
      <c r="I315" s="493"/>
      <c r="J315" s="493"/>
      <c r="K315" s="493"/>
      <c r="L315" s="493"/>
      <c r="M315" s="493"/>
      <c r="N315" s="493"/>
      <c r="O315" s="493"/>
      <c r="P315" s="493"/>
      <c r="Q315" s="493"/>
      <c r="R315" s="493"/>
      <c r="S315" s="493"/>
      <c r="T315" s="493"/>
      <c r="U315" s="493"/>
      <c r="V315" s="493"/>
      <c r="W315" s="493"/>
      <c r="X315" s="493"/>
      <c r="Y315" s="493"/>
      <c r="Z315" s="493"/>
      <c r="AA315" s="493"/>
      <c r="AB315" s="493"/>
      <c r="AC315" s="493"/>
      <c r="AD315" s="493"/>
      <c r="AE315" s="493"/>
      <c r="AF315" s="493"/>
      <c r="AG315" s="493"/>
      <c r="AH315" s="493"/>
      <c r="AI315" s="493"/>
      <c r="AJ315" s="493"/>
      <c r="AK315" s="493"/>
      <c r="AL315" s="493"/>
      <c r="AM315" s="493"/>
      <c r="AN315" s="493"/>
      <c r="AO315" s="493"/>
      <c r="AP315" s="493"/>
      <c r="AQ315" s="493"/>
      <c r="AR315" s="493"/>
      <c r="AS315" s="493"/>
      <c r="AT315" s="493"/>
      <c r="AU315" s="493"/>
      <c r="AV315" s="493"/>
      <c r="AW315" s="493"/>
      <c r="AX315" s="493"/>
      <c r="AY315" s="493"/>
      <c r="AZ315" s="493"/>
      <c r="BA315" s="493"/>
      <c r="BB315" s="493"/>
      <c r="BC315" s="493"/>
      <c r="BD315" s="493"/>
      <c r="BE315" s="493"/>
      <c r="BF315" s="493"/>
      <c r="BG315" s="493"/>
      <c r="BH315" s="493"/>
      <c r="BI315" s="493"/>
    </row>
    <row r="316" spans="3:61" ht="12.75">
      <c r="C316" s="493"/>
      <c r="D316" s="493"/>
      <c r="E316" s="493"/>
      <c r="F316" s="493"/>
      <c r="G316" s="493"/>
      <c r="H316" s="493"/>
      <c r="I316" s="493"/>
      <c r="J316" s="493"/>
      <c r="K316" s="493"/>
      <c r="L316" s="493"/>
      <c r="M316" s="493"/>
      <c r="N316" s="493"/>
      <c r="O316" s="493"/>
      <c r="P316" s="493"/>
      <c r="Q316" s="493"/>
      <c r="R316" s="493"/>
      <c r="S316" s="493"/>
      <c r="T316" s="493"/>
      <c r="U316" s="493"/>
      <c r="V316" s="493"/>
      <c r="W316" s="493"/>
      <c r="X316" s="493"/>
      <c r="Y316" s="493"/>
      <c r="Z316" s="493"/>
      <c r="AA316" s="493"/>
      <c r="AB316" s="493"/>
      <c r="AC316" s="493"/>
      <c r="AD316" s="493"/>
      <c r="AE316" s="493"/>
      <c r="AF316" s="493"/>
      <c r="AG316" s="493"/>
      <c r="AH316" s="493"/>
      <c r="AI316" s="493"/>
      <c r="AJ316" s="493"/>
      <c r="AK316" s="493"/>
      <c r="AL316" s="493"/>
      <c r="AM316" s="493"/>
      <c r="AN316" s="493"/>
      <c r="AO316" s="493"/>
      <c r="AP316" s="493"/>
      <c r="AQ316" s="493"/>
      <c r="AR316" s="493"/>
      <c r="AS316" s="493"/>
      <c r="AT316" s="493"/>
      <c r="AU316" s="493"/>
      <c r="AV316" s="493"/>
      <c r="AW316" s="493"/>
      <c r="AX316" s="493"/>
      <c r="AY316" s="493"/>
      <c r="AZ316" s="493"/>
      <c r="BA316" s="493"/>
      <c r="BB316" s="493"/>
      <c r="BC316" s="493"/>
      <c r="BD316" s="493"/>
      <c r="BE316" s="493"/>
      <c r="BF316" s="493"/>
      <c r="BG316" s="493"/>
      <c r="BH316" s="493"/>
      <c r="BI316" s="493"/>
    </row>
    <row r="317" spans="3:61" ht="12.75">
      <c r="C317" s="493"/>
      <c r="D317" s="493"/>
      <c r="E317" s="493"/>
      <c r="F317" s="493"/>
      <c r="G317" s="493"/>
      <c r="H317" s="493"/>
      <c r="I317" s="493"/>
      <c r="J317" s="493"/>
      <c r="K317" s="493"/>
      <c r="L317" s="493"/>
      <c r="M317" s="493"/>
      <c r="N317" s="493"/>
      <c r="O317" s="493"/>
      <c r="P317" s="493"/>
      <c r="Q317" s="493"/>
      <c r="R317" s="493"/>
      <c r="S317" s="493"/>
      <c r="T317" s="493"/>
      <c r="U317" s="493"/>
      <c r="V317" s="493"/>
      <c r="W317" s="493"/>
      <c r="X317" s="493"/>
      <c r="Y317" s="493"/>
      <c r="Z317" s="493"/>
      <c r="AA317" s="493"/>
      <c r="AB317" s="493"/>
      <c r="AC317" s="493"/>
      <c r="AD317" s="493"/>
      <c r="AE317" s="493"/>
      <c r="AF317" s="493"/>
      <c r="AG317" s="493"/>
      <c r="AH317" s="493"/>
      <c r="AI317" s="493"/>
      <c r="AJ317" s="493"/>
      <c r="AK317" s="493"/>
      <c r="AL317" s="493"/>
      <c r="AM317" s="493"/>
      <c r="AN317" s="493"/>
      <c r="AO317" s="493"/>
      <c r="AP317" s="493"/>
      <c r="AQ317" s="493"/>
      <c r="AR317" s="493"/>
      <c r="AS317" s="493"/>
      <c r="AT317" s="493"/>
      <c r="AU317" s="493"/>
      <c r="AV317" s="493"/>
      <c r="AW317" s="493"/>
      <c r="AX317" s="493"/>
      <c r="AY317" s="493"/>
      <c r="AZ317" s="493"/>
      <c r="BA317" s="493"/>
      <c r="BB317" s="493"/>
      <c r="BC317" s="493"/>
      <c r="BD317" s="493"/>
      <c r="BE317" s="493"/>
      <c r="BF317" s="493"/>
      <c r="BG317" s="493"/>
      <c r="BH317" s="493"/>
      <c r="BI317" s="493"/>
    </row>
    <row r="318" spans="3:61" ht="12.75">
      <c r="C318" s="493"/>
      <c r="D318" s="493"/>
      <c r="E318" s="493"/>
      <c r="F318" s="493"/>
      <c r="G318" s="493"/>
      <c r="H318" s="493"/>
      <c r="I318" s="493"/>
      <c r="J318" s="493"/>
      <c r="K318" s="493"/>
      <c r="L318" s="493"/>
      <c r="M318" s="493"/>
      <c r="N318" s="493"/>
      <c r="O318" s="493"/>
      <c r="P318" s="493"/>
      <c r="Q318" s="493"/>
      <c r="R318" s="493"/>
      <c r="S318" s="493"/>
      <c r="T318" s="493"/>
      <c r="U318" s="493"/>
      <c r="V318" s="493"/>
      <c r="W318" s="493"/>
      <c r="X318" s="493"/>
      <c r="Y318" s="493"/>
      <c r="Z318" s="493"/>
      <c r="AA318" s="493"/>
      <c r="AB318" s="493"/>
      <c r="AC318" s="493"/>
      <c r="AD318" s="493"/>
      <c r="AE318" s="493"/>
      <c r="AF318" s="493"/>
      <c r="AG318" s="493"/>
      <c r="AH318" s="493"/>
      <c r="AI318" s="493"/>
      <c r="AJ318" s="493"/>
      <c r="AK318" s="493"/>
      <c r="AL318" s="493"/>
      <c r="AM318" s="493"/>
      <c r="AN318" s="493"/>
      <c r="AO318" s="493"/>
      <c r="AP318" s="493"/>
      <c r="AQ318" s="493"/>
      <c r="AR318" s="493"/>
      <c r="AS318" s="493"/>
      <c r="AT318" s="493"/>
      <c r="AU318" s="493"/>
      <c r="AV318" s="493"/>
      <c r="AW318" s="493"/>
      <c r="AX318" s="493"/>
      <c r="AY318" s="493"/>
      <c r="AZ318" s="493"/>
      <c r="BA318" s="493"/>
      <c r="BB318" s="493"/>
      <c r="BC318" s="493"/>
      <c r="BD318" s="493"/>
      <c r="BE318" s="493"/>
      <c r="BF318" s="493"/>
      <c r="BG318" s="493"/>
      <c r="BH318" s="493"/>
      <c r="BI318" s="493"/>
    </row>
    <row r="319" spans="3:61" ht="12.75">
      <c r="C319" s="493"/>
      <c r="D319" s="493"/>
      <c r="E319" s="493"/>
      <c r="F319" s="493"/>
      <c r="G319" s="493"/>
      <c r="H319" s="493"/>
      <c r="I319" s="493"/>
      <c r="J319" s="493"/>
      <c r="K319" s="493"/>
      <c r="L319" s="493"/>
      <c r="M319" s="493"/>
      <c r="N319" s="493"/>
      <c r="O319" s="493"/>
      <c r="P319" s="493"/>
      <c r="Q319" s="493"/>
      <c r="R319" s="493"/>
      <c r="S319" s="493"/>
      <c r="T319" s="493"/>
      <c r="U319" s="493"/>
      <c r="V319" s="493"/>
      <c r="W319" s="493"/>
      <c r="X319" s="493"/>
      <c r="Y319" s="493"/>
      <c r="Z319" s="493"/>
      <c r="AA319" s="493"/>
      <c r="AB319" s="493"/>
      <c r="AC319" s="493"/>
      <c r="AD319" s="493"/>
      <c r="AE319" s="493"/>
      <c r="AF319" s="493"/>
      <c r="AG319" s="493"/>
      <c r="AH319" s="493"/>
      <c r="AI319" s="493"/>
      <c r="AJ319" s="493"/>
      <c r="AK319" s="493"/>
      <c r="AL319" s="493"/>
      <c r="AM319" s="493"/>
      <c r="AN319" s="493"/>
      <c r="AO319" s="493"/>
      <c r="AP319" s="493"/>
      <c r="AQ319" s="493"/>
      <c r="AR319" s="493"/>
      <c r="AS319" s="493"/>
      <c r="AT319" s="493"/>
      <c r="AU319" s="493"/>
      <c r="AV319" s="493"/>
      <c r="AW319" s="493"/>
      <c r="AX319" s="493"/>
      <c r="AY319" s="493"/>
      <c r="AZ319" s="493"/>
      <c r="BA319" s="493"/>
      <c r="BB319" s="493"/>
      <c r="BC319" s="493"/>
      <c r="BD319" s="493"/>
      <c r="BE319" s="493"/>
      <c r="BF319" s="493"/>
      <c r="BG319" s="493"/>
      <c r="BH319" s="493"/>
      <c r="BI319" s="493"/>
    </row>
    <row r="320" spans="3:61" ht="12.75">
      <c r="C320" s="493"/>
      <c r="D320" s="493"/>
      <c r="E320" s="493"/>
      <c r="F320" s="493"/>
      <c r="G320" s="493"/>
      <c r="H320" s="493"/>
      <c r="I320" s="493"/>
      <c r="J320" s="493"/>
      <c r="K320" s="493"/>
      <c r="L320" s="493"/>
      <c r="M320" s="493"/>
      <c r="N320" s="493"/>
      <c r="O320" s="493"/>
      <c r="P320" s="493"/>
      <c r="Q320" s="493"/>
      <c r="R320" s="493"/>
      <c r="S320" s="493"/>
      <c r="T320" s="493"/>
      <c r="U320" s="493"/>
      <c r="V320" s="493"/>
      <c r="W320" s="493"/>
      <c r="X320" s="493"/>
      <c r="Y320" s="493"/>
      <c r="Z320" s="493"/>
      <c r="AA320" s="493"/>
      <c r="AB320" s="493"/>
      <c r="AC320" s="493"/>
      <c r="AD320" s="493"/>
      <c r="AE320" s="493"/>
      <c r="AF320" s="493"/>
      <c r="AG320" s="493"/>
      <c r="AH320" s="493"/>
      <c r="AI320" s="493"/>
      <c r="AJ320" s="493"/>
      <c r="AK320" s="493"/>
      <c r="AL320" s="493"/>
      <c r="AM320" s="493"/>
      <c r="AN320" s="493"/>
      <c r="AO320" s="493"/>
      <c r="AP320" s="493"/>
      <c r="AQ320" s="493"/>
      <c r="AR320" s="493"/>
      <c r="AS320" s="493"/>
      <c r="AT320" s="493"/>
      <c r="AU320" s="493"/>
      <c r="AV320" s="493"/>
      <c r="AW320" s="493"/>
      <c r="AX320" s="493"/>
      <c r="AY320" s="493"/>
      <c r="AZ320" s="493"/>
      <c r="BA320" s="493"/>
      <c r="BB320" s="493"/>
      <c r="BC320" s="493"/>
      <c r="BD320" s="493"/>
      <c r="BE320" s="493"/>
      <c r="BF320" s="493"/>
      <c r="BG320" s="493"/>
      <c r="BH320" s="493"/>
      <c r="BI320" s="493"/>
    </row>
    <row r="321" spans="3:61" ht="12.75">
      <c r="C321" s="493"/>
      <c r="D321" s="493"/>
      <c r="E321" s="493"/>
      <c r="F321" s="493"/>
      <c r="G321" s="493"/>
      <c r="H321" s="493"/>
      <c r="I321" s="493"/>
      <c r="J321" s="493"/>
      <c r="K321" s="493"/>
      <c r="L321" s="493"/>
      <c r="M321" s="493"/>
      <c r="N321" s="493"/>
      <c r="O321" s="493"/>
      <c r="P321" s="493"/>
      <c r="Q321" s="493"/>
      <c r="R321" s="493"/>
      <c r="S321" s="493"/>
      <c r="T321" s="493"/>
      <c r="U321" s="493"/>
      <c r="V321" s="493"/>
      <c r="W321" s="493"/>
      <c r="X321" s="493"/>
      <c r="Y321" s="493"/>
      <c r="Z321" s="493"/>
      <c r="AA321" s="493"/>
      <c r="AB321" s="493"/>
      <c r="AC321" s="493"/>
      <c r="AD321" s="493"/>
      <c r="AE321" s="493"/>
      <c r="AF321" s="493"/>
      <c r="AG321" s="493"/>
      <c r="AH321" s="493"/>
      <c r="AI321" s="493"/>
      <c r="AJ321" s="493"/>
      <c r="AK321" s="493"/>
      <c r="AL321" s="493"/>
      <c r="AM321" s="493"/>
      <c r="AN321" s="493"/>
      <c r="AO321" s="493"/>
      <c r="AP321" s="493"/>
      <c r="AQ321" s="493"/>
      <c r="AR321" s="493"/>
      <c r="AS321" s="493"/>
      <c r="AT321" s="493"/>
      <c r="AU321" s="493"/>
      <c r="AV321" s="493"/>
      <c r="AW321" s="493"/>
      <c r="AX321" s="493"/>
      <c r="AY321" s="493"/>
      <c r="AZ321" s="493"/>
      <c r="BA321" s="493"/>
      <c r="BB321" s="493"/>
      <c r="BC321" s="493"/>
      <c r="BD321" s="493"/>
      <c r="BE321" s="493"/>
      <c r="BF321" s="493"/>
      <c r="BG321" s="493"/>
      <c r="BH321" s="493"/>
      <c r="BI321" s="493"/>
    </row>
    <row r="322" spans="3:61" ht="12.75">
      <c r="C322" s="493"/>
      <c r="D322" s="493"/>
      <c r="E322" s="493"/>
      <c r="F322" s="493"/>
      <c r="G322" s="493"/>
      <c r="H322" s="493"/>
      <c r="I322" s="493"/>
      <c r="J322" s="493"/>
      <c r="K322" s="493"/>
      <c r="L322" s="493"/>
      <c r="M322" s="493"/>
      <c r="N322" s="493"/>
      <c r="O322" s="493"/>
      <c r="P322" s="493"/>
      <c r="Q322" s="493"/>
      <c r="R322" s="493"/>
      <c r="S322" s="493"/>
      <c r="T322" s="493"/>
      <c r="U322" s="493"/>
      <c r="V322" s="493"/>
      <c r="W322" s="493"/>
      <c r="X322" s="493"/>
      <c r="Y322" s="493"/>
      <c r="Z322" s="493"/>
      <c r="AA322" s="493"/>
      <c r="AB322" s="493"/>
      <c r="AC322" s="493"/>
      <c r="AD322" s="493"/>
      <c r="AE322" s="493"/>
      <c r="AF322" s="493"/>
      <c r="AG322" s="493"/>
      <c r="AH322" s="493"/>
      <c r="AI322" s="493"/>
      <c r="AJ322" s="493"/>
      <c r="AK322" s="493"/>
      <c r="AL322" s="493"/>
      <c r="AM322" s="493"/>
      <c r="AN322" s="493"/>
      <c r="AO322" s="493"/>
      <c r="AP322" s="493"/>
      <c r="AQ322" s="493"/>
      <c r="AR322" s="493"/>
      <c r="AS322" s="493"/>
      <c r="AT322" s="493"/>
      <c r="AU322" s="493"/>
      <c r="AV322" s="493"/>
      <c r="AW322" s="493"/>
      <c r="AX322" s="493"/>
      <c r="AY322" s="493"/>
      <c r="AZ322" s="493"/>
      <c r="BA322" s="493"/>
      <c r="BB322" s="493"/>
      <c r="BC322" s="493"/>
      <c r="BD322" s="493"/>
      <c r="BE322" s="493"/>
      <c r="BF322" s="493"/>
      <c r="BG322" s="493"/>
      <c r="BH322" s="493"/>
      <c r="BI322" s="493"/>
    </row>
    <row r="323" spans="3:61" ht="12.75">
      <c r="C323" s="493"/>
      <c r="D323" s="493"/>
      <c r="E323" s="493"/>
      <c r="F323" s="493"/>
      <c r="G323" s="493"/>
      <c r="H323" s="493"/>
      <c r="I323" s="493"/>
      <c r="J323" s="493"/>
      <c r="K323" s="493"/>
      <c r="L323" s="493"/>
      <c r="M323" s="493"/>
      <c r="N323" s="493"/>
      <c r="O323" s="493"/>
      <c r="P323" s="493"/>
      <c r="Q323" s="493"/>
      <c r="R323" s="493"/>
      <c r="S323" s="493"/>
      <c r="T323" s="493"/>
      <c r="U323" s="493"/>
      <c r="V323" s="493"/>
      <c r="W323" s="493"/>
      <c r="X323" s="493"/>
      <c r="Y323" s="493"/>
      <c r="Z323" s="493"/>
      <c r="AA323" s="493"/>
      <c r="AB323" s="493"/>
      <c r="AC323" s="493"/>
      <c r="AD323" s="493"/>
      <c r="AE323" s="493"/>
      <c r="AF323" s="493"/>
      <c r="AG323" s="493"/>
      <c r="AH323" s="493"/>
      <c r="AI323" s="493"/>
      <c r="AJ323" s="493"/>
      <c r="AK323" s="493"/>
      <c r="AL323" s="493"/>
      <c r="AM323" s="493"/>
      <c r="AN323" s="493"/>
      <c r="AO323" s="493"/>
      <c r="AP323" s="493"/>
      <c r="AQ323" s="493"/>
      <c r="AR323" s="493"/>
      <c r="AS323" s="493"/>
      <c r="AT323" s="493"/>
      <c r="AU323" s="493"/>
      <c r="AV323" s="493"/>
      <c r="AW323" s="493"/>
      <c r="AX323" s="493"/>
      <c r="AY323" s="493"/>
      <c r="AZ323" s="493"/>
      <c r="BA323" s="493"/>
      <c r="BB323" s="493"/>
      <c r="BC323" s="493"/>
      <c r="BD323" s="493"/>
      <c r="BE323" s="493"/>
      <c r="BF323" s="493"/>
      <c r="BG323" s="493"/>
      <c r="BH323" s="493"/>
      <c r="BI323" s="493"/>
    </row>
    <row r="324" spans="3:61" ht="12.75">
      <c r="C324" s="493"/>
      <c r="D324" s="493"/>
      <c r="E324" s="493"/>
      <c r="F324" s="493"/>
      <c r="G324" s="493"/>
      <c r="H324" s="493"/>
      <c r="I324" s="493"/>
      <c r="J324" s="493"/>
      <c r="K324" s="493"/>
      <c r="L324" s="493"/>
      <c r="M324" s="493"/>
      <c r="N324" s="493"/>
      <c r="O324" s="493"/>
      <c r="P324" s="493"/>
      <c r="Q324" s="493"/>
      <c r="R324" s="493"/>
      <c r="S324" s="493"/>
      <c r="T324" s="493"/>
      <c r="U324" s="493"/>
      <c r="V324" s="493"/>
      <c r="W324" s="493"/>
      <c r="X324" s="493"/>
      <c r="Y324" s="493"/>
      <c r="Z324" s="493"/>
      <c r="AA324" s="493"/>
      <c r="AB324" s="493"/>
      <c r="AC324" s="493"/>
      <c r="AD324" s="493"/>
      <c r="AE324" s="493"/>
      <c r="AF324" s="493"/>
      <c r="AG324" s="493"/>
      <c r="AH324" s="493"/>
      <c r="AI324" s="493"/>
      <c r="AJ324" s="493"/>
      <c r="AK324" s="493"/>
      <c r="AL324" s="493"/>
      <c r="AM324" s="493"/>
      <c r="AN324" s="493"/>
      <c r="AO324" s="493"/>
      <c r="AP324" s="493"/>
      <c r="AQ324" s="493"/>
      <c r="AR324" s="493"/>
      <c r="AS324" s="493"/>
      <c r="AT324" s="493"/>
      <c r="AU324" s="493"/>
      <c r="AV324" s="493"/>
      <c r="AW324" s="493"/>
      <c r="AX324" s="493"/>
      <c r="AY324" s="493"/>
      <c r="AZ324" s="493"/>
      <c r="BA324" s="493"/>
      <c r="BB324" s="493"/>
      <c r="BC324" s="493"/>
      <c r="BD324" s="493"/>
      <c r="BE324" s="493"/>
      <c r="BF324" s="493"/>
      <c r="BG324" s="493"/>
      <c r="BH324" s="493"/>
      <c r="BI324" s="493"/>
    </row>
    <row r="325" spans="3:61" ht="12.75">
      <c r="C325" s="493"/>
      <c r="D325" s="493"/>
      <c r="E325" s="493"/>
      <c r="F325" s="493"/>
      <c r="G325" s="493"/>
      <c r="H325" s="493"/>
      <c r="I325" s="493"/>
      <c r="J325" s="493"/>
      <c r="K325" s="493"/>
      <c r="L325" s="493"/>
      <c r="M325" s="493"/>
      <c r="N325" s="493"/>
      <c r="O325" s="493"/>
      <c r="P325" s="493"/>
      <c r="Q325" s="493"/>
      <c r="R325" s="493"/>
      <c r="S325" s="493"/>
      <c r="T325" s="493"/>
      <c r="U325" s="493"/>
      <c r="V325" s="493"/>
      <c r="W325" s="493"/>
      <c r="X325" s="493"/>
      <c r="Y325" s="493"/>
      <c r="Z325" s="493"/>
      <c r="AA325" s="493"/>
      <c r="AB325" s="493"/>
      <c r="AC325" s="493"/>
      <c r="AD325" s="493"/>
      <c r="AE325" s="493"/>
      <c r="AF325" s="493"/>
      <c r="AG325" s="493"/>
      <c r="AH325" s="493"/>
      <c r="AI325" s="493"/>
      <c r="AJ325" s="493"/>
      <c r="AK325" s="493"/>
      <c r="AL325" s="493"/>
      <c r="AM325" s="493"/>
      <c r="AN325" s="493"/>
      <c r="AO325" s="493"/>
      <c r="AP325" s="493"/>
      <c r="AQ325" s="493"/>
      <c r="AR325" s="493"/>
      <c r="AS325" s="493"/>
      <c r="AT325" s="493"/>
      <c r="AU325" s="493"/>
      <c r="AV325" s="493"/>
      <c r="AW325" s="493"/>
      <c r="AX325" s="493"/>
      <c r="AY325" s="493"/>
      <c r="AZ325" s="493"/>
      <c r="BA325" s="493"/>
      <c r="BB325" s="493"/>
      <c r="BC325" s="493"/>
      <c r="BD325" s="493"/>
      <c r="BE325" s="493"/>
      <c r="BF325" s="493"/>
      <c r="BG325" s="493"/>
      <c r="BH325" s="493"/>
      <c r="BI325" s="493"/>
    </row>
    <row r="326" spans="3:61" ht="12.75">
      <c r="C326" s="493"/>
      <c r="D326" s="493"/>
      <c r="E326" s="493"/>
      <c r="F326" s="493"/>
      <c r="G326" s="493"/>
      <c r="H326" s="493"/>
      <c r="I326" s="493"/>
      <c r="J326" s="493"/>
      <c r="K326" s="493"/>
      <c r="L326" s="493"/>
      <c r="M326" s="493"/>
      <c r="N326" s="493"/>
      <c r="O326" s="493"/>
      <c r="P326" s="493"/>
      <c r="Q326" s="493"/>
      <c r="R326" s="493"/>
      <c r="S326" s="493"/>
      <c r="T326" s="493"/>
      <c r="U326" s="493"/>
      <c r="V326" s="493"/>
      <c r="W326" s="493"/>
      <c r="X326" s="493"/>
      <c r="Y326" s="493"/>
      <c r="Z326" s="493"/>
      <c r="AA326" s="493"/>
      <c r="AB326" s="493"/>
      <c r="AC326" s="493"/>
      <c r="AD326" s="493"/>
      <c r="AE326" s="493"/>
      <c r="AF326" s="493"/>
      <c r="AG326" s="493"/>
      <c r="AH326" s="493"/>
      <c r="AI326" s="493"/>
      <c r="AJ326" s="493"/>
      <c r="AK326" s="493"/>
      <c r="AL326" s="493"/>
      <c r="AM326" s="493"/>
      <c r="AN326" s="493"/>
      <c r="AO326" s="493"/>
      <c r="AP326" s="493"/>
      <c r="AQ326" s="493"/>
      <c r="AR326" s="493"/>
      <c r="AS326" s="493"/>
      <c r="AT326" s="493"/>
      <c r="AU326" s="493"/>
      <c r="AV326" s="493"/>
      <c r="AW326" s="493"/>
      <c r="AX326" s="493"/>
      <c r="AY326" s="493"/>
      <c r="AZ326" s="493"/>
      <c r="BA326" s="493"/>
      <c r="BB326" s="493"/>
      <c r="BC326" s="493"/>
      <c r="BD326" s="493"/>
      <c r="BE326" s="493"/>
      <c r="BF326" s="493"/>
      <c r="BG326" s="493"/>
      <c r="BH326" s="493"/>
      <c r="BI326" s="493"/>
    </row>
    <row r="327" spans="3:61" ht="12.75">
      <c r="C327" s="493"/>
      <c r="D327" s="493"/>
      <c r="E327" s="493"/>
      <c r="F327" s="493"/>
      <c r="G327" s="493"/>
      <c r="H327" s="493"/>
      <c r="I327" s="493"/>
      <c r="J327" s="493"/>
      <c r="K327" s="493"/>
      <c r="L327" s="493"/>
      <c r="M327" s="493"/>
      <c r="N327" s="493"/>
      <c r="O327" s="493"/>
      <c r="P327" s="493"/>
      <c r="Q327" s="493"/>
      <c r="R327" s="493"/>
      <c r="S327" s="493"/>
      <c r="T327" s="493"/>
      <c r="U327" s="493"/>
      <c r="V327" s="493"/>
      <c r="W327" s="493"/>
      <c r="X327" s="493"/>
      <c r="Y327" s="493"/>
      <c r="Z327" s="493"/>
      <c r="AA327" s="493"/>
      <c r="AB327" s="493"/>
      <c r="AC327" s="493"/>
      <c r="AD327" s="493"/>
      <c r="AE327" s="493"/>
      <c r="AF327" s="493"/>
      <c r="AG327" s="493"/>
      <c r="AH327" s="493"/>
      <c r="AI327" s="493"/>
      <c r="AJ327" s="493"/>
      <c r="AK327" s="493"/>
      <c r="AL327" s="493"/>
      <c r="AM327" s="493"/>
      <c r="AN327" s="493"/>
      <c r="AO327" s="493"/>
      <c r="AP327" s="493"/>
      <c r="AQ327" s="493"/>
      <c r="AR327" s="493"/>
      <c r="AS327" s="493"/>
      <c r="AT327" s="493"/>
      <c r="AU327" s="493"/>
      <c r="AV327" s="493"/>
      <c r="AW327" s="493"/>
      <c r="AX327" s="493"/>
      <c r="AY327" s="493"/>
      <c r="AZ327" s="493"/>
      <c r="BA327" s="493"/>
      <c r="BB327" s="493"/>
      <c r="BC327" s="493"/>
      <c r="BD327" s="493"/>
      <c r="BE327" s="493"/>
      <c r="BF327" s="493"/>
      <c r="BG327" s="493"/>
      <c r="BH327" s="493"/>
      <c r="BI327" s="493"/>
    </row>
    <row r="328" spans="3:61" ht="12.75">
      <c r="C328" s="493"/>
      <c r="D328" s="493"/>
      <c r="E328" s="493"/>
      <c r="F328" s="493"/>
      <c r="G328" s="493"/>
      <c r="H328" s="493"/>
      <c r="I328" s="493"/>
      <c r="J328" s="493"/>
      <c r="K328" s="493"/>
      <c r="L328" s="493"/>
      <c r="M328" s="493"/>
      <c r="N328" s="493"/>
      <c r="O328" s="493"/>
      <c r="P328" s="493"/>
      <c r="Q328" s="493"/>
      <c r="R328" s="493"/>
      <c r="S328" s="493"/>
      <c r="T328" s="493"/>
      <c r="U328" s="493"/>
      <c r="V328" s="493"/>
      <c r="W328" s="493"/>
      <c r="X328" s="493"/>
      <c r="Y328" s="493"/>
      <c r="Z328" s="493"/>
      <c r="AA328" s="493"/>
      <c r="AB328" s="493"/>
      <c r="AC328" s="493"/>
      <c r="AD328" s="493"/>
      <c r="AE328" s="493"/>
      <c r="AF328" s="493"/>
      <c r="AG328" s="493"/>
      <c r="AH328" s="493"/>
      <c r="AI328" s="493"/>
      <c r="AJ328" s="493"/>
      <c r="AK328" s="493"/>
      <c r="AL328" s="493"/>
      <c r="AM328" s="493"/>
      <c r="AN328" s="493"/>
      <c r="AO328" s="493"/>
      <c r="AP328" s="493"/>
      <c r="AQ328" s="493"/>
      <c r="AR328" s="493"/>
      <c r="AS328" s="493"/>
      <c r="AT328" s="493"/>
      <c r="AU328" s="493"/>
      <c r="AV328" s="493"/>
      <c r="AW328" s="493"/>
      <c r="AX328" s="493"/>
      <c r="AY328" s="493"/>
      <c r="AZ328" s="493"/>
      <c r="BA328" s="493"/>
      <c r="BB328" s="493"/>
      <c r="BC328" s="493"/>
      <c r="BD328" s="493"/>
      <c r="BE328" s="493"/>
      <c r="BF328" s="493"/>
      <c r="BG328" s="493"/>
      <c r="BH328" s="493"/>
      <c r="BI328" s="493"/>
    </row>
    <row r="329" spans="3:61" ht="12.75">
      <c r="C329" s="493"/>
      <c r="D329" s="493"/>
      <c r="E329" s="493"/>
      <c r="F329" s="493"/>
      <c r="G329" s="493"/>
      <c r="H329" s="493"/>
      <c r="I329" s="493"/>
      <c r="J329" s="493"/>
      <c r="K329" s="493"/>
      <c r="L329" s="493"/>
      <c r="M329" s="493"/>
      <c r="N329" s="493"/>
      <c r="O329" s="493"/>
      <c r="P329" s="493"/>
      <c r="Q329" s="493"/>
      <c r="R329" s="493"/>
      <c r="S329" s="493"/>
      <c r="T329" s="493"/>
      <c r="U329" s="493"/>
      <c r="V329" s="493"/>
      <c r="W329" s="493"/>
      <c r="X329" s="493"/>
      <c r="Y329" s="493"/>
      <c r="Z329" s="493"/>
      <c r="AA329" s="493"/>
      <c r="AB329" s="493"/>
      <c r="AC329" s="493"/>
      <c r="AD329" s="493"/>
      <c r="AE329" s="493"/>
      <c r="AF329" s="493"/>
      <c r="AG329" s="493"/>
      <c r="AH329" s="493"/>
      <c r="AI329" s="493"/>
      <c r="AJ329" s="493"/>
      <c r="AK329" s="493"/>
      <c r="AL329" s="493"/>
      <c r="AM329" s="493"/>
      <c r="AN329" s="493"/>
      <c r="AO329" s="493"/>
      <c r="AP329" s="493"/>
      <c r="AQ329" s="493"/>
      <c r="AR329" s="493"/>
      <c r="AS329" s="493"/>
      <c r="AT329" s="493"/>
      <c r="AU329" s="493"/>
      <c r="AV329" s="493"/>
      <c r="AW329" s="493"/>
      <c r="AX329" s="493"/>
      <c r="AY329" s="493"/>
      <c r="AZ329" s="493"/>
      <c r="BA329" s="493"/>
      <c r="BB329" s="493"/>
      <c r="BC329" s="493"/>
      <c r="BD329" s="493"/>
      <c r="BE329" s="493"/>
      <c r="BF329" s="493"/>
      <c r="BG329" s="493"/>
      <c r="BH329" s="493"/>
      <c r="BI329" s="493"/>
    </row>
    <row r="330" spans="3:61" ht="12.75">
      <c r="C330" s="493"/>
      <c r="D330" s="493"/>
      <c r="E330" s="493"/>
      <c r="F330" s="493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  <c r="Q330" s="493"/>
      <c r="R330" s="493"/>
      <c r="S330" s="493"/>
      <c r="T330" s="493"/>
      <c r="U330" s="493"/>
      <c r="V330" s="493"/>
      <c r="W330" s="493"/>
      <c r="X330" s="493"/>
      <c r="Y330" s="493"/>
      <c r="Z330" s="493"/>
      <c r="AA330" s="493"/>
      <c r="AB330" s="493"/>
      <c r="AC330" s="493"/>
      <c r="AD330" s="493"/>
      <c r="AE330" s="493"/>
      <c r="AF330" s="493"/>
      <c r="AG330" s="493"/>
      <c r="AH330" s="493"/>
      <c r="AI330" s="493"/>
      <c r="AJ330" s="493"/>
      <c r="AK330" s="493"/>
      <c r="AL330" s="493"/>
      <c r="AM330" s="493"/>
      <c r="AN330" s="493"/>
      <c r="AO330" s="493"/>
      <c r="AP330" s="493"/>
      <c r="AQ330" s="493"/>
      <c r="AR330" s="493"/>
      <c r="AS330" s="493"/>
      <c r="AT330" s="493"/>
      <c r="AU330" s="493"/>
      <c r="AV330" s="493"/>
      <c r="AW330" s="493"/>
      <c r="AX330" s="493"/>
      <c r="AY330" s="493"/>
      <c r="AZ330" s="493"/>
      <c r="BA330" s="493"/>
      <c r="BB330" s="493"/>
      <c r="BC330" s="493"/>
      <c r="BD330" s="493"/>
      <c r="BE330" s="493"/>
      <c r="BF330" s="493"/>
      <c r="BG330" s="493"/>
      <c r="BH330" s="493"/>
      <c r="BI330" s="493"/>
    </row>
    <row r="331" spans="3:61" ht="12.75">
      <c r="C331" s="493"/>
      <c r="D331" s="493"/>
      <c r="E331" s="493"/>
      <c r="F331" s="493"/>
      <c r="G331" s="493"/>
      <c r="H331" s="493"/>
      <c r="I331" s="493"/>
      <c r="J331" s="493"/>
      <c r="K331" s="493"/>
      <c r="L331" s="493"/>
      <c r="M331" s="493"/>
      <c r="N331" s="493"/>
      <c r="O331" s="493"/>
      <c r="P331" s="493"/>
      <c r="Q331" s="493"/>
      <c r="R331" s="493"/>
      <c r="S331" s="493"/>
      <c r="T331" s="493"/>
      <c r="U331" s="493"/>
      <c r="V331" s="493"/>
      <c r="W331" s="493"/>
      <c r="X331" s="493"/>
      <c r="Y331" s="493"/>
      <c r="Z331" s="493"/>
      <c r="AA331" s="493"/>
      <c r="AB331" s="493"/>
      <c r="AC331" s="493"/>
      <c r="AD331" s="493"/>
      <c r="AE331" s="493"/>
      <c r="AF331" s="493"/>
      <c r="AG331" s="493"/>
      <c r="AH331" s="493"/>
      <c r="AI331" s="493"/>
      <c r="AJ331" s="493"/>
      <c r="AK331" s="493"/>
      <c r="AL331" s="493"/>
      <c r="AM331" s="493"/>
      <c r="AN331" s="493"/>
      <c r="AO331" s="493"/>
      <c r="AP331" s="493"/>
      <c r="AQ331" s="493"/>
      <c r="AR331" s="493"/>
      <c r="AS331" s="493"/>
      <c r="AT331" s="493"/>
      <c r="AU331" s="493"/>
      <c r="AV331" s="493"/>
      <c r="AW331" s="493"/>
      <c r="AX331" s="493"/>
      <c r="AY331" s="493"/>
      <c r="AZ331" s="493"/>
      <c r="BA331" s="493"/>
      <c r="BB331" s="493"/>
      <c r="BC331" s="493"/>
      <c r="BD331" s="493"/>
      <c r="BE331" s="493"/>
      <c r="BF331" s="493"/>
      <c r="BG331" s="493"/>
      <c r="BH331" s="493"/>
      <c r="BI331" s="493"/>
    </row>
    <row r="332" spans="3:61" ht="12.75">
      <c r="C332" s="493"/>
      <c r="D332" s="493"/>
      <c r="E332" s="493"/>
      <c r="F332" s="493"/>
      <c r="G332" s="493"/>
      <c r="H332" s="493"/>
      <c r="I332" s="493"/>
      <c r="J332" s="493"/>
      <c r="K332" s="493"/>
      <c r="L332" s="493"/>
      <c r="M332" s="493"/>
      <c r="N332" s="493"/>
      <c r="O332" s="493"/>
      <c r="P332" s="493"/>
      <c r="Q332" s="493"/>
      <c r="R332" s="493"/>
      <c r="S332" s="493"/>
      <c r="T332" s="493"/>
      <c r="U332" s="493"/>
      <c r="V332" s="493"/>
      <c r="W332" s="493"/>
      <c r="X332" s="493"/>
      <c r="Y332" s="493"/>
      <c r="Z332" s="493"/>
      <c r="AA332" s="493"/>
      <c r="AB332" s="493"/>
      <c r="AC332" s="493"/>
      <c r="AD332" s="493"/>
      <c r="AE332" s="493"/>
      <c r="AF332" s="493"/>
      <c r="AG332" s="493"/>
      <c r="AH332" s="493"/>
      <c r="AI332" s="493"/>
      <c r="AJ332" s="493"/>
      <c r="AK332" s="493"/>
      <c r="AL332" s="493"/>
      <c r="AM332" s="493"/>
      <c r="AN332" s="493"/>
      <c r="AO332" s="493"/>
      <c r="AP332" s="493"/>
      <c r="AQ332" s="493"/>
      <c r="AR332" s="493"/>
      <c r="AS332" s="493"/>
      <c r="AT332" s="493"/>
      <c r="AU332" s="493"/>
      <c r="AV332" s="493"/>
      <c r="AW332" s="493"/>
      <c r="AX332" s="493"/>
      <c r="AY332" s="493"/>
      <c r="AZ332" s="493"/>
      <c r="BA332" s="493"/>
      <c r="BB332" s="493"/>
      <c r="BC332" s="493"/>
      <c r="BD332" s="493"/>
      <c r="BE332" s="493"/>
      <c r="BF332" s="493"/>
      <c r="BG332" s="493"/>
      <c r="BH332" s="493"/>
      <c r="BI332" s="493"/>
    </row>
    <row r="333" spans="3:61" ht="12.75">
      <c r="C333" s="493"/>
      <c r="D333" s="493"/>
      <c r="E333" s="493"/>
      <c r="F333" s="493"/>
      <c r="G333" s="493"/>
      <c r="H333" s="493"/>
      <c r="I333" s="493"/>
      <c r="J333" s="493"/>
      <c r="K333" s="493"/>
      <c r="L333" s="493"/>
      <c r="M333" s="493"/>
      <c r="N333" s="493"/>
      <c r="O333" s="493"/>
      <c r="P333" s="493"/>
      <c r="Q333" s="493"/>
      <c r="R333" s="493"/>
      <c r="S333" s="493"/>
      <c r="T333" s="493"/>
      <c r="U333" s="493"/>
      <c r="V333" s="493"/>
      <c r="W333" s="493"/>
      <c r="X333" s="493"/>
      <c r="Y333" s="493"/>
      <c r="Z333" s="493"/>
      <c r="AA333" s="493"/>
      <c r="AB333" s="493"/>
      <c r="AC333" s="493"/>
      <c r="AD333" s="493"/>
      <c r="AE333" s="493"/>
      <c r="AF333" s="493"/>
      <c r="AG333" s="493"/>
      <c r="AH333" s="493"/>
      <c r="AI333" s="493"/>
      <c r="AJ333" s="493"/>
      <c r="AK333" s="493"/>
      <c r="AL333" s="493"/>
      <c r="AM333" s="493"/>
      <c r="AN333" s="493"/>
      <c r="AO333" s="493"/>
      <c r="AP333" s="493"/>
      <c r="AQ333" s="493"/>
      <c r="AR333" s="493"/>
      <c r="AS333" s="493"/>
      <c r="AT333" s="493"/>
      <c r="AU333" s="493"/>
      <c r="AV333" s="493"/>
      <c r="AW333" s="493"/>
      <c r="AX333" s="493"/>
      <c r="AY333" s="493"/>
      <c r="AZ333" s="493"/>
      <c r="BA333" s="493"/>
      <c r="BB333" s="493"/>
      <c r="BC333" s="493"/>
      <c r="BD333" s="493"/>
      <c r="BE333" s="493"/>
      <c r="BF333" s="493"/>
      <c r="BG333" s="493"/>
      <c r="BH333" s="493"/>
      <c r="BI333" s="493"/>
    </row>
    <row r="334" spans="3:61" ht="12.75">
      <c r="C334" s="493"/>
      <c r="D334" s="493"/>
      <c r="E334" s="493"/>
      <c r="F334" s="493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493"/>
      <c r="X334" s="493"/>
      <c r="Y334" s="493"/>
      <c r="Z334" s="493"/>
      <c r="AA334" s="493"/>
      <c r="AB334" s="493"/>
      <c r="AC334" s="493"/>
      <c r="AD334" s="493"/>
      <c r="AE334" s="493"/>
      <c r="AF334" s="493"/>
      <c r="AG334" s="493"/>
      <c r="AH334" s="493"/>
      <c r="AI334" s="493"/>
      <c r="AJ334" s="493"/>
      <c r="AK334" s="493"/>
      <c r="AL334" s="493"/>
      <c r="AM334" s="493"/>
      <c r="AN334" s="493"/>
      <c r="AO334" s="493"/>
      <c r="AP334" s="493"/>
      <c r="AQ334" s="493"/>
      <c r="AR334" s="493"/>
      <c r="AS334" s="493"/>
      <c r="AT334" s="493"/>
      <c r="AU334" s="493"/>
      <c r="AV334" s="493"/>
      <c r="AW334" s="493"/>
      <c r="AX334" s="493"/>
      <c r="AY334" s="493"/>
      <c r="AZ334" s="493"/>
      <c r="BA334" s="493"/>
      <c r="BB334" s="493"/>
      <c r="BC334" s="493"/>
      <c r="BD334" s="493"/>
      <c r="BE334" s="493"/>
      <c r="BF334" s="493"/>
      <c r="BG334" s="493"/>
      <c r="BH334" s="493"/>
      <c r="BI334" s="493"/>
    </row>
    <row r="335" spans="3:61" ht="12.75">
      <c r="C335" s="493"/>
      <c r="D335" s="493"/>
      <c r="E335" s="493"/>
      <c r="F335" s="493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493"/>
      <c r="X335" s="493"/>
      <c r="Y335" s="493"/>
      <c r="Z335" s="493"/>
      <c r="AA335" s="493"/>
      <c r="AB335" s="493"/>
      <c r="AC335" s="493"/>
      <c r="AD335" s="493"/>
      <c r="AE335" s="493"/>
      <c r="AF335" s="493"/>
      <c r="AG335" s="493"/>
      <c r="AH335" s="493"/>
      <c r="AI335" s="493"/>
      <c r="AJ335" s="493"/>
      <c r="AK335" s="493"/>
      <c r="AL335" s="493"/>
      <c r="AM335" s="493"/>
      <c r="AN335" s="493"/>
      <c r="AO335" s="493"/>
      <c r="AP335" s="493"/>
      <c r="AQ335" s="493"/>
      <c r="AR335" s="493"/>
      <c r="AS335" s="493"/>
      <c r="AT335" s="493"/>
      <c r="AU335" s="493"/>
      <c r="AV335" s="493"/>
      <c r="AW335" s="493"/>
      <c r="AX335" s="493"/>
      <c r="AY335" s="493"/>
      <c r="AZ335" s="493"/>
      <c r="BA335" s="493"/>
      <c r="BB335" s="493"/>
      <c r="BC335" s="493"/>
      <c r="BD335" s="493"/>
      <c r="BE335" s="493"/>
      <c r="BF335" s="493"/>
      <c r="BG335" s="493"/>
      <c r="BH335" s="493"/>
      <c r="BI335" s="493"/>
    </row>
    <row r="336" spans="3:61" ht="12.75">
      <c r="C336" s="493"/>
      <c r="D336" s="493"/>
      <c r="E336" s="493"/>
      <c r="F336" s="493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493"/>
      <c r="X336" s="493"/>
      <c r="Y336" s="493"/>
      <c r="Z336" s="493"/>
      <c r="AA336" s="493"/>
      <c r="AB336" s="493"/>
      <c r="AC336" s="493"/>
      <c r="AD336" s="493"/>
      <c r="AE336" s="493"/>
      <c r="AF336" s="493"/>
      <c r="AG336" s="493"/>
      <c r="AH336" s="493"/>
      <c r="AI336" s="493"/>
      <c r="AJ336" s="493"/>
      <c r="AK336" s="493"/>
      <c r="AL336" s="493"/>
      <c r="AM336" s="493"/>
      <c r="AN336" s="493"/>
      <c r="AO336" s="493"/>
      <c r="AP336" s="493"/>
      <c r="AQ336" s="493"/>
      <c r="AR336" s="493"/>
      <c r="AS336" s="493"/>
      <c r="AT336" s="493"/>
      <c r="AU336" s="493"/>
      <c r="AV336" s="493"/>
      <c r="AW336" s="493"/>
      <c r="AX336" s="493"/>
      <c r="AY336" s="493"/>
      <c r="AZ336" s="493"/>
      <c r="BA336" s="493"/>
      <c r="BB336" s="493"/>
      <c r="BC336" s="493"/>
      <c r="BD336" s="493"/>
      <c r="BE336" s="493"/>
      <c r="BF336" s="493"/>
      <c r="BG336" s="493"/>
      <c r="BH336" s="493"/>
      <c r="BI336" s="493"/>
    </row>
    <row r="337" spans="3:61" ht="12.75">
      <c r="C337" s="493"/>
      <c r="D337" s="493"/>
      <c r="E337" s="493"/>
      <c r="F337" s="493"/>
      <c r="G337" s="493"/>
      <c r="H337" s="493"/>
      <c r="I337" s="493"/>
      <c r="J337" s="493"/>
      <c r="K337" s="493"/>
      <c r="L337" s="493"/>
      <c r="M337" s="493"/>
      <c r="N337" s="493"/>
      <c r="O337" s="493"/>
      <c r="P337" s="493"/>
      <c r="Q337" s="493"/>
      <c r="R337" s="493"/>
      <c r="S337" s="493"/>
      <c r="T337" s="493"/>
      <c r="U337" s="493"/>
      <c r="V337" s="493"/>
      <c r="W337" s="493"/>
      <c r="X337" s="493"/>
      <c r="Y337" s="493"/>
      <c r="Z337" s="493"/>
      <c r="AA337" s="493"/>
      <c r="AB337" s="493"/>
      <c r="AC337" s="493"/>
      <c r="AD337" s="493"/>
      <c r="AE337" s="493"/>
      <c r="AF337" s="493"/>
      <c r="AG337" s="493"/>
      <c r="AH337" s="493"/>
      <c r="AI337" s="493"/>
      <c r="AJ337" s="493"/>
      <c r="AK337" s="493"/>
      <c r="AL337" s="493"/>
      <c r="AM337" s="493"/>
      <c r="AN337" s="493"/>
      <c r="AO337" s="493"/>
      <c r="AP337" s="493"/>
      <c r="AQ337" s="493"/>
      <c r="AR337" s="493"/>
      <c r="AS337" s="493"/>
      <c r="AT337" s="493"/>
      <c r="AU337" s="493"/>
      <c r="AV337" s="493"/>
      <c r="AW337" s="493"/>
      <c r="AX337" s="493"/>
      <c r="AY337" s="493"/>
      <c r="AZ337" s="493"/>
      <c r="BA337" s="493"/>
      <c r="BB337" s="493"/>
      <c r="BC337" s="493"/>
      <c r="BD337" s="493"/>
      <c r="BE337" s="493"/>
      <c r="BF337" s="493"/>
      <c r="BG337" s="493"/>
      <c r="BH337" s="493"/>
      <c r="BI337" s="493"/>
    </row>
    <row r="338" spans="3:61" ht="12.75">
      <c r="C338" s="493"/>
      <c r="D338" s="493"/>
      <c r="E338" s="493"/>
      <c r="F338" s="493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493"/>
      <c r="AB338" s="493"/>
      <c r="AC338" s="493"/>
      <c r="AD338" s="493"/>
      <c r="AE338" s="493"/>
      <c r="AF338" s="493"/>
      <c r="AG338" s="493"/>
      <c r="AH338" s="493"/>
      <c r="AI338" s="493"/>
      <c r="AJ338" s="493"/>
      <c r="AK338" s="493"/>
      <c r="AL338" s="493"/>
      <c r="AM338" s="493"/>
      <c r="AN338" s="493"/>
      <c r="AO338" s="493"/>
      <c r="AP338" s="493"/>
      <c r="AQ338" s="493"/>
      <c r="AR338" s="493"/>
      <c r="AS338" s="493"/>
      <c r="AT338" s="493"/>
      <c r="AU338" s="493"/>
      <c r="AV338" s="493"/>
      <c r="AW338" s="493"/>
      <c r="AX338" s="493"/>
      <c r="AY338" s="493"/>
      <c r="AZ338" s="493"/>
      <c r="BA338" s="493"/>
      <c r="BB338" s="493"/>
      <c r="BC338" s="493"/>
      <c r="BD338" s="493"/>
      <c r="BE338" s="493"/>
      <c r="BF338" s="493"/>
      <c r="BG338" s="493"/>
      <c r="BH338" s="493"/>
      <c r="BI338" s="493"/>
    </row>
    <row r="339" spans="3:61" ht="12.75">
      <c r="C339" s="493"/>
      <c r="D339" s="493"/>
      <c r="E339" s="493"/>
      <c r="F339" s="493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3"/>
      <c r="AS339" s="493"/>
      <c r="AT339" s="493"/>
      <c r="AU339" s="493"/>
      <c r="AV339" s="493"/>
      <c r="AW339" s="493"/>
      <c r="AX339" s="493"/>
      <c r="AY339" s="493"/>
      <c r="AZ339" s="493"/>
      <c r="BA339" s="493"/>
      <c r="BB339" s="493"/>
      <c r="BC339" s="493"/>
      <c r="BD339" s="493"/>
      <c r="BE339" s="493"/>
      <c r="BF339" s="493"/>
      <c r="BG339" s="493"/>
      <c r="BH339" s="493"/>
      <c r="BI339" s="493"/>
    </row>
    <row r="340" spans="3:61" ht="12.75">
      <c r="C340" s="493"/>
      <c r="D340" s="493"/>
      <c r="E340" s="493"/>
      <c r="F340" s="493"/>
      <c r="G340" s="493"/>
      <c r="H340" s="493"/>
      <c r="I340" s="493"/>
      <c r="J340" s="493"/>
      <c r="K340" s="493"/>
      <c r="L340" s="493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493"/>
      <c r="X340" s="493"/>
      <c r="Y340" s="493"/>
      <c r="Z340" s="493"/>
      <c r="AA340" s="493"/>
      <c r="AB340" s="493"/>
      <c r="AC340" s="493"/>
      <c r="AD340" s="493"/>
      <c r="AE340" s="493"/>
      <c r="AF340" s="493"/>
      <c r="AG340" s="493"/>
      <c r="AH340" s="493"/>
      <c r="AI340" s="493"/>
      <c r="AJ340" s="493"/>
      <c r="AK340" s="493"/>
      <c r="AL340" s="493"/>
      <c r="AM340" s="493"/>
      <c r="AN340" s="493"/>
      <c r="AO340" s="493"/>
      <c r="AP340" s="493"/>
      <c r="AQ340" s="493"/>
      <c r="AR340" s="493"/>
      <c r="AS340" s="493"/>
      <c r="AT340" s="493"/>
      <c r="AU340" s="493"/>
      <c r="AV340" s="493"/>
      <c r="AW340" s="493"/>
      <c r="AX340" s="493"/>
      <c r="AY340" s="493"/>
      <c r="AZ340" s="493"/>
      <c r="BA340" s="493"/>
      <c r="BB340" s="493"/>
      <c r="BC340" s="493"/>
      <c r="BD340" s="493"/>
      <c r="BE340" s="493"/>
      <c r="BF340" s="493"/>
      <c r="BG340" s="493"/>
      <c r="BH340" s="493"/>
      <c r="BI340" s="493"/>
    </row>
    <row r="341" spans="3:61" ht="12.75">
      <c r="C341" s="493"/>
      <c r="D341" s="493"/>
      <c r="E341" s="493"/>
      <c r="F341" s="493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3"/>
      <c r="AS341" s="493"/>
      <c r="AT341" s="493"/>
      <c r="AU341" s="493"/>
      <c r="AV341" s="493"/>
      <c r="AW341" s="493"/>
      <c r="AX341" s="493"/>
      <c r="AY341" s="493"/>
      <c r="AZ341" s="493"/>
      <c r="BA341" s="493"/>
      <c r="BB341" s="493"/>
      <c r="BC341" s="493"/>
      <c r="BD341" s="493"/>
      <c r="BE341" s="493"/>
      <c r="BF341" s="493"/>
      <c r="BG341" s="493"/>
      <c r="BH341" s="493"/>
      <c r="BI341" s="493"/>
    </row>
    <row r="342" spans="3:61" ht="12.75">
      <c r="C342" s="493"/>
      <c r="D342" s="493"/>
      <c r="E342" s="493"/>
      <c r="F342" s="493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3"/>
      <c r="AS342" s="493"/>
      <c r="AT342" s="493"/>
      <c r="AU342" s="493"/>
      <c r="AV342" s="493"/>
      <c r="AW342" s="493"/>
      <c r="AX342" s="493"/>
      <c r="AY342" s="493"/>
      <c r="AZ342" s="493"/>
      <c r="BA342" s="493"/>
      <c r="BB342" s="493"/>
      <c r="BC342" s="493"/>
      <c r="BD342" s="493"/>
      <c r="BE342" s="493"/>
      <c r="BF342" s="493"/>
      <c r="BG342" s="493"/>
      <c r="BH342" s="493"/>
      <c r="BI342" s="493"/>
    </row>
    <row r="343" spans="3:61" ht="12.75">
      <c r="C343" s="493"/>
      <c r="D343" s="493"/>
      <c r="E343" s="493"/>
      <c r="F343" s="493"/>
      <c r="G343" s="493"/>
      <c r="H343" s="493"/>
      <c r="I343" s="493"/>
      <c r="J343" s="493"/>
      <c r="K343" s="493"/>
      <c r="L343" s="493"/>
      <c r="M343" s="493"/>
      <c r="N343" s="493"/>
      <c r="O343" s="493"/>
      <c r="P343" s="493"/>
      <c r="Q343" s="493"/>
      <c r="R343" s="493"/>
      <c r="S343" s="493"/>
      <c r="T343" s="493"/>
      <c r="U343" s="493"/>
      <c r="V343" s="493"/>
      <c r="W343" s="493"/>
      <c r="X343" s="493"/>
      <c r="Y343" s="493"/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3"/>
      <c r="AS343" s="493"/>
      <c r="AT343" s="493"/>
      <c r="AU343" s="493"/>
      <c r="AV343" s="493"/>
      <c r="AW343" s="493"/>
      <c r="AX343" s="493"/>
      <c r="AY343" s="493"/>
      <c r="AZ343" s="493"/>
      <c r="BA343" s="493"/>
      <c r="BB343" s="493"/>
      <c r="BC343" s="493"/>
      <c r="BD343" s="493"/>
      <c r="BE343" s="493"/>
      <c r="BF343" s="493"/>
      <c r="BG343" s="493"/>
      <c r="BH343" s="493"/>
      <c r="BI343" s="493"/>
    </row>
    <row r="344" spans="3:61" ht="12.75">
      <c r="C344" s="493"/>
      <c r="D344" s="493"/>
      <c r="E344" s="493"/>
      <c r="F344" s="493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3"/>
      <c r="AS344" s="493"/>
      <c r="AT344" s="493"/>
      <c r="AU344" s="493"/>
      <c r="AV344" s="493"/>
      <c r="AW344" s="493"/>
      <c r="AX344" s="493"/>
      <c r="AY344" s="493"/>
      <c r="AZ344" s="493"/>
      <c r="BA344" s="493"/>
      <c r="BB344" s="493"/>
      <c r="BC344" s="493"/>
      <c r="BD344" s="493"/>
      <c r="BE344" s="493"/>
      <c r="BF344" s="493"/>
      <c r="BG344" s="493"/>
      <c r="BH344" s="493"/>
      <c r="BI344" s="493"/>
    </row>
    <row r="345" spans="3:61" ht="12.75">
      <c r="C345" s="493"/>
      <c r="D345" s="493"/>
      <c r="E345" s="493"/>
      <c r="F345" s="493"/>
      <c r="G345" s="493"/>
      <c r="H345" s="493"/>
      <c r="I345" s="493"/>
      <c r="J345" s="493"/>
      <c r="K345" s="493"/>
      <c r="L345" s="493"/>
      <c r="M345" s="493"/>
      <c r="N345" s="493"/>
      <c r="O345" s="493"/>
      <c r="P345" s="493"/>
      <c r="Q345" s="493"/>
      <c r="R345" s="493"/>
      <c r="S345" s="493"/>
      <c r="T345" s="493"/>
      <c r="U345" s="493"/>
      <c r="V345" s="493"/>
      <c r="W345" s="493"/>
      <c r="X345" s="493"/>
      <c r="Y345" s="493"/>
      <c r="Z345" s="493"/>
      <c r="AA345" s="493"/>
      <c r="AB345" s="493"/>
      <c r="AC345" s="493"/>
      <c r="AD345" s="493"/>
      <c r="AE345" s="493"/>
      <c r="AF345" s="493"/>
      <c r="AG345" s="493"/>
      <c r="AH345" s="493"/>
      <c r="AI345" s="493"/>
      <c r="AJ345" s="493"/>
      <c r="AK345" s="493"/>
      <c r="AL345" s="493"/>
      <c r="AM345" s="493"/>
      <c r="AN345" s="493"/>
      <c r="AO345" s="493"/>
      <c r="AP345" s="493"/>
      <c r="AQ345" s="493"/>
      <c r="AR345" s="493"/>
      <c r="AS345" s="493"/>
      <c r="AT345" s="493"/>
      <c r="AU345" s="493"/>
      <c r="AV345" s="493"/>
      <c r="AW345" s="493"/>
      <c r="AX345" s="493"/>
      <c r="AY345" s="493"/>
      <c r="AZ345" s="493"/>
      <c r="BA345" s="493"/>
      <c r="BB345" s="493"/>
      <c r="BC345" s="493"/>
      <c r="BD345" s="493"/>
      <c r="BE345" s="493"/>
      <c r="BF345" s="493"/>
      <c r="BG345" s="493"/>
      <c r="BH345" s="493"/>
      <c r="BI345" s="493"/>
    </row>
    <row r="346" spans="3:61" ht="12.75">
      <c r="C346" s="493"/>
      <c r="D346" s="493"/>
      <c r="E346" s="493"/>
      <c r="F346" s="493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  <c r="R346" s="493"/>
      <c r="S346" s="493"/>
      <c r="T346" s="493"/>
      <c r="U346" s="493"/>
      <c r="V346" s="493"/>
      <c r="W346" s="493"/>
      <c r="X346" s="493"/>
      <c r="Y346" s="493"/>
      <c r="Z346" s="493"/>
      <c r="AA346" s="493"/>
      <c r="AB346" s="493"/>
      <c r="AC346" s="493"/>
      <c r="AD346" s="493"/>
      <c r="AE346" s="493"/>
      <c r="AF346" s="493"/>
      <c r="AG346" s="493"/>
      <c r="AH346" s="493"/>
      <c r="AI346" s="493"/>
      <c r="AJ346" s="493"/>
      <c r="AK346" s="493"/>
      <c r="AL346" s="493"/>
      <c r="AM346" s="493"/>
      <c r="AN346" s="493"/>
      <c r="AO346" s="493"/>
      <c r="AP346" s="493"/>
      <c r="AQ346" s="493"/>
      <c r="AR346" s="493"/>
      <c r="AS346" s="493"/>
      <c r="AT346" s="493"/>
      <c r="AU346" s="493"/>
      <c r="AV346" s="493"/>
      <c r="AW346" s="493"/>
      <c r="AX346" s="493"/>
      <c r="AY346" s="493"/>
      <c r="AZ346" s="493"/>
      <c r="BA346" s="493"/>
      <c r="BB346" s="493"/>
      <c r="BC346" s="493"/>
      <c r="BD346" s="493"/>
      <c r="BE346" s="493"/>
      <c r="BF346" s="493"/>
      <c r="BG346" s="493"/>
      <c r="BH346" s="493"/>
      <c r="BI346" s="493"/>
    </row>
    <row r="347" spans="3:61" ht="12.75">
      <c r="C347" s="493"/>
      <c r="D347" s="493"/>
      <c r="E347" s="493"/>
      <c r="F347" s="493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93"/>
      <c r="V347" s="493"/>
      <c r="W347" s="493"/>
      <c r="X347" s="493"/>
      <c r="Y347" s="493"/>
      <c r="Z347" s="493"/>
      <c r="AA347" s="493"/>
      <c r="AB347" s="493"/>
      <c r="AC347" s="493"/>
      <c r="AD347" s="493"/>
      <c r="AE347" s="493"/>
      <c r="AF347" s="493"/>
      <c r="AG347" s="493"/>
      <c r="AH347" s="493"/>
      <c r="AI347" s="493"/>
      <c r="AJ347" s="493"/>
      <c r="AK347" s="493"/>
      <c r="AL347" s="493"/>
      <c r="AM347" s="493"/>
      <c r="AN347" s="493"/>
      <c r="AO347" s="493"/>
      <c r="AP347" s="493"/>
      <c r="AQ347" s="493"/>
      <c r="AR347" s="493"/>
      <c r="AS347" s="493"/>
      <c r="AT347" s="493"/>
      <c r="AU347" s="493"/>
      <c r="AV347" s="493"/>
      <c r="AW347" s="493"/>
      <c r="AX347" s="493"/>
      <c r="AY347" s="493"/>
      <c r="AZ347" s="493"/>
      <c r="BA347" s="493"/>
      <c r="BB347" s="493"/>
      <c r="BC347" s="493"/>
      <c r="BD347" s="493"/>
      <c r="BE347" s="493"/>
      <c r="BF347" s="493"/>
      <c r="BG347" s="493"/>
      <c r="BH347" s="493"/>
      <c r="BI347" s="493"/>
    </row>
    <row r="348" spans="3:61" ht="12.75">
      <c r="C348" s="493"/>
      <c r="D348" s="493"/>
      <c r="E348" s="493"/>
      <c r="F348" s="493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3"/>
      <c r="R348" s="493"/>
      <c r="S348" s="493"/>
      <c r="T348" s="493"/>
      <c r="U348" s="493"/>
      <c r="V348" s="493"/>
      <c r="W348" s="493"/>
      <c r="X348" s="493"/>
      <c r="Y348" s="493"/>
      <c r="Z348" s="493"/>
      <c r="AA348" s="493"/>
      <c r="AB348" s="493"/>
      <c r="AC348" s="493"/>
      <c r="AD348" s="493"/>
      <c r="AE348" s="493"/>
      <c r="AF348" s="493"/>
      <c r="AG348" s="493"/>
      <c r="AH348" s="493"/>
      <c r="AI348" s="493"/>
      <c r="AJ348" s="493"/>
      <c r="AK348" s="493"/>
      <c r="AL348" s="493"/>
      <c r="AM348" s="493"/>
      <c r="AN348" s="493"/>
      <c r="AO348" s="493"/>
      <c r="AP348" s="493"/>
      <c r="AQ348" s="493"/>
      <c r="AR348" s="493"/>
      <c r="AS348" s="493"/>
      <c r="AT348" s="493"/>
      <c r="AU348" s="493"/>
      <c r="AV348" s="493"/>
      <c r="AW348" s="493"/>
      <c r="AX348" s="493"/>
      <c r="AY348" s="493"/>
      <c r="AZ348" s="493"/>
      <c r="BA348" s="493"/>
      <c r="BB348" s="493"/>
      <c r="BC348" s="493"/>
      <c r="BD348" s="493"/>
      <c r="BE348" s="493"/>
      <c r="BF348" s="493"/>
      <c r="BG348" s="493"/>
      <c r="BH348" s="493"/>
      <c r="BI348" s="493"/>
    </row>
    <row r="349" spans="3:61" ht="12.75">
      <c r="C349" s="493"/>
      <c r="D349" s="493"/>
      <c r="E349" s="493"/>
      <c r="F349" s="493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93"/>
      <c r="V349" s="493"/>
      <c r="W349" s="493"/>
      <c r="X349" s="493"/>
      <c r="Y349" s="493"/>
      <c r="Z349" s="493"/>
      <c r="AA349" s="493"/>
      <c r="AB349" s="493"/>
      <c r="AC349" s="493"/>
      <c r="AD349" s="493"/>
      <c r="AE349" s="493"/>
      <c r="AF349" s="493"/>
      <c r="AG349" s="493"/>
      <c r="AH349" s="493"/>
      <c r="AI349" s="493"/>
      <c r="AJ349" s="493"/>
      <c r="AK349" s="493"/>
      <c r="AL349" s="493"/>
      <c r="AM349" s="493"/>
      <c r="AN349" s="493"/>
      <c r="AO349" s="493"/>
      <c r="AP349" s="493"/>
      <c r="AQ349" s="493"/>
      <c r="AR349" s="493"/>
      <c r="AS349" s="493"/>
      <c r="AT349" s="493"/>
      <c r="AU349" s="493"/>
      <c r="AV349" s="493"/>
      <c r="AW349" s="493"/>
      <c r="AX349" s="493"/>
      <c r="AY349" s="493"/>
      <c r="AZ349" s="493"/>
      <c r="BA349" s="493"/>
      <c r="BB349" s="493"/>
      <c r="BC349" s="493"/>
      <c r="BD349" s="493"/>
      <c r="BE349" s="493"/>
      <c r="BF349" s="493"/>
      <c r="BG349" s="493"/>
      <c r="BH349" s="493"/>
      <c r="BI349" s="493"/>
    </row>
    <row r="350" spans="3:61" ht="12.75">
      <c r="C350" s="493"/>
      <c r="D350" s="493"/>
      <c r="E350" s="493"/>
      <c r="F350" s="493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93"/>
      <c r="V350" s="493"/>
      <c r="W350" s="493"/>
      <c r="X350" s="493"/>
      <c r="Y350" s="493"/>
      <c r="Z350" s="493"/>
      <c r="AA350" s="493"/>
      <c r="AB350" s="493"/>
      <c r="AC350" s="493"/>
      <c r="AD350" s="493"/>
      <c r="AE350" s="493"/>
      <c r="AF350" s="493"/>
      <c r="AG350" s="493"/>
      <c r="AH350" s="493"/>
      <c r="AI350" s="493"/>
      <c r="AJ350" s="493"/>
      <c r="AK350" s="493"/>
      <c r="AL350" s="493"/>
      <c r="AM350" s="493"/>
      <c r="AN350" s="493"/>
      <c r="AO350" s="493"/>
      <c r="AP350" s="493"/>
      <c r="AQ350" s="493"/>
      <c r="AR350" s="493"/>
      <c r="AS350" s="493"/>
      <c r="AT350" s="493"/>
      <c r="AU350" s="493"/>
      <c r="AV350" s="493"/>
      <c r="AW350" s="493"/>
      <c r="AX350" s="493"/>
      <c r="AY350" s="493"/>
      <c r="AZ350" s="493"/>
      <c r="BA350" s="493"/>
      <c r="BB350" s="493"/>
      <c r="BC350" s="493"/>
      <c r="BD350" s="493"/>
      <c r="BE350" s="493"/>
      <c r="BF350" s="493"/>
      <c r="BG350" s="493"/>
      <c r="BH350" s="493"/>
      <c r="BI350" s="493"/>
    </row>
    <row r="351" spans="3:61" ht="12.75">
      <c r="C351" s="493"/>
      <c r="D351" s="493"/>
      <c r="E351" s="493"/>
      <c r="F351" s="493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93"/>
      <c r="V351" s="493"/>
      <c r="W351" s="493"/>
      <c r="X351" s="493"/>
      <c r="Y351" s="493"/>
      <c r="Z351" s="493"/>
      <c r="AA351" s="493"/>
      <c r="AB351" s="493"/>
      <c r="AC351" s="493"/>
      <c r="AD351" s="493"/>
      <c r="AE351" s="493"/>
      <c r="AF351" s="493"/>
      <c r="AG351" s="493"/>
      <c r="AH351" s="493"/>
      <c r="AI351" s="493"/>
      <c r="AJ351" s="493"/>
      <c r="AK351" s="493"/>
      <c r="AL351" s="493"/>
      <c r="AM351" s="493"/>
      <c r="AN351" s="493"/>
      <c r="AO351" s="493"/>
      <c r="AP351" s="493"/>
      <c r="AQ351" s="493"/>
      <c r="AR351" s="493"/>
      <c r="AS351" s="493"/>
      <c r="AT351" s="493"/>
      <c r="AU351" s="493"/>
      <c r="AV351" s="493"/>
      <c r="AW351" s="493"/>
      <c r="AX351" s="493"/>
      <c r="AY351" s="493"/>
      <c r="AZ351" s="493"/>
      <c r="BA351" s="493"/>
      <c r="BB351" s="493"/>
      <c r="BC351" s="493"/>
      <c r="BD351" s="493"/>
      <c r="BE351" s="493"/>
      <c r="BF351" s="493"/>
      <c r="BG351" s="493"/>
      <c r="BH351" s="493"/>
      <c r="BI351" s="493"/>
    </row>
    <row r="352" spans="3:61" ht="12.75">
      <c r="C352" s="493"/>
      <c r="D352" s="493"/>
      <c r="E352" s="493"/>
      <c r="F352" s="493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93"/>
      <c r="V352" s="493"/>
      <c r="W352" s="493"/>
      <c r="X352" s="493"/>
      <c r="Y352" s="493"/>
      <c r="Z352" s="493"/>
      <c r="AA352" s="493"/>
      <c r="AB352" s="493"/>
      <c r="AC352" s="493"/>
      <c r="AD352" s="493"/>
      <c r="AE352" s="493"/>
      <c r="AF352" s="493"/>
      <c r="AG352" s="493"/>
      <c r="AH352" s="493"/>
      <c r="AI352" s="493"/>
      <c r="AJ352" s="493"/>
      <c r="AK352" s="493"/>
      <c r="AL352" s="493"/>
      <c r="AM352" s="493"/>
      <c r="AN352" s="493"/>
      <c r="AO352" s="493"/>
      <c r="AP352" s="493"/>
      <c r="AQ352" s="493"/>
      <c r="AR352" s="493"/>
      <c r="AS352" s="493"/>
      <c r="AT352" s="493"/>
      <c r="AU352" s="493"/>
      <c r="AV352" s="493"/>
      <c r="AW352" s="493"/>
      <c r="AX352" s="493"/>
      <c r="AY352" s="493"/>
      <c r="AZ352" s="493"/>
      <c r="BA352" s="493"/>
      <c r="BB352" s="493"/>
      <c r="BC352" s="493"/>
      <c r="BD352" s="493"/>
      <c r="BE352" s="493"/>
      <c r="BF352" s="493"/>
      <c r="BG352" s="493"/>
      <c r="BH352" s="493"/>
      <c r="BI352" s="493"/>
    </row>
    <row r="353" spans="3:61" ht="12.75">
      <c r="C353" s="493"/>
      <c r="D353" s="493"/>
      <c r="E353" s="493"/>
      <c r="F353" s="493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93"/>
      <c r="V353" s="493"/>
      <c r="W353" s="493"/>
      <c r="X353" s="493"/>
      <c r="Y353" s="493"/>
      <c r="Z353" s="493"/>
      <c r="AA353" s="493"/>
      <c r="AB353" s="493"/>
      <c r="AC353" s="493"/>
      <c r="AD353" s="493"/>
      <c r="AE353" s="493"/>
      <c r="AF353" s="493"/>
      <c r="AG353" s="493"/>
      <c r="AH353" s="493"/>
      <c r="AI353" s="493"/>
      <c r="AJ353" s="493"/>
      <c r="AK353" s="493"/>
      <c r="AL353" s="493"/>
      <c r="AM353" s="493"/>
      <c r="AN353" s="493"/>
      <c r="AO353" s="493"/>
      <c r="AP353" s="493"/>
      <c r="AQ353" s="493"/>
      <c r="AR353" s="493"/>
      <c r="AS353" s="493"/>
      <c r="AT353" s="493"/>
      <c r="AU353" s="493"/>
      <c r="AV353" s="493"/>
      <c r="AW353" s="493"/>
      <c r="AX353" s="493"/>
      <c r="AY353" s="493"/>
      <c r="AZ353" s="493"/>
      <c r="BA353" s="493"/>
      <c r="BB353" s="493"/>
      <c r="BC353" s="493"/>
      <c r="BD353" s="493"/>
      <c r="BE353" s="493"/>
      <c r="BF353" s="493"/>
      <c r="BG353" s="493"/>
      <c r="BH353" s="493"/>
      <c r="BI353" s="493"/>
    </row>
    <row r="354" spans="3:61" ht="12.75">
      <c r="C354" s="493"/>
      <c r="D354" s="493"/>
      <c r="E354" s="493"/>
      <c r="F354" s="493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93"/>
      <c r="V354" s="493"/>
      <c r="W354" s="493"/>
      <c r="X354" s="493"/>
      <c r="Y354" s="493"/>
      <c r="Z354" s="493"/>
      <c r="AA354" s="493"/>
      <c r="AB354" s="493"/>
      <c r="AC354" s="493"/>
      <c r="AD354" s="493"/>
      <c r="AE354" s="493"/>
      <c r="AF354" s="493"/>
      <c r="AG354" s="493"/>
      <c r="AH354" s="493"/>
      <c r="AI354" s="493"/>
      <c r="AJ354" s="493"/>
      <c r="AK354" s="493"/>
      <c r="AL354" s="493"/>
      <c r="AM354" s="493"/>
      <c r="AN354" s="493"/>
      <c r="AO354" s="493"/>
      <c r="AP354" s="493"/>
      <c r="AQ354" s="493"/>
      <c r="AR354" s="493"/>
      <c r="AS354" s="493"/>
      <c r="AT354" s="493"/>
      <c r="AU354" s="493"/>
      <c r="AV354" s="493"/>
      <c r="AW354" s="493"/>
      <c r="AX354" s="493"/>
      <c r="AY354" s="493"/>
      <c r="AZ354" s="493"/>
      <c r="BA354" s="493"/>
      <c r="BB354" s="493"/>
      <c r="BC354" s="493"/>
      <c r="BD354" s="493"/>
      <c r="BE354" s="493"/>
      <c r="BF354" s="493"/>
      <c r="BG354" s="493"/>
      <c r="BH354" s="493"/>
      <c r="BI354" s="493"/>
    </row>
    <row r="355" spans="3:61" ht="12.75">
      <c r="C355" s="493"/>
      <c r="D355" s="493"/>
      <c r="E355" s="493"/>
      <c r="F355" s="493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  <c r="Q355" s="493"/>
      <c r="R355" s="493"/>
      <c r="S355" s="493"/>
      <c r="T355" s="493"/>
      <c r="U355" s="493"/>
      <c r="V355" s="493"/>
      <c r="W355" s="493"/>
      <c r="X355" s="493"/>
      <c r="Y355" s="493"/>
      <c r="Z355" s="493"/>
      <c r="AA355" s="493"/>
      <c r="AB355" s="493"/>
      <c r="AC355" s="493"/>
      <c r="AD355" s="493"/>
      <c r="AE355" s="493"/>
      <c r="AF355" s="493"/>
      <c r="AG355" s="493"/>
      <c r="AH355" s="493"/>
      <c r="AI355" s="493"/>
      <c r="AJ355" s="493"/>
      <c r="AK355" s="493"/>
      <c r="AL355" s="493"/>
      <c r="AM355" s="493"/>
      <c r="AN355" s="493"/>
      <c r="AO355" s="493"/>
      <c r="AP355" s="493"/>
      <c r="AQ355" s="493"/>
      <c r="AR355" s="493"/>
      <c r="AS355" s="493"/>
      <c r="AT355" s="493"/>
      <c r="AU355" s="493"/>
      <c r="AV355" s="493"/>
      <c r="AW355" s="493"/>
      <c r="AX355" s="493"/>
      <c r="AY355" s="493"/>
      <c r="AZ355" s="493"/>
      <c r="BA355" s="493"/>
      <c r="BB355" s="493"/>
      <c r="BC355" s="493"/>
      <c r="BD355" s="493"/>
      <c r="BE355" s="493"/>
      <c r="BF355" s="493"/>
      <c r="BG355" s="493"/>
      <c r="BH355" s="493"/>
      <c r="BI355" s="493"/>
    </row>
    <row r="356" spans="3:61" ht="12.75">
      <c r="C356" s="493"/>
      <c r="D356" s="493"/>
      <c r="E356" s="493"/>
      <c r="F356" s="493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93"/>
      <c r="V356" s="493"/>
      <c r="W356" s="493"/>
      <c r="X356" s="493"/>
      <c r="Y356" s="493"/>
      <c r="Z356" s="493"/>
      <c r="AA356" s="493"/>
      <c r="AB356" s="493"/>
      <c r="AC356" s="493"/>
      <c r="AD356" s="493"/>
      <c r="AE356" s="493"/>
      <c r="AF356" s="493"/>
      <c r="AG356" s="493"/>
      <c r="AH356" s="493"/>
      <c r="AI356" s="493"/>
      <c r="AJ356" s="493"/>
      <c r="AK356" s="493"/>
      <c r="AL356" s="493"/>
      <c r="AM356" s="493"/>
      <c r="AN356" s="493"/>
      <c r="AO356" s="493"/>
      <c r="AP356" s="493"/>
      <c r="AQ356" s="493"/>
      <c r="AR356" s="493"/>
      <c r="AS356" s="493"/>
      <c r="AT356" s="493"/>
      <c r="AU356" s="493"/>
      <c r="AV356" s="493"/>
      <c r="AW356" s="493"/>
      <c r="AX356" s="493"/>
      <c r="AY356" s="493"/>
      <c r="AZ356" s="493"/>
      <c r="BA356" s="493"/>
      <c r="BB356" s="493"/>
      <c r="BC356" s="493"/>
      <c r="BD356" s="493"/>
      <c r="BE356" s="493"/>
      <c r="BF356" s="493"/>
      <c r="BG356" s="493"/>
      <c r="BH356" s="493"/>
      <c r="BI356" s="493"/>
    </row>
    <row r="357" spans="3:61" ht="12.75">
      <c r="C357" s="493"/>
      <c r="D357" s="493"/>
      <c r="E357" s="493"/>
      <c r="F357" s="493"/>
      <c r="G357" s="493"/>
      <c r="H357" s="493"/>
      <c r="I357" s="493"/>
      <c r="J357" s="493"/>
      <c r="K357" s="493"/>
      <c r="L357" s="493"/>
      <c r="M357" s="493"/>
      <c r="N357" s="493"/>
      <c r="O357" s="493"/>
      <c r="P357" s="493"/>
      <c r="Q357" s="493"/>
      <c r="R357" s="493"/>
      <c r="S357" s="493"/>
      <c r="T357" s="493"/>
      <c r="U357" s="493"/>
      <c r="V357" s="493"/>
      <c r="W357" s="493"/>
      <c r="X357" s="493"/>
      <c r="Y357" s="493"/>
      <c r="Z357" s="493"/>
      <c r="AA357" s="493"/>
      <c r="AB357" s="493"/>
      <c r="AC357" s="493"/>
      <c r="AD357" s="493"/>
      <c r="AE357" s="493"/>
      <c r="AF357" s="493"/>
      <c r="AG357" s="493"/>
      <c r="AH357" s="493"/>
      <c r="AI357" s="493"/>
      <c r="AJ357" s="493"/>
      <c r="AK357" s="493"/>
      <c r="AL357" s="493"/>
      <c r="AM357" s="493"/>
      <c r="AN357" s="493"/>
      <c r="AO357" s="493"/>
      <c r="AP357" s="493"/>
      <c r="AQ357" s="493"/>
      <c r="AR357" s="493"/>
      <c r="AS357" s="493"/>
      <c r="AT357" s="493"/>
      <c r="AU357" s="493"/>
      <c r="AV357" s="493"/>
      <c r="AW357" s="493"/>
      <c r="AX357" s="493"/>
      <c r="AY357" s="493"/>
      <c r="AZ357" s="493"/>
      <c r="BA357" s="493"/>
      <c r="BB357" s="493"/>
      <c r="BC357" s="493"/>
      <c r="BD357" s="493"/>
      <c r="BE357" s="493"/>
      <c r="BF357" s="493"/>
      <c r="BG357" s="493"/>
      <c r="BH357" s="493"/>
      <c r="BI357" s="493"/>
    </row>
    <row r="358" spans="3:61" ht="12.75">
      <c r="C358" s="493"/>
      <c r="D358" s="493"/>
      <c r="E358" s="493"/>
      <c r="F358" s="493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93"/>
      <c r="V358" s="493"/>
      <c r="W358" s="493"/>
      <c r="X358" s="493"/>
      <c r="Y358" s="493"/>
      <c r="Z358" s="493"/>
      <c r="AA358" s="493"/>
      <c r="AB358" s="493"/>
      <c r="AC358" s="493"/>
      <c r="AD358" s="493"/>
      <c r="AE358" s="493"/>
      <c r="AF358" s="493"/>
      <c r="AG358" s="493"/>
      <c r="AH358" s="493"/>
      <c r="AI358" s="493"/>
      <c r="AJ358" s="493"/>
      <c r="AK358" s="493"/>
      <c r="AL358" s="493"/>
      <c r="AM358" s="493"/>
      <c r="AN358" s="493"/>
      <c r="AO358" s="493"/>
      <c r="AP358" s="493"/>
      <c r="AQ358" s="493"/>
      <c r="AR358" s="493"/>
      <c r="AS358" s="493"/>
      <c r="AT358" s="493"/>
      <c r="AU358" s="493"/>
      <c r="AV358" s="493"/>
      <c r="AW358" s="493"/>
      <c r="AX358" s="493"/>
      <c r="AY358" s="493"/>
      <c r="AZ358" s="493"/>
      <c r="BA358" s="493"/>
      <c r="BB358" s="493"/>
      <c r="BC358" s="493"/>
      <c r="BD358" s="493"/>
      <c r="BE358" s="493"/>
      <c r="BF358" s="493"/>
      <c r="BG358" s="493"/>
      <c r="BH358" s="493"/>
      <c r="BI358" s="493"/>
    </row>
    <row r="359" spans="3:61" ht="12.75">
      <c r="C359" s="493"/>
      <c r="D359" s="493"/>
      <c r="E359" s="493"/>
      <c r="F359" s="493"/>
      <c r="G359" s="493"/>
      <c r="H359" s="493"/>
      <c r="I359" s="493"/>
      <c r="J359" s="493"/>
      <c r="K359" s="493"/>
      <c r="L359" s="493"/>
      <c r="M359" s="493"/>
      <c r="N359" s="493"/>
      <c r="O359" s="493"/>
      <c r="P359" s="493"/>
      <c r="Q359" s="493"/>
      <c r="R359" s="493"/>
      <c r="S359" s="493"/>
      <c r="T359" s="493"/>
      <c r="U359" s="493"/>
      <c r="V359" s="493"/>
      <c r="W359" s="493"/>
      <c r="X359" s="493"/>
      <c r="Y359" s="493"/>
      <c r="Z359" s="493"/>
      <c r="AA359" s="493"/>
      <c r="AB359" s="493"/>
      <c r="AC359" s="493"/>
      <c r="AD359" s="493"/>
      <c r="AE359" s="493"/>
      <c r="AF359" s="493"/>
      <c r="AG359" s="493"/>
      <c r="AH359" s="493"/>
      <c r="AI359" s="493"/>
      <c r="AJ359" s="493"/>
      <c r="AK359" s="493"/>
      <c r="AL359" s="493"/>
      <c r="AM359" s="493"/>
      <c r="AN359" s="493"/>
      <c r="AO359" s="493"/>
      <c r="AP359" s="493"/>
      <c r="AQ359" s="493"/>
      <c r="AR359" s="493"/>
      <c r="AS359" s="493"/>
      <c r="AT359" s="493"/>
      <c r="AU359" s="493"/>
      <c r="AV359" s="493"/>
      <c r="AW359" s="493"/>
      <c r="AX359" s="493"/>
      <c r="AY359" s="493"/>
      <c r="AZ359" s="493"/>
      <c r="BA359" s="493"/>
      <c r="BB359" s="493"/>
      <c r="BC359" s="493"/>
      <c r="BD359" s="493"/>
      <c r="BE359" s="493"/>
      <c r="BF359" s="493"/>
      <c r="BG359" s="493"/>
      <c r="BH359" s="493"/>
      <c r="BI359" s="493"/>
    </row>
    <row r="360" spans="3:61" ht="12.75">
      <c r="C360" s="493"/>
      <c r="D360" s="493"/>
      <c r="E360" s="493"/>
      <c r="F360" s="493"/>
      <c r="G360" s="493"/>
      <c r="H360" s="493"/>
      <c r="I360" s="493"/>
      <c r="J360" s="493"/>
      <c r="K360" s="493"/>
      <c r="L360" s="493"/>
      <c r="M360" s="493"/>
      <c r="N360" s="493"/>
      <c r="O360" s="493"/>
      <c r="P360" s="493"/>
      <c r="Q360" s="493"/>
      <c r="R360" s="493"/>
      <c r="S360" s="493"/>
      <c r="T360" s="493"/>
      <c r="U360" s="493"/>
      <c r="V360" s="493"/>
      <c r="W360" s="493"/>
      <c r="X360" s="493"/>
      <c r="Y360" s="493"/>
      <c r="Z360" s="493"/>
      <c r="AA360" s="493"/>
      <c r="AB360" s="493"/>
      <c r="AC360" s="493"/>
      <c r="AD360" s="493"/>
      <c r="AE360" s="493"/>
      <c r="AF360" s="493"/>
      <c r="AG360" s="493"/>
      <c r="AH360" s="493"/>
      <c r="AI360" s="493"/>
      <c r="AJ360" s="493"/>
      <c r="AK360" s="493"/>
      <c r="AL360" s="493"/>
      <c r="AM360" s="493"/>
      <c r="AN360" s="493"/>
      <c r="AO360" s="493"/>
      <c r="AP360" s="493"/>
      <c r="AQ360" s="493"/>
      <c r="AR360" s="493"/>
      <c r="AS360" s="493"/>
      <c r="AT360" s="493"/>
      <c r="AU360" s="493"/>
      <c r="AV360" s="493"/>
      <c r="AW360" s="493"/>
      <c r="AX360" s="493"/>
      <c r="AY360" s="493"/>
      <c r="AZ360" s="493"/>
      <c r="BA360" s="493"/>
      <c r="BB360" s="493"/>
      <c r="BC360" s="493"/>
      <c r="BD360" s="493"/>
      <c r="BE360" s="493"/>
      <c r="BF360" s="493"/>
      <c r="BG360" s="493"/>
      <c r="BH360" s="493"/>
      <c r="BI360" s="493"/>
    </row>
    <row r="361" spans="3:61" ht="12.75">
      <c r="C361" s="493"/>
      <c r="D361" s="493"/>
      <c r="E361" s="493"/>
      <c r="F361" s="493"/>
      <c r="G361" s="493"/>
      <c r="H361" s="493"/>
      <c r="I361" s="493"/>
      <c r="J361" s="493"/>
      <c r="K361" s="493"/>
      <c r="L361" s="493"/>
      <c r="M361" s="493"/>
      <c r="N361" s="493"/>
      <c r="O361" s="493"/>
      <c r="P361" s="493"/>
      <c r="Q361" s="493"/>
      <c r="R361" s="493"/>
      <c r="S361" s="493"/>
      <c r="T361" s="493"/>
      <c r="U361" s="493"/>
      <c r="V361" s="493"/>
      <c r="W361" s="493"/>
      <c r="X361" s="493"/>
      <c r="Y361" s="493"/>
      <c r="Z361" s="493"/>
      <c r="AA361" s="493"/>
      <c r="AB361" s="493"/>
      <c r="AC361" s="493"/>
      <c r="AD361" s="493"/>
      <c r="AE361" s="493"/>
      <c r="AF361" s="493"/>
      <c r="AG361" s="493"/>
      <c r="AH361" s="493"/>
      <c r="AI361" s="493"/>
      <c r="AJ361" s="493"/>
      <c r="AK361" s="493"/>
      <c r="AL361" s="493"/>
      <c r="AM361" s="493"/>
      <c r="AN361" s="493"/>
      <c r="AO361" s="493"/>
      <c r="AP361" s="493"/>
      <c r="AQ361" s="493"/>
      <c r="AR361" s="493"/>
      <c r="AS361" s="493"/>
      <c r="AT361" s="493"/>
      <c r="AU361" s="493"/>
      <c r="AV361" s="493"/>
      <c r="AW361" s="493"/>
      <c r="AX361" s="493"/>
      <c r="AY361" s="493"/>
      <c r="AZ361" s="493"/>
      <c r="BA361" s="493"/>
      <c r="BB361" s="493"/>
      <c r="BC361" s="493"/>
      <c r="BD361" s="493"/>
      <c r="BE361" s="493"/>
      <c r="BF361" s="493"/>
      <c r="BG361" s="493"/>
      <c r="BH361" s="493"/>
      <c r="BI361" s="493"/>
    </row>
    <row r="362" spans="3:61" ht="12.75">
      <c r="C362" s="493"/>
      <c r="D362" s="493"/>
      <c r="E362" s="493"/>
      <c r="F362" s="493"/>
      <c r="G362" s="493"/>
      <c r="H362" s="493"/>
      <c r="I362" s="493"/>
      <c r="J362" s="493"/>
      <c r="K362" s="493"/>
      <c r="L362" s="493"/>
      <c r="M362" s="493"/>
      <c r="N362" s="493"/>
      <c r="O362" s="493"/>
      <c r="P362" s="493"/>
      <c r="Q362" s="493"/>
      <c r="R362" s="493"/>
      <c r="S362" s="493"/>
      <c r="T362" s="493"/>
      <c r="U362" s="493"/>
      <c r="V362" s="493"/>
      <c r="W362" s="493"/>
      <c r="X362" s="493"/>
      <c r="Y362" s="493"/>
      <c r="Z362" s="493"/>
      <c r="AA362" s="493"/>
      <c r="AB362" s="493"/>
      <c r="AC362" s="493"/>
      <c r="AD362" s="493"/>
      <c r="AE362" s="493"/>
      <c r="AF362" s="493"/>
      <c r="AG362" s="493"/>
      <c r="AH362" s="493"/>
      <c r="AI362" s="493"/>
      <c r="AJ362" s="493"/>
      <c r="AK362" s="493"/>
      <c r="AL362" s="493"/>
      <c r="AM362" s="493"/>
      <c r="AN362" s="493"/>
      <c r="AO362" s="493"/>
      <c r="AP362" s="493"/>
      <c r="AQ362" s="493"/>
      <c r="AR362" s="493"/>
      <c r="AS362" s="493"/>
      <c r="AT362" s="493"/>
      <c r="AU362" s="493"/>
      <c r="AV362" s="493"/>
      <c r="AW362" s="493"/>
      <c r="AX362" s="493"/>
      <c r="AY362" s="493"/>
      <c r="AZ362" s="493"/>
      <c r="BA362" s="493"/>
      <c r="BB362" s="493"/>
      <c r="BC362" s="493"/>
      <c r="BD362" s="493"/>
      <c r="BE362" s="493"/>
      <c r="BF362" s="493"/>
      <c r="BG362" s="493"/>
      <c r="BH362" s="493"/>
      <c r="BI362" s="493"/>
    </row>
    <row r="363" spans="3:61" ht="12.75">
      <c r="C363" s="493"/>
      <c r="D363" s="493"/>
      <c r="E363" s="493"/>
      <c r="F363" s="493"/>
      <c r="G363" s="493"/>
      <c r="H363" s="493"/>
      <c r="I363" s="493"/>
      <c r="J363" s="493"/>
      <c r="K363" s="493"/>
      <c r="L363" s="493"/>
      <c r="M363" s="493"/>
      <c r="N363" s="493"/>
      <c r="O363" s="493"/>
      <c r="P363" s="493"/>
      <c r="Q363" s="493"/>
      <c r="R363" s="493"/>
      <c r="S363" s="493"/>
      <c r="T363" s="493"/>
      <c r="U363" s="493"/>
      <c r="V363" s="493"/>
      <c r="W363" s="493"/>
      <c r="X363" s="493"/>
      <c r="Y363" s="493"/>
      <c r="Z363" s="493"/>
      <c r="AA363" s="493"/>
      <c r="AB363" s="493"/>
      <c r="AC363" s="493"/>
      <c r="AD363" s="493"/>
      <c r="AE363" s="493"/>
      <c r="AF363" s="493"/>
      <c r="AG363" s="493"/>
      <c r="AH363" s="493"/>
      <c r="AI363" s="493"/>
      <c r="AJ363" s="493"/>
      <c r="AK363" s="493"/>
      <c r="AL363" s="493"/>
      <c r="AM363" s="493"/>
      <c r="AN363" s="493"/>
      <c r="AO363" s="493"/>
      <c r="AP363" s="493"/>
      <c r="AQ363" s="493"/>
      <c r="AR363" s="493"/>
      <c r="AS363" s="493"/>
      <c r="AT363" s="493"/>
      <c r="AU363" s="493"/>
      <c r="AV363" s="493"/>
      <c r="AW363" s="493"/>
      <c r="AX363" s="493"/>
      <c r="AY363" s="493"/>
      <c r="AZ363" s="493"/>
      <c r="BA363" s="493"/>
      <c r="BB363" s="493"/>
      <c r="BC363" s="493"/>
      <c r="BD363" s="493"/>
      <c r="BE363" s="493"/>
      <c r="BF363" s="493"/>
      <c r="BG363" s="493"/>
      <c r="BH363" s="493"/>
      <c r="BI363" s="493"/>
    </row>
    <row r="364" spans="3:61" ht="12.75">
      <c r="C364" s="493"/>
      <c r="D364" s="493"/>
      <c r="E364" s="493"/>
      <c r="F364" s="493"/>
      <c r="G364" s="493"/>
      <c r="H364" s="493"/>
      <c r="I364" s="493"/>
      <c r="J364" s="493"/>
      <c r="K364" s="493"/>
      <c r="L364" s="493"/>
      <c r="M364" s="493"/>
      <c r="N364" s="493"/>
      <c r="O364" s="493"/>
      <c r="P364" s="493"/>
      <c r="Q364" s="493"/>
      <c r="R364" s="493"/>
      <c r="S364" s="493"/>
      <c r="T364" s="493"/>
      <c r="U364" s="493"/>
      <c r="V364" s="493"/>
      <c r="W364" s="493"/>
      <c r="X364" s="493"/>
      <c r="Y364" s="493"/>
      <c r="Z364" s="493"/>
      <c r="AA364" s="493"/>
      <c r="AB364" s="493"/>
      <c r="AC364" s="493"/>
      <c r="AD364" s="493"/>
      <c r="AE364" s="493"/>
      <c r="AF364" s="493"/>
      <c r="AG364" s="493"/>
      <c r="AH364" s="493"/>
      <c r="AI364" s="493"/>
      <c r="AJ364" s="493"/>
      <c r="AK364" s="493"/>
      <c r="AL364" s="493"/>
      <c r="AM364" s="493"/>
      <c r="AN364" s="493"/>
      <c r="AO364" s="493"/>
      <c r="AP364" s="493"/>
      <c r="AQ364" s="493"/>
      <c r="AR364" s="493"/>
      <c r="AS364" s="493"/>
      <c r="AT364" s="493"/>
      <c r="AU364" s="493"/>
      <c r="AV364" s="493"/>
      <c r="AW364" s="493"/>
      <c r="AX364" s="493"/>
      <c r="AY364" s="493"/>
      <c r="AZ364" s="493"/>
      <c r="BA364" s="493"/>
      <c r="BB364" s="493"/>
      <c r="BC364" s="493"/>
      <c r="BD364" s="493"/>
      <c r="BE364" s="493"/>
      <c r="BF364" s="493"/>
      <c r="BG364" s="493"/>
      <c r="BH364" s="493"/>
      <c r="BI364" s="493"/>
    </row>
    <row r="365" spans="3:61" ht="12.75">
      <c r="C365" s="493"/>
      <c r="D365" s="493"/>
      <c r="E365" s="493"/>
      <c r="F365" s="493"/>
      <c r="G365" s="493"/>
      <c r="H365" s="493"/>
      <c r="I365" s="493"/>
      <c r="J365" s="493"/>
      <c r="K365" s="493"/>
      <c r="L365" s="493"/>
      <c r="M365" s="493"/>
      <c r="N365" s="493"/>
      <c r="O365" s="493"/>
      <c r="P365" s="493"/>
      <c r="Q365" s="493"/>
      <c r="R365" s="493"/>
      <c r="S365" s="493"/>
      <c r="T365" s="493"/>
      <c r="U365" s="493"/>
      <c r="V365" s="493"/>
      <c r="W365" s="493"/>
      <c r="X365" s="493"/>
      <c r="Y365" s="493"/>
      <c r="Z365" s="493"/>
      <c r="AA365" s="493"/>
      <c r="AB365" s="493"/>
      <c r="AC365" s="493"/>
      <c r="AD365" s="493"/>
      <c r="AE365" s="493"/>
      <c r="AF365" s="493"/>
      <c r="AG365" s="493"/>
      <c r="AH365" s="493"/>
      <c r="AI365" s="493"/>
      <c r="AJ365" s="493"/>
      <c r="AK365" s="493"/>
      <c r="AL365" s="493"/>
      <c r="AM365" s="493"/>
      <c r="AN365" s="493"/>
      <c r="AO365" s="493"/>
      <c r="AP365" s="493"/>
      <c r="AQ365" s="493"/>
      <c r="AR365" s="493"/>
      <c r="AS365" s="493"/>
      <c r="AT365" s="493"/>
      <c r="AU365" s="493"/>
      <c r="AV365" s="493"/>
      <c r="AW365" s="493"/>
      <c r="AX365" s="493"/>
      <c r="AY365" s="493"/>
      <c r="AZ365" s="493"/>
      <c r="BA365" s="493"/>
      <c r="BB365" s="493"/>
      <c r="BC365" s="493"/>
      <c r="BD365" s="493"/>
      <c r="BE365" s="493"/>
      <c r="BF365" s="493"/>
      <c r="BG365" s="493"/>
      <c r="BH365" s="493"/>
      <c r="BI365" s="493"/>
    </row>
    <row r="366" spans="3:61" ht="12.75">
      <c r="C366" s="493"/>
      <c r="D366" s="493"/>
      <c r="E366" s="493"/>
      <c r="F366" s="493"/>
      <c r="G366" s="493"/>
      <c r="H366" s="493"/>
      <c r="I366" s="493"/>
      <c r="J366" s="493"/>
      <c r="K366" s="493"/>
      <c r="L366" s="493"/>
      <c r="M366" s="493"/>
      <c r="N366" s="493"/>
      <c r="O366" s="493"/>
      <c r="P366" s="493"/>
      <c r="Q366" s="493"/>
      <c r="R366" s="493"/>
      <c r="S366" s="493"/>
      <c r="T366" s="493"/>
      <c r="U366" s="493"/>
      <c r="V366" s="493"/>
      <c r="W366" s="493"/>
      <c r="X366" s="493"/>
      <c r="Y366" s="493"/>
      <c r="Z366" s="493"/>
      <c r="AA366" s="493"/>
      <c r="AB366" s="493"/>
      <c r="AC366" s="493"/>
      <c r="AD366" s="493"/>
      <c r="AE366" s="493"/>
      <c r="AF366" s="493"/>
      <c r="AG366" s="493"/>
      <c r="AH366" s="493"/>
      <c r="AI366" s="493"/>
      <c r="AJ366" s="493"/>
      <c r="AK366" s="493"/>
      <c r="AL366" s="493"/>
      <c r="AM366" s="493"/>
      <c r="AN366" s="493"/>
      <c r="AO366" s="493"/>
      <c r="AP366" s="493"/>
      <c r="AQ366" s="493"/>
      <c r="AR366" s="493"/>
      <c r="AS366" s="493"/>
      <c r="AT366" s="493"/>
      <c r="AU366" s="493"/>
      <c r="AV366" s="493"/>
      <c r="AW366" s="493"/>
      <c r="AX366" s="493"/>
      <c r="AY366" s="493"/>
      <c r="AZ366" s="493"/>
      <c r="BA366" s="493"/>
      <c r="BB366" s="493"/>
      <c r="BC366" s="493"/>
      <c r="BD366" s="493"/>
      <c r="BE366" s="493"/>
      <c r="BF366" s="493"/>
      <c r="BG366" s="493"/>
      <c r="BH366" s="493"/>
      <c r="BI366" s="493"/>
    </row>
    <row r="367" spans="3:61" ht="12.75">
      <c r="C367" s="493"/>
      <c r="D367" s="493"/>
      <c r="E367" s="493"/>
      <c r="F367" s="493"/>
      <c r="G367" s="493"/>
      <c r="H367" s="493"/>
      <c r="I367" s="493"/>
      <c r="J367" s="493"/>
      <c r="K367" s="493"/>
      <c r="L367" s="493"/>
      <c r="M367" s="493"/>
      <c r="N367" s="493"/>
      <c r="O367" s="493"/>
      <c r="P367" s="493"/>
      <c r="Q367" s="493"/>
      <c r="R367" s="493"/>
      <c r="S367" s="493"/>
      <c r="T367" s="493"/>
      <c r="U367" s="493"/>
      <c r="V367" s="493"/>
      <c r="W367" s="493"/>
      <c r="X367" s="493"/>
      <c r="Y367" s="493"/>
      <c r="Z367" s="493"/>
      <c r="AA367" s="493"/>
      <c r="AB367" s="493"/>
      <c r="AC367" s="493"/>
      <c r="AD367" s="493"/>
      <c r="AE367" s="493"/>
      <c r="AF367" s="493"/>
      <c r="AG367" s="493"/>
      <c r="AH367" s="493"/>
      <c r="AI367" s="493"/>
      <c r="AJ367" s="493"/>
      <c r="AK367" s="493"/>
      <c r="AL367" s="493"/>
      <c r="AM367" s="493"/>
      <c r="AN367" s="493"/>
      <c r="AO367" s="493"/>
      <c r="AP367" s="493"/>
      <c r="AQ367" s="493"/>
      <c r="AR367" s="493"/>
      <c r="AS367" s="493"/>
      <c r="AT367" s="493"/>
      <c r="AU367" s="493"/>
      <c r="AV367" s="493"/>
      <c r="AW367" s="493"/>
      <c r="AX367" s="493"/>
      <c r="AY367" s="493"/>
      <c r="AZ367" s="493"/>
      <c r="BA367" s="493"/>
      <c r="BB367" s="493"/>
      <c r="BC367" s="493"/>
      <c r="BD367" s="493"/>
      <c r="BE367" s="493"/>
      <c r="BF367" s="493"/>
      <c r="BG367" s="493"/>
      <c r="BH367" s="493"/>
      <c r="BI367" s="493"/>
    </row>
    <row r="368" spans="3:61" ht="12.75">
      <c r="C368" s="493"/>
      <c r="D368" s="493"/>
      <c r="E368" s="493"/>
      <c r="F368" s="493"/>
      <c r="G368" s="493"/>
      <c r="H368" s="493"/>
      <c r="I368" s="493"/>
      <c r="J368" s="493"/>
      <c r="K368" s="493"/>
      <c r="L368" s="493"/>
      <c r="M368" s="493"/>
      <c r="N368" s="493"/>
      <c r="O368" s="493"/>
      <c r="P368" s="493"/>
      <c r="Q368" s="493"/>
      <c r="R368" s="493"/>
      <c r="S368" s="493"/>
      <c r="T368" s="493"/>
      <c r="U368" s="493"/>
      <c r="V368" s="493"/>
      <c r="W368" s="493"/>
      <c r="X368" s="493"/>
      <c r="Y368" s="493"/>
      <c r="Z368" s="493"/>
      <c r="AA368" s="493"/>
      <c r="AB368" s="493"/>
      <c r="AC368" s="493"/>
      <c r="AD368" s="493"/>
      <c r="AE368" s="493"/>
      <c r="AF368" s="493"/>
      <c r="AG368" s="493"/>
      <c r="AH368" s="493"/>
      <c r="AI368" s="493"/>
      <c r="AJ368" s="493"/>
      <c r="AK368" s="493"/>
      <c r="AL368" s="493"/>
      <c r="AM368" s="493"/>
      <c r="AN368" s="493"/>
      <c r="AO368" s="493"/>
      <c r="AP368" s="493"/>
      <c r="AQ368" s="493"/>
      <c r="AR368" s="493"/>
      <c r="AS368" s="493"/>
      <c r="AT368" s="493"/>
      <c r="AU368" s="493"/>
      <c r="AV368" s="493"/>
      <c r="AW368" s="493"/>
      <c r="AX368" s="493"/>
      <c r="AY368" s="493"/>
      <c r="AZ368" s="493"/>
      <c r="BA368" s="493"/>
      <c r="BB368" s="493"/>
      <c r="BC368" s="493"/>
      <c r="BD368" s="493"/>
      <c r="BE368" s="493"/>
      <c r="BF368" s="493"/>
      <c r="BG368" s="493"/>
      <c r="BH368" s="493"/>
      <c r="BI368" s="49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O164"/>
  <sheetViews>
    <sheetView zoomScale="75" zoomScaleNormal="75" workbookViewId="0" topLeftCell="B93">
      <selection activeCell="I110" sqref="I110"/>
    </sheetView>
  </sheetViews>
  <sheetFormatPr defaultColWidth="9.33203125" defaultRowHeight="10.5"/>
  <cols>
    <col min="2" max="2" width="40.33203125" style="0" customWidth="1"/>
    <col min="3" max="3" width="19.83203125" style="0" customWidth="1"/>
    <col min="4" max="4" width="16.66015625" style="0" customWidth="1"/>
    <col min="5" max="5" width="18.16015625" style="0" bestFit="1" customWidth="1"/>
    <col min="6" max="6" width="19.66015625" style="0" bestFit="1" customWidth="1"/>
    <col min="7" max="7" width="17.33203125" style="0" bestFit="1" customWidth="1"/>
    <col min="8" max="8" width="18.5" style="0" bestFit="1" customWidth="1"/>
    <col min="9" max="9" width="16.33203125" style="508" customWidth="1"/>
    <col min="10" max="10" width="18.33203125" style="449" bestFit="1" customWidth="1"/>
    <col min="11" max="11" width="13.16015625" style="451" customWidth="1"/>
    <col min="14" max="14" width="14.83203125" style="0" customWidth="1"/>
  </cols>
  <sheetData>
    <row r="1" ht="10.5"/>
    <row r="2" spans="5:9" ht="10.5">
      <c r="E2" t="s">
        <v>334</v>
      </c>
      <c r="I2" s="530"/>
    </row>
    <row r="3" spans="3:10" ht="10.5">
      <c r="C3" s="509"/>
      <c r="E3" s="510">
        <v>1066503102</v>
      </c>
      <c r="F3" t="s">
        <v>401</v>
      </c>
      <c r="I3" s="530">
        <f>((E3/E10)^(1/2.25))-1</f>
        <v>0.011917153698821403</v>
      </c>
      <c r="J3" s="543">
        <f>E10*(1+I3)^$J$10</f>
        <v>1066503102.0000002</v>
      </c>
    </row>
    <row r="4" spans="2:8" ht="10.5">
      <c r="B4" s="512" t="s">
        <v>335</v>
      </c>
      <c r="C4" s="513">
        <f>C21/C10</f>
        <v>0.6078817692700909</v>
      </c>
      <c r="D4" s="513">
        <f>H4-C4</f>
        <v>-0.19154825029139338</v>
      </c>
      <c r="E4" s="513">
        <f>E21/E10</f>
        <v>0.4163335189786975</v>
      </c>
      <c r="F4" s="513"/>
      <c r="G4" s="513"/>
      <c r="H4" s="513">
        <f>H21/H10</f>
        <v>0.41633351897869747</v>
      </c>
    </row>
    <row r="5" spans="4:10" ht="10.5">
      <c r="D5" s="514">
        <f>D4*E10</f>
        <v>-198913453.10007098</v>
      </c>
      <c r="J5" s="449">
        <f>E21/E10*E3</f>
        <v>444020989.4573568</v>
      </c>
    </row>
    <row r="6" spans="3:14" ht="10.5">
      <c r="C6" s="441">
        <v>38625</v>
      </c>
      <c r="F6" s="441">
        <v>37894</v>
      </c>
      <c r="J6" s="441">
        <v>39447</v>
      </c>
      <c r="N6" s="441">
        <v>37894</v>
      </c>
    </row>
    <row r="7" spans="2:14" ht="12.75">
      <c r="B7" s="231"/>
      <c r="C7" s="444" t="s">
        <v>201</v>
      </c>
      <c r="D7" s="515" t="s">
        <v>291</v>
      </c>
      <c r="E7" s="515"/>
      <c r="F7" s="232" t="s">
        <v>201</v>
      </c>
      <c r="G7" s="516" t="s">
        <v>291</v>
      </c>
      <c r="H7" s="515"/>
      <c r="I7" s="517" t="s">
        <v>292</v>
      </c>
      <c r="J7" s="518"/>
      <c r="K7" s="519"/>
      <c r="N7" s="232" t="s">
        <v>336</v>
      </c>
    </row>
    <row r="8" spans="2:14" ht="12.75">
      <c r="B8" s="231"/>
      <c r="C8" s="234" t="s">
        <v>61</v>
      </c>
      <c r="D8" s="520" t="s">
        <v>387</v>
      </c>
      <c r="E8" s="520"/>
      <c r="F8" s="233" t="s">
        <v>61</v>
      </c>
      <c r="G8" s="521" t="s">
        <v>336</v>
      </c>
      <c r="H8" s="520"/>
      <c r="I8" s="522" t="s">
        <v>293</v>
      </c>
      <c r="J8" s="523" t="s">
        <v>295</v>
      </c>
      <c r="K8" s="524" t="s">
        <v>296</v>
      </c>
      <c r="N8" s="233" t="s">
        <v>337</v>
      </c>
    </row>
    <row r="9" spans="2:14" ht="12.75">
      <c r="B9" s="236"/>
      <c r="C9" s="235" t="s">
        <v>50</v>
      </c>
      <c r="D9" s="525" t="s">
        <v>338</v>
      </c>
      <c r="E9" s="525"/>
      <c r="F9" s="237" t="s">
        <v>50</v>
      </c>
      <c r="G9" s="526" t="s">
        <v>337</v>
      </c>
      <c r="H9" s="525"/>
      <c r="I9" s="527" t="s">
        <v>294</v>
      </c>
      <c r="J9" s="528" t="s">
        <v>272</v>
      </c>
      <c r="K9" s="524" t="s">
        <v>267</v>
      </c>
      <c r="N9" s="237" t="s">
        <v>338</v>
      </c>
    </row>
    <row r="10" spans="2:15" ht="12.75">
      <c r="B10" s="231" t="s">
        <v>290</v>
      </c>
      <c r="C10" s="529">
        <v>1038450901</v>
      </c>
      <c r="D10" s="446"/>
      <c r="E10" s="813">
        <f>C10+D10</f>
        <v>1038450901</v>
      </c>
      <c r="F10" s="443">
        <v>1033465074</v>
      </c>
      <c r="G10" s="448"/>
      <c r="H10" s="447">
        <f>F10+G10</f>
        <v>1033465074</v>
      </c>
      <c r="I10" s="811">
        <f>'[4]PSE'!$AF$531</f>
        <v>0.032637929528860604</v>
      </c>
      <c r="J10" s="452">
        <v>2.25</v>
      </c>
      <c r="K10" s="453"/>
      <c r="N10" s="443">
        <f>F10</f>
        <v>1033465074</v>
      </c>
      <c r="O10" s="531"/>
    </row>
    <row r="11" spans="2:15" ht="12.75">
      <c r="B11" s="238" t="s">
        <v>0</v>
      </c>
      <c r="C11" s="532"/>
      <c r="D11" s="533"/>
      <c r="E11" s="533"/>
      <c r="F11" s="534"/>
      <c r="G11" s="535"/>
      <c r="H11" s="533"/>
      <c r="I11" s="530"/>
      <c r="J11" s="536"/>
      <c r="K11" s="536"/>
      <c r="L11" s="537"/>
      <c r="M11" s="537"/>
      <c r="N11" s="538"/>
      <c r="O11" s="531"/>
    </row>
    <row r="12" spans="2:15" ht="12.75">
      <c r="B12" s="239" t="s">
        <v>1</v>
      </c>
      <c r="C12" s="539">
        <f>model!EZ16</f>
        <v>943772431.3771205</v>
      </c>
      <c r="D12" s="533">
        <f>(H21-C21+(C10-H10)*H21/H10)/(1-D55-D56-D57-D58)</f>
        <v>-208066054.53302756</v>
      </c>
      <c r="E12" s="533">
        <f>C12+D12</f>
        <v>735706376.844093</v>
      </c>
      <c r="F12" s="540">
        <v>727098208</v>
      </c>
      <c r="G12" s="535"/>
      <c r="H12" s="533">
        <f>F12+G12</f>
        <v>727098208</v>
      </c>
      <c r="I12" s="812">
        <f>I10</f>
        <v>0.032637929528860604</v>
      </c>
      <c r="J12" s="536">
        <f>E12*(1+I12)^$J$10</f>
        <v>790838282.9579277</v>
      </c>
      <c r="K12" s="536">
        <f>(J12-E12)*0.35</f>
        <v>19296167.139842156</v>
      </c>
      <c r="L12" s="537"/>
      <c r="M12" s="537"/>
      <c r="N12" s="541"/>
      <c r="O12" s="531"/>
    </row>
    <row r="13" spans="2:15" ht="12.75">
      <c r="B13" s="240" t="s">
        <v>76</v>
      </c>
      <c r="C13" s="542">
        <f>model!EZ17</f>
        <v>0</v>
      </c>
      <c r="D13" s="543"/>
      <c r="E13" s="543">
        <f>C13+D13</f>
        <v>0</v>
      </c>
      <c r="F13" s="544">
        <v>29971111</v>
      </c>
      <c r="G13" s="545">
        <f>-N13</f>
        <v>-29971111</v>
      </c>
      <c r="H13" s="543">
        <f>F13+G13</f>
        <v>0</v>
      </c>
      <c r="I13" s="530"/>
      <c r="J13" s="543">
        <f>E13*(1+I13)^$J$10</f>
        <v>0</v>
      </c>
      <c r="K13" s="543">
        <f>(J13-C13)*0.35</f>
        <v>0</v>
      </c>
      <c r="L13" s="451"/>
      <c r="M13" s="451"/>
      <c r="N13" s="544">
        <f>F13</f>
        <v>29971111</v>
      </c>
      <c r="O13" s="546"/>
    </row>
    <row r="14" spans="2:15" ht="12.75">
      <c r="B14" s="239" t="s">
        <v>2</v>
      </c>
      <c r="C14" s="542">
        <f>model!EZ18</f>
        <v>17055092</v>
      </c>
      <c r="D14" s="547"/>
      <c r="E14" s="547">
        <f>C14+D14</f>
        <v>17055092</v>
      </c>
      <c r="F14" s="548">
        <v>13193688</v>
      </c>
      <c r="G14" s="549"/>
      <c r="H14" s="547">
        <f>F14+G14</f>
        <v>13193688</v>
      </c>
      <c r="I14" s="530">
        <f>((E14/H14)^(1/2))-1</f>
        <v>0.13695670797049542</v>
      </c>
      <c r="J14" s="547">
        <f>E14*(1+I14)^$J$10</f>
        <v>22765537.32264051</v>
      </c>
      <c r="K14" s="543">
        <f>(J14-C14)*0.35</f>
        <v>1998655.862924178</v>
      </c>
      <c r="L14" s="451"/>
      <c r="M14" s="451"/>
      <c r="N14" s="548"/>
      <c r="O14" s="546"/>
    </row>
    <row r="15" spans="2:15" ht="12.75">
      <c r="B15" s="239" t="s">
        <v>3</v>
      </c>
      <c r="C15" s="550">
        <f aca="true" t="shared" si="0" ref="C15:H15">SUM(C12:C14)</f>
        <v>960827523.3771205</v>
      </c>
      <c r="D15" s="551">
        <f t="shared" si="0"/>
        <v>-208066054.53302756</v>
      </c>
      <c r="E15" s="552">
        <f t="shared" si="0"/>
        <v>752761468.844093</v>
      </c>
      <c r="F15" s="544">
        <f t="shared" si="0"/>
        <v>770263007</v>
      </c>
      <c r="G15" s="551">
        <f t="shared" si="0"/>
        <v>-29971111</v>
      </c>
      <c r="H15" s="544">
        <f t="shared" si="0"/>
        <v>740291896</v>
      </c>
      <c r="I15" s="530"/>
      <c r="J15" s="544">
        <f>SUM(J12:J14)</f>
        <v>813603820.2805682</v>
      </c>
      <c r="K15" s="543"/>
      <c r="L15" s="451"/>
      <c r="M15" s="451"/>
      <c r="N15" s="544">
        <f>SUM(N12:N14)</f>
        <v>29971111</v>
      </c>
      <c r="O15" s="546"/>
    </row>
    <row r="16" spans="2:15" ht="12.75">
      <c r="B16" s="231"/>
      <c r="C16" s="542"/>
      <c r="D16" s="543"/>
      <c r="E16" s="543"/>
      <c r="F16" s="553"/>
      <c r="G16" s="545"/>
      <c r="H16" s="543"/>
      <c r="I16" s="530"/>
      <c r="J16" s="543"/>
      <c r="K16" s="543"/>
      <c r="L16" s="451"/>
      <c r="M16" s="451"/>
      <c r="N16" s="553"/>
      <c r="O16" s="546"/>
    </row>
    <row r="17" spans="2:15" ht="12.75">
      <c r="B17" s="239" t="s">
        <v>4</v>
      </c>
      <c r="C17" s="542"/>
      <c r="D17" s="543"/>
      <c r="E17" s="543"/>
      <c r="F17" s="553"/>
      <c r="G17" s="545"/>
      <c r="H17" s="543"/>
      <c r="I17" s="530"/>
      <c r="J17" s="543"/>
      <c r="K17" s="543"/>
      <c r="L17" s="451"/>
      <c r="M17" s="451"/>
      <c r="N17" s="553"/>
      <c r="O17" s="546"/>
    </row>
    <row r="18" spans="2:15" ht="12.75">
      <c r="B18" s="231"/>
      <c r="C18" s="554"/>
      <c r="D18" s="543"/>
      <c r="E18" s="543"/>
      <c r="F18" s="553"/>
      <c r="G18" s="545"/>
      <c r="H18" s="543"/>
      <c r="I18" s="530"/>
      <c r="J18" s="543"/>
      <c r="K18" s="543"/>
      <c r="L18" s="451"/>
      <c r="M18" s="451"/>
      <c r="N18" s="553"/>
      <c r="O18" s="546"/>
    </row>
    <row r="19" spans="2:15" ht="12.75">
      <c r="B19" s="238" t="s">
        <v>202</v>
      </c>
      <c r="C19" s="542"/>
      <c r="D19" s="543"/>
      <c r="E19" s="543"/>
      <c r="F19" s="553"/>
      <c r="G19" s="545"/>
      <c r="H19" s="543"/>
      <c r="I19" s="530"/>
      <c r="J19" s="543"/>
      <c r="K19" s="543"/>
      <c r="L19" s="451"/>
      <c r="M19" s="451"/>
      <c r="N19" s="553"/>
      <c r="O19" s="546"/>
    </row>
    <row r="20" spans="2:15" ht="12.75">
      <c r="B20" s="239" t="s">
        <v>203</v>
      </c>
      <c r="C20" s="542">
        <f>model!EZ24</f>
        <v>0</v>
      </c>
      <c r="D20" s="543"/>
      <c r="E20" s="543">
        <f>C20+D20</f>
        <v>0</v>
      </c>
      <c r="F20" s="544">
        <v>0</v>
      </c>
      <c r="G20" s="545"/>
      <c r="H20" s="543">
        <f>F20+G20</f>
        <v>0</v>
      </c>
      <c r="I20" s="530"/>
      <c r="J20" s="543"/>
      <c r="K20" s="543"/>
      <c r="L20" s="451"/>
      <c r="M20" s="451"/>
      <c r="N20" s="544"/>
      <c r="O20" s="546"/>
    </row>
    <row r="21" spans="2:15" ht="12.75">
      <c r="B21" s="239" t="s">
        <v>204</v>
      </c>
      <c r="C21" s="542">
        <f>model!EZ26</f>
        <v>631255371</v>
      </c>
      <c r="D21" s="533">
        <f>H21-C21+(C10-H10)*H21/H10</f>
        <v>-198913453.10007098</v>
      </c>
      <c r="E21" s="543">
        <f>C21+D21</f>
        <v>432341917.89992905</v>
      </c>
      <c r="F21" s="544">
        <v>430266151</v>
      </c>
      <c r="G21" s="545"/>
      <c r="H21" s="543">
        <f>F21+G21</f>
        <v>430266151</v>
      </c>
      <c r="I21" s="812">
        <f>I12</f>
        <v>0.032637929528860604</v>
      </c>
      <c r="J21" s="543">
        <f>E21*(1+I21)^J10</f>
        <v>464740487.1891895</v>
      </c>
      <c r="K21" s="543">
        <f>(H21-J21)*0.35</f>
        <v>-12066017.666216321</v>
      </c>
      <c r="L21" s="451"/>
      <c r="M21" s="451"/>
      <c r="N21" s="544"/>
      <c r="O21" s="546"/>
    </row>
    <row r="22" spans="2:15" ht="12.75">
      <c r="B22" s="239" t="s">
        <v>205</v>
      </c>
      <c r="C22" s="542">
        <f>model!EZ27</f>
        <v>0</v>
      </c>
      <c r="D22" s="543"/>
      <c r="E22" s="543">
        <f>C22+D22</f>
        <v>0</v>
      </c>
      <c r="F22" s="544">
        <v>0</v>
      </c>
      <c r="G22" s="545"/>
      <c r="H22" s="543">
        <f>F22+G22</f>
        <v>0</v>
      </c>
      <c r="I22" s="530"/>
      <c r="J22" s="543"/>
      <c r="K22" s="543"/>
      <c r="L22" s="451"/>
      <c r="M22" s="451"/>
      <c r="N22" s="544"/>
      <c r="O22" s="546"/>
    </row>
    <row r="23" spans="2:15" ht="12.75">
      <c r="B23" s="231"/>
      <c r="C23" s="542">
        <v>0</v>
      </c>
      <c r="D23" s="547"/>
      <c r="E23" s="547">
        <f>C23+D23</f>
        <v>0</v>
      </c>
      <c r="F23" s="548">
        <v>0</v>
      </c>
      <c r="G23" s="549"/>
      <c r="H23" s="547">
        <f>F23+G23</f>
        <v>0</v>
      </c>
      <c r="I23" s="555"/>
      <c r="J23" s="547"/>
      <c r="K23" s="543"/>
      <c r="L23" s="451"/>
      <c r="M23" s="451"/>
      <c r="N23" s="548"/>
      <c r="O23" s="546"/>
    </row>
    <row r="24" spans="2:15" ht="12.75">
      <c r="B24" s="239" t="s">
        <v>5</v>
      </c>
      <c r="C24" s="556">
        <f>SUM(C20:C23)</f>
        <v>631255371</v>
      </c>
      <c r="D24" s="556">
        <f>SUM(D20:D23)</f>
        <v>-198913453.10007098</v>
      </c>
      <c r="E24" s="543">
        <f>SUM(E20:E23)</f>
        <v>432341917.89992905</v>
      </c>
      <c r="F24" s="557">
        <f>SUM(F20:F23)</f>
        <v>430266151</v>
      </c>
      <c r="G24" s="545"/>
      <c r="H24" s="557">
        <f>SUM(H20:H23)</f>
        <v>430266151</v>
      </c>
      <c r="I24" s="530"/>
      <c r="J24" s="557">
        <f>SUM(J20:J23)</f>
        <v>464740487.1891895</v>
      </c>
      <c r="K24" s="543"/>
      <c r="L24" s="451"/>
      <c r="M24" s="451"/>
      <c r="N24" s="557">
        <f>SUM(N20:N23)</f>
        <v>0</v>
      </c>
      <c r="O24" s="546"/>
    </row>
    <row r="25" spans="2:15" ht="12.75">
      <c r="B25" s="239"/>
      <c r="C25" s="554"/>
      <c r="D25" s="543"/>
      <c r="E25" s="543"/>
      <c r="F25" s="553"/>
      <c r="G25" s="545"/>
      <c r="H25" s="543"/>
      <c r="I25" s="530"/>
      <c r="J25" s="546"/>
      <c r="K25" s="543"/>
      <c r="L25" s="451"/>
      <c r="M25" s="451"/>
      <c r="N25" s="553"/>
      <c r="O25" s="546"/>
    </row>
    <row r="26" spans="2:15" ht="12.75">
      <c r="B26" s="239" t="s">
        <v>112</v>
      </c>
      <c r="C26" s="542">
        <f>model!EZ30</f>
        <v>1549034.16663595</v>
      </c>
      <c r="D26" s="543"/>
      <c r="E26" s="543">
        <f aca="true" t="shared" si="1" ref="E26:E35">C26+D26</f>
        <v>1549034.16663595</v>
      </c>
      <c r="F26" s="544">
        <v>1162087</v>
      </c>
      <c r="G26" s="545"/>
      <c r="H26" s="543">
        <f aca="true" t="shared" si="2" ref="H26:H35">F26+G26</f>
        <v>1162087</v>
      </c>
      <c r="I26" s="812">
        <f>'[4]PSE'!$AH$336</f>
        <v>0.15242848758423466</v>
      </c>
      <c r="J26" s="543">
        <f aca="true" t="shared" si="3" ref="J26:J35">E26*(1+I26)^$J$10</f>
        <v>2131534.979302081</v>
      </c>
      <c r="K26" s="543">
        <f aca="true" t="shared" si="4" ref="K26:K35">(E26-J26)*0.35</f>
        <v>-203875.28443314575</v>
      </c>
      <c r="L26" s="451"/>
      <c r="M26" s="451"/>
      <c r="N26" s="544"/>
      <c r="O26" s="546"/>
    </row>
    <row r="27" spans="2:15" ht="12.75">
      <c r="B27" s="239" t="s">
        <v>6</v>
      </c>
      <c r="C27" s="542">
        <f>model!EZ31</f>
        <v>452528.9642791322</v>
      </c>
      <c r="D27" s="543"/>
      <c r="E27" s="543">
        <f t="shared" si="1"/>
        <v>452528.9642791322</v>
      </c>
      <c r="F27" s="544">
        <v>374864</v>
      </c>
      <c r="G27" s="545"/>
      <c r="H27" s="543">
        <f t="shared" si="2"/>
        <v>374864</v>
      </c>
      <c r="I27" s="812">
        <f>'[4]PSE'!$AF$338</f>
        <v>0.1782263997348827</v>
      </c>
      <c r="J27" s="543">
        <f t="shared" si="3"/>
        <v>654502.1354752905</v>
      </c>
      <c r="K27" s="543">
        <f t="shared" si="4"/>
        <v>-70690.60991865539</v>
      </c>
      <c r="L27" s="451"/>
      <c r="M27" s="451"/>
      <c r="N27" s="544"/>
      <c r="O27" s="546"/>
    </row>
    <row r="28" spans="2:15" ht="12.75">
      <c r="B28" s="239" t="s">
        <v>7</v>
      </c>
      <c r="C28" s="542">
        <f>model!EZ32</f>
        <v>33173893.17961446</v>
      </c>
      <c r="D28" s="543"/>
      <c r="E28" s="543">
        <f t="shared" si="1"/>
        <v>33173893.17961446</v>
      </c>
      <c r="F28" s="544">
        <v>25884370</v>
      </c>
      <c r="G28" s="545"/>
      <c r="H28" s="543">
        <f t="shared" si="2"/>
        <v>25884370</v>
      </c>
      <c r="I28" s="812">
        <f>'[4]PSE'!$AF$339</f>
        <v>0.056605410534574296</v>
      </c>
      <c r="J28" s="543">
        <f t="shared" si="3"/>
        <v>37549167.2572631</v>
      </c>
      <c r="K28" s="543">
        <f t="shared" si="4"/>
        <v>-1531345.927177025</v>
      </c>
      <c r="L28" s="451"/>
      <c r="M28" s="451"/>
      <c r="N28" s="544"/>
      <c r="O28" s="546"/>
    </row>
    <row r="29" spans="2:15" ht="12.75">
      <c r="B29" s="241" t="s">
        <v>118</v>
      </c>
      <c r="C29" s="542">
        <f>model!EZ33</f>
        <v>23236476.25722136</v>
      </c>
      <c r="D29" s="542">
        <f>D15*D55</f>
        <v>-769844.401772202</v>
      </c>
      <c r="E29" s="543">
        <f t="shared" si="1"/>
        <v>22466631.85544916</v>
      </c>
      <c r="F29" s="544">
        <v>20919269</v>
      </c>
      <c r="G29" s="545">
        <f>-N29</f>
        <v>-110893.1107</v>
      </c>
      <c r="H29" s="543">
        <f>F29+G29</f>
        <v>20808375.8893</v>
      </c>
      <c r="I29" s="812">
        <f>'[4]PSE'!$AF$340</f>
        <v>0.12558064681587988</v>
      </c>
      <c r="J29" s="543">
        <f t="shared" si="3"/>
        <v>29318068.668481905</v>
      </c>
      <c r="K29" s="543">
        <f t="shared" si="4"/>
        <v>-2398002.884561461</v>
      </c>
      <c r="L29" s="451"/>
      <c r="M29" s="451"/>
      <c r="N29" s="544">
        <f>N15*N55</f>
        <v>110893.1107</v>
      </c>
      <c r="O29" s="546"/>
    </row>
    <row r="30" spans="2:15" ht="12.75">
      <c r="B30" s="239" t="s">
        <v>9</v>
      </c>
      <c r="C30" s="542">
        <f>model!EZ34</f>
        <v>1850022.801965289</v>
      </c>
      <c r="D30" s="543"/>
      <c r="E30" s="543">
        <f t="shared" si="1"/>
        <v>1850022.801965289</v>
      </c>
      <c r="F30" s="544">
        <v>2168895</v>
      </c>
      <c r="G30" s="545"/>
      <c r="H30" s="543">
        <f t="shared" si="2"/>
        <v>2168895</v>
      </c>
      <c r="I30" s="812">
        <f>'[4]PSE'!$AF$341</f>
        <v>0.19717844398299103</v>
      </c>
      <c r="J30" s="543">
        <f t="shared" si="3"/>
        <v>2773540.936343725</v>
      </c>
      <c r="K30" s="543">
        <f t="shared" si="4"/>
        <v>-323231.3470324525</v>
      </c>
      <c r="L30" s="451"/>
      <c r="M30" s="451"/>
      <c r="N30" s="544"/>
      <c r="O30" s="546"/>
    </row>
    <row r="31" spans="2:15" ht="12.75">
      <c r="B31" s="239" t="s">
        <v>10</v>
      </c>
      <c r="C31" s="542">
        <f>model!EZ35</f>
        <v>-279572</v>
      </c>
      <c r="D31" s="543"/>
      <c r="E31" s="543">
        <f t="shared" si="1"/>
        <v>-279572</v>
      </c>
      <c r="F31" s="544">
        <v>848149</v>
      </c>
      <c r="G31" s="545"/>
      <c r="H31" s="543">
        <f t="shared" si="2"/>
        <v>848149</v>
      </c>
      <c r="I31" s="530"/>
      <c r="J31" s="543">
        <f t="shared" si="3"/>
        <v>-279572</v>
      </c>
      <c r="K31" s="543">
        <f t="shared" si="4"/>
        <v>0</v>
      </c>
      <c r="L31" s="451"/>
      <c r="M31" s="451"/>
      <c r="N31" s="544"/>
      <c r="O31" s="546"/>
    </row>
    <row r="32" spans="2:15" ht="12.75">
      <c r="B32" s="239" t="s">
        <v>11</v>
      </c>
      <c r="C32" s="542">
        <f>model!EZ36</f>
        <v>41137224.95905534</v>
      </c>
      <c r="D32" s="543"/>
      <c r="E32" s="543">
        <f t="shared" si="1"/>
        <v>41137224.95905534</v>
      </c>
      <c r="F32" s="544">
        <v>32698303</v>
      </c>
      <c r="G32" s="545"/>
      <c r="H32" s="543">
        <f t="shared" si="2"/>
        <v>32698303</v>
      </c>
      <c r="I32" s="812">
        <f>'[4]PSE'!$AF$343</f>
        <v>0.06125956340653617</v>
      </c>
      <c r="J32" s="543">
        <f t="shared" si="3"/>
        <v>47025522.48810369</v>
      </c>
      <c r="K32" s="543">
        <f t="shared" si="4"/>
        <v>-2060904.135166921</v>
      </c>
      <c r="L32" s="451"/>
      <c r="M32" s="451"/>
      <c r="N32" s="544"/>
      <c r="O32" s="546"/>
    </row>
    <row r="33" spans="2:15" ht="12.75">
      <c r="B33" s="239" t="s">
        <v>120</v>
      </c>
      <c r="C33" s="542">
        <f>model!EZ39</f>
        <v>3287</v>
      </c>
      <c r="D33" s="543"/>
      <c r="E33" s="543">
        <f t="shared" si="1"/>
        <v>3287</v>
      </c>
      <c r="F33" s="544">
        <v>36543</v>
      </c>
      <c r="G33" s="545"/>
      <c r="H33" s="543">
        <f t="shared" si="2"/>
        <v>36543</v>
      </c>
      <c r="I33" s="530"/>
      <c r="J33" s="543">
        <f t="shared" si="3"/>
        <v>3287</v>
      </c>
      <c r="K33" s="543">
        <f t="shared" si="4"/>
        <v>0</v>
      </c>
      <c r="L33" s="451"/>
      <c r="M33" s="451"/>
      <c r="N33" s="544"/>
      <c r="O33" s="546"/>
    </row>
    <row r="34" spans="2:15" ht="12.75">
      <c r="B34" s="239" t="s">
        <v>12</v>
      </c>
      <c r="C34" s="542">
        <f>model!EZ40</f>
        <v>868223.7066666667</v>
      </c>
      <c r="D34" s="544"/>
      <c r="E34" s="543">
        <f t="shared" si="1"/>
        <v>868223.7066666667</v>
      </c>
      <c r="F34" s="544">
        <v>600936</v>
      </c>
      <c r="G34" s="545"/>
      <c r="H34" s="543">
        <f>F34+G34</f>
        <v>600936</v>
      </c>
      <c r="I34" s="530"/>
      <c r="J34" s="543">
        <f t="shared" si="3"/>
        <v>868223.7066666667</v>
      </c>
      <c r="K34" s="543">
        <f t="shared" si="4"/>
        <v>0</v>
      </c>
      <c r="L34" s="451"/>
      <c r="M34" s="451"/>
      <c r="N34" s="544"/>
      <c r="O34" s="546"/>
    </row>
    <row r="35" spans="2:15" ht="12.75">
      <c r="B35" s="239" t="s">
        <v>231</v>
      </c>
      <c r="C35" s="558">
        <f>model!EZ41</f>
        <v>0</v>
      </c>
      <c r="D35" s="547"/>
      <c r="E35" s="547">
        <f t="shared" si="1"/>
        <v>0</v>
      </c>
      <c r="F35" s="548">
        <v>0</v>
      </c>
      <c r="G35" s="549"/>
      <c r="H35" s="547">
        <f t="shared" si="2"/>
        <v>0</v>
      </c>
      <c r="I35" s="559"/>
      <c r="J35" s="547">
        <f t="shared" si="3"/>
        <v>0</v>
      </c>
      <c r="K35" s="543">
        <f t="shared" si="4"/>
        <v>0</v>
      </c>
      <c r="L35" s="451"/>
      <c r="M35" s="451"/>
      <c r="N35" s="548"/>
      <c r="O35" s="546"/>
    </row>
    <row r="36" spans="2:15" ht="12.75">
      <c r="B36" s="239" t="s">
        <v>206</v>
      </c>
      <c r="C36" s="542">
        <f>SUM(C26:C35)</f>
        <v>101991119.0354382</v>
      </c>
      <c r="D36" s="542">
        <f>SUM(D26:D35)</f>
        <v>-769844.401772202</v>
      </c>
      <c r="E36" s="542">
        <f>SUM(E26:E35)</f>
        <v>101221274.633666</v>
      </c>
      <c r="F36" s="544">
        <f>SUM(F26:F34)</f>
        <v>84693416</v>
      </c>
      <c r="G36" s="544">
        <f>SUM(G26:G34)</f>
        <v>-110893.1107</v>
      </c>
      <c r="H36" s="544">
        <f>SUM(H26:H34)</f>
        <v>84582522.8893</v>
      </c>
      <c r="I36" s="530"/>
      <c r="J36" s="544">
        <f>SUM(J26:J35)</f>
        <v>120044275.17163646</v>
      </c>
      <c r="K36" s="543"/>
      <c r="L36" s="451"/>
      <c r="M36" s="451"/>
      <c r="N36" s="544">
        <f>SUM(N26:N34)</f>
        <v>110893.1107</v>
      </c>
      <c r="O36" s="546"/>
    </row>
    <row r="37" spans="2:15" ht="12.75">
      <c r="B37" s="239" t="s">
        <v>197</v>
      </c>
      <c r="C37" s="542">
        <f>model!EZ37</f>
        <v>64955993.97685912</v>
      </c>
      <c r="D37" s="543"/>
      <c r="E37" s="543">
        <f>C37+D37</f>
        <v>64955993.97685912</v>
      </c>
      <c r="F37" s="544">
        <v>57876318</v>
      </c>
      <c r="G37" s="545"/>
      <c r="H37" s="543">
        <f>F37+G37</f>
        <v>57876318</v>
      </c>
      <c r="I37" s="812">
        <f>'[4]PSE'!$AF$347</f>
        <v>0.06731455034860771</v>
      </c>
      <c r="J37" s="543">
        <f>E37*(1+I37)^$J$10</f>
        <v>75210279.1324996</v>
      </c>
      <c r="K37" s="543">
        <f>(E37-J37)*0.35</f>
        <v>-3588999.804474169</v>
      </c>
      <c r="L37" s="451"/>
      <c r="M37" s="451"/>
      <c r="N37" s="544"/>
      <c r="O37" s="546"/>
    </row>
    <row r="38" spans="2:15" ht="12.75">
      <c r="B38" s="239" t="s">
        <v>51</v>
      </c>
      <c r="C38" s="542">
        <f>model!EZ38</f>
        <v>11302712</v>
      </c>
      <c r="D38" s="543"/>
      <c r="E38" s="543">
        <f>C38+D38</f>
        <v>11302712</v>
      </c>
      <c r="F38" s="544">
        <v>9600784</v>
      </c>
      <c r="G38" s="545"/>
      <c r="H38" s="543">
        <f>F38+G38</f>
        <v>9600784</v>
      </c>
      <c r="I38" s="812">
        <f>'[4]PSE'!$AF$348</f>
        <v>0.26942429809976076</v>
      </c>
      <c r="J38" s="543">
        <f>E38*(1+I38)^$J$10</f>
        <v>19332943.297845542</v>
      </c>
      <c r="K38" s="543">
        <f>(E38-J38)*0.35</f>
        <v>-2810580.95424594</v>
      </c>
      <c r="L38" s="451"/>
      <c r="M38" s="451"/>
      <c r="N38" s="544"/>
      <c r="O38" s="546"/>
    </row>
    <row r="39" spans="2:15" ht="12.75">
      <c r="B39" s="239" t="s">
        <v>13</v>
      </c>
      <c r="C39" s="542">
        <f>model!EZ42</f>
        <v>51061443.85718872</v>
      </c>
      <c r="D39" s="544">
        <f>D15*(D56+D57+D58)</f>
        <v>-8382757.031184363</v>
      </c>
      <c r="E39" s="543">
        <f>C39+D39</f>
        <v>42678686.826004356</v>
      </c>
      <c r="F39" s="544">
        <v>74529344</v>
      </c>
      <c r="G39" s="545">
        <f>-N39</f>
        <v>-29860217.8893</v>
      </c>
      <c r="H39" s="543">
        <f>F39+G39</f>
        <v>44669126.1107</v>
      </c>
      <c r="I39" s="530">
        <f>'[4]PSE'!$AF$349</f>
        <v>0.09531276376899014</v>
      </c>
      <c r="J39" s="543">
        <f>E39*(1+I39)^$J$10</f>
        <v>52380770.507527836</v>
      </c>
      <c r="K39" s="547">
        <f>(E39-J39)*0.35</f>
        <v>-3395729.2885332177</v>
      </c>
      <c r="L39" s="451"/>
      <c r="M39" s="451"/>
      <c r="N39" s="544">
        <f>(+N13-(N13*(N56+N57+N58))-N36)+(N15*(N56+N57+N58))</f>
        <v>29860217.8893</v>
      </c>
      <c r="O39" s="546"/>
    </row>
    <row r="40" spans="2:15" ht="12.75">
      <c r="B40" s="239" t="s">
        <v>14</v>
      </c>
      <c r="C40" s="542">
        <f>model!EZ43</f>
        <v>11450487.226410527</v>
      </c>
      <c r="D40" s="543"/>
      <c r="E40" s="543">
        <f>C40+D40</f>
        <v>11450487.226410527</v>
      </c>
      <c r="F40" s="544">
        <v>1999556</v>
      </c>
      <c r="G40" s="545">
        <f>-N40</f>
        <v>-2.546585164964199E-11</v>
      </c>
      <c r="H40" s="543">
        <f>F40+G40</f>
        <v>1999556</v>
      </c>
      <c r="I40" s="530"/>
      <c r="J40" s="543">
        <f>K40</f>
        <v>4295932.3274175525</v>
      </c>
      <c r="K40" s="543">
        <f>E40+SUM(K12:K39)</f>
        <v>4295932.3274175525</v>
      </c>
      <c r="L40" s="451"/>
      <c r="M40" s="451"/>
      <c r="N40" s="544">
        <f>(N15-N39-N36)*0.35</f>
        <v>2.546585164964199E-11</v>
      </c>
      <c r="O40" s="546"/>
    </row>
    <row r="41" spans="2:15" ht="12.75">
      <c r="B41" s="231" t="s">
        <v>15</v>
      </c>
      <c r="C41" s="548">
        <f>model!EZ44</f>
        <v>8180050</v>
      </c>
      <c r="D41" s="547"/>
      <c r="E41" s="547">
        <f>C41+D41</f>
        <v>8180050</v>
      </c>
      <c r="F41" s="548">
        <v>21612100</v>
      </c>
      <c r="G41" s="549"/>
      <c r="H41" s="547">
        <f>F41+G41</f>
        <v>21612100</v>
      </c>
      <c r="I41" s="559"/>
      <c r="J41" s="547">
        <f>K41</f>
        <v>8180050</v>
      </c>
      <c r="K41" s="547">
        <f>E41</f>
        <v>8180050</v>
      </c>
      <c r="L41" s="451"/>
      <c r="M41" s="451"/>
      <c r="N41" s="548"/>
      <c r="O41" s="546"/>
    </row>
    <row r="42" spans="2:15" ht="12.75">
      <c r="B42" s="239" t="s">
        <v>16</v>
      </c>
      <c r="C42" s="557">
        <f aca="true" t="shared" si="5" ref="C42:H42">SUM(C36:C41)+C24</f>
        <v>880197177.0958966</v>
      </c>
      <c r="D42" s="557">
        <f t="shared" si="5"/>
        <v>-208066054.53302756</v>
      </c>
      <c r="E42" s="557">
        <f t="shared" si="5"/>
        <v>672131122.5628691</v>
      </c>
      <c r="F42" s="557">
        <f t="shared" si="5"/>
        <v>680577669</v>
      </c>
      <c r="G42" s="557">
        <f t="shared" si="5"/>
        <v>-29971111</v>
      </c>
      <c r="H42" s="557">
        <f t="shared" si="5"/>
        <v>650606558</v>
      </c>
      <c r="I42" s="530"/>
      <c r="J42" s="557">
        <f>SUM(J36:J41)+J24</f>
        <v>744184737.6261165</v>
      </c>
      <c r="K42" s="546"/>
      <c r="L42" s="451"/>
      <c r="M42" s="451"/>
      <c r="N42" s="557">
        <f>SUM(N36:N41)+N24</f>
        <v>29971111</v>
      </c>
      <c r="O42" s="546"/>
    </row>
    <row r="43" spans="2:15" ht="12.75">
      <c r="B43" s="231"/>
      <c r="C43" s="543"/>
      <c r="D43" s="543"/>
      <c r="E43" s="543"/>
      <c r="F43" s="553"/>
      <c r="G43" s="545"/>
      <c r="H43" s="543"/>
      <c r="I43" s="530"/>
      <c r="J43" s="543"/>
      <c r="K43" s="546"/>
      <c r="L43" s="451"/>
      <c r="M43" s="451"/>
      <c r="N43" s="553"/>
      <c r="O43" s="546"/>
    </row>
    <row r="44" spans="2:15" ht="12.75">
      <c r="B44" s="231" t="s">
        <v>17</v>
      </c>
      <c r="C44" s="543">
        <f>C15-C42</f>
        <v>80630346.2812239</v>
      </c>
      <c r="D44" s="543">
        <f>D15-D42</f>
        <v>0</v>
      </c>
      <c r="E44" s="543">
        <f>E15-E42</f>
        <v>80630346.2812239</v>
      </c>
      <c r="F44" s="544">
        <f>F15-F42</f>
        <v>89685338</v>
      </c>
      <c r="G44" s="545"/>
      <c r="H44" s="543">
        <f>H15-H42</f>
        <v>89685338</v>
      </c>
      <c r="I44" s="530"/>
      <c r="J44" s="543">
        <f>J15-J42</f>
        <v>69419082.65445173</v>
      </c>
      <c r="K44" s="546"/>
      <c r="L44" s="451"/>
      <c r="M44" s="451"/>
      <c r="N44" s="544">
        <f>N15-N42</f>
        <v>0</v>
      </c>
      <c r="O44" s="546"/>
    </row>
    <row r="45" spans="2:15" ht="12.75">
      <c r="B45" s="239"/>
      <c r="C45" s="560"/>
      <c r="D45" s="543"/>
      <c r="E45" s="543"/>
      <c r="F45" s="561"/>
      <c r="G45" s="545"/>
      <c r="H45" s="543"/>
      <c r="I45" s="530"/>
      <c r="J45" s="543"/>
      <c r="K45" s="546"/>
      <c r="L45" s="451"/>
      <c r="M45" s="451"/>
      <c r="N45" s="561"/>
      <c r="O45" s="546"/>
    </row>
    <row r="46" spans="2:15" ht="12.75">
      <c r="B46" s="231" t="s">
        <v>127</v>
      </c>
      <c r="C46" s="542">
        <f>model!EZ49</f>
        <v>1180351743.494883</v>
      </c>
      <c r="D46" s="543"/>
      <c r="E46" s="543">
        <f>C46+D46</f>
        <v>1180351743.494883</v>
      </c>
      <c r="F46" s="544">
        <v>1067682555</v>
      </c>
      <c r="G46" s="545"/>
      <c r="H46" s="543">
        <f>F46+G46</f>
        <v>1067682555</v>
      </c>
      <c r="I46" s="530">
        <f>I68</f>
        <v>0.06311522196710917</v>
      </c>
      <c r="J46" s="543">
        <f>E46*(1+I46)^$J$10</f>
        <v>1354619125.7329936</v>
      </c>
      <c r="K46" s="546"/>
      <c r="L46" s="451"/>
      <c r="M46" s="451"/>
      <c r="N46" s="544"/>
      <c r="O46" s="546"/>
    </row>
    <row r="47" spans="2:15" ht="12.75">
      <c r="B47" s="231" t="s">
        <v>19</v>
      </c>
      <c r="C47" s="445">
        <f>model!FB51</f>
        <v>0.07850000097019014</v>
      </c>
      <c r="D47" s="454"/>
      <c r="E47" s="445">
        <f>C47</f>
        <v>0.07850000097019014</v>
      </c>
      <c r="F47" s="442">
        <v>0.084</v>
      </c>
      <c r="G47" s="562"/>
      <c r="H47" s="454">
        <f>H48/H46</f>
        <v>0.08400000316573497</v>
      </c>
      <c r="I47" s="563"/>
      <c r="J47" s="454">
        <f>C47</f>
        <v>0.07850000097019014</v>
      </c>
      <c r="K47" s="546"/>
      <c r="L47" s="451"/>
      <c r="M47" s="451"/>
      <c r="N47" s="548"/>
      <c r="O47" s="546"/>
    </row>
    <row r="48" spans="2:15" ht="12.75">
      <c r="B48" s="231" t="s">
        <v>207</v>
      </c>
      <c r="C48" s="554">
        <f>+C47*C46</f>
        <v>92657613.00951394</v>
      </c>
      <c r="D48" s="564"/>
      <c r="E48" s="554">
        <f>+E47*E46+2</f>
        <v>92657615.00951394</v>
      </c>
      <c r="F48" s="565">
        <f>F46*F47+1</f>
        <v>89685335.62</v>
      </c>
      <c r="G48" s="566"/>
      <c r="H48" s="564">
        <f>H44</f>
        <v>89685338</v>
      </c>
      <c r="I48" s="567"/>
      <c r="J48" s="564">
        <f>J46*J47</f>
        <v>106337602.68427812</v>
      </c>
      <c r="K48" s="546"/>
      <c r="L48" s="451"/>
      <c r="M48" s="451"/>
      <c r="N48" s="565"/>
      <c r="O48" s="546"/>
    </row>
    <row r="49" spans="2:15" ht="12.75">
      <c r="B49" s="236" t="s">
        <v>208</v>
      </c>
      <c r="C49" s="568">
        <f>C48-C44</f>
        <v>12027266.728290051</v>
      </c>
      <c r="D49" s="547"/>
      <c r="E49" s="568">
        <f>E48-E44</f>
        <v>12027268.728290051</v>
      </c>
      <c r="F49" s="569">
        <f>F44-F48</f>
        <v>2.3799999952316284</v>
      </c>
      <c r="G49" s="549"/>
      <c r="H49" s="547"/>
      <c r="I49" s="555"/>
      <c r="J49" s="568">
        <f>J48-J44</f>
        <v>36918520.02982639</v>
      </c>
      <c r="K49" s="546"/>
      <c r="L49" s="451"/>
      <c r="M49" s="451"/>
      <c r="N49" s="569"/>
      <c r="O49" s="546"/>
    </row>
    <row r="50" spans="3:15" ht="10.5">
      <c r="C50" s="546"/>
      <c r="D50" s="546"/>
      <c r="E50" s="546"/>
      <c r="F50" s="546"/>
      <c r="G50" s="546"/>
      <c r="H50" s="546"/>
      <c r="J50" s="546"/>
      <c r="K50" s="546"/>
      <c r="L50" s="451"/>
      <c r="M50" s="451"/>
      <c r="N50" s="451"/>
      <c r="O50" s="451"/>
    </row>
    <row r="51" spans="2:15" ht="10.5">
      <c r="B51" s="450" t="s">
        <v>339</v>
      </c>
      <c r="C51" s="546"/>
      <c r="D51" s="546"/>
      <c r="E51" s="546"/>
      <c r="F51" s="546"/>
      <c r="G51" s="546"/>
      <c r="H51" s="546"/>
      <c r="I51" s="508" t="s">
        <v>340</v>
      </c>
      <c r="J51" s="546">
        <f>J49-C49</f>
        <v>24891253.301536337</v>
      </c>
      <c r="K51" s="546"/>
      <c r="L51" s="451"/>
      <c r="M51" s="451"/>
      <c r="N51" s="451"/>
      <c r="O51" s="451"/>
    </row>
    <row r="52" spans="3:15" ht="10.5">
      <c r="C52" s="546"/>
      <c r="D52" s="546"/>
      <c r="E52" s="546"/>
      <c r="F52" s="546"/>
      <c r="G52" s="546"/>
      <c r="H52" s="546"/>
      <c r="J52" s="546"/>
      <c r="K52" s="546"/>
      <c r="L52" s="451"/>
      <c r="M52" s="451"/>
      <c r="N52" s="451"/>
      <c r="O52" s="451"/>
    </row>
    <row r="53" spans="3:15" ht="10.5">
      <c r="C53" s="546"/>
      <c r="D53" s="546"/>
      <c r="E53" s="546"/>
      <c r="F53" s="546"/>
      <c r="G53" s="546"/>
      <c r="H53" s="546"/>
      <c r="I53" s="570"/>
      <c r="J53" s="546"/>
      <c r="K53" s="546"/>
      <c r="L53" s="451"/>
      <c r="M53" s="451"/>
      <c r="N53" s="511"/>
      <c r="O53" s="451"/>
    </row>
    <row r="54" spans="2:15" ht="13.5" thickBot="1">
      <c r="B54" s="334" t="s">
        <v>341</v>
      </c>
      <c r="C54" s="571"/>
      <c r="D54" s="571"/>
      <c r="E54" s="571"/>
      <c r="F54" s="546"/>
      <c r="G54" s="571"/>
      <c r="H54" s="546"/>
      <c r="J54" s="546"/>
      <c r="K54" s="546"/>
      <c r="L54" s="451"/>
      <c r="M54" s="451"/>
      <c r="N54" s="572"/>
      <c r="O54" s="451"/>
    </row>
    <row r="55" spans="2:15" ht="12.75">
      <c r="B55" s="573" t="s">
        <v>342</v>
      </c>
      <c r="C55" s="571"/>
      <c r="D55" s="576">
        <v>0.0037</v>
      </c>
      <c r="E55" s="574"/>
      <c r="F55" s="575"/>
      <c r="G55" s="574"/>
      <c r="H55" s="575"/>
      <c r="I55" s="575"/>
      <c r="J55" s="575"/>
      <c r="K55" s="575"/>
      <c r="L55" s="575"/>
      <c r="M55" s="575"/>
      <c r="N55" s="576">
        <v>0.0037</v>
      </c>
      <c r="O55" s="451"/>
    </row>
    <row r="56" spans="2:15" ht="12.75">
      <c r="B56" s="577" t="s">
        <v>343</v>
      </c>
      <c r="C56" s="571"/>
      <c r="D56" s="574">
        <f>model!DO22</f>
        <v>0.03838892194836</v>
      </c>
      <c r="E56" s="574"/>
      <c r="F56" s="575"/>
      <c r="G56" s="574"/>
      <c r="H56" s="575"/>
      <c r="I56" s="575"/>
      <c r="J56" s="575"/>
      <c r="K56" s="575"/>
      <c r="L56" s="575"/>
      <c r="M56" s="575"/>
      <c r="N56" s="576">
        <v>0.0384</v>
      </c>
      <c r="O56" s="451"/>
    </row>
    <row r="57" spans="2:15" ht="12.75">
      <c r="B57" s="577" t="s">
        <v>344</v>
      </c>
      <c r="C57" s="571"/>
      <c r="D57" s="574"/>
      <c r="E57" s="574"/>
      <c r="F57" s="575"/>
      <c r="G57" s="574"/>
      <c r="H57" s="575"/>
      <c r="I57" s="575"/>
      <c r="J57" s="575"/>
      <c r="K57" s="575"/>
      <c r="L57" s="575"/>
      <c r="M57" s="575"/>
      <c r="N57" s="576">
        <v>0.0388</v>
      </c>
      <c r="O57" s="451"/>
    </row>
    <row r="58" spans="2:15" ht="12.75">
      <c r="B58" s="577" t="s">
        <v>345</v>
      </c>
      <c r="C58" s="571"/>
      <c r="D58" s="574">
        <f>WUTC_FILING_FEE</f>
        <v>0.0019</v>
      </c>
      <c r="E58" s="574"/>
      <c r="F58" s="575"/>
      <c r="G58" s="574"/>
      <c r="H58" s="575"/>
      <c r="I58" s="575"/>
      <c r="J58" s="575"/>
      <c r="K58" s="575"/>
      <c r="L58" s="575"/>
      <c r="M58" s="575"/>
      <c r="N58" s="576">
        <v>0.0019</v>
      </c>
      <c r="O58" s="451"/>
    </row>
    <row r="59" spans="2:15" ht="13.5" thickBot="1">
      <c r="B59" s="578" t="s">
        <v>209</v>
      </c>
      <c r="C59" s="571"/>
      <c r="D59" s="574"/>
      <c r="E59" s="574"/>
      <c r="F59" s="575"/>
      <c r="G59" s="574"/>
      <c r="H59" s="575"/>
      <c r="I59" s="575"/>
      <c r="J59" s="575"/>
      <c r="K59" s="575"/>
      <c r="L59" s="575"/>
      <c r="M59" s="575"/>
      <c r="N59" s="576">
        <v>0.321</v>
      </c>
      <c r="O59" s="451"/>
    </row>
    <row r="60" spans="1:15" ht="12.75">
      <c r="A60" s="579"/>
      <c r="B60" s="580" t="str">
        <f>B54</f>
        <v>Gas Conversion factor</v>
      </c>
      <c r="C60" s="546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81">
        <f>1-SUM(N55:N59)</f>
        <v>0.5962000000000001</v>
      </c>
      <c r="O60" s="451"/>
    </row>
    <row r="61" spans="3:15" ht="10.5">
      <c r="C61" s="606">
        <f>C6</f>
        <v>38625</v>
      </c>
      <c r="D61" s="546"/>
      <c r="E61" s="606">
        <f>C61</f>
        <v>38625</v>
      </c>
      <c r="F61" s="606">
        <f>F6</f>
        <v>37894</v>
      </c>
      <c r="G61" s="546"/>
      <c r="H61" s="606">
        <f>F61</f>
        <v>37894</v>
      </c>
      <c r="J61" s="546"/>
      <c r="K61" s="546"/>
      <c r="L61" s="451"/>
      <c r="M61" s="451"/>
      <c r="N61" s="451"/>
      <c r="O61" s="451"/>
    </row>
    <row r="62" spans="3:15" ht="10.5">
      <c r="C62" s="607" t="str">
        <f>C7</f>
        <v>RESTATED </v>
      </c>
      <c r="D62" s="546"/>
      <c r="E62" s="607" t="s">
        <v>157</v>
      </c>
      <c r="F62" s="607" t="str">
        <f>F7</f>
        <v>RESTATED </v>
      </c>
      <c r="G62" s="546"/>
      <c r="H62" s="607" t="s">
        <v>157</v>
      </c>
      <c r="J62" s="546"/>
      <c r="K62" s="546"/>
      <c r="L62" s="451"/>
      <c r="M62" s="451"/>
      <c r="N62" s="451"/>
      <c r="O62" s="451"/>
    </row>
    <row r="63" spans="3:15" ht="10.5">
      <c r="C63" s="546"/>
      <c r="D63" s="546"/>
      <c r="E63" s="546"/>
      <c r="F63" s="546"/>
      <c r="G63" s="546"/>
      <c r="H63" s="546"/>
      <c r="J63" s="546"/>
      <c r="K63" s="546"/>
      <c r="L63" s="451"/>
      <c r="M63" s="451"/>
      <c r="N63" s="451"/>
      <c r="O63" s="451"/>
    </row>
    <row r="64" spans="2:15" ht="12.75">
      <c r="B64" s="231" t="s">
        <v>346</v>
      </c>
      <c r="C64" s="542">
        <f>C46</f>
        <v>1180351743.494883</v>
      </c>
      <c r="D64" s="582"/>
      <c r="E64" s="582">
        <f>C64+D64</f>
        <v>1180351743.494883</v>
      </c>
      <c r="F64" s="583">
        <f>F46</f>
        <v>1067682555</v>
      </c>
      <c r="G64" s="582"/>
      <c r="H64" s="582">
        <f>F64+G64</f>
        <v>1067682555</v>
      </c>
      <c r="I64" s="570">
        <f>((E64/H64)^(1/2))-1</f>
        <v>0.051440374403733724</v>
      </c>
      <c r="J64" s="582">
        <f>E64*(1+I64)^$J$10</f>
        <v>1321377499.4294558</v>
      </c>
      <c r="K64" s="546">
        <f>J64-E64</f>
        <v>141025755.9345727</v>
      </c>
      <c r="L64" s="451" t="s">
        <v>354</v>
      </c>
      <c r="M64" s="451"/>
      <c r="N64" s="451"/>
      <c r="O64" s="451"/>
    </row>
    <row r="65" spans="2:15" ht="10.5">
      <c r="B65" t="s">
        <v>347</v>
      </c>
      <c r="C65" s="546">
        <f>'Bonus Depreciation'!H38</f>
        <v>-44999266.372375</v>
      </c>
      <c r="D65" s="582"/>
      <c r="E65" s="582">
        <f>C65+D65</f>
        <v>-44999266.372375</v>
      </c>
      <c r="F65" s="582">
        <f>'Bonus Depreciation'!H36</f>
        <v>-21066910.990999997</v>
      </c>
      <c r="G65" s="582"/>
      <c r="H65" s="582">
        <f>F65+G65</f>
        <v>-21066910.990999997</v>
      </c>
      <c r="I65" s="570"/>
      <c r="J65" s="582"/>
      <c r="K65" s="546"/>
      <c r="L65" s="451"/>
      <c r="M65" s="451"/>
      <c r="N65" s="451"/>
      <c r="O65" s="451"/>
    </row>
    <row r="66" spans="2:15" ht="12.75">
      <c r="B66" s="231" t="s">
        <v>348</v>
      </c>
      <c r="C66" s="546">
        <f>C64-C65</f>
        <v>1225351009.867258</v>
      </c>
      <c r="D66" s="582"/>
      <c r="E66" s="582">
        <f>C66+D66</f>
        <v>1225351009.867258</v>
      </c>
      <c r="F66" s="582">
        <f>F64-F65</f>
        <v>1088749465.991</v>
      </c>
      <c r="G66" s="582"/>
      <c r="H66" s="582">
        <f>F66+G66</f>
        <v>1088749465.991</v>
      </c>
      <c r="I66" s="570">
        <f>((E66/H66)^(1/2))-1</f>
        <v>0.060880041448369004</v>
      </c>
      <c r="J66" s="582">
        <f>E66*(1+I66)^$J$10</f>
        <v>1399618392.1053686</v>
      </c>
      <c r="K66" s="546">
        <f>J66-E66</f>
        <v>174267382.23811054</v>
      </c>
      <c r="L66" s="451" t="s">
        <v>355</v>
      </c>
      <c r="M66" s="451"/>
      <c r="N66" s="451"/>
      <c r="O66" s="451"/>
    </row>
    <row r="67" ht="10.5">
      <c r="K67" s="546"/>
    </row>
    <row r="68" spans="5:11" ht="10.5">
      <c r="E68" s="531">
        <f>E64</f>
        <v>1180351743.494883</v>
      </c>
      <c r="G68" t="s">
        <v>356</v>
      </c>
      <c r="H68" s="582">
        <f>H64</f>
        <v>1067682555</v>
      </c>
      <c r="I68" s="570">
        <f>((J68/E68)^(1/2.25))-1</f>
        <v>0.06311522196710917</v>
      </c>
      <c r="J68" s="582">
        <f>K68+E68</f>
        <v>1354619125.7329936</v>
      </c>
      <c r="K68" s="546">
        <f>K66</f>
        <v>174267382.23811054</v>
      </c>
    </row>
    <row r="71" spans="3:6" ht="12.75">
      <c r="C71" s="612">
        <f>C92-C96</f>
        <v>310025745</v>
      </c>
      <c r="D71" s="612">
        <f>D92-D96</f>
        <v>320419550.9441639</v>
      </c>
      <c r="F71" s="612">
        <f>F92-F96</f>
        <v>348863333.09137875</v>
      </c>
    </row>
    <row r="73" spans="1:8" ht="12.75">
      <c r="A73" s="334"/>
      <c r="B73" s="337" t="s">
        <v>388</v>
      </c>
      <c r="C73" s="613"/>
      <c r="D73" s="613"/>
      <c r="E73" s="614"/>
      <c r="F73" s="614"/>
      <c r="G73" s="614"/>
      <c r="H73" s="615"/>
    </row>
    <row r="74" spans="1:8" ht="12.75">
      <c r="A74" s="334"/>
      <c r="B74" s="337" t="s">
        <v>389</v>
      </c>
      <c r="C74" s="616"/>
      <c r="D74" s="616"/>
      <c r="E74" s="614"/>
      <c r="F74" s="613"/>
      <c r="G74" s="614"/>
      <c r="H74" s="614"/>
    </row>
    <row r="75" spans="1:8" ht="12.75">
      <c r="A75" s="334"/>
      <c r="B75" s="337"/>
      <c r="C75" s="616"/>
      <c r="D75" s="616"/>
      <c r="E75" s="614"/>
      <c r="F75" s="613"/>
      <c r="G75" s="614"/>
      <c r="H75" s="614"/>
    </row>
    <row r="76" spans="1:8" ht="12.75">
      <c r="A76" s="334"/>
      <c r="B76" s="337"/>
      <c r="C76" s="616"/>
      <c r="D76" s="616"/>
      <c r="E76" s="614"/>
      <c r="F76" s="613"/>
      <c r="G76" s="614"/>
      <c r="H76" s="614"/>
    </row>
    <row r="77" spans="1:8" ht="12.75">
      <c r="A77" s="334"/>
      <c r="B77" s="337"/>
      <c r="C77" s="616"/>
      <c r="D77" s="616"/>
      <c r="E77" s="614"/>
      <c r="F77" s="613"/>
      <c r="G77" s="614"/>
      <c r="H77" s="614"/>
    </row>
    <row r="78" spans="1:8" ht="12.75">
      <c r="A78" s="334"/>
      <c r="B78" s="337"/>
      <c r="C78" s="616"/>
      <c r="D78" s="616"/>
      <c r="E78" s="614"/>
      <c r="F78" s="613"/>
      <c r="G78" s="614"/>
      <c r="H78" s="614"/>
    </row>
    <row r="79" spans="1:8" ht="12.75">
      <c r="A79" s="114"/>
      <c r="B79" s="1"/>
      <c r="C79" s="255"/>
      <c r="D79" s="3"/>
      <c r="E79" s="1"/>
      <c r="F79" s="3"/>
      <c r="G79" s="1" t="s">
        <v>226</v>
      </c>
      <c r="H79" s="614"/>
    </row>
    <row r="80" spans="1:8" ht="12.75">
      <c r="A80" s="3"/>
      <c r="B80" s="3"/>
      <c r="C80" s="3"/>
      <c r="D80" s="3"/>
      <c r="E80" s="1"/>
      <c r="F80" s="3"/>
      <c r="G80" s="1" t="s">
        <v>402</v>
      </c>
      <c r="H80" s="614"/>
    </row>
    <row r="81" spans="1:8" ht="12.75">
      <c r="A81" s="40"/>
      <c r="B81" s="6"/>
      <c r="C81" s="40"/>
      <c r="D81" s="40"/>
      <c r="E81" s="60"/>
      <c r="F81" s="40"/>
      <c r="G81" s="647" t="s">
        <v>408</v>
      </c>
      <c r="H81" s="614"/>
    </row>
    <row r="82" spans="1:8" ht="12.75">
      <c r="A82" s="857" t="str">
        <f>PSE</f>
        <v>PUGET SOUND ENERGY-GAS </v>
      </c>
      <c r="B82" s="857"/>
      <c r="C82" s="857"/>
      <c r="D82" s="857"/>
      <c r="E82" s="857"/>
      <c r="F82" s="857"/>
      <c r="G82" s="857"/>
      <c r="H82" s="614"/>
    </row>
    <row r="83" spans="1:8" ht="12.75">
      <c r="A83" s="856" t="s">
        <v>390</v>
      </c>
      <c r="B83" s="856"/>
      <c r="C83" s="856"/>
      <c r="D83" s="856"/>
      <c r="E83" s="856"/>
      <c r="F83" s="856"/>
      <c r="G83" s="856"/>
      <c r="H83" s="334"/>
    </row>
    <row r="84" spans="1:8" ht="12.75">
      <c r="A84" s="856" t="s">
        <v>394</v>
      </c>
      <c r="B84" s="856"/>
      <c r="C84" s="856"/>
      <c r="D84" s="856"/>
      <c r="E84" s="856"/>
      <c r="F84" s="856"/>
      <c r="G84" s="856"/>
      <c r="H84" s="334"/>
    </row>
    <row r="85" spans="1:8" ht="12.75">
      <c r="A85" s="857"/>
      <c r="B85" s="857"/>
      <c r="C85" s="857"/>
      <c r="D85" s="857"/>
      <c r="E85" s="857"/>
      <c r="F85" s="857"/>
      <c r="G85" s="857"/>
      <c r="H85" s="334"/>
    </row>
    <row r="86" spans="1:8" ht="12.75">
      <c r="A86" s="39"/>
      <c r="B86" s="6"/>
      <c r="C86" s="642">
        <f>F6</f>
        <v>37894</v>
      </c>
      <c r="D86" s="642">
        <f>C6</f>
        <v>38625</v>
      </c>
      <c r="E86" s="6" t="s">
        <v>562</v>
      </c>
      <c r="F86" s="644">
        <f>J6</f>
        <v>39447</v>
      </c>
      <c r="G86" s="627" t="s">
        <v>563</v>
      </c>
      <c r="H86" s="334"/>
    </row>
    <row r="87" spans="1:8" ht="12.75">
      <c r="A87" s="15">
        <v>1</v>
      </c>
      <c r="B87" s="618" t="s">
        <v>391</v>
      </c>
      <c r="C87" s="619">
        <f>H10</f>
        <v>1033465074</v>
      </c>
      <c r="D87" s="619">
        <f>C10</f>
        <v>1038450901</v>
      </c>
      <c r="E87" s="625">
        <f>I10</f>
        <v>0.032637929528860604</v>
      </c>
      <c r="F87" s="648">
        <f>D87*(1+E87)^$J$10</f>
        <v>1116269687.6514735</v>
      </c>
      <c r="G87" s="643" t="s">
        <v>395</v>
      </c>
      <c r="H87" s="334"/>
    </row>
    <row r="88" spans="1:8" ht="12.75">
      <c r="A88" s="15">
        <f>1+A87</f>
        <v>2</v>
      </c>
      <c r="B88" s="618" t="str">
        <f>B11</f>
        <v>OPERATING REVENUES:</v>
      </c>
      <c r="C88" s="628"/>
      <c r="D88" s="628"/>
      <c r="E88" s="629"/>
      <c r="F88" s="626"/>
      <c r="G88" s="627"/>
      <c r="H88" s="334"/>
    </row>
    <row r="89" spans="1:8" ht="12.75">
      <c r="A89" s="15">
        <f aca="true" t="shared" si="6" ref="A89:A122">1+A88</f>
        <v>3</v>
      </c>
      <c r="B89" s="618" t="str">
        <f>B12</f>
        <v>SALES TO CUSTOMERS</v>
      </c>
      <c r="C89" s="630">
        <f>H12</f>
        <v>727098208</v>
      </c>
      <c r="D89" s="630">
        <f>E12</f>
        <v>735706376.844093</v>
      </c>
      <c r="E89" s="631">
        <f aca="true" t="shared" si="7" ref="E89:G92">I12</f>
        <v>0.032637929528860604</v>
      </c>
      <c r="F89" s="630">
        <f t="shared" si="7"/>
        <v>790838282.9579277</v>
      </c>
      <c r="G89" s="630">
        <f t="shared" si="7"/>
        <v>19296167.139842156</v>
      </c>
      <c r="H89" s="334"/>
    </row>
    <row r="90" spans="1:8" ht="12.75">
      <c r="A90" s="15">
        <f t="shared" si="6"/>
        <v>4</v>
      </c>
      <c r="B90" s="618" t="str">
        <f>B13</f>
        <v>MUNICIPAL ADDITIONS</v>
      </c>
      <c r="C90" s="632">
        <f>H13</f>
        <v>0</v>
      </c>
      <c r="D90" s="632">
        <f>E13</f>
        <v>0</v>
      </c>
      <c r="E90" s="631">
        <f t="shared" si="7"/>
        <v>0</v>
      </c>
      <c r="F90" s="632">
        <f t="shared" si="7"/>
        <v>0</v>
      </c>
      <c r="G90" s="633"/>
      <c r="H90" s="334"/>
    </row>
    <row r="91" spans="1:8" ht="12.75">
      <c r="A91" s="15">
        <f t="shared" si="6"/>
        <v>5</v>
      </c>
      <c r="B91" s="618" t="str">
        <f>B14</f>
        <v>OTHER OPERATING REVENUES</v>
      </c>
      <c r="C91" s="634">
        <f>H14</f>
        <v>13193688</v>
      </c>
      <c r="D91" s="634">
        <f>E14</f>
        <v>17055092</v>
      </c>
      <c r="E91" s="635">
        <f t="shared" si="7"/>
        <v>0.13695670797049542</v>
      </c>
      <c r="F91" s="649">
        <f>D91*(1+E91)^$J$10</f>
        <v>22765537.32264051</v>
      </c>
      <c r="G91" s="632">
        <f t="shared" si="7"/>
        <v>1998655.862924178</v>
      </c>
      <c r="H91" s="334"/>
    </row>
    <row r="92" spans="1:8" ht="12.75">
      <c r="A92" s="15">
        <f t="shared" si="6"/>
        <v>6</v>
      </c>
      <c r="B92" s="618" t="str">
        <f>B15</f>
        <v>TOTAL OPERATING REVENUES</v>
      </c>
      <c r="C92" s="632">
        <f>H15</f>
        <v>740291896</v>
      </c>
      <c r="D92" s="632">
        <f>E15</f>
        <v>752761468.844093</v>
      </c>
      <c r="E92" s="631">
        <f t="shared" si="7"/>
        <v>0</v>
      </c>
      <c r="F92" s="632">
        <f>SUM(F89:F91)</f>
        <v>813603820.2805682</v>
      </c>
      <c r="G92" s="337"/>
      <c r="H92" s="334"/>
    </row>
    <row r="93" spans="1:8" ht="12.75">
      <c r="A93" s="15">
        <f t="shared" si="6"/>
        <v>7</v>
      </c>
      <c r="B93" s="618"/>
      <c r="C93" s="632"/>
      <c r="D93" s="632"/>
      <c r="E93" s="631"/>
      <c r="F93" s="632"/>
      <c r="G93" s="636"/>
      <c r="H93" s="334"/>
    </row>
    <row r="94" spans="1:8" ht="12.75">
      <c r="A94" s="15">
        <f t="shared" si="6"/>
        <v>8</v>
      </c>
      <c r="B94" s="618" t="s">
        <v>403</v>
      </c>
      <c r="C94" s="632"/>
      <c r="D94" s="632"/>
      <c r="E94" s="631"/>
      <c r="F94" s="632"/>
      <c r="G94" s="636"/>
      <c r="H94" s="334"/>
    </row>
    <row r="95" spans="1:8" ht="12.75">
      <c r="A95" s="15">
        <f t="shared" si="6"/>
        <v>9</v>
      </c>
      <c r="B95" s="618" t="s">
        <v>404</v>
      </c>
      <c r="C95" s="634">
        <f>H21</f>
        <v>430266151</v>
      </c>
      <c r="D95" s="634">
        <f>E21</f>
        <v>432341917.89992905</v>
      </c>
      <c r="E95" s="635">
        <f>I21</f>
        <v>0.032637929528860604</v>
      </c>
      <c r="F95" s="634">
        <f>J21</f>
        <v>464740487.1891895</v>
      </c>
      <c r="G95" s="632">
        <f>K21</f>
        <v>-12066017.666216321</v>
      </c>
      <c r="H95" s="334"/>
    </row>
    <row r="96" spans="1:8" ht="12.75">
      <c r="A96" s="15">
        <f t="shared" si="6"/>
        <v>10</v>
      </c>
      <c r="B96" s="618" t="str">
        <f>B24</f>
        <v>TOTAL PRODUCTION EXPENSES</v>
      </c>
      <c r="C96" s="632">
        <f>H24</f>
        <v>430266151</v>
      </c>
      <c r="D96" s="632">
        <f>SUM(D95:D95)</f>
        <v>432341917.89992905</v>
      </c>
      <c r="E96" s="631">
        <f>I24</f>
        <v>0</v>
      </c>
      <c r="F96" s="632">
        <f>SUM(F95:F95)</f>
        <v>464740487.1891895</v>
      </c>
      <c r="G96" s="337"/>
      <c r="H96" s="334"/>
    </row>
    <row r="97" spans="1:9" ht="12.75">
      <c r="A97" s="15">
        <f t="shared" si="6"/>
        <v>11</v>
      </c>
      <c r="B97" s="618"/>
      <c r="C97" s="632"/>
      <c r="D97" s="632"/>
      <c r="E97" s="631"/>
      <c r="F97" s="632"/>
      <c r="G97" s="636"/>
      <c r="H97" s="334"/>
      <c r="I97" s="816" t="s">
        <v>564</v>
      </c>
    </row>
    <row r="98" spans="1:9" ht="12.75">
      <c r="A98" s="15">
        <f t="shared" si="6"/>
        <v>12</v>
      </c>
      <c r="B98" s="618" t="str">
        <f aca="true" t="shared" si="8" ref="B98:B106">B26</f>
        <v>OTHER POWER SUPPLY EXPENSES</v>
      </c>
      <c r="C98" s="632">
        <f>H26</f>
        <v>1162087</v>
      </c>
      <c r="D98" s="632">
        <f aca="true" t="shared" si="9" ref="D98:D106">E26</f>
        <v>1549034.16663595</v>
      </c>
      <c r="E98" s="631">
        <f>I26</f>
        <v>0.15242848758423466</v>
      </c>
      <c r="F98" s="632">
        <f>J26</f>
        <v>2131534.979302081</v>
      </c>
      <c r="G98" s="632">
        <f>K26</f>
        <v>-203875.28443314575</v>
      </c>
      <c r="H98" s="334"/>
      <c r="I98" s="817"/>
    </row>
    <row r="99" spans="1:9" ht="12.75">
      <c r="A99" s="15">
        <f t="shared" si="6"/>
        <v>13</v>
      </c>
      <c r="B99" s="618" t="str">
        <f t="shared" si="8"/>
        <v>TRANSMISSION EXPENSE</v>
      </c>
      <c r="C99" s="632">
        <f aca="true" t="shared" si="10" ref="C99:C106">H27</f>
        <v>374864</v>
      </c>
      <c r="D99" s="632">
        <f t="shared" si="9"/>
        <v>452528.9642791322</v>
      </c>
      <c r="E99" s="631">
        <f aca="true" t="shared" si="11" ref="E99:G106">I27</f>
        <v>0.1782263997348827</v>
      </c>
      <c r="F99" s="632">
        <f t="shared" si="11"/>
        <v>654502.1354752905</v>
      </c>
      <c r="G99" s="632">
        <f t="shared" si="11"/>
        <v>-70690.60991865539</v>
      </c>
      <c r="H99" s="334"/>
      <c r="I99" s="815">
        <f>D99-C99</f>
        <v>77664.9642791322</v>
      </c>
    </row>
    <row r="100" spans="1:9" ht="12.75">
      <c r="A100" s="15">
        <f t="shared" si="6"/>
        <v>14</v>
      </c>
      <c r="B100" s="618" t="str">
        <f t="shared" si="8"/>
        <v>DISTRIBUTION EXPENSE</v>
      </c>
      <c r="C100" s="632">
        <f t="shared" si="10"/>
        <v>25884370</v>
      </c>
      <c r="D100" s="632">
        <f t="shared" si="9"/>
        <v>33173893.17961446</v>
      </c>
      <c r="E100" s="631">
        <f t="shared" si="11"/>
        <v>0.056605410534574296</v>
      </c>
      <c r="F100" s="632">
        <f t="shared" si="11"/>
        <v>37549167.2572631</v>
      </c>
      <c r="G100" s="632">
        <f t="shared" si="11"/>
        <v>-1531345.927177025</v>
      </c>
      <c r="H100" s="334"/>
      <c r="I100" s="815">
        <f>D100-C100</f>
        <v>7289523.179614458</v>
      </c>
    </row>
    <row r="101" spans="1:9" ht="12.75">
      <c r="A101" s="15">
        <f t="shared" si="6"/>
        <v>15</v>
      </c>
      <c r="B101" s="618" t="str">
        <f t="shared" si="8"/>
        <v>CUSTOMER ACCOUNT EXPENSES</v>
      </c>
      <c r="C101" s="632">
        <f t="shared" si="10"/>
        <v>20808375.8893</v>
      </c>
      <c r="D101" s="632">
        <f t="shared" si="9"/>
        <v>22466631.85544916</v>
      </c>
      <c r="E101" s="631">
        <f t="shared" si="11"/>
        <v>0.12558064681587988</v>
      </c>
      <c r="F101" s="632">
        <f t="shared" si="11"/>
        <v>29318068.668481905</v>
      </c>
      <c r="G101" s="632">
        <f t="shared" si="11"/>
        <v>-2398002.884561461</v>
      </c>
      <c r="H101" s="334"/>
      <c r="I101" s="815">
        <f>D101-C101</f>
        <v>1658255.9661491588</v>
      </c>
    </row>
    <row r="102" spans="1:9" ht="12.75">
      <c r="A102" s="15">
        <f t="shared" si="6"/>
        <v>16</v>
      </c>
      <c r="B102" s="618" t="str">
        <f t="shared" si="8"/>
        <v>CUSTOMER SERVICE EXPENSES</v>
      </c>
      <c r="C102" s="632">
        <f t="shared" si="10"/>
        <v>2168895</v>
      </c>
      <c r="D102" s="632">
        <f t="shared" si="9"/>
        <v>1850022.801965289</v>
      </c>
      <c r="E102" s="631">
        <f t="shared" si="11"/>
        <v>0.19717844398299103</v>
      </c>
      <c r="F102" s="632">
        <f t="shared" si="11"/>
        <v>2773540.936343725</v>
      </c>
      <c r="G102" s="632">
        <f t="shared" si="11"/>
        <v>-323231.3470324525</v>
      </c>
      <c r="H102" s="334"/>
      <c r="I102" s="815"/>
    </row>
    <row r="103" spans="1:9" ht="12.75">
      <c r="A103" s="15">
        <f t="shared" si="6"/>
        <v>17</v>
      </c>
      <c r="B103" s="618" t="str">
        <f t="shared" si="8"/>
        <v>CONSERVATION AMORTIZATION</v>
      </c>
      <c r="C103" s="632">
        <f t="shared" si="10"/>
        <v>848149</v>
      </c>
      <c r="D103" s="632">
        <f t="shared" si="9"/>
        <v>-279572</v>
      </c>
      <c r="E103" s="631">
        <f t="shared" si="11"/>
        <v>0</v>
      </c>
      <c r="F103" s="632">
        <f t="shared" si="11"/>
        <v>-279572</v>
      </c>
      <c r="G103" s="632">
        <f t="shared" si="11"/>
        <v>0</v>
      </c>
      <c r="H103" s="334"/>
      <c r="I103" s="815"/>
    </row>
    <row r="104" spans="1:9" ht="12.75">
      <c r="A104" s="15">
        <f t="shared" si="6"/>
        <v>18</v>
      </c>
      <c r="B104" s="618" t="str">
        <f t="shared" si="8"/>
        <v>ADMIN &amp; GENERAL EXPENSE</v>
      </c>
      <c r="C104" s="632">
        <f t="shared" si="10"/>
        <v>32698303</v>
      </c>
      <c r="D104" s="632">
        <f t="shared" si="9"/>
        <v>41137224.95905534</v>
      </c>
      <c r="E104" s="631">
        <f t="shared" si="11"/>
        <v>0.06125956340653617</v>
      </c>
      <c r="F104" s="632">
        <f t="shared" si="11"/>
        <v>47025522.48810369</v>
      </c>
      <c r="G104" s="632">
        <f t="shared" si="11"/>
        <v>-2060904.135166921</v>
      </c>
      <c r="H104" s="334"/>
      <c r="I104" s="818">
        <f>D104-C104</f>
        <v>8438921.959055342</v>
      </c>
    </row>
    <row r="105" spans="1:9" ht="12.75">
      <c r="A105" s="15">
        <f t="shared" si="6"/>
        <v>19</v>
      </c>
      <c r="B105" s="618" t="str">
        <f t="shared" si="8"/>
        <v>AMORTIZATION OF PROPERTY LOSS</v>
      </c>
      <c r="C105" s="632">
        <f t="shared" si="10"/>
        <v>36543</v>
      </c>
      <c r="D105" s="632">
        <f t="shared" si="9"/>
        <v>3287</v>
      </c>
      <c r="E105" s="631">
        <f t="shared" si="11"/>
        <v>0</v>
      </c>
      <c r="F105" s="632">
        <f t="shared" si="11"/>
        <v>3287</v>
      </c>
      <c r="G105" s="632">
        <f t="shared" si="11"/>
        <v>0</v>
      </c>
      <c r="H105" s="334"/>
      <c r="I105" s="814">
        <f>SUM(I99:I104)</f>
        <v>17464366.069098093</v>
      </c>
    </row>
    <row r="106" spans="1:8" ht="12.75">
      <c r="A106" s="15">
        <f t="shared" si="6"/>
        <v>20</v>
      </c>
      <c r="B106" s="618" t="str">
        <f t="shared" si="8"/>
        <v>OTHER OPERATING EXPENSES</v>
      </c>
      <c r="C106" s="634">
        <f t="shared" si="10"/>
        <v>600936</v>
      </c>
      <c r="D106" s="634">
        <f t="shared" si="9"/>
        <v>868223.7066666667</v>
      </c>
      <c r="E106" s="635">
        <f t="shared" si="11"/>
        <v>0</v>
      </c>
      <c r="F106" s="634">
        <f t="shared" si="11"/>
        <v>868223.7066666667</v>
      </c>
      <c r="G106" s="632">
        <f t="shared" si="11"/>
        <v>0</v>
      </c>
      <c r="H106" s="334"/>
    </row>
    <row r="107" spans="1:8" ht="12.75">
      <c r="A107" s="15">
        <f t="shared" si="6"/>
        <v>21</v>
      </c>
      <c r="B107" s="618" t="str">
        <f aca="true" t="shared" si="12" ref="B107:B113">B36</f>
        <v>Subtotal</v>
      </c>
      <c r="C107" s="632">
        <f aca="true" t="shared" si="13" ref="C107:C113">H36</f>
        <v>84582522.8893</v>
      </c>
      <c r="D107" s="632">
        <f aca="true" t="shared" si="14" ref="D107:D112">E36</f>
        <v>101221274.633666</v>
      </c>
      <c r="E107" s="631">
        <f aca="true" t="shared" si="15" ref="E107:G113">I36</f>
        <v>0</v>
      </c>
      <c r="F107" s="632">
        <f>SUM(F98:F106)</f>
        <v>120044275.17163646</v>
      </c>
      <c r="G107" s="627"/>
      <c r="H107" s="334"/>
    </row>
    <row r="108" spans="1:8" ht="12.75">
      <c r="A108" s="15">
        <f t="shared" si="6"/>
        <v>22</v>
      </c>
      <c r="B108" s="618" t="str">
        <f t="shared" si="12"/>
        <v>DEPRECIATION</v>
      </c>
      <c r="C108" s="632">
        <f t="shared" si="13"/>
        <v>57876318</v>
      </c>
      <c r="D108" s="632">
        <f t="shared" si="14"/>
        <v>64955993.97685912</v>
      </c>
      <c r="E108" s="631">
        <f t="shared" si="15"/>
        <v>0.06731455034860771</v>
      </c>
      <c r="F108" s="632">
        <f t="shared" si="15"/>
        <v>75210279.1324996</v>
      </c>
      <c r="G108" s="632">
        <f t="shared" si="15"/>
        <v>-3588999.804474169</v>
      </c>
      <c r="H108" s="334"/>
    </row>
    <row r="109" spans="1:8" ht="12.75">
      <c r="A109" s="15">
        <f t="shared" si="6"/>
        <v>23</v>
      </c>
      <c r="B109" s="618" t="str">
        <f t="shared" si="12"/>
        <v>AMORTIZATION</v>
      </c>
      <c r="C109" s="632">
        <f t="shared" si="13"/>
        <v>9600784</v>
      </c>
      <c r="D109" s="632">
        <f t="shared" si="14"/>
        <v>11302712</v>
      </c>
      <c r="E109" s="631">
        <f t="shared" si="15"/>
        <v>0.26942429809976076</v>
      </c>
      <c r="F109" s="632">
        <f t="shared" si="15"/>
        <v>19332943.297845542</v>
      </c>
      <c r="G109" s="632">
        <f t="shared" si="15"/>
        <v>-2810580.95424594</v>
      </c>
      <c r="H109" s="334"/>
    </row>
    <row r="110" spans="1:8" ht="12.75">
      <c r="A110" s="15">
        <f t="shared" si="6"/>
        <v>24</v>
      </c>
      <c r="B110" s="618" t="str">
        <f t="shared" si="12"/>
        <v>TAXES OTHER THAN F.I.T.</v>
      </c>
      <c r="C110" s="632">
        <f t="shared" si="13"/>
        <v>44669126.1107</v>
      </c>
      <c r="D110" s="632">
        <f t="shared" si="14"/>
        <v>42678686.826004356</v>
      </c>
      <c r="E110" s="631">
        <f t="shared" si="15"/>
        <v>0.09531276376899014</v>
      </c>
      <c r="F110" s="632">
        <f t="shared" si="15"/>
        <v>52380770.507527836</v>
      </c>
      <c r="G110" s="634">
        <f t="shared" si="15"/>
        <v>-3395729.2885332177</v>
      </c>
      <c r="H110" s="334"/>
    </row>
    <row r="111" spans="1:8" ht="12.75">
      <c r="A111" s="15">
        <f t="shared" si="6"/>
        <v>25</v>
      </c>
      <c r="B111" s="618" t="str">
        <f t="shared" si="12"/>
        <v>FEDERAL INCOME TAXES</v>
      </c>
      <c r="C111" s="632">
        <f t="shared" si="13"/>
        <v>1999556</v>
      </c>
      <c r="D111" s="632">
        <f t="shared" si="14"/>
        <v>11450487.226410527</v>
      </c>
      <c r="E111" s="631">
        <f t="shared" si="15"/>
        <v>0</v>
      </c>
      <c r="F111" s="632">
        <f>J40</f>
        <v>4295932.3274175525</v>
      </c>
      <c r="G111" s="637">
        <f>SUM(G89:G110)</f>
        <v>-7154554.898992974</v>
      </c>
      <c r="H111" s="334"/>
    </row>
    <row r="112" spans="1:8" ht="12.75">
      <c r="A112" s="15">
        <f t="shared" si="6"/>
        <v>26</v>
      </c>
      <c r="B112" s="618" t="str">
        <f t="shared" si="12"/>
        <v>DEFERRED INCOME TAXES</v>
      </c>
      <c r="C112" s="634">
        <f t="shared" si="13"/>
        <v>21612100</v>
      </c>
      <c r="D112" s="634">
        <f t="shared" si="14"/>
        <v>8180050</v>
      </c>
      <c r="E112" s="635">
        <f t="shared" si="15"/>
        <v>0</v>
      </c>
      <c r="F112" s="634">
        <f>J41</f>
        <v>8180050</v>
      </c>
      <c r="G112" s="636"/>
      <c r="H112" s="334"/>
    </row>
    <row r="113" spans="1:8" ht="12.75">
      <c r="A113" s="15">
        <f t="shared" si="6"/>
        <v>27</v>
      </c>
      <c r="B113" s="618" t="str">
        <f t="shared" si="12"/>
        <v>TOTAL OPERATING REV. DEDUCT.</v>
      </c>
      <c r="C113" s="632">
        <f t="shared" si="13"/>
        <v>650606558</v>
      </c>
      <c r="D113" s="632">
        <f>SUM(D107:D112)+D96</f>
        <v>672131122.5628691</v>
      </c>
      <c r="E113" s="631">
        <f t="shared" si="15"/>
        <v>0</v>
      </c>
      <c r="F113" s="632">
        <f>J42</f>
        <v>744184737.6261165</v>
      </c>
      <c r="G113" s="633"/>
      <c r="H113" s="334"/>
    </row>
    <row r="114" spans="1:8" ht="12.75">
      <c r="A114" s="15">
        <f t="shared" si="6"/>
        <v>28</v>
      </c>
      <c r="B114" s="618"/>
      <c r="C114" s="632"/>
      <c r="D114" s="632"/>
      <c r="E114" s="631"/>
      <c r="F114" s="632"/>
      <c r="G114" s="633"/>
      <c r="H114" s="334"/>
    </row>
    <row r="115" spans="1:8" ht="12.75">
      <c r="A115" s="15">
        <f t="shared" si="6"/>
        <v>29</v>
      </c>
      <c r="B115" s="618" t="str">
        <f>B44</f>
        <v>NET OPERATING INCOME</v>
      </c>
      <c r="C115" s="632">
        <f>H44</f>
        <v>89685338</v>
      </c>
      <c r="D115" s="632">
        <f>D92-D113</f>
        <v>80630346.2812239</v>
      </c>
      <c r="E115" s="631">
        <f>I44</f>
        <v>0</v>
      </c>
      <c r="F115" s="632">
        <f>J44</f>
        <v>69419082.65445173</v>
      </c>
      <c r="G115" s="633"/>
      <c r="H115" s="334"/>
    </row>
    <row r="116" spans="1:8" ht="12.75">
      <c r="A116" s="15">
        <f t="shared" si="6"/>
        <v>30</v>
      </c>
      <c r="B116" s="618"/>
      <c r="C116" s="632"/>
      <c r="D116" s="632"/>
      <c r="E116" s="631"/>
      <c r="F116" s="632"/>
      <c r="G116" s="633"/>
      <c r="H116" s="334"/>
    </row>
    <row r="117" spans="1:8" ht="12.75">
      <c r="A117" s="15">
        <f t="shared" si="6"/>
        <v>31</v>
      </c>
      <c r="B117" s="618" t="str">
        <f>B46</f>
        <v>RATE BASE</v>
      </c>
      <c r="C117" s="632">
        <f>H46</f>
        <v>1067682555</v>
      </c>
      <c r="D117" s="632">
        <f>E46</f>
        <v>1180351743.494883</v>
      </c>
      <c r="E117" s="631">
        <f>I46</f>
        <v>0.06311522196710917</v>
      </c>
      <c r="F117" s="632">
        <f>J46</f>
        <v>1354619125.7329936</v>
      </c>
      <c r="G117" s="633"/>
      <c r="H117" s="334"/>
    </row>
    <row r="118" spans="1:8" ht="12.75">
      <c r="A118" s="15">
        <f t="shared" si="6"/>
        <v>32</v>
      </c>
      <c r="B118" s="618" t="str">
        <f>B47</f>
        <v>RATE OF RETURN</v>
      </c>
      <c r="C118" s="638">
        <f>H47</f>
        <v>0.08400000316573497</v>
      </c>
      <c r="D118" s="638">
        <f>E47</f>
        <v>0.07850000097019014</v>
      </c>
      <c r="E118" s="638"/>
      <c r="F118" s="638">
        <f>J47</f>
        <v>0.07850000097019014</v>
      </c>
      <c r="G118" s="633"/>
      <c r="H118" s="334"/>
    </row>
    <row r="119" spans="1:8" ht="12.75">
      <c r="A119" s="15">
        <f t="shared" si="6"/>
        <v>33</v>
      </c>
      <c r="B119" s="618" t="str">
        <f>B48</f>
        <v>Return on Rate Base</v>
      </c>
      <c r="C119" s="620">
        <f>H48</f>
        <v>89685338</v>
      </c>
      <c r="D119" s="620">
        <f>E48</f>
        <v>92657615.00951394</v>
      </c>
      <c r="E119" s="625">
        <f>I48</f>
        <v>0</v>
      </c>
      <c r="F119" s="620">
        <f>J48</f>
        <v>106337602.68427812</v>
      </c>
      <c r="G119" s="633"/>
      <c r="H119" s="334"/>
    </row>
    <row r="120" spans="1:8" ht="12.75">
      <c r="A120" s="15">
        <f t="shared" si="6"/>
        <v>34</v>
      </c>
      <c r="B120" s="618" t="str">
        <f>B49</f>
        <v>Revenue Deficiency - Net of Tax</v>
      </c>
      <c r="C120" s="632">
        <f>C119-C115</f>
        <v>0</v>
      </c>
      <c r="D120" s="632">
        <f>D119-D115</f>
        <v>12027268.728290051</v>
      </c>
      <c r="E120" s="639"/>
      <c r="F120" s="632">
        <f>J49</f>
        <v>36918520.02982639</v>
      </c>
      <c r="G120" s="633"/>
      <c r="H120" s="334"/>
    </row>
    <row r="121" spans="1:8" ht="12.75">
      <c r="A121" s="15">
        <f t="shared" si="6"/>
        <v>35</v>
      </c>
      <c r="B121" s="618"/>
      <c r="C121" s="632"/>
      <c r="D121" s="632"/>
      <c r="E121" s="631"/>
      <c r="F121" s="634">
        <f>-D120</f>
        <v>-12027268.728290051</v>
      </c>
      <c r="G121" s="633"/>
      <c r="H121" s="334"/>
    </row>
    <row r="122" spans="1:8" ht="13.5" thickBot="1">
      <c r="A122" s="15">
        <f t="shared" si="6"/>
        <v>36</v>
      </c>
      <c r="B122" s="618" t="s">
        <v>392</v>
      </c>
      <c r="C122" s="632"/>
      <c r="D122" s="632"/>
      <c r="E122" s="631"/>
      <c r="F122" s="640">
        <f>SUM(F120:F121)</f>
        <v>24891251.301536337</v>
      </c>
      <c r="G122" s="633"/>
      <c r="H122" s="334"/>
    </row>
    <row r="123" spans="1:8" ht="13.5" thickTop="1">
      <c r="A123" s="334"/>
      <c r="B123" s="624"/>
      <c r="C123" s="622"/>
      <c r="D123" s="622"/>
      <c r="E123" s="621"/>
      <c r="F123" s="622"/>
      <c r="G123" s="617"/>
      <c r="H123" s="334"/>
    </row>
    <row r="124" spans="1:8" ht="12.75">
      <c r="A124" s="334"/>
      <c r="B124" s="624"/>
      <c r="C124" s="622"/>
      <c r="D124" s="622"/>
      <c r="E124" s="621"/>
      <c r="F124" s="622"/>
      <c r="G124" s="617"/>
      <c r="H124" s="334"/>
    </row>
    <row r="125" spans="1:8" ht="12.75">
      <c r="A125" s="334"/>
      <c r="B125" s="624"/>
      <c r="C125" s="622"/>
      <c r="D125" s="622"/>
      <c r="E125" s="623"/>
      <c r="F125" s="622"/>
      <c r="G125" s="617"/>
      <c r="H125" s="334"/>
    </row>
    <row r="126" spans="1:8" ht="12.75">
      <c r="A126" s="114"/>
      <c r="B126" s="1"/>
      <c r="C126" s="255"/>
      <c r="D126" s="3"/>
      <c r="E126" s="1"/>
      <c r="F126" s="3"/>
      <c r="G126" s="1" t="s">
        <v>226</v>
      </c>
      <c r="H126" s="334"/>
    </row>
    <row r="127" spans="1:8" ht="12.75">
      <c r="A127" s="3"/>
      <c r="B127" s="3"/>
      <c r="C127" s="3"/>
      <c r="D127" s="3"/>
      <c r="E127" s="1"/>
      <c r="F127" s="3"/>
      <c r="G127" s="1" t="s">
        <v>402</v>
      </c>
      <c r="H127" s="334"/>
    </row>
    <row r="128" spans="1:8" ht="12.75">
      <c r="A128" s="40"/>
      <c r="B128" s="6"/>
      <c r="C128" s="40"/>
      <c r="D128" s="40"/>
      <c r="E128" s="60"/>
      <c r="F128" s="40"/>
      <c r="G128" s="647" t="s">
        <v>409</v>
      </c>
      <c r="H128" s="334"/>
    </row>
    <row r="129" spans="1:7" ht="12.75">
      <c r="A129" s="857" t="str">
        <f>PSE</f>
        <v>PUGET SOUND ENERGY-GAS </v>
      </c>
      <c r="B129" s="857"/>
      <c r="C129" s="857"/>
      <c r="D129" s="857"/>
      <c r="E129" s="857"/>
      <c r="F129" s="857"/>
      <c r="G129" s="857"/>
    </row>
    <row r="130" spans="1:7" ht="12.75">
      <c r="A130" s="856" t="s">
        <v>390</v>
      </c>
      <c r="B130" s="856"/>
      <c r="C130" s="856"/>
      <c r="D130" s="856"/>
      <c r="E130" s="856"/>
      <c r="F130" s="856"/>
      <c r="G130" s="856"/>
    </row>
    <row r="131" spans="1:7" ht="12.75">
      <c r="A131" s="856" t="s">
        <v>394</v>
      </c>
      <c r="B131" s="856"/>
      <c r="C131" s="856"/>
      <c r="D131" s="856"/>
      <c r="E131" s="856"/>
      <c r="F131" s="856"/>
      <c r="G131" s="856"/>
    </row>
    <row r="132" spans="1:7" ht="12.75">
      <c r="A132" s="857"/>
      <c r="B132" s="857"/>
      <c r="C132" s="857"/>
      <c r="D132" s="857"/>
      <c r="E132" s="857"/>
      <c r="F132" s="857"/>
      <c r="G132" s="857"/>
    </row>
    <row r="133" spans="1:7" ht="12.75">
      <c r="A133" s="52"/>
      <c r="B133" s="52"/>
      <c r="C133" s="52" t="s">
        <v>392</v>
      </c>
      <c r="D133" s="52" t="s">
        <v>396</v>
      </c>
      <c r="E133" s="52"/>
      <c r="F133" s="271"/>
      <c r="G133" s="271"/>
    </row>
    <row r="134" spans="1:7" ht="12.75">
      <c r="A134" s="52"/>
      <c r="B134" s="52"/>
      <c r="C134" s="52" t="s">
        <v>397</v>
      </c>
      <c r="D134" s="52" t="s">
        <v>398</v>
      </c>
      <c r="E134" s="52" t="s">
        <v>399</v>
      </c>
      <c r="F134" s="52" t="s">
        <v>399</v>
      </c>
      <c r="G134" s="271"/>
    </row>
    <row r="135" spans="1:7" ht="12.75">
      <c r="A135" s="39"/>
      <c r="B135" s="6"/>
      <c r="C135" s="644">
        <v>39447</v>
      </c>
      <c r="D135" s="644">
        <v>39447</v>
      </c>
      <c r="E135" s="644"/>
      <c r="F135" s="271" t="s">
        <v>405</v>
      </c>
      <c r="G135" s="627"/>
    </row>
    <row r="136" spans="1:7" ht="12.75">
      <c r="A136" s="15">
        <v>1</v>
      </c>
      <c r="B136" s="618" t="s">
        <v>391</v>
      </c>
      <c r="C136" s="648">
        <f>F87</f>
        <v>1116269687.6514735</v>
      </c>
      <c r="D136" s="648">
        <f>J3</f>
        <v>1066503102.0000002</v>
      </c>
      <c r="E136" s="648">
        <f>D136-C136</f>
        <v>-49766585.651473284</v>
      </c>
      <c r="F136" s="650">
        <f>E136/C136</f>
        <v>-0.04458294102402575</v>
      </c>
      <c r="G136" s="626"/>
    </row>
    <row r="137" spans="1:7" ht="12.75">
      <c r="A137" s="15">
        <f>1+A136</f>
        <v>2</v>
      </c>
      <c r="B137" s="618" t="s">
        <v>0</v>
      </c>
      <c r="C137" s="626"/>
      <c r="D137" s="626"/>
      <c r="E137" s="626"/>
      <c r="F137" s="626"/>
      <c r="G137" s="627"/>
    </row>
    <row r="138" spans="1:7" ht="12.75">
      <c r="A138" s="15">
        <f aca="true" t="shared" si="16" ref="A138:A162">1+A137</f>
        <v>3</v>
      </c>
      <c r="B138" s="618" t="s">
        <v>3</v>
      </c>
      <c r="C138" s="645">
        <f>F92+model!FA19</f>
        <v>832952694.2805682</v>
      </c>
      <c r="D138" s="651">
        <f>1415837000-52042000</f>
        <v>1363795000</v>
      </c>
      <c r="E138" s="645">
        <f>D138-C138</f>
        <v>530842305.71943176</v>
      </c>
      <c r="F138" s="632"/>
      <c r="G138" s="627"/>
    </row>
    <row r="139" spans="1:7" ht="12.75">
      <c r="A139" s="15">
        <f t="shared" si="16"/>
        <v>4</v>
      </c>
      <c r="B139" s="618"/>
      <c r="C139" s="632"/>
      <c r="D139" s="632"/>
      <c r="E139" s="632"/>
      <c r="F139" s="632"/>
      <c r="G139" s="636"/>
    </row>
    <row r="140" spans="1:7" ht="12.75">
      <c r="A140" s="15">
        <f t="shared" si="16"/>
        <v>5</v>
      </c>
      <c r="B140" s="618" t="s">
        <v>4</v>
      </c>
      <c r="C140" s="632"/>
      <c r="D140" s="632"/>
      <c r="E140" s="632"/>
      <c r="F140" s="632"/>
      <c r="G140" s="636"/>
    </row>
    <row r="141" spans="1:7" ht="12.75">
      <c r="A141" s="15">
        <f t="shared" si="16"/>
        <v>6</v>
      </c>
      <c r="B141" s="618" t="s">
        <v>5</v>
      </c>
      <c r="C141" s="634">
        <f>F96</f>
        <v>464740487.1891895</v>
      </c>
      <c r="D141" s="634">
        <v>957809000</v>
      </c>
      <c r="E141" s="634">
        <f>D141-C141</f>
        <v>493068512.8108105</v>
      </c>
      <c r="F141" s="632"/>
      <c r="G141" s="627"/>
    </row>
    <row r="142" spans="1:7" ht="12.75">
      <c r="A142" s="15">
        <f t="shared" si="16"/>
        <v>7</v>
      </c>
      <c r="B142" s="618"/>
      <c r="C142" s="620">
        <f>C138-C141</f>
        <v>368212207.09137875</v>
      </c>
      <c r="D142" s="620">
        <f>D138-D141</f>
        <v>405986000</v>
      </c>
      <c r="E142" s="620">
        <f>D142-C142</f>
        <v>37773792.90862125</v>
      </c>
      <c r="F142" s="632"/>
      <c r="G142" s="636"/>
    </row>
    <row r="143" spans="1:7" ht="12.75">
      <c r="A143" s="15">
        <f t="shared" si="16"/>
        <v>8</v>
      </c>
      <c r="B143" s="618"/>
      <c r="C143" s="632"/>
      <c r="D143" s="632"/>
      <c r="E143" s="632"/>
      <c r="F143" s="632"/>
      <c r="G143" s="636"/>
    </row>
    <row r="144" spans="1:7" ht="12.75">
      <c r="A144" s="15">
        <f t="shared" si="16"/>
        <v>9</v>
      </c>
      <c r="B144" s="618" t="s">
        <v>112</v>
      </c>
      <c r="C144" s="632">
        <f>F98</f>
        <v>2131534.979302081</v>
      </c>
      <c r="D144" s="632">
        <v>2040000</v>
      </c>
      <c r="E144" s="632">
        <f>D144-C144</f>
        <v>-91534.97930208081</v>
      </c>
      <c r="F144" s="632"/>
      <c r="G144" s="632"/>
    </row>
    <row r="145" spans="1:7" ht="12.75">
      <c r="A145" s="15">
        <f t="shared" si="16"/>
        <v>10</v>
      </c>
      <c r="B145" s="618" t="s">
        <v>6</v>
      </c>
      <c r="C145" s="632">
        <f>F99</f>
        <v>654502.1354752905</v>
      </c>
      <c r="D145" s="632">
        <v>2346000</v>
      </c>
      <c r="E145" s="632">
        <f>D145-C145</f>
        <v>1691497.8645247095</v>
      </c>
      <c r="F145" s="632"/>
      <c r="G145" s="632"/>
    </row>
    <row r="146" spans="1:7" ht="12.75">
      <c r="A146" s="15">
        <f t="shared" si="16"/>
        <v>11</v>
      </c>
      <c r="B146" s="618" t="s">
        <v>7</v>
      </c>
      <c r="C146" s="632">
        <f>F100</f>
        <v>37549167.2572631</v>
      </c>
      <c r="D146" s="632">
        <v>48284000</v>
      </c>
      <c r="E146" s="632">
        <f>D146-C146</f>
        <v>10734832.742736898</v>
      </c>
      <c r="F146" s="632"/>
      <c r="G146" s="632"/>
    </row>
    <row r="147" spans="1:7" ht="12.75">
      <c r="A147" s="15">
        <f t="shared" si="16"/>
        <v>12</v>
      </c>
      <c r="B147" s="618" t="s">
        <v>406</v>
      </c>
      <c r="C147" s="632">
        <f>F101+F102+model!FA33+F104+model!FA36+F105+F106</f>
        <v>80091247.111529</v>
      </c>
      <c r="D147" s="632">
        <v>56601000</v>
      </c>
      <c r="E147" s="632">
        <f>D147-C147</f>
        <v>-23490247.111528993</v>
      </c>
      <c r="F147" s="632"/>
      <c r="G147" s="632"/>
    </row>
    <row r="148" spans="1:7" ht="12.75">
      <c r="A148" s="15">
        <f t="shared" si="16"/>
        <v>13</v>
      </c>
      <c r="B148" s="618" t="s">
        <v>10</v>
      </c>
      <c r="C148" s="634">
        <f>F103</f>
        <v>-279572</v>
      </c>
      <c r="D148" s="634">
        <v>3890000</v>
      </c>
      <c r="E148" s="634">
        <f>D148-C148</f>
        <v>4169572</v>
      </c>
      <c r="F148" s="632"/>
      <c r="G148" s="632"/>
    </row>
    <row r="149" spans="1:6" ht="12.75">
      <c r="A149" s="15">
        <f t="shared" si="16"/>
        <v>14</v>
      </c>
      <c r="B149" s="618" t="s">
        <v>206</v>
      </c>
      <c r="C149" s="632">
        <f>SUM(C144:C148)</f>
        <v>120146879.48356947</v>
      </c>
      <c r="D149" s="632">
        <f>SUM(D144:D148)</f>
        <v>113161000</v>
      </c>
      <c r="E149" s="632">
        <f aca="true" t="shared" si="17" ref="E149:E154">D149-C149</f>
        <v>-6985879.483569473</v>
      </c>
      <c r="F149" s="632"/>
    </row>
    <row r="150" spans="1:6" ht="12.75">
      <c r="A150" s="15">
        <f t="shared" si="16"/>
        <v>15</v>
      </c>
      <c r="B150" s="618" t="s">
        <v>197</v>
      </c>
      <c r="C150" s="632">
        <f>F108</f>
        <v>75210279.1324996</v>
      </c>
      <c r="D150" s="632">
        <v>76766000</v>
      </c>
      <c r="E150" s="632">
        <f t="shared" si="17"/>
        <v>1555720.8675003946</v>
      </c>
      <c r="F150" s="632"/>
    </row>
    <row r="151" spans="1:9" ht="12.75">
      <c r="A151" s="15">
        <f t="shared" si="16"/>
        <v>16</v>
      </c>
      <c r="B151" s="618" t="s">
        <v>51</v>
      </c>
      <c r="C151" s="632">
        <f>F109</f>
        <v>19332943.297845542</v>
      </c>
      <c r="D151" s="632">
        <f>14607000+599000</f>
        <v>15206000</v>
      </c>
      <c r="E151" s="632">
        <f t="shared" si="17"/>
        <v>-4126943.2978455424</v>
      </c>
      <c r="F151" s="632"/>
      <c r="H151" s="632">
        <v>3273000</v>
      </c>
      <c r="I151"/>
    </row>
    <row r="152" spans="1:9" ht="12.75">
      <c r="A152" s="15">
        <f t="shared" si="16"/>
        <v>17</v>
      </c>
      <c r="B152" s="618" t="s">
        <v>13</v>
      </c>
      <c r="C152" s="632">
        <f>F110+model!FA42</f>
        <v>53123552.92130249</v>
      </c>
      <c r="D152" s="632">
        <f>122520000-52042000</f>
        <v>70478000</v>
      </c>
      <c r="E152" s="632">
        <f t="shared" si="17"/>
        <v>17354447.07869751</v>
      </c>
      <c r="F152" s="632"/>
      <c r="H152" s="632">
        <v>54150000</v>
      </c>
      <c r="I152"/>
    </row>
    <row r="153" spans="1:9" ht="12.75">
      <c r="A153" s="15">
        <f t="shared" si="16"/>
        <v>18</v>
      </c>
      <c r="B153" s="618" t="s">
        <v>14</v>
      </c>
      <c r="C153" s="632">
        <f>F111+model!FA43</f>
        <v>10772152.873419868</v>
      </c>
      <c r="D153" s="632">
        <v>25113000</v>
      </c>
      <c r="E153" s="632">
        <f t="shared" si="17"/>
        <v>14340847.126580132</v>
      </c>
      <c r="F153" s="632"/>
      <c r="G153" s="632"/>
      <c r="H153" s="632">
        <v>13055000</v>
      </c>
      <c r="I153"/>
    </row>
    <row r="154" spans="1:9" ht="12.75">
      <c r="A154" s="15">
        <f t="shared" si="16"/>
        <v>19</v>
      </c>
      <c r="B154" s="618" t="s">
        <v>15</v>
      </c>
      <c r="C154" s="634">
        <f>F112</f>
        <v>8180050</v>
      </c>
      <c r="D154" s="634">
        <v>5609000</v>
      </c>
      <c r="E154" s="634">
        <f t="shared" si="17"/>
        <v>-2571050</v>
      </c>
      <c r="F154" s="632"/>
      <c r="G154" s="636"/>
      <c r="H154" s="632">
        <v>52042000</v>
      </c>
      <c r="I154" t="s">
        <v>400</v>
      </c>
    </row>
    <row r="155" spans="1:8" ht="12.75">
      <c r="A155" s="15">
        <f t="shared" si="16"/>
        <v>20</v>
      </c>
      <c r="B155" s="618" t="s">
        <v>16</v>
      </c>
      <c r="C155" s="632">
        <f>SUM(C149:C154)</f>
        <v>286765857.708637</v>
      </c>
      <c r="D155" s="632">
        <f>SUM(D149:D154)</f>
        <v>306333000</v>
      </c>
      <c r="E155" s="632">
        <f>SUM(E149:E154)</f>
        <v>19567142.291363023</v>
      </c>
      <c r="F155" s="632"/>
      <c r="G155" s="633"/>
      <c r="H155" s="652">
        <f>SUM(H151:H154)</f>
        <v>122520000</v>
      </c>
    </row>
    <row r="156" spans="1:8" ht="12.75">
      <c r="A156" s="15">
        <f t="shared" si="16"/>
        <v>21</v>
      </c>
      <c r="B156" s="618"/>
      <c r="C156" s="632"/>
      <c r="D156" s="632"/>
      <c r="E156" s="632"/>
      <c r="F156" s="632"/>
      <c r="G156" s="633"/>
      <c r="H156" s="652">
        <f>H155-H154</f>
        <v>70478000</v>
      </c>
    </row>
    <row r="157" spans="1:7" ht="12.75">
      <c r="A157" s="15">
        <f t="shared" si="16"/>
        <v>22</v>
      </c>
      <c r="B157" s="618" t="s">
        <v>17</v>
      </c>
      <c r="C157" s="632">
        <f>C142-C155</f>
        <v>81446349.38274175</v>
      </c>
      <c r="D157" s="632">
        <f>D142-D155</f>
        <v>99653000</v>
      </c>
      <c r="E157" s="632">
        <f>D157-C157</f>
        <v>18206650.61725825</v>
      </c>
      <c r="F157" s="632"/>
      <c r="G157" s="633"/>
    </row>
    <row r="158" spans="1:7" ht="12.75">
      <c r="A158" s="15">
        <f t="shared" si="16"/>
        <v>23</v>
      </c>
      <c r="B158" s="618"/>
      <c r="C158" s="632">
        <f>F116</f>
        <v>0</v>
      </c>
      <c r="D158" s="632"/>
      <c r="E158" s="632"/>
      <c r="F158" s="632"/>
      <c r="G158" s="633"/>
    </row>
    <row r="159" spans="1:7" ht="12.75">
      <c r="A159" s="15">
        <f t="shared" si="16"/>
        <v>24</v>
      </c>
      <c r="B159" s="618" t="s">
        <v>127</v>
      </c>
      <c r="C159" s="632">
        <f>F117</f>
        <v>1354619125.7329936</v>
      </c>
      <c r="D159" s="632">
        <v>1370953000</v>
      </c>
      <c r="E159" s="632">
        <f>D159-C159</f>
        <v>16333874.267006397</v>
      </c>
      <c r="F159" s="632"/>
      <c r="G159" s="633"/>
    </row>
    <row r="160" spans="1:7" ht="12.75">
      <c r="A160" s="15">
        <f t="shared" si="16"/>
        <v>25</v>
      </c>
      <c r="B160" s="618" t="s">
        <v>19</v>
      </c>
      <c r="C160" s="638">
        <v>0.0876</v>
      </c>
      <c r="D160" s="638">
        <v>0.0876</v>
      </c>
      <c r="E160" s="638"/>
      <c r="F160" s="646"/>
      <c r="G160" s="633"/>
    </row>
    <row r="161" spans="1:7" ht="12.75">
      <c r="A161" s="15">
        <f t="shared" si="16"/>
        <v>26</v>
      </c>
      <c r="B161" s="618" t="s">
        <v>207</v>
      </c>
      <c r="C161" s="620">
        <f>C160*C159</f>
        <v>118664635.41421023</v>
      </c>
      <c r="D161" s="620">
        <f>D160*D159</f>
        <v>120095482.8</v>
      </c>
      <c r="E161" s="620">
        <f>D161-C161</f>
        <v>1430847.385789767</v>
      </c>
      <c r="F161" s="632"/>
      <c r="G161" s="633"/>
    </row>
    <row r="162" spans="1:7" ht="13.5" thickBot="1">
      <c r="A162" s="15">
        <f t="shared" si="16"/>
        <v>27</v>
      </c>
      <c r="B162" s="618" t="s">
        <v>208</v>
      </c>
      <c r="C162" s="640">
        <f>C161-C157</f>
        <v>37218286.03146848</v>
      </c>
      <c r="D162" s="640">
        <f>D161-D157</f>
        <v>20442482.799999997</v>
      </c>
      <c r="E162" s="640">
        <f>D162-C162</f>
        <v>-16775803.231468484</v>
      </c>
      <c r="F162" s="632"/>
      <c r="G162" s="633"/>
    </row>
    <row r="163" spans="1:7" ht="13.5" thickTop="1">
      <c r="A163" s="334"/>
      <c r="B163" s="624"/>
      <c r="C163" s="622"/>
      <c r="D163" s="622"/>
      <c r="E163" s="621"/>
      <c r="F163" s="622"/>
      <c r="G163" s="617"/>
    </row>
    <row r="164" ht="10.5">
      <c r="B164" t="s">
        <v>21</v>
      </c>
    </row>
  </sheetData>
  <mergeCells count="8">
    <mergeCell ref="A82:G82"/>
    <mergeCell ref="A83:G83"/>
    <mergeCell ref="A84:G84"/>
    <mergeCell ref="A85:G85"/>
    <mergeCell ref="A131:G131"/>
    <mergeCell ref="A132:G132"/>
    <mergeCell ref="A129:G129"/>
    <mergeCell ref="A130:G130"/>
  </mergeCells>
  <printOptions/>
  <pageMargins left="0.4" right="0.45" top="0.33" bottom="0.31" header="0" footer="0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JRussell</cp:lastModifiedBy>
  <cp:lastPrinted>2006-08-07T18:51:59Z</cp:lastPrinted>
  <dcterms:created xsi:type="dcterms:W3CDTF">1997-10-13T22:59:17Z</dcterms:created>
  <dcterms:modified xsi:type="dcterms:W3CDTF">2006-08-07T18:52:13Z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2006-08-09T00:00:00Z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