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5.xml" ContentType="application/vnd.ms-office.chartcolorstyle+xml"/>
  <Override PartName="/xl/charts/style5.xml" ContentType="application/vnd.ms-office.chartstyle+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charts/colors4.xml" ContentType="application/vnd.ms-office.chartcolorstyle+xml"/>
  <Override PartName="/xl/worksheets/sheet24.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charts/style4.xml" ContentType="application/vnd.ms-office.chartstyle+xml"/>
  <Override PartName="/xl/sharedStrings.xml" ContentType="application/vnd.openxmlformats-officedocument.spreadsheetml.sharedStrings+xml"/>
  <Override PartName="/xl/charts/style2.xml" ContentType="application/vnd.ms-office.chartstyle+xml"/>
  <Override PartName="/xl/charts/colors1.xml" ContentType="application/vnd.ms-office.chartcolorstyle+xml"/>
  <Override PartName="/xl/charts/style1.xml" ContentType="application/vnd.ms-office.chartstyle+xml"/>
  <Override PartName="/xl/worksheets/sheet16.xml" ContentType="application/vnd.openxmlformats-officedocument.spreadsheetml.worksheet+xml"/>
  <Override PartName="/xl/charts/chart2.xml" ContentType="application/vnd.openxmlformats-officedocument.drawingml.chart+xml"/>
  <Override PartName="/xl/worksheets/sheet17.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charts/colors2.xml" ContentType="application/vnd.ms-office.chartcolorstyle+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style3.xml" ContentType="application/vnd.ms-office.chartstyle+xml"/>
  <Override PartName="/xl/drawings/drawing1.xml" ContentType="application/vnd.openxmlformats-officedocument.drawing+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theme/theme1.xml" ContentType="application/vnd.openxmlformats-officedocument.theme+xml"/>
  <Override PartName="/xl/worksheets/sheet6.xml" ContentType="application/vnd.openxmlformats-officedocument.spreadsheetml.worksheet+xml"/>
  <Override PartName="/xl/drawings/drawing3.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charts/chart3.xml" ContentType="application/vnd.openxmlformats-officedocument.drawingml.chart+xml"/>
  <Override PartName="/xl/worksheets/sheet10.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8.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mcguire\Desktop\Bench Request\"/>
    </mc:Choice>
  </mc:AlternateContent>
  <bookViews>
    <workbookView xWindow="15135" yWindow="555" windowWidth="10830" windowHeight="11955" tabRatio="809"/>
  </bookViews>
  <sheets>
    <sheet name="Summary" sheetId="126" r:id="rId1"/>
    <sheet name="ROR" sheetId="110" r:id="rId2"/>
    <sheet name="Attrition 12.2013 to 2015" sheetId="120" r:id="rId3"/>
    <sheet name="Trends - Net Plant after DFIT" sheetId="142" r:id="rId4"/>
    <sheet name="Trends - Adj Other Rev" sheetId="143" r:id="rId5"/>
    <sheet name="Trends - Adj Taxes" sheetId="141" r:id="rId6"/>
    <sheet name="Trends - Dep Amort" sheetId="140" r:id="rId7"/>
    <sheet name="Trends - Adj Op Exp" sheetId="139" r:id="rId8"/>
    <sheet name="Cost Trends" sheetId="122" state="hidden" r:id="rId9"/>
    <sheet name="Weighted Revenue Growth" sheetId="87" state="hidden" r:id="rId10"/>
    <sheet name="06.2013 Rev Model" sheetId="132" state="hidden" r:id="rId11"/>
    <sheet name="incremental load expense" sheetId="103" state="hidden" r:id="rId12"/>
    <sheet name="Incremental Load Supply Cost" sheetId="82" state="hidden" r:id="rId13"/>
    <sheet name="Reg Amorts" sheetId="129" state="hidden" r:id="rId14"/>
    <sheet name="DSM" sheetId="91" state="hidden" r:id="rId15"/>
    <sheet name="ResX" sheetId="94" state="hidden" r:id="rId16"/>
    <sheet name="2015 Customers and Demand" sheetId="88" state="hidden" r:id="rId17"/>
    <sheet name="2015 Forecast Energy" sheetId="136" state="hidden" r:id="rId18"/>
    <sheet name="CBR Hist" sheetId="133" state="hidden" r:id="rId19"/>
    <sheet name="PS Consolidated" sheetId="134" state="hidden" r:id="rId20"/>
    <sheet name="Other Rev" sheetId="130" state="hidden" r:id="rId21"/>
    <sheet name="PF Power Supply" sheetId="78" state="hidden" r:id="rId22"/>
    <sheet name="12.2013 CB Power Supply" sheetId="135" state="hidden" r:id="rId23"/>
    <sheet name="06-2013 CB Power Supply" sheetId="137" state="hidden" r:id="rId24"/>
  </sheets>
  <externalReferences>
    <externalReference r:id="rId25"/>
    <externalReference r:id="rId26"/>
    <externalReference r:id="rId27"/>
    <externalReference r:id="rId28"/>
    <externalReference r:id="rId29"/>
  </externalReferences>
  <definedNames>
    <definedName name="_xlnm._FilterDatabase" localSheetId="16" hidden="1">'2015 Customers and Demand'!$A$2:$H$103</definedName>
    <definedName name="Actuals_Mo">[1]Tables!$B$19</definedName>
    <definedName name="Base1_Billing2" localSheetId="10">'06.2013 Rev Model'!$N$8</definedName>
    <definedName name="Base1_Billing2" localSheetId="23">#REF!</definedName>
    <definedName name="Base1_Billing2" localSheetId="22">#REF!</definedName>
    <definedName name="Base1_Billing2" localSheetId="18">#REF!</definedName>
    <definedName name="Base1_Billing2" localSheetId="19">#REF!</definedName>
    <definedName name="Base1_Billing2">#REF!</definedName>
    <definedName name="BaseRev60_EntryLookup">INDEX('[2]Rev Summary'!$F$1176:$F$1177,2):'[2]Rev Summary'!$F$1221</definedName>
    <definedName name="Basic">'[2]Rev Summary'!$I$1279:$I$1322</definedName>
    <definedName name="BilledRev60_EntryLookup">INDEX('[2]Rev Summary'!$F$70:$F$71,2):'[2]Rev Summary'!$F$115</definedName>
    <definedName name="CalRev60_EntryLookup">INDEX('[2]Rev Summary'!$F$373:$F$374,2):'[2]Rev Summary'!$F$418</definedName>
    <definedName name="ClassEntry">'[2]Rev Summary'!$D$2</definedName>
    <definedName name="ClassEntryNo">'[2]Rev Summary'!$D$3</definedName>
    <definedName name="CopyClasses">'[2]Rev Summary'!$F$1279:INDEX('[2]Rev Summary'!$F$1279:$F$1323,COUNTA('[2]Rev Summary'!$F$1279:$F$1323))</definedName>
    <definedName name="CustMos">'[1]Cust Load'!$D$3</definedName>
    <definedName name="DSMFlag">'[2]Exp Summary'!$E$30</definedName>
    <definedName name="EndMo">[1]Tables!$B$16</definedName>
    <definedName name="ERM" localSheetId="10">'[3]Rate Design'!$D$45</definedName>
    <definedName name="ERM">'[4]Rate Design'!$D$45</definedName>
    <definedName name="GRCRev60_EntryLookup">INDEX('[2]Rev Summary'!$F$1075:$F$1076,2):'[2]Rev Summary'!$F$1120</definedName>
    <definedName name="GrossUnbillAccrRev60_EntryLookup">INDEX('[2]Rev Summary'!$F$873:$F$874,2):'[2]Rev Summary'!$F$918</definedName>
    <definedName name="GrossUnbillRevRev60_EntryLookup">INDEX('[2]Rev Summary'!$F$974:$F$975,2):'[2]Rev Summary'!$F$1019</definedName>
    <definedName name="ID">#REF!</definedName>
    <definedName name="ID_001b" localSheetId="23">#REF!</definedName>
    <definedName name="ID_001b" localSheetId="22">#REF!</definedName>
    <definedName name="ID_001b" localSheetId="18">#REF!</definedName>
    <definedName name="ID_001b" localSheetId="19">#REF!</definedName>
    <definedName name="ID_001b">#REF!</definedName>
    <definedName name="ID_011b" localSheetId="23">#REF!</definedName>
    <definedName name="ID_011b" localSheetId="22">#REF!</definedName>
    <definedName name="ID_011b" localSheetId="18">#REF!</definedName>
    <definedName name="ID_011b" localSheetId="19">#REF!</definedName>
    <definedName name="ID_011b">#REF!</definedName>
    <definedName name="ID_012b" localSheetId="23">#REF!</definedName>
    <definedName name="ID_012b" localSheetId="22">#REF!</definedName>
    <definedName name="ID_012b" localSheetId="18">#REF!</definedName>
    <definedName name="ID_012b" localSheetId="19">#REF!</definedName>
    <definedName name="ID_012b">#REF!</definedName>
    <definedName name="ID_021b" localSheetId="23">#REF!</definedName>
    <definedName name="ID_021b" localSheetId="22">#REF!</definedName>
    <definedName name="ID_021b" localSheetId="18">#REF!</definedName>
    <definedName name="ID_021b" localSheetId="19">#REF!</definedName>
    <definedName name="ID_021b">#REF!</definedName>
    <definedName name="ID_Gas" localSheetId="23">'[5]DEBT CALC'!#REF!</definedName>
    <definedName name="ID_Gas" localSheetId="22">'[5]DEBT CALC'!#REF!</definedName>
    <definedName name="ID_Gas" localSheetId="2">'[5]DEBT CALC'!#REF!</definedName>
    <definedName name="ID_Gas" localSheetId="18">'[5]DEBT CALC'!#REF!</definedName>
    <definedName name="ID_Gas" localSheetId="8">'[5]DEBT CALC'!#REF!</definedName>
    <definedName name="ID_Gas" localSheetId="19">'[5]DEBT CALC'!#REF!</definedName>
    <definedName name="ID_Gas">'[5]DEBT CALC'!#REF!</definedName>
    <definedName name="ID04X">[2]Rates!$O$121:$V$121</definedName>
    <definedName name="IDPPRider">[2]Rates!$O$124:$V$124</definedName>
    <definedName name="IDResEx">[2]Rates!$O$125:$V$125</definedName>
    <definedName name="IDSurch">[2]Rates!$O$122:$V$122</definedName>
    <definedName name="ManualSched">'[2]Rev Summary'!$B$36</definedName>
    <definedName name="Month1">[2]Setup!$B$3</definedName>
    <definedName name="NetUnbillRev60_EntryLookup">INDEX('[2]Rev Summary'!$F$272:$F$273,2):'[2]Rev Summary'!$F$317</definedName>
    <definedName name="PPRev60_EntryLookup">INDEX('[2]Rev Summary'!$F$671:$F$672,2):'[2]Rev Summary'!$F$716</definedName>
    <definedName name="_xlnm.Print_Area" localSheetId="10">'06.2013 Rev Model'!$A$1:$I$295</definedName>
    <definedName name="_xlnm.Print_Area" localSheetId="23">'06-2013 CB Power Supply'!$A$1:$H$39</definedName>
    <definedName name="_xlnm.Print_Area" localSheetId="22">'12.2013 CB Power Supply'!$A$1:$H$39</definedName>
    <definedName name="_xlnm.Print_Area" localSheetId="16">'2015 Customers and Demand'!$A$1:$H$103</definedName>
    <definedName name="_xlnm.Print_Area" localSheetId="2">'Attrition 12.2013 to 2015'!$A$1:$S$91</definedName>
    <definedName name="_xlnm.Print_Area" localSheetId="18">'CBR Hist'!$A$1:$R$79</definedName>
    <definedName name="_xlnm.Print_Area" localSheetId="8">'Cost Trends'!$A$1:$S$196</definedName>
    <definedName name="_xlnm.Print_Area" localSheetId="11">'incremental load expense'!$A$1:$F$53</definedName>
    <definedName name="_xlnm.Print_Area" localSheetId="12">'Incremental Load Supply Cost'!$A$1:$H$10</definedName>
    <definedName name="_xlnm.Print_Area" localSheetId="21">'PF Power Supply'!$A$1:$H$39</definedName>
    <definedName name="_xlnm.Print_Area" localSheetId="1">ROR!$A$1:$L$26</definedName>
    <definedName name="_xlnm.Print_Area" localSheetId="0">Summary!$A$1:$M$37</definedName>
    <definedName name="Print_for_Checking" localSheetId="23">'[5]ADJ SUMMARY'!#REF!:'[5]ADJ SUMMARY'!#REF!</definedName>
    <definedName name="Print_for_Checking" localSheetId="22">'[5]ADJ SUMMARY'!#REF!:'[5]ADJ SUMMARY'!#REF!</definedName>
    <definedName name="Print_for_Checking" localSheetId="2">'[5]ADJ SUMMARY'!#REF!:'[5]ADJ SUMMARY'!#REF!</definedName>
    <definedName name="Print_for_Checking" localSheetId="18">'[5]ADJ SUMMARY'!#REF!:'[5]ADJ SUMMARY'!#REF!</definedName>
    <definedName name="Print_for_Checking" localSheetId="8">'[5]ADJ SUMMARY'!#REF!:'[5]ADJ SUMMARY'!#REF!</definedName>
    <definedName name="Print_for_Checking" localSheetId="19">'[5]ADJ SUMMARY'!#REF!:'[5]ADJ SUMMARY'!#REF!</definedName>
    <definedName name="Print_for_Checking">'[5]ADJ SUMMARY'!#REF!:'[5]ADJ SUMMARY'!#REF!</definedName>
    <definedName name="_xlnm.Print_Titles" localSheetId="18">'CBR Hist'!$A:$D,'CBR Hist'!$1:$9</definedName>
    <definedName name="_xlnm.Print_Titles" localSheetId="8">'Cost Trends'!$2:$2</definedName>
    <definedName name="PrintHeader" localSheetId="10">'06.2013 Rev Model'!$P$6</definedName>
    <definedName name="RateDesc">CHOOSE([1]Rev!$B$5, [1]!Rates_WA[RateDesc], [1]!Rates_ID[RateDesc])</definedName>
    <definedName name="RateDesc2">CHOOSE('[1]Manual Rev'!$C1, [1]!Rates_WA[RateDesc], [1]!Rates_ID[RateDesc])</definedName>
    <definedName name="RateID">CHOOSE([1]Rev!$B$5, [1]!Rates_WA[ID], [1]!Rates_ID[ID])</definedName>
    <definedName name="RateID2">CHOOSE('[1]Manual Rev'!$C1, [1]!Rates_WA[ID], [1]!Rates_ID[ID])</definedName>
    <definedName name="RData">CHOOSE([1]Rev!$B$5, [1]!Rates_WA[#Data], [1]!Rates_ID[#Data])</definedName>
    <definedName name="RData2">CHOOSE('[1]Manual Rev'!$C1, [1]!Rates_WA[#Data], [1]!Rates_ID[#Data])</definedName>
    <definedName name="ResExchRev60_EntryLookup">INDEX('[2]Rev Summary'!$F$772:$F$773,2):'[2]Rev Summary'!$F$817</definedName>
    <definedName name="RevMos">[1]Rev!$C$2</definedName>
    <definedName name="RH">CHOOSE([1]Rev!$B$5, [1]!Rates_WA[#Headers], [1]!Rates_ID[#Headers])</definedName>
    <definedName name="RH_2">CHOOSE('[1]Manual Rev'!$C1, [1]!Rates_WA[#Headers], [1]!Rates_ID[#Headers])</definedName>
    <definedName name="Sch">CHOOSE([1]Rev!$B$5, [1]!Rates_WA[St-Sch], [1]!Rates_ID[St-Sch])</definedName>
    <definedName name="Sch_2">CHOOSE('[1]Manual Rev'!$C1, [1]!Rates_WA[St-Sch], [1]!Rates_ID[St-Sch])</definedName>
    <definedName name="Sched">'[2]Rev Summary'!$E$2</definedName>
    <definedName name="SL_RateIncr" localSheetId="10">'[3]St Lts'!$AD$1</definedName>
    <definedName name="SL_RateIncr">'[4]St Lts'!$AD$1</definedName>
    <definedName name="StartMo">[1]Tables!$B$13</definedName>
    <definedName name="Summary" localSheetId="23">#REF!</definedName>
    <definedName name="Summary" localSheetId="22">#REF!</definedName>
    <definedName name="Summary" localSheetId="2">#REF!</definedName>
    <definedName name="Summary" localSheetId="18">#REF!</definedName>
    <definedName name="Summary" localSheetId="8">#REF!</definedName>
    <definedName name="Summary" localSheetId="19">#REF!</definedName>
    <definedName name="Summary">#REF!</definedName>
    <definedName name="SurchRev60_EntryLookup">INDEX('[2]Rev Summary'!$F$474:$F$475,2):'[2]Rev Summary'!$F$519</definedName>
    <definedName name="TaxCreditRev60_EntryLookup">INDEX('[2]Rev Summary'!$F$572:$F$621,2):'[2]Rev Summary'!$F$617</definedName>
    <definedName name="TaxRev60_EntryLookup">INDEX('[2]Rev Summary'!$F$171:$F$216,2):'[2]Rev Summary'!$F$216</definedName>
    <definedName name="Utility">[2]Setup!$B$1</definedName>
    <definedName name="vl_tbl_SchedClass">[1]!tbl_SchedAll[StClSch]</definedName>
    <definedName name="WA_001b" localSheetId="23">#REF!</definedName>
    <definedName name="WA_001b" localSheetId="22">#REF!</definedName>
    <definedName name="WA_001b" localSheetId="18">#REF!</definedName>
    <definedName name="WA_001b" localSheetId="19">#REF!</definedName>
    <definedName name="WA_001b">#REF!</definedName>
    <definedName name="WA_011b" localSheetId="23">#REF!</definedName>
    <definedName name="WA_011b" localSheetId="22">#REF!</definedName>
    <definedName name="WA_011b" localSheetId="18">#REF!</definedName>
    <definedName name="WA_011b" localSheetId="19">#REF!</definedName>
    <definedName name="WA_011b">#REF!</definedName>
    <definedName name="WA_012b" localSheetId="23">#REF!</definedName>
    <definedName name="WA_012b" localSheetId="22">#REF!</definedName>
    <definedName name="WA_012b" localSheetId="18">#REF!</definedName>
    <definedName name="WA_012b" localSheetId="19">#REF!</definedName>
    <definedName name="WA_012b">#REF!</definedName>
    <definedName name="WA_021b" localSheetId="23">#REF!</definedName>
    <definedName name="WA_021b" localSheetId="22">#REF!</definedName>
    <definedName name="WA_021b" localSheetId="18">#REF!</definedName>
    <definedName name="WA_021b" localSheetId="19">#REF!</definedName>
    <definedName name="WA_021b">#REF!</definedName>
    <definedName name="WA_Gas" localSheetId="23">'[5]DEBT CALC'!#REF!</definedName>
    <definedName name="WA_Gas" localSheetId="22">'[5]DEBT CALC'!#REF!</definedName>
    <definedName name="WA_Gas" localSheetId="2">'[5]DEBT CALC'!#REF!</definedName>
    <definedName name="WA_Gas" localSheetId="18">'[5]DEBT CALC'!#REF!</definedName>
    <definedName name="WA_Gas" localSheetId="8">'[5]DEBT CALC'!#REF!</definedName>
    <definedName name="WA_Gas" localSheetId="19">'[5]DEBT CALC'!#REF!</definedName>
    <definedName name="WA_Gas">'[5]DEBT CALC'!#REF!</definedName>
    <definedName name="WA04X">[2]Rates!$D$121:$K$121</definedName>
    <definedName name="WAPPRider">[2]Rates!$D$124:$K$124</definedName>
    <definedName name="WAResEx">[2]Rates!$D$125:$K$125</definedName>
    <definedName name="WASurch">[2]Rates!$D$122:$K$122</definedName>
    <definedName name="Year1">[2]Setup!$B$2</definedName>
    <definedName name="Z_6E1B8C45_B07F_11D2_B0DC_0000832CDFF0_.wvu.Cols" localSheetId="18" hidden="1">'CBR Hist'!#REF!,'CBR Hist'!$E:$E</definedName>
    <definedName name="Z_6E1B8C45_B07F_11D2_B0DC_0000832CDFF0_.wvu.PrintArea" localSheetId="18" hidden="1">'CBR Hist'!$E:$E</definedName>
    <definedName name="Z_6E1B8C45_B07F_11D2_B0DC_0000832CDFF0_.wvu.PrintTitles" localSheetId="18" hidden="1">'CBR Hist'!$A:$D,'CBR Hist'!$1:$9</definedName>
    <definedName name="Z_A15D1962_B049_11D2_8670_0000832CEEE8_.wvu.Cols" localSheetId="18" hidden="1">'CBR Hist'!$E:$E</definedName>
  </definedNames>
  <calcPr calcId="152511"/>
</workbook>
</file>

<file path=xl/calcChain.xml><?xml version="1.0" encoding="utf-8"?>
<calcChain xmlns="http://schemas.openxmlformats.org/spreadsheetml/2006/main">
  <c r="F34" i="78" l="1"/>
  <c r="F32" i="78"/>
  <c r="F17" i="78"/>
  <c r="F36" i="78" l="1"/>
  <c r="F38" i="78" s="1"/>
  <c r="D14" i="139" l="1"/>
  <c r="E16" i="139" l="1"/>
  <c r="D16" i="139"/>
  <c r="E5" i="139"/>
  <c r="F5" i="139"/>
  <c r="G5" i="139"/>
  <c r="H5" i="139"/>
  <c r="I5" i="139"/>
  <c r="J5" i="139"/>
  <c r="K5" i="139"/>
  <c r="L5" i="139"/>
  <c r="M5" i="139"/>
  <c r="N5" i="139"/>
  <c r="E13" i="110" l="1"/>
  <c r="D13" i="110"/>
  <c r="E15" i="139"/>
  <c r="E12" i="140"/>
  <c r="E12" i="141"/>
  <c r="E12" i="142"/>
  <c r="E12" i="143"/>
  <c r="F41" i="110" l="1"/>
  <c r="U22" i="87" l="1"/>
  <c r="U21" i="87"/>
  <c r="U167" i="122" l="1"/>
  <c r="D13" i="139"/>
  <c r="T167" i="122" s="1"/>
  <c r="G12" i="126" l="1"/>
  <c r="S88" i="120" s="1"/>
  <c r="U25" i="87" l="1"/>
  <c r="V167" i="122" l="1"/>
  <c r="G167" i="122" s="1"/>
  <c r="G184" i="122" s="1"/>
  <c r="R31" i="129"/>
  <c r="R12" i="129"/>
  <c r="R16" i="130"/>
  <c r="R13" i="130"/>
  <c r="E9" i="120"/>
  <c r="E11" i="120"/>
  <c r="G138" i="122" l="1"/>
  <c r="R17" i="130" l="1"/>
  <c r="R19" i="130" s="1"/>
  <c r="S137" i="122" s="1"/>
  <c r="S138" i="122"/>
  <c r="Q16" i="130"/>
  <c r="R138" i="122" s="1"/>
  <c r="R14" i="130"/>
  <c r="R21" i="130" s="1"/>
  <c r="R10" i="130" l="1"/>
  <c r="R29" i="134"/>
  <c r="R23" i="130" l="1"/>
  <c r="D28" i="135" l="1"/>
  <c r="D24" i="135"/>
  <c r="F30" i="137"/>
  <c r="F29" i="137"/>
  <c r="D28" i="137"/>
  <c r="F28" i="137" s="1"/>
  <c r="F27" i="137"/>
  <c r="F26" i="137"/>
  <c r="F25" i="137"/>
  <c r="D24" i="137"/>
  <c r="D32" i="137" s="1"/>
  <c r="F23" i="137"/>
  <c r="F22" i="137"/>
  <c r="F21" i="137"/>
  <c r="F20" i="137"/>
  <c r="F16" i="137"/>
  <c r="F15" i="137"/>
  <c r="D15" i="137"/>
  <c r="D17" i="137" s="1"/>
  <c r="F14" i="137"/>
  <c r="F13" i="137"/>
  <c r="F12" i="137"/>
  <c r="F11" i="137"/>
  <c r="E76" i="120"/>
  <c r="E75" i="120"/>
  <c r="E73" i="120"/>
  <c r="E68" i="120"/>
  <c r="E67" i="120"/>
  <c r="E66" i="120"/>
  <c r="E65" i="120"/>
  <c r="E64" i="120"/>
  <c r="E61" i="120"/>
  <c r="E60" i="120"/>
  <c r="E59" i="120"/>
  <c r="E58" i="120"/>
  <c r="E57" i="120"/>
  <c r="E49" i="120"/>
  <c r="E50" i="120"/>
  <c r="E51" i="120"/>
  <c r="E48" i="120"/>
  <c r="E36" i="120"/>
  <c r="E35" i="120"/>
  <c r="E34" i="120"/>
  <c r="E31" i="120"/>
  <c r="E30" i="120"/>
  <c r="E29" i="120"/>
  <c r="E26" i="120"/>
  <c r="E25" i="120"/>
  <c r="E24" i="120"/>
  <c r="E20" i="120"/>
  <c r="E19" i="120"/>
  <c r="E18" i="120"/>
  <c r="E17" i="120"/>
  <c r="E16" i="120"/>
  <c r="E8" i="120"/>
  <c r="E7" i="120"/>
  <c r="S90" i="122"/>
  <c r="S100" i="122"/>
  <c r="S101" i="122"/>
  <c r="S102" i="122"/>
  <c r="S115" i="122"/>
  <c r="S124" i="122"/>
  <c r="S125" i="122"/>
  <c r="R93" i="129"/>
  <c r="R92" i="129"/>
  <c r="R102" i="129" s="1"/>
  <c r="R91" i="129"/>
  <c r="Q91" i="129"/>
  <c r="R74" i="129"/>
  <c r="R52" i="129"/>
  <c r="S62" i="122" s="1"/>
  <c r="R53" i="129"/>
  <c r="S63" i="122" s="1"/>
  <c r="R54" i="129"/>
  <c r="S64" i="122" s="1"/>
  <c r="R55" i="129"/>
  <c r="S65" i="122" s="1"/>
  <c r="R56" i="129"/>
  <c r="S66" i="122" s="1"/>
  <c r="R59" i="129"/>
  <c r="S69" i="122" s="1"/>
  <c r="R60" i="129"/>
  <c r="S70" i="122" s="1"/>
  <c r="R61" i="129"/>
  <c r="S71" i="122" s="1"/>
  <c r="R62" i="129"/>
  <c r="R63" i="129"/>
  <c r="S73" i="122" s="1"/>
  <c r="R67" i="129"/>
  <c r="S77" i="122" s="1"/>
  <c r="R69" i="129"/>
  <c r="R107" i="129" s="1"/>
  <c r="R70" i="129"/>
  <c r="S80" i="122" s="1"/>
  <c r="R42" i="129"/>
  <c r="S22" i="122" s="1"/>
  <c r="S21" i="122" s="1"/>
  <c r="R34" i="129"/>
  <c r="R35" i="129"/>
  <c r="R20" i="129"/>
  <c r="R11" i="129"/>
  <c r="S59" i="122"/>
  <c r="S11" i="122"/>
  <c r="S10" i="122"/>
  <c r="S12" i="122"/>
  <c r="S14" i="122"/>
  <c r="S136" i="122" s="1"/>
  <c r="S19" i="122"/>
  <c r="S92" i="122" s="1"/>
  <c r="S20" i="122"/>
  <c r="S93" i="122" s="1"/>
  <c r="S23" i="122"/>
  <c r="S120" i="122" s="1"/>
  <c r="S27" i="122"/>
  <c r="S94" i="122" s="1"/>
  <c r="S28" i="122"/>
  <c r="S108" i="122" s="1"/>
  <c r="S29" i="122"/>
  <c r="S121" i="122" s="1"/>
  <c r="S32" i="122"/>
  <c r="S95" i="122" s="1"/>
  <c r="S33" i="122"/>
  <c r="S96" i="122" s="1"/>
  <c r="S34" i="122"/>
  <c r="S97" i="122" s="1"/>
  <c r="S37" i="122"/>
  <c r="S38" i="122"/>
  <c r="S109" i="122" s="1"/>
  <c r="S39" i="122"/>
  <c r="S122" i="122" s="1"/>
  <c r="S46" i="122"/>
  <c r="S47" i="122"/>
  <c r="S48" i="122"/>
  <c r="S49" i="122"/>
  <c r="S50" i="122"/>
  <c r="S70" i="133"/>
  <c r="S63" i="133"/>
  <c r="S43" i="133"/>
  <c r="S33" i="133"/>
  <c r="S27" i="133"/>
  <c r="S16" i="133"/>
  <c r="S18" i="133" s="1"/>
  <c r="R44" i="129" l="1"/>
  <c r="F17" i="137"/>
  <c r="R47" i="129"/>
  <c r="S71" i="133"/>
  <c r="S40" i="122"/>
  <c r="S123" i="122"/>
  <c r="S126" i="122" s="1"/>
  <c r="R64" i="129"/>
  <c r="R57" i="129"/>
  <c r="S24" i="122"/>
  <c r="S107" i="122"/>
  <c r="S110" i="122" s="1"/>
  <c r="S98" i="122"/>
  <c r="S99" i="122" s="1"/>
  <c r="S103" i="122" s="1"/>
  <c r="N8" i="139" s="1"/>
  <c r="D15" i="139" s="1"/>
  <c r="S30" i="122"/>
  <c r="S72" i="122"/>
  <c r="S74" i="122" s="1"/>
  <c r="S114" i="122"/>
  <c r="S116" i="122" s="1"/>
  <c r="S139" i="122"/>
  <c r="D34" i="137"/>
  <c r="F24" i="137"/>
  <c r="F32" i="137" s="1"/>
  <c r="F34" i="137" s="1"/>
  <c r="S67" i="122"/>
  <c r="S13" i="122"/>
  <c r="S15" i="122" s="1"/>
  <c r="S74" i="133"/>
  <c r="S78" i="133" s="1"/>
  <c r="S82" i="122" s="1"/>
  <c r="S132" i="122" s="1"/>
  <c r="S44" i="133"/>
  <c r="S46" i="133" s="1"/>
  <c r="S54" i="133" s="1"/>
  <c r="V169" i="122" l="1"/>
  <c r="G169" i="122" s="1"/>
  <c r="G186" i="122" s="1"/>
  <c r="K16" i="120" s="1"/>
  <c r="K169" i="122"/>
  <c r="J169" i="122"/>
  <c r="N169" i="122"/>
  <c r="N186" i="122" s="1"/>
  <c r="Q169" i="122"/>
  <c r="I169" i="122"/>
  <c r="U169" i="122"/>
  <c r="T169" i="122"/>
  <c r="S169" i="122"/>
  <c r="O169" i="122"/>
  <c r="M169" i="122"/>
  <c r="R169" i="122"/>
  <c r="P169" i="122"/>
  <c r="L169" i="122"/>
  <c r="H169" i="122"/>
  <c r="N6" i="140"/>
  <c r="D11" i="140" s="1"/>
  <c r="U171" i="122" s="1"/>
  <c r="N5" i="140"/>
  <c r="D10" i="140" s="1"/>
  <c r="N6" i="141"/>
  <c r="D11" i="141" s="1"/>
  <c r="U173" i="122" s="1"/>
  <c r="N5" i="141"/>
  <c r="D10" i="141" s="1"/>
  <c r="N6" i="143"/>
  <c r="D11" i="143" s="1"/>
  <c r="U179" i="122" s="1"/>
  <c r="N5" i="143"/>
  <c r="D10" i="143" s="1"/>
  <c r="R65" i="129"/>
  <c r="R68" i="129" s="1"/>
  <c r="R72" i="129" s="1"/>
  <c r="S75" i="122"/>
  <c r="S78" i="122" s="1"/>
  <c r="S129" i="122" s="1"/>
  <c r="S41" i="122"/>
  <c r="S43" i="122" s="1"/>
  <c r="S51" i="122" s="1"/>
  <c r="F36" i="137"/>
  <c r="F38" i="137" s="1"/>
  <c r="S79" i="122"/>
  <c r="S79" i="133"/>
  <c r="B43" i="120"/>
  <c r="K26" i="126"/>
  <c r="N5" i="142" l="1"/>
  <c r="D10" i="142" s="1"/>
  <c r="N6" i="142"/>
  <c r="D11" i="142" s="1"/>
  <c r="U175" i="122" s="1"/>
  <c r="D12" i="141"/>
  <c r="T173" i="122"/>
  <c r="V173" i="122" s="1"/>
  <c r="G173" i="122" s="1"/>
  <c r="G190" i="122" s="1"/>
  <c r="K20" i="120" s="1"/>
  <c r="T179" i="122"/>
  <c r="V179" i="122" s="1"/>
  <c r="G179" i="122" s="1"/>
  <c r="D12" i="143"/>
  <c r="D12" i="140"/>
  <c r="T171" i="122"/>
  <c r="V171" i="122" s="1"/>
  <c r="G171" i="122" s="1"/>
  <c r="G188" i="122" s="1"/>
  <c r="K18" i="120" s="1"/>
  <c r="S83" i="122"/>
  <c r="D28" i="136"/>
  <c r="D27" i="136"/>
  <c r="D30" i="136" s="1"/>
  <c r="G196" i="122" l="1"/>
  <c r="K11" i="120" s="1"/>
  <c r="D12" i="142"/>
  <c r="T175" i="122"/>
  <c r="V175" i="122" s="1"/>
  <c r="G175" i="122" s="1"/>
  <c r="G192" i="122" s="1"/>
  <c r="K57" i="120" s="1"/>
  <c r="F18" i="87"/>
  <c r="F17" i="87"/>
  <c r="F16" i="87"/>
  <c r="F15" i="87"/>
  <c r="F14" i="87"/>
  <c r="F13" i="87"/>
  <c r="G59" i="122" l="1"/>
  <c r="H59" i="122"/>
  <c r="I59" i="122"/>
  <c r="J59" i="122"/>
  <c r="K59" i="122"/>
  <c r="L59" i="122"/>
  <c r="M59" i="122"/>
  <c r="N59" i="122"/>
  <c r="O59" i="122"/>
  <c r="P59" i="122"/>
  <c r="Q59" i="122"/>
  <c r="R59" i="122"/>
  <c r="F59" i="122"/>
  <c r="A58" i="122"/>
  <c r="A88" i="122" s="1"/>
  <c r="A56" i="122"/>
  <c r="A55" i="122"/>
  <c r="E55" i="122"/>
  <c r="F137" i="122"/>
  <c r="G90" i="122"/>
  <c r="H90" i="122"/>
  <c r="I90" i="122"/>
  <c r="J90" i="122"/>
  <c r="K90" i="122"/>
  <c r="L90" i="122"/>
  <c r="M90" i="122"/>
  <c r="N90" i="122"/>
  <c r="O90" i="122"/>
  <c r="P90" i="122"/>
  <c r="Q90" i="122"/>
  <c r="R90" i="122"/>
  <c r="F90" i="122"/>
  <c r="G115" i="122"/>
  <c r="H115" i="122"/>
  <c r="I115" i="122"/>
  <c r="K115" i="122"/>
  <c r="M115" i="122"/>
  <c r="N115" i="122"/>
  <c r="O115" i="122"/>
  <c r="P115" i="122"/>
  <c r="F115" i="122"/>
  <c r="F74" i="129" l="1"/>
  <c r="G74" i="129"/>
  <c r="H74" i="129"/>
  <c r="I74" i="129"/>
  <c r="J74" i="129"/>
  <c r="K74" i="129"/>
  <c r="L74" i="129"/>
  <c r="M74" i="129"/>
  <c r="N74" i="129"/>
  <c r="O74" i="129"/>
  <c r="P74" i="129"/>
  <c r="Q74" i="129"/>
  <c r="E74" i="129"/>
  <c r="D29" i="103" l="1"/>
  <c r="H39" i="94"/>
  <c r="H34" i="91"/>
  <c r="H31" i="91" l="1"/>
  <c r="H31" i="94"/>
  <c r="D32" i="103"/>
  <c r="D37" i="103"/>
  <c r="H39" i="91"/>
  <c r="H34" i="94"/>
  <c r="L18" i="110"/>
  <c r="L20" i="110" s="1"/>
  <c r="H12" i="91" l="1"/>
  <c r="L22" i="110"/>
  <c r="L24" i="110" s="1"/>
  <c r="H12" i="94"/>
  <c r="S86" i="120" l="1"/>
  <c r="H22" i="126"/>
  <c r="R10" i="122"/>
  <c r="R11" i="122"/>
  <c r="J22" i="126" l="1"/>
  <c r="L22" i="126" s="1"/>
  <c r="I22" i="126"/>
  <c r="K22" i="126" s="1"/>
  <c r="F24" i="135"/>
  <c r="F17" i="120" s="1"/>
  <c r="F30" i="135"/>
  <c r="F21" i="135"/>
  <c r="F22" i="135"/>
  <c r="F23" i="135"/>
  <c r="F25" i="135"/>
  <c r="F26" i="135"/>
  <c r="F27" i="135"/>
  <c r="F20" i="135"/>
  <c r="F16" i="135"/>
  <c r="F13" i="135"/>
  <c r="F14" i="135"/>
  <c r="F15" i="135"/>
  <c r="F12" i="135"/>
  <c r="F11" i="135"/>
  <c r="F9" i="120" l="1"/>
  <c r="R9" i="134"/>
  <c r="R14" i="134" s="1"/>
  <c r="R31" i="134" s="1"/>
  <c r="R33" i="134" s="1"/>
  <c r="R35" i="134" s="1"/>
  <c r="F11" i="120"/>
  <c r="I16" i="130"/>
  <c r="J138" i="122" s="1"/>
  <c r="P16" i="130" l="1"/>
  <c r="Q138" i="122" s="1"/>
  <c r="J16" i="130"/>
  <c r="K138" i="122" s="1"/>
  <c r="K16" i="130"/>
  <c r="L138" i="122" s="1"/>
  <c r="L16" i="130"/>
  <c r="M138" i="122" s="1"/>
  <c r="M16" i="130"/>
  <c r="N138" i="122" s="1"/>
  <c r="N16" i="130"/>
  <c r="O138" i="122" s="1"/>
  <c r="O16" i="130"/>
  <c r="P138" i="122" s="1"/>
  <c r="E17" i="130" l="1"/>
  <c r="E19" i="130" s="1"/>
  <c r="F138" i="122" s="1"/>
  <c r="Q9" i="130"/>
  <c r="F28" i="135" l="1"/>
  <c r="F29" i="135" l="1"/>
  <c r="D17" i="135"/>
  <c r="O71" i="120"/>
  <c r="R71" i="120"/>
  <c r="J71" i="120"/>
  <c r="J74" i="120" s="1"/>
  <c r="K71" i="120"/>
  <c r="L71" i="120"/>
  <c r="L74" i="120" s="1"/>
  <c r="F69" i="120"/>
  <c r="F62" i="120"/>
  <c r="F71" i="120" l="1"/>
  <c r="F74" i="120" s="1"/>
  <c r="F78" i="120" s="1"/>
  <c r="I73" i="120"/>
  <c r="I7" i="120"/>
  <c r="N7" i="120" s="1"/>
  <c r="I65" i="120"/>
  <c r="I11" i="120"/>
  <c r="N11" i="120" s="1"/>
  <c r="I31" i="120"/>
  <c r="I36" i="120"/>
  <c r="I60" i="120"/>
  <c r="I68" i="120"/>
  <c r="I75" i="120"/>
  <c r="I17" i="120"/>
  <c r="I35" i="120"/>
  <c r="I18" i="120"/>
  <c r="I24" i="120"/>
  <c r="I34" i="120"/>
  <c r="I51" i="120"/>
  <c r="I66" i="120"/>
  <c r="G21" i="120"/>
  <c r="I29" i="120"/>
  <c r="I50" i="120"/>
  <c r="I61" i="120"/>
  <c r="I8" i="120"/>
  <c r="N8" i="120" s="1"/>
  <c r="I58" i="120"/>
  <c r="I9" i="120"/>
  <c r="I25" i="120"/>
  <c r="I30" i="120"/>
  <c r="I57" i="120"/>
  <c r="I59" i="120"/>
  <c r="I67" i="120"/>
  <c r="I76" i="120"/>
  <c r="I20" i="120"/>
  <c r="I26" i="120"/>
  <c r="G27" i="120"/>
  <c r="G37" i="120"/>
  <c r="G10" i="120"/>
  <c r="G12" i="120" s="1"/>
  <c r="I64" i="120"/>
  <c r="I19" i="120"/>
  <c r="G62" i="120"/>
  <c r="G69" i="120"/>
  <c r="H62" i="120"/>
  <c r="H69" i="120"/>
  <c r="F17" i="135"/>
  <c r="F32" i="135"/>
  <c r="F16" i="120" s="1"/>
  <c r="I16" i="120" s="1"/>
  <c r="D32" i="135"/>
  <c r="D34" i="135" s="1"/>
  <c r="F13" i="110"/>
  <c r="D11" i="110"/>
  <c r="D15" i="110" s="1"/>
  <c r="N10" i="120" l="1"/>
  <c r="N12" i="120" s="1"/>
  <c r="J26" i="126"/>
  <c r="L26" i="126" s="1"/>
  <c r="F39" i="110"/>
  <c r="G71" i="120"/>
  <c r="G74" i="120" s="1"/>
  <c r="G78" i="120" s="1"/>
  <c r="I10" i="120"/>
  <c r="G38" i="120"/>
  <c r="G40" i="120" s="1"/>
  <c r="H71" i="120"/>
  <c r="H74" i="120" s="1"/>
  <c r="H78" i="120" s="1"/>
  <c r="F34" i="135"/>
  <c r="F11" i="110"/>
  <c r="F19" i="110" s="1"/>
  <c r="F36" i="135" l="1"/>
  <c r="F38" i="135" s="1"/>
  <c r="F15" i="110"/>
  <c r="I46" i="120"/>
  <c r="J46" i="120"/>
  <c r="K46" i="120"/>
  <c r="L46" i="120"/>
  <c r="M46" i="120"/>
  <c r="N46" i="120"/>
  <c r="O46" i="120"/>
  <c r="P46" i="120"/>
  <c r="Q46" i="120"/>
  <c r="R46" i="120"/>
  <c r="S46" i="120"/>
  <c r="F46" i="120"/>
  <c r="G46" i="120"/>
  <c r="H46" i="120"/>
  <c r="E46" i="120"/>
  <c r="F45" i="120"/>
  <c r="G45" i="120"/>
  <c r="H45" i="120"/>
  <c r="I45" i="120"/>
  <c r="J45" i="120"/>
  <c r="K45" i="120"/>
  <c r="L45" i="120"/>
  <c r="M45" i="120"/>
  <c r="N45" i="120"/>
  <c r="O45" i="120"/>
  <c r="P45" i="120"/>
  <c r="Q45" i="120"/>
  <c r="R45" i="120"/>
  <c r="S45" i="120"/>
  <c r="E45" i="120"/>
  <c r="F48" i="120" l="1"/>
  <c r="E83" i="120"/>
  <c r="S83" i="120" s="1"/>
  <c r="H14" i="126"/>
  <c r="F13" i="130"/>
  <c r="G13" i="130"/>
  <c r="H13" i="130"/>
  <c r="I13" i="130"/>
  <c r="J13" i="130"/>
  <c r="K13" i="130"/>
  <c r="L13" i="130"/>
  <c r="M13" i="130"/>
  <c r="N13" i="130"/>
  <c r="O13" i="130"/>
  <c r="P13" i="130"/>
  <c r="Q13" i="130"/>
  <c r="F14" i="130"/>
  <c r="F21" i="130" s="1"/>
  <c r="G14" i="130"/>
  <c r="H14" i="130"/>
  <c r="I14" i="130"/>
  <c r="J14" i="130"/>
  <c r="K14" i="130"/>
  <c r="L14" i="130"/>
  <c r="M14" i="130"/>
  <c r="N14" i="130"/>
  <c r="O14" i="130"/>
  <c r="P14" i="130"/>
  <c r="Q14" i="130"/>
  <c r="E14" i="130"/>
  <c r="E21" i="130" s="1"/>
  <c r="E23" i="130" s="1"/>
  <c r="E13" i="130"/>
  <c r="F29" i="134"/>
  <c r="G100" i="122" s="1"/>
  <c r="G29" i="134"/>
  <c r="H100" i="122" s="1"/>
  <c r="H29" i="134"/>
  <c r="I100" i="122" s="1"/>
  <c r="I29" i="134"/>
  <c r="J100" i="122" s="1"/>
  <c r="J29" i="134"/>
  <c r="K100" i="122" s="1"/>
  <c r="K29" i="134"/>
  <c r="L100" i="122" s="1"/>
  <c r="L29" i="134"/>
  <c r="M100" i="122" s="1"/>
  <c r="M29" i="134"/>
  <c r="N100" i="122" s="1"/>
  <c r="N29" i="134"/>
  <c r="O100" i="122" s="1"/>
  <c r="O29" i="134"/>
  <c r="P100" i="122" s="1"/>
  <c r="P29" i="134"/>
  <c r="Q100" i="122" s="1"/>
  <c r="Q29" i="134"/>
  <c r="R100" i="122" s="1"/>
  <c r="J14" i="126" l="1"/>
  <c r="I14" i="126"/>
  <c r="F14" i="134"/>
  <c r="F31" i="134" s="1"/>
  <c r="G14" i="134"/>
  <c r="G31" i="134" s="1"/>
  <c r="H14" i="134"/>
  <c r="H31" i="134" s="1"/>
  <c r="I14" i="134"/>
  <c r="I31" i="134" s="1"/>
  <c r="J14" i="134"/>
  <c r="J31" i="134" s="1"/>
  <c r="K14" i="134"/>
  <c r="K31" i="134" s="1"/>
  <c r="L14" i="134"/>
  <c r="L31" i="134" s="1"/>
  <c r="M14" i="134"/>
  <c r="M31" i="134" s="1"/>
  <c r="N14" i="134"/>
  <c r="N31" i="134" s="1"/>
  <c r="O14" i="134"/>
  <c r="O31" i="134" s="1"/>
  <c r="P14" i="134"/>
  <c r="P31" i="134" s="1"/>
  <c r="Q14" i="134"/>
  <c r="Q31" i="134" s="1"/>
  <c r="E14" i="134"/>
  <c r="E29" i="134"/>
  <c r="F100" i="122" s="1"/>
  <c r="M33" i="134" l="1"/>
  <c r="M35" i="134" s="1"/>
  <c r="P33" i="134"/>
  <c r="P35" i="134" s="1"/>
  <c r="L33" i="134"/>
  <c r="L35" i="134" s="1"/>
  <c r="H33" i="134"/>
  <c r="H35" i="134" s="1"/>
  <c r="I33" i="134"/>
  <c r="I35" i="134" s="1"/>
  <c r="N33" i="134"/>
  <c r="N35" i="134" s="1"/>
  <c r="J33" i="134"/>
  <c r="J35" i="134"/>
  <c r="F33" i="134"/>
  <c r="F35" i="134" s="1"/>
  <c r="O33" i="134"/>
  <c r="O35" i="134" s="1"/>
  <c r="K33" i="134"/>
  <c r="K35" i="134" s="1"/>
  <c r="G33" i="134"/>
  <c r="G35" i="134" s="1"/>
  <c r="I16" i="126"/>
  <c r="I20" i="126" s="1"/>
  <c r="I24" i="126" s="1"/>
  <c r="Q33" i="134"/>
  <c r="Q35" i="134" s="1"/>
  <c r="E31" i="134"/>
  <c r="E33" i="134"/>
  <c r="E69" i="120"/>
  <c r="E62" i="120"/>
  <c r="Q12" i="129"/>
  <c r="Q11" i="129"/>
  <c r="P11" i="129"/>
  <c r="P12" i="129"/>
  <c r="F11" i="129"/>
  <c r="G11" i="129"/>
  <c r="H11" i="129"/>
  <c r="I11" i="129"/>
  <c r="J11" i="129"/>
  <c r="K11" i="129"/>
  <c r="L11" i="129"/>
  <c r="M11" i="129"/>
  <c r="N11" i="129"/>
  <c r="O11" i="129"/>
  <c r="E11" i="129"/>
  <c r="G82" i="122"/>
  <c r="G132" i="122" s="1"/>
  <c r="H177" i="122" s="1"/>
  <c r="H82" i="122"/>
  <c r="H132" i="122" s="1"/>
  <c r="I177" i="122" s="1"/>
  <c r="I82" i="122"/>
  <c r="I132" i="122" s="1"/>
  <c r="J177" i="122" s="1"/>
  <c r="J82" i="122"/>
  <c r="J132" i="122" s="1"/>
  <c r="K177" i="122" s="1"/>
  <c r="K82" i="122"/>
  <c r="K132" i="122" s="1"/>
  <c r="L177" i="122" s="1"/>
  <c r="L82" i="122"/>
  <c r="L132" i="122" s="1"/>
  <c r="M177" i="122" s="1"/>
  <c r="M82" i="122"/>
  <c r="M132" i="122" s="1"/>
  <c r="N177" i="122" s="1"/>
  <c r="N82" i="122"/>
  <c r="N132" i="122" s="1"/>
  <c r="O177" i="122" s="1"/>
  <c r="O82" i="122"/>
  <c r="O132" i="122" s="1"/>
  <c r="P177" i="122" s="1"/>
  <c r="P82" i="122"/>
  <c r="P132" i="122" s="1"/>
  <c r="Q177" i="122" s="1"/>
  <c r="Q82" i="122"/>
  <c r="Q132" i="122" s="1"/>
  <c r="R177" i="122" s="1"/>
  <c r="R82" i="122"/>
  <c r="R132" i="122" s="1"/>
  <c r="F82" i="122"/>
  <c r="F132" i="122" s="1"/>
  <c r="F69" i="129"/>
  <c r="G69" i="129"/>
  <c r="H69" i="129"/>
  <c r="I69" i="129"/>
  <c r="J69" i="129"/>
  <c r="K69" i="129"/>
  <c r="L69" i="129"/>
  <c r="M69" i="129"/>
  <c r="N69" i="129"/>
  <c r="O69" i="129"/>
  <c r="P69" i="129"/>
  <c r="P107" i="129" s="1"/>
  <c r="Q69" i="129"/>
  <c r="Q107" i="129" s="1"/>
  <c r="F70" i="129"/>
  <c r="G70" i="129"/>
  <c r="H70" i="129"/>
  <c r="I70" i="129"/>
  <c r="J70" i="129"/>
  <c r="K70" i="129"/>
  <c r="L70" i="129"/>
  <c r="M70" i="129"/>
  <c r="N70" i="129"/>
  <c r="O70" i="129"/>
  <c r="P70" i="129"/>
  <c r="Q70" i="129"/>
  <c r="E70" i="129"/>
  <c r="Q59" i="129"/>
  <c r="R69" i="122" s="1"/>
  <c r="Q60" i="129"/>
  <c r="R70" i="122" s="1"/>
  <c r="Q61" i="129"/>
  <c r="R71" i="122" s="1"/>
  <c r="Q62" i="129"/>
  <c r="R72" i="122" s="1"/>
  <c r="Q63" i="129"/>
  <c r="R73" i="122" s="1"/>
  <c r="P60" i="129"/>
  <c r="Q70" i="122" s="1"/>
  <c r="P61" i="129"/>
  <c r="Q71" i="122" s="1"/>
  <c r="P62" i="129"/>
  <c r="Q72" i="122" s="1"/>
  <c r="P63" i="129"/>
  <c r="Q73" i="122" s="1"/>
  <c r="P59" i="129"/>
  <c r="Q69" i="122" s="1"/>
  <c r="P52" i="129"/>
  <c r="Q52" i="129"/>
  <c r="P53" i="129"/>
  <c r="Q53" i="129"/>
  <c r="P54" i="129"/>
  <c r="Q54" i="129"/>
  <c r="P55" i="129"/>
  <c r="Q55" i="129"/>
  <c r="P56" i="129"/>
  <c r="Q56" i="129"/>
  <c r="P67" i="129"/>
  <c r="Q77" i="122" s="1"/>
  <c r="Q67" i="129"/>
  <c r="R77" i="122" s="1"/>
  <c r="F52" i="129"/>
  <c r="G52" i="129"/>
  <c r="H52" i="129"/>
  <c r="I52" i="129"/>
  <c r="J52" i="129"/>
  <c r="K52" i="129"/>
  <c r="L52" i="129"/>
  <c r="M52" i="129"/>
  <c r="N52" i="129"/>
  <c r="O52" i="129"/>
  <c r="F53" i="129"/>
  <c r="G53" i="129"/>
  <c r="H53" i="129"/>
  <c r="I53" i="129"/>
  <c r="J53" i="129"/>
  <c r="K53" i="129"/>
  <c r="L53" i="129"/>
  <c r="M53" i="129"/>
  <c r="N53" i="129"/>
  <c r="O53" i="129"/>
  <c r="F54" i="129"/>
  <c r="G54" i="129"/>
  <c r="H54" i="129"/>
  <c r="I54" i="129"/>
  <c r="J54" i="129"/>
  <c r="K54" i="129"/>
  <c r="L54" i="129"/>
  <c r="M54" i="129"/>
  <c r="N54" i="129"/>
  <c r="O54" i="129"/>
  <c r="F55" i="129"/>
  <c r="G55" i="129"/>
  <c r="H55" i="129"/>
  <c r="I55" i="129"/>
  <c r="J55" i="129"/>
  <c r="K55" i="129"/>
  <c r="L55" i="129"/>
  <c r="M55" i="129"/>
  <c r="N55" i="129"/>
  <c r="O55" i="129"/>
  <c r="F56" i="129"/>
  <c r="G56" i="129"/>
  <c r="H56" i="129"/>
  <c r="I56" i="129"/>
  <c r="J56" i="129"/>
  <c r="K56" i="129"/>
  <c r="L56" i="129"/>
  <c r="M56" i="129"/>
  <c r="N56" i="129"/>
  <c r="O56" i="129"/>
  <c r="F64" i="129"/>
  <c r="G64" i="129"/>
  <c r="H64" i="129"/>
  <c r="I64" i="129"/>
  <c r="J64" i="129"/>
  <c r="K64" i="129"/>
  <c r="L64" i="129"/>
  <c r="M64" i="129"/>
  <c r="N64" i="129"/>
  <c r="O64" i="129"/>
  <c r="F67" i="129"/>
  <c r="G67" i="129"/>
  <c r="H67" i="129"/>
  <c r="I67" i="129"/>
  <c r="J67" i="129"/>
  <c r="K67" i="129"/>
  <c r="L67" i="129"/>
  <c r="M67" i="129"/>
  <c r="N67" i="129"/>
  <c r="O67" i="129"/>
  <c r="E69" i="129"/>
  <c r="E67" i="129"/>
  <c r="E64" i="129"/>
  <c r="E53" i="129"/>
  <c r="E54" i="129"/>
  <c r="E55" i="129"/>
  <c r="E56" i="129"/>
  <c r="E52" i="129"/>
  <c r="G10" i="122"/>
  <c r="H10" i="122"/>
  <c r="I10" i="122"/>
  <c r="J10" i="122"/>
  <c r="K10" i="122"/>
  <c r="L10" i="122"/>
  <c r="M10" i="122"/>
  <c r="N10" i="122"/>
  <c r="O10" i="122"/>
  <c r="P10" i="122"/>
  <c r="Q10" i="122"/>
  <c r="G11" i="122"/>
  <c r="H11" i="122"/>
  <c r="I11" i="122"/>
  <c r="J11" i="122"/>
  <c r="K11" i="122"/>
  <c r="L11" i="122"/>
  <c r="M11" i="122"/>
  <c r="N11" i="122"/>
  <c r="O11" i="122"/>
  <c r="P11" i="122"/>
  <c r="Q11" i="122"/>
  <c r="G12" i="122"/>
  <c r="H12" i="122"/>
  <c r="I12" i="122"/>
  <c r="J12" i="122"/>
  <c r="K12" i="122"/>
  <c r="L12" i="122"/>
  <c r="M12" i="122"/>
  <c r="N12" i="122"/>
  <c r="O12" i="122"/>
  <c r="P12" i="122"/>
  <c r="Q12" i="122"/>
  <c r="R12" i="122"/>
  <c r="R13" i="122" s="1"/>
  <c r="G14" i="122"/>
  <c r="G136" i="122" s="1"/>
  <c r="H14" i="122"/>
  <c r="H136" i="122" s="1"/>
  <c r="I14" i="122"/>
  <c r="I136" i="122" s="1"/>
  <c r="J14" i="122"/>
  <c r="J136" i="122" s="1"/>
  <c r="K14" i="122"/>
  <c r="K136" i="122" s="1"/>
  <c r="L14" i="122"/>
  <c r="L136" i="122" s="1"/>
  <c r="M14" i="122"/>
  <c r="M136" i="122" s="1"/>
  <c r="N14" i="122"/>
  <c r="N136" i="122" s="1"/>
  <c r="O14" i="122"/>
  <c r="O136" i="122" s="1"/>
  <c r="P14" i="122"/>
  <c r="P136" i="122" s="1"/>
  <c r="Q14" i="122"/>
  <c r="Q136" i="122" s="1"/>
  <c r="R14" i="122"/>
  <c r="R136" i="122" s="1"/>
  <c r="G19" i="122"/>
  <c r="G92" i="122" s="1"/>
  <c r="H19" i="122"/>
  <c r="H92" i="122" s="1"/>
  <c r="I19" i="122"/>
  <c r="I92" i="122" s="1"/>
  <c r="J19" i="122"/>
  <c r="J92" i="122" s="1"/>
  <c r="K19" i="122"/>
  <c r="K92" i="122" s="1"/>
  <c r="L19" i="122"/>
  <c r="L92" i="122" s="1"/>
  <c r="M19" i="122"/>
  <c r="M92" i="122" s="1"/>
  <c r="N19" i="122"/>
  <c r="N92" i="122" s="1"/>
  <c r="O19" i="122"/>
  <c r="O92" i="122" s="1"/>
  <c r="P19" i="122"/>
  <c r="P92" i="122" s="1"/>
  <c r="Q19" i="122"/>
  <c r="Q92" i="122" s="1"/>
  <c r="R19" i="122"/>
  <c r="R92" i="122" s="1"/>
  <c r="G20" i="122"/>
  <c r="G93" i="122" s="1"/>
  <c r="H20" i="122"/>
  <c r="H93" i="122" s="1"/>
  <c r="I20" i="122"/>
  <c r="I93" i="122" s="1"/>
  <c r="J20" i="122"/>
  <c r="J93" i="122" s="1"/>
  <c r="K20" i="122"/>
  <c r="K93" i="122" s="1"/>
  <c r="L20" i="122"/>
  <c r="L93" i="122" s="1"/>
  <c r="M20" i="122"/>
  <c r="M93" i="122" s="1"/>
  <c r="N20" i="122"/>
  <c r="N93" i="122" s="1"/>
  <c r="O20" i="122"/>
  <c r="O93" i="122" s="1"/>
  <c r="P20" i="122"/>
  <c r="P93" i="122" s="1"/>
  <c r="Q20" i="122"/>
  <c r="Q93" i="122" s="1"/>
  <c r="R20" i="122"/>
  <c r="R93" i="122" s="1"/>
  <c r="G23" i="122"/>
  <c r="G120" i="122" s="1"/>
  <c r="H23" i="122"/>
  <c r="H120" i="122" s="1"/>
  <c r="I23" i="122"/>
  <c r="I120" i="122" s="1"/>
  <c r="J23" i="122"/>
  <c r="J120" i="122" s="1"/>
  <c r="K23" i="122"/>
  <c r="K120" i="122" s="1"/>
  <c r="L23" i="122"/>
  <c r="L120" i="122" s="1"/>
  <c r="M23" i="122"/>
  <c r="M120" i="122" s="1"/>
  <c r="N23" i="122"/>
  <c r="N120" i="122" s="1"/>
  <c r="O23" i="122"/>
  <c r="O120" i="122" s="1"/>
  <c r="P23" i="122"/>
  <c r="P120" i="122" s="1"/>
  <c r="Q23" i="122"/>
  <c r="Q120" i="122" s="1"/>
  <c r="R23" i="122"/>
  <c r="R120" i="122" s="1"/>
  <c r="G27" i="122"/>
  <c r="G94" i="122" s="1"/>
  <c r="H27" i="122"/>
  <c r="H94" i="122" s="1"/>
  <c r="I27" i="122"/>
  <c r="I94" i="122" s="1"/>
  <c r="J27" i="122"/>
  <c r="J94" i="122" s="1"/>
  <c r="K27" i="122"/>
  <c r="K94" i="122" s="1"/>
  <c r="L27" i="122"/>
  <c r="L94" i="122" s="1"/>
  <c r="M27" i="122"/>
  <c r="M94" i="122" s="1"/>
  <c r="N27" i="122"/>
  <c r="N94" i="122" s="1"/>
  <c r="O27" i="122"/>
  <c r="O94" i="122" s="1"/>
  <c r="P27" i="122"/>
  <c r="P94" i="122" s="1"/>
  <c r="Q27" i="122"/>
  <c r="Q94" i="122" s="1"/>
  <c r="R27" i="122"/>
  <c r="R94" i="122" s="1"/>
  <c r="G28" i="122"/>
  <c r="G108" i="122" s="1"/>
  <c r="H28" i="122"/>
  <c r="H108" i="122" s="1"/>
  <c r="I28" i="122"/>
  <c r="I108" i="122" s="1"/>
  <c r="J28" i="122"/>
  <c r="J108" i="122" s="1"/>
  <c r="K28" i="122"/>
  <c r="K108" i="122" s="1"/>
  <c r="L28" i="122"/>
  <c r="L108" i="122" s="1"/>
  <c r="M28" i="122"/>
  <c r="M108" i="122" s="1"/>
  <c r="N28" i="122"/>
  <c r="N108" i="122" s="1"/>
  <c r="O28" i="122"/>
  <c r="O108" i="122" s="1"/>
  <c r="P28" i="122"/>
  <c r="P108" i="122" s="1"/>
  <c r="Q28" i="122"/>
  <c r="Q108" i="122" s="1"/>
  <c r="R28" i="122"/>
  <c r="R108" i="122" s="1"/>
  <c r="G29" i="122"/>
  <c r="G121" i="122" s="1"/>
  <c r="H29" i="122"/>
  <c r="H121" i="122" s="1"/>
  <c r="I29" i="122"/>
  <c r="I121" i="122" s="1"/>
  <c r="J29" i="122"/>
  <c r="J121" i="122" s="1"/>
  <c r="K29" i="122"/>
  <c r="K121" i="122" s="1"/>
  <c r="L29" i="122"/>
  <c r="L121" i="122" s="1"/>
  <c r="M29" i="122"/>
  <c r="M121" i="122" s="1"/>
  <c r="N29" i="122"/>
  <c r="N121" i="122" s="1"/>
  <c r="O29" i="122"/>
  <c r="O121" i="122" s="1"/>
  <c r="P29" i="122"/>
  <c r="P121" i="122" s="1"/>
  <c r="Q29" i="122"/>
  <c r="Q121" i="122" s="1"/>
  <c r="R29" i="122"/>
  <c r="R121" i="122" s="1"/>
  <c r="G32" i="122"/>
  <c r="G95" i="122" s="1"/>
  <c r="H32" i="122"/>
  <c r="H95" i="122" s="1"/>
  <c r="I32" i="122"/>
  <c r="I95" i="122" s="1"/>
  <c r="J32" i="122"/>
  <c r="J95" i="122" s="1"/>
  <c r="K32" i="122"/>
  <c r="K95" i="122" s="1"/>
  <c r="L32" i="122"/>
  <c r="L95" i="122" s="1"/>
  <c r="M32" i="122"/>
  <c r="M95" i="122" s="1"/>
  <c r="N32" i="122"/>
  <c r="N95" i="122" s="1"/>
  <c r="O32" i="122"/>
  <c r="O95" i="122" s="1"/>
  <c r="P32" i="122"/>
  <c r="P95" i="122" s="1"/>
  <c r="Q32" i="122"/>
  <c r="Q95" i="122" s="1"/>
  <c r="R32" i="122"/>
  <c r="R95" i="122" s="1"/>
  <c r="G33" i="122"/>
  <c r="G96" i="122" s="1"/>
  <c r="H33" i="122"/>
  <c r="H96" i="122" s="1"/>
  <c r="I33" i="122"/>
  <c r="I96" i="122" s="1"/>
  <c r="J33" i="122"/>
  <c r="J96" i="122" s="1"/>
  <c r="K33" i="122"/>
  <c r="K96" i="122" s="1"/>
  <c r="L33" i="122"/>
  <c r="L96" i="122" s="1"/>
  <c r="M33" i="122"/>
  <c r="M96" i="122" s="1"/>
  <c r="N33" i="122"/>
  <c r="N96" i="122" s="1"/>
  <c r="O33" i="122"/>
  <c r="O96" i="122" s="1"/>
  <c r="P33" i="122"/>
  <c r="P96" i="122" s="1"/>
  <c r="Q33" i="122"/>
  <c r="Q96" i="122" s="1"/>
  <c r="R33" i="122"/>
  <c r="R96" i="122" s="1"/>
  <c r="G34" i="122"/>
  <c r="G97" i="122" s="1"/>
  <c r="H34" i="122"/>
  <c r="H97" i="122" s="1"/>
  <c r="I34" i="122"/>
  <c r="I97" i="122" s="1"/>
  <c r="J34" i="122"/>
  <c r="J97" i="122" s="1"/>
  <c r="K34" i="122"/>
  <c r="K97" i="122" s="1"/>
  <c r="L34" i="122"/>
  <c r="L97" i="122" s="1"/>
  <c r="M34" i="122"/>
  <c r="M97" i="122" s="1"/>
  <c r="N34" i="122"/>
  <c r="N97" i="122" s="1"/>
  <c r="O34" i="122"/>
  <c r="O97" i="122" s="1"/>
  <c r="P34" i="122"/>
  <c r="P97" i="122" s="1"/>
  <c r="Q34" i="122"/>
  <c r="Q97" i="122" s="1"/>
  <c r="R34" i="122"/>
  <c r="R97" i="122" s="1"/>
  <c r="G37" i="122"/>
  <c r="G98" i="122" s="1"/>
  <c r="H37" i="122"/>
  <c r="H98" i="122" s="1"/>
  <c r="I37" i="122"/>
  <c r="I98" i="122" s="1"/>
  <c r="J37" i="122"/>
  <c r="J98" i="122" s="1"/>
  <c r="K37" i="122"/>
  <c r="K98" i="122" s="1"/>
  <c r="L37" i="122"/>
  <c r="L98" i="122" s="1"/>
  <c r="M37" i="122"/>
  <c r="M98" i="122" s="1"/>
  <c r="N37" i="122"/>
  <c r="N98" i="122" s="1"/>
  <c r="O37" i="122"/>
  <c r="O98" i="122" s="1"/>
  <c r="P37" i="122"/>
  <c r="P98" i="122" s="1"/>
  <c r="Q37" i="122"/>
  <c r="Q98" i="122" s="1"/>
  <c r="R37" i="122"/>
  <c r="R98" i="122" s="1"/>
  <c r="G38" i="122"/>
  <c r="G109" i="122" s="1"/>
  <c r="H38" i="122"/>
  <c r="H109" i="122" s="1"/>
  <c r="I38" i="122"/>
  <c r="I109" i="122" s="1"/>
  <c r="J38" i="122"/>
  <c r="J109" i="122" s="1"/>
  <c r="K38" i="122"/>
  <c r="K109" i="122" s="1"/>
  <c r="L38" i="122"/>
  <c r="L109" i="122" s="1"/>
  <c r="M38" i="122"/>
  <c r="M109" i="122" s="1"/>
  <c r="N38" i="122"/>
  <c r="N109" i="122" s="1"/>
  <c r="O38" i="122"/>
  <c r="O109" i="122" s="1"/>
  <c r="P38" i="122"/>
  <c r="P109" i="122" s="1"/>
  <c r="Q38" i="122"/>
  <c r="Q109" i="122" s="1"/>
  <c r="R38" i="122"/>
  <c r="R109" i="122" s="1"/>
  <c r="G39" i="122"/>
  <c r="G122" i="122" s="1"/>
  <c r="H39" i="122"/>
  <c r="H122" i="122" s="1"/>
  <c r="I39" i="122"/>
  <c r="I122" i="122" s="1"/>
  <c r="J39" i="122"/>
  <c r="J122" i="122" s="1"/>
  <c r="K39" i="122"/>
  <c r="K122" i="122" s="1"/>
  <c r="L39" i="122"/>
  <c r="L122" i="122" s="1"/>
  <c r="M39" i="122"/>
  <c r="M122" i="122" s="1"/>
  <c r="N39" i="122"/>
  <c r="N122" i="122" s="1"/>
  <c r="O39" i="122"/>
  <c r="O122" i="122" s="1"/>
  <c r="P39" i="122"/>
  <c r="P122" i="122" s="1"/>
  <c r="Q39" i="122"/>
  <c r="Q122" i="122" s="1"/>
  <c r="R39" i="122"/>
  <c r="R122" i="122" s="1"/>
  <c r="G40" i="122"/>
  <c r="H40" i="122"/>
  <c r="I40" i="122"/>
  <c r="J40" i="122"/>
  <c r="K40" i="122"/>
  <c r="L40" i="122"/>
  <c r="M40" i="122"/>
  <c r="N40" i="122"/>
  <c r="O40" i="122"/>
  <c r="P40" i="122"/>
  <c r="Q40" i="122"/>
  <c r="G46" i="122"/>
  <c r="H46" i="122"/>
  <c r="I46" i="122"/>
  <c r="J46" i="122"/>
  <c r="K46" i="122"/>
  <c r="L46" i="122"/>
  <c r="M46" i="122"/>
  <c r="N46" i="122"/>
  <c r="O46" i="122"/>
  <c r="P46" i="122"/>
  <c r="Q46" i="122"/>
  <c r="R46" i="122"/>
  <c r="G47" i="122"/>
  <c r="H47" i="122"/>
  <c r="I47" i="122"/>
  <c r="J47" i="122"/>
  <c r="K47" i="122"/>
  <c r="L47" i="122"/>
  <c r="M47" i="122"/>
  <c r="N47" i="122"/>
  <c r="O47" i="122"/>
  <c r="P47" i="122"/>
  <c r="Q47" i="122"/>
  <c r="R47" i="122"/>
  <c r="G48" i="122"/>
  <c r="H48" i="122"/>
  <c r="I48" i="122"/>
  <c r="J48" i="122"/>
  <c r="K48" i="122"/>
  <c r="L48" i="122"/>
  <c r="M48" i="122"/>
  <c r="N48" i="122"/>
  <c r="O48" i="122"/>
  <c r="P48" i="122"/>
  <c r="Q48" i="122"/>
  <c r="R48" i="122"/>
  <c r="G49" i="122"/>
  <c r="H49" i="122"/>
  <c r="I49" i="122"/>
  <c r="J49" i="122"/>
  <c r="K49" i="122"/>
  <c r="L49" i="122"/>
  <c r="M49" i="122"/>
  <c r="N49" i="122"/>
  <c r="O49" i="122"/>
  <c r="P49" i="122"/>
  <c r="Q49" i="122"/>
  <c r="R49" i="122"/>
  <c r="G50" i="122"/>
  <c r="H50" i="122"/>
  <c r="I50" i="122"/>
  <c r="J50" i="122"/>
  <c r="K50" i="122"/>
  <c r="L50" i="122"/>
  <c r="M50" i="122"/>
  <c r="N50" i="122"/>
  <c r="O50" i="122"/>
  <c r="P50" i="122"/>
  <c r="Q50" i="122"/>
  <c r="R50" i="122"/>
  <c r="F47" i="122"/>
  <c r="F48" i="122"/>
  <c r="F49" i="122"/>
  <c r="F50" i="122"/>
  <c r="F46" i="122"/>
  <c r="F38" i="122"/>
  <c r="F109" i="122" s="1"/>
  <c r="F39" i="122"/>
  <c r="F122" i="122" s="1"/>
  <c r="F37" i="122"/>
  <c r="F98" i="122" s="1"/>
  <c r="F34" i="122"/>
  <c r="F97" i="122" s="1"/>
  <c r="F33" i="122"/>
  <c r="F96" i="122" s="1"/>
  <c r="F32" i="122"/>
  <c r="F95" i="122" s="1"/>
  <c r="F28" i="122"/>
  <c r="F108" i="122" s="1"/>
  <c r="F29" i="122"/>
  <c r="F121" i="122" s="1"/>
  <c r="F27" i="122"/>
  <c r="F94" i="122" s="1"/>
  <c r="F23" i="122"/>
  <c r="F120" i="122" s="1"/>
  <c r="F20" i="122"/>
  <c r="F93" i="122" s="1"/>
  <c r="F19" i="122"/>
  <c r="F92" i="122" s="1"/>
  <c r="F12" i="122"/>
  <c r="F14" i="122"/>
  <c r="F136" i="122" s="1"/>
  <c r="F139" i="122" s="1"/>
  <c r="F11" i="122"/>
  <c r="F10" i="122"/>
  <c r="R79" i="133"/>
  <c r="O79" i="133"/>
  <c r="N79" i="133"/>
  <c r="K79" i="133"/>
  <c r="J79" i="133"/>
  <c r="G79" i="133"/>
  <c r="F79" i="133"/>
  <c r="Q79" i="133"/>
  <c r="P79" i="133"/>
  <c r="M79" i="133"/>
  <c r="L79" i="133"/>
  <c r="I79" i="133"/>
  <c r="H79" i="133"/>
  <c r="F22" i="87"/>
  <c r="F21" i="87"/>
  <c r="F20" i="87"/>
  <c r="G32" i="132"/>
  <c r="G33" i="132"/>
  <c r="H22" i="87"/>
  <c r="H21" i="87"/>
  <c r="H20" i="87"/>
  <c r="H17" i="87"/>
  <c r="H16" i="87"/>
  <c r="H15" i="87"/>
  <c r="H14" i="87"/>
  <c r="H13" i="87"/>
  <c r="N57" i="129" l="1"/>
  <c r="N65" i="129" s="1"/>
  <c r="N68" i="129" s="1"/>
  <c r="N72" i="129" s="1"/>
  <c r="F57" i="129"/>
  <c r="F65" i="129" s="1"/>
  <c r="F68" i="129" s="1"/>
  <c r="F72" i="129" s="1"/>
  <c r="S177" i="122"/>
  <c r="S194" i="122" s="1"/>
  <c r="S133" i="122"/>
  <c r="S160" i="122"/>
  <c r="E35" i="134"/>
  <c r="E57" i="129"/>
  <c r="J57" i="129"/>
  <c r="J65" i="129" s="1"/>
  <c r="J68" i="129" s="1"/>
  <c r="J72" i="129" s="1"/>
  <c r="I57" i="129"/>
  <c r="I65" i="129" s="1"/>
  <c r="I68" i="129" s="1"/>
  <c r="I72" i="129" s="1"/>
  <c r="Q74" i="122"/>
  <c r="M57" i="129"/>
  <c r="M65" i="129" s="1"/>
  <c r="M68" i="129" s="1"/>
  <c r="M72" i="129" s="1"/>
  <c r="R74" i="122"/>
  <c r="I30" i="122"/>
  <c r="N30" i="122"/>
  <c r="G30" i="122"/>
  <c r="R40" i="122"/>
  <c r="J30" i="122"/>
  <c r="Q194" i="122"/>
  <c r="P160" i="122"/>
  <c r="I194" i="122"/>
  <c r="H160" i="122"/>
  <c r="R194" i="122"/>
  <c r="Q160" i="122"/>
  <c r="N194" i="122"/>
  <c r="M160" i="122"/>
  <c r="J194" i="122"/>
  <c r="I160" i="122"/>
  <c r="O160" i="122"/>
  <c r="P194" i="122"/>
  <c r="L194" i="122"/>
  <c r="K160" i="122"/>
  <c r="H194" i="122"/>
  <c r="R30" i="122"/>
  <c r="M30" i="122"/>
  <c r="M194" i="122"/>
  <c r="L160" i="122"/>
  <c r="N160" i="122"/>
  <c r="O194" i="122"/>
  <c r="J160" i="122"/>
  <c r="K194" i="122"/>
  <c r="P123" i="122"/>
  <c r="P30" i="122"/>
  <c r="Q30" i="122"/>
  <c r="L30" i="122"/>
  <c r="R160" i="122"/>
  <c r="O30" i="122"/>
  <c r="K30" i="122"/>
  <c r="H30" i="122"/>
  <c r="G13" i="122"/>
  <c r="G15" i="122" s="1"/>
  <c r="O13" i="122"/>
  <c r="O15" i="122" s="1"/>
  <c r="F123" i="122"/>
  <c r="R133" i="122"/>
  <c r="N133" i="122"/>
  <c r="J133" i="122"/>
  <c r="Q133" i="122"/>
  <c r="M133" i="122"/>
  <c r="I133" i="122"/>
  <c r="K133" i="122"/>
  <c r="G133" i="122"/>
  <c r="P133" i="122"/>
  <c r="L133" i="122"/>
  <c r="H133" i="122"/>
  <c r="O133" i="122"/>
  <c r="M123" i="122"/>
  <c r="R123" i="122"/>
  <c r="J123" i="122"/>
  <c r="J126" i="122" s="1"/>
  <c r="O123" i="122"/>
  <c r="K123" i="122"/>
  <c r="G123" i="122"/>
  <c r="Q123" i="122"/>
  <c r="I123" i="122"/>
  <c r="N123" i="122"/>
  <c r="L123" i="122"/>
  <c r="L126" i="122" s="1"/>
  <c r="G5" i="141" s="1"/>
  <c r="H123" i="122"/>
  <c r="N99" i="122"/>
  <c r="K99" i="122"/>
  <c r="Q99" i="122"/>
  <c r="M99" i="122"/>
  <c r="I99" i="122"/>
  <c r="R99" i="122"/>
  <c r="J99" i="122"/>
  <c r="F99" i="122"/>
  <c r="O99" i="122"/>
  <c r="G99" i="122"/>
  <c r="P99" i="122"/>
  <c r="L99" i="122"/>
  <c r="L103" i="122" s="1"/>
  <c r="G8" i="139" s="1"/>
  <c r="H99" i="122"/>
  <c r="F30" i="122"/>
  <c r="K13" i="122"/>
  <c r="K15" i="122" s="1"/>
  <c r="F40" i="122"/>
  <c r="J13" i="122"/>
  <c r="J15" i="122" s="1"/>
  <c r="M13" i="122"/>
  <c r="M15" i="122" s="1"/>
  <c r="N13" i="122"/>
  <c r="N15" i="122" s="1"/>
  <c r="Q13" i="122"/>
  <c r="Q15" i="122" s="1"/>
  <c r="I13" i="122"/>
  <c r="I15" i="122" s="1"/>
  <c r="O57" i="129"/>
  <c r="O65" i="129" s="1"/>
  <c r="O68" i="129" s="1"/>
  <c r="O72" i="129" s="1"/>
  <c r="K57" i="129"/>
  <c r="K65" i="129" s="1"/>
  <c r="K68" i="129" s="1"/>
  <c r="K72" i="129" s="1"/>
  <c r="G57" i="129"/>
  <c r="G65" i="129" s="1"/>
  <c r="G68" i="129" s="1"/>
  <c r="G72" i="129" s="1"/>
  <c r="Q57" i="129"/>
  <c r="Q64" i="129"/>
  <c r="F13" i="122"/>
  <c r="F15" i="122" s="1"/>
  <c r="P13" i="122"/>
  <c r="P15" i="122" s="1"/>
  <c r="L13" i="122"/>
  <c r="L15" i="122" s="1"/>
  <c r="H13" i="122"/>
  <c r="H15" i="122" s="1"/>
  <c r="L57" i="129"/>
  <c r="L65" i="129" s="1"/>
  <c r="L68" i="129" s="1"/>
  <c r="L72" i="129" s="1"/>
  <c r="H57" i="129"/>
  <c r="H65" i="129" s="1"/>
  <c r="H68" i="129" s="1"/>
  <c r="H72" i="129" s="1"/>
  <c r="P64" i="129"/>
  <c r="P57" i="129"/>
  <c r="E71" i="120"/>
  <c r="E74" i="120" s="1"/>
  <c r="E78" i="120" s="1"/>
  <c r="R15" i="122"/>
  <c r="B264" i="132"/>
  <c r="C210" i="132"/>
  <c r="B209" i="132"/>
  <c r="F198" i="132"/>
  <c r="E198" i="132"/>
  <c r="D198" i="132"/>
  <c r="F191" i="132"/>
  <c r="E191" i="132"/>
  <c r="D191" i="132"/>
  <c r="I177" i="132"/>
  <c r="I180" i="132" s="1"/>
  <c r="C174" i="132"/>
  <c r="F173" i="132"/>
  <c r="D165" i="132"/>
  <c r="C165" i="132" s="1"/>
  <c r="C145" i="132"/>
  <c r="I142" i="132"/>
  <c r="C138" i="132"/>
  <c r="H187" i="132"/>
  <c r="F187" i="132"/>
  <c r="E187" i="132"/>
  <c r="D142" i="132"/>
  <c r="I128" i="132"/>
  <c r="G128" i="132"/>
  <c r="I124" i="132"/>
  <c r="I127" i="132" s="1"/>
  <c r="C121" i="132"/>
  <c r="C120" i="132"/>
  <c r="H172" i="132"/>
  <c r="F172" i="132"/>
  <c r="C116" i="132"/>
  <c r="C112" i="132"/>
  <c r="B95" i="132"/>
  <c r="K173" i="122" l="1"/>
  <c r="E5" i="141"/>
  <c r="C198" i="132"/>
  <c r="M173" i="122"/>
  <c r="M167" i="122"/>
  <c r="M184" i="122" s="1"/>
  <c r="Q65" i="129"/>
  <c r="Q68" i="129" s="1"/>
  <c r="Q72" i="129" s="1"/>
  <c r="P65" i="129"/>
  <c r="P68" i="129" s="1"/>
  <c r="P72" i="129" s="1"/>
  <c r="I130" i="132"/>
  <c r="I150" i="132" s="1"/>
  <c r="I152" i="132" s="1"/>
  <c r="I205" i="132" s="1"/>
  <c r="H142" i="132"/>
  <c r="C173" i="132"/>
  <c r="D187" i="132"/>
  <c r="D195" i="132" s="1"/>
  <c r="C119" i="132"/>
  <c r="H195" i="132"/>
  <c r="F195" i="132"/>
  <c r="E195" i="132"/>
  <c r="F142" i="132"/>
  <c r="E172" i="132"/>
  <c r="C172" i="132" s="1"/>
  <c r="C187" i="132"/>
  <c r="C134" i="132"/>
  <c r="E142" i="132"/>
  <c r="C175" i="132"/>
  <c r="C122" i="132"/>
  <c r="C191" i="132"/>
  <c r="C195" i="132" l="1"/>
  <c r="C142" i="132"/>
  <c r="L56" i="132"/>
  <c r="L55" i="132"/>
  <c r="I41" i="132"/>
  <c r="I181" i="132" s="1"/>
  <c r="I183" i="132" s="1"/>
  <c r="I203" i="132" s="1"/>
  <c r="I204" i="132" s="1"/>
  <c r="I207" i="132" s="1"/>
  <c r="I208" i="132" s="1"/>
  <c r="G41" i="132"/>
  <c r="G181" i="132" s="1"/>
  <c r="I38" i="132"/>
  <c r="H38" i="132"/>
  <c r="G38" i="132"/>
  <c r="F38" i="132"/>
  <c r="E38" i="132"/>
  <c r="D38" i="132"/>
  <c r="H35" i="132"/>
  <c r="G35" i="132"/>
  <c r="F35" i="132"/>
  <c r="E35" i="132"/>
  <c r="D35" i="132"/>
  <c r="I34" i="132"/>
  <c r="H34" i="132"/>
  <c r="G34" i="132"/>
  <c r="F34" i="132"/>
  <c r="E34" i="132"/>
  <c r="D34" i="132"/>
  <c r="D169" i="132" s="1"/>
  <c r="C169" i="132" s="1"/>
  <c r="I33" i="132"/>
  <c r="H33" i="132"/>
  <c r="F33" i="132"/>
  <c r="E33" i="132"/>
  <c r="I32" i="132"/>
  <c r="I31" i="132"/>
  <c r="E22" i="87"/>
  <c r="G22" i="87" s="1"/>
  <c r="E20" i="87"/>
  <c r="G20" i="87" s="1"/>
  <c r="E11" i="87"/>
  <c r="E9" i="87"/>
  <c r="E8" i="87"/>
  <c r="E7" i="87"/>
  <c r="I21" i="132"/>
  <c r="I44" i="132" s="1"/>
  <c r="H21" i="132"/>
  <c r="H44" i="132" s="1"/>
  <c r="G21" i="132"/>
  <c r="G44" i="132" s="1"/>
  <c r="F21" i="132"/>
  <c r="F44" i="132" s="1"/>
  <c r="E21" i="132"/>
  <c r="E44" i="132" s="1"/>
  <c r="D21" i="132"/>
  <c r="D44" i="132" s="1"/>
  <c r="F41" i="132"/>
  <c r="E41" i="132"/>
  <c r="I14" i="132"/>
  <c r="I17" i="132" s="1"/>
  <c r="I20" i="132" s="1"/>
  <c r="I23" i="132" s="1"/>
  <c r="E18" i="87" s="1"/>
  <c r="N10" i="132"/>
  <c r="L57" i="132" s="1"/>
  <c r="N9" i="132"/>
  <c r="E32" i="132"/>
  <c r="G31" i="132"/>
  <c r="E31" i="132"/>
  <c r="B2" i="132"/>
  <c r="G37" i="132" l="1"/>
  <c r="G40" i="132" s="1"/>
  <c r="G43" i="132" s="1"/>
  <c r="C38" i="132"/>
  <c r="D14" i="132"/>
  <c r="D17" i="132" s="1"/>
  <c r="D48" i="132"/>
  <c r="G48" i="132"/>
  <c r="E10" i="87"/>
  <c r="F50" i="132"/>
  <c r="E21" i="87"/>
  <c r="G21" i="87" s="1"/>
  <c r="C44" i="132"/>
  <c r="F14" i="132"/>
  <c r="F17" i="132" s="1"/>
  <c r="F20" i="132" s="1"/>
  <c r="F23" i="132" s="1"/>
  <c r="E15" i="87" s="1"/>
  <c r="H48" i="132"/>
  <c r="D250" i="132"/>
  <c r="L59" i="132"/>
  <c r="L58" i="132"/>
  <c r="D249" i="132"/>
  <c r="E37" i="132"/>
  <c r="E40" i="132" s="1"/>
  <c r="E43" i="132" s="1"/>
  <c r="E46" i="132" s="1"/>
  <c r="G46" i="132"/>
  <c r="B110" i="132"/>
  <c r="B203" i="132"/>
  <c r="B130" i="132"/>
  <c r="B150" i="132" s="1"/>
  <c r="B183" i="132"/>
  <c r="B163" i="132"/>
  <c r="F277" i="132"/>
  <c r="B295" i="132" s="1"/>
  <c r="F244" i="132"/>
  <c r="E14" i="132"/>
  <c r="E17" i="132" s="1"/>
  <c r="E20" i="132" s="1"/>
  <c r="E23" i="132" s="1"/>
  <c r="E14" i="87" s="1"/>
  <c r="C18" i="132"/>
  <c r="C21" i="132"/>
  <c r="H14" i="132"/>
  <c r="H17" i="132" s="1"/>
  <c r="H20" i="132" s="1"/>
  <c r="H23" i="132" s="1"/>
  <c r="E17" i="87" s="1"/>
  <c r="I35" i="132"/>
  <c r="I37" i="132" s="1"/>
  <c r="I40" i="132" s="1"/>
  <c r="I43" i="132" s="1"/>
  <c r="I46" i="132" s="1"/>
  <c r="F48" i="132"/>
  <c r="D274" i="132"/>
  <c r="D241" i="132"/>
  <c r="D222" i="132"/>
  <c r="D221" i="132"/>
  <c r="D275" i="132"/>
  <c r="D223" i="132"/>
  <c r="F225" i="132"/>
  <c r="B262" i="132" s="1"/>
  <c r="F31" i="132"/>
  <c r="D32" i="132"/>
  <c r="H32" i="132"/>
  <c r="G50" i="132"/>
  <c r="P6" i="132"/>
  <c r="G14" i="132"/>
  <c r="G17" i="132" s="1"/>
  <c r="G20" i="132" s="1"/>
  <c r="G23" i="132" s="1"/>
  <c r="E16" i="87" s="1"/>
  <c r="D31" i="132"/>
  <c r="H31" i="132"/>
  <c r="F32" i="132"/>
  <c r="D33" i="132"/>
  <c r="D41" i="132"/>
  <c r="H41" i="132"/>
  <c r="E48" i="132"/>
  <c r="E50" i="132"/>
  <c r="D242" i="132"/>
  <c r="G118" i="132" l="1"/>
  <c r="F118" i="132"/>
  <c r="E118" i="132"/>
  <c r="G117" i="132"/>
  <c r="F117" i="132"/>
  <c r="G115" i="132"/>
  <c r="C223" i="132"/>
  <c r="E223" i="132" s="1"/>
  <c r="D115" i="132"/>
  <c r="H114" i="132"/>
  <c r="G125" i="132"/>
  <c r="G114" i="132"/>
  <c r="C275" i="132"/>
  <c r="E275" i="132" s="1"/>
  <c r="F114" i="132"/>
  <c r="C242" i="132"/>
  <c r="E242" i="132" s="1"/>
  <c r="E114" i="132"/>
  <c r="C222" i="132"/>
  <c r="E222" i="132" s="1"/>
  <c r="D114" i="132"/>
  <c r="H113" i="132"/>
  <c r="G113" i="132"/>
  <c r="C274" i="132"/>
  <c r="E274" i="132" s="1"/>
  <c r="E277" i="132" s="1"/>
  <c r="F113" i="132"/>
  <c r="F124" i="132" s="1"/>
  <c r="C241" i="132"/>
  <c r="E241" i="132" s="1"/>
  <c r="E244" i="132" s="1"/>
  <c r="E113" i="132"/>
  <c r="C221" i="132"/>
  <c r="E221" i="132" s="1"/>
  <c r="D113" i="132"/>
  <c r="H111" i="132"/>
  <c r="E111" i="132"/>
  <c r="E124" i="132" s="1"/>
  <c r="D111" i="132"/>
  <c r="F171" i="132"/>
  <c r="G170" i="132"/>
  <c r="G168" i="132"/>
  <c r="C232" i="132"/>
  <c r="G178" i="132"/>
  <c r="G167" i="132"/>
  <c r="C283" i="132"/>
  <c r="C250" i="132"/>
  <c r="E250" i="132" s="1"/>
  <c r="E167" i="132"/>
  <c r="C231" i="132"/>
  <c r="G166" i="132"/>
  <c r="C282" i="132"/>
  <c r="C249" i="132"/>
  <c r="E249" i="132" s="1"/>
  <c r="E166" i="132"/>
  <c r="C230" i="132"/>
  <c r="H164" i="132"/>
  <c r="D164" i="132"/>
  <c r="D166" i="132"/>
  <c r="D37" i="132"/>
  <c r="D232" i="132"/>
  <c r="F252" i="132"/>
  <c r="F249" i="132" s="1"/>
  <c r="H249" i="132" s="1"/>
  <c r="C41" i="132"/>
  <c r="H166" i="132"/>
  <c r="H37" i="132"/>
  <c r="H40" i="132" s="1"/>
  <c r="H43" i="132" s="1"/>
  <c r="H46" i="132" s="1"/>
  <c r="D231" i="132"/>
  <c r="D20" i="132"/>
  <c r="C17" i="132"/>
  <c r="E171" i="132"/>
  <c r="H167" i="132"/>
  <c r="F170" i="132"/>
  <c r="C170" i="132" s="1"/>
  <c r="D283" i="132"/>
  <c r="D282" i="132"/>
  <c r="F274" i="132"/>
  <c r="F275" i="132" s="1"/>
  <c r="D277" i="132"/>
  <c r="F166" i="132"/>
  <c r="F37" i="132"/>
  <c r="F40" i="132" s="1"/>
  <c r="F43" i="132" s="1"/>
  <c r="F46" i="132" s="1"/>
  <c r="F234" i="132"/>
  <c r="D252" i="132"/>
  <c r="F167" i="132"/>
  <c r="G171" i="132"/>
  <c r="C14" i="132"/>
  <c r="D225" i="132"/>
  <c r="D230" i="132"/>
  <c r="F221" i="132"/>
  <c r="D244" i="132"/>
  <c r="F241" i="132"/>
  <c r="F285" i="132"/>
  <c r="E164" i="132"/>
  <c r="D168" i="132"/>
  <c r="D167" i="132"/>
  <c r="B263" i="132"/>
  <c r="C166" i="132" l="1"/>
  <c r="C113" i="132"/>
  <c r="C114" i="132"/>
  <c r="C117" i="132"/>
  <c r="C168" i="132"/>
  <c r="C167" i="132"/>
  <c r="H124" i="132"/>
  <c r="F177" i="132"/>
  <c r="G177" i="132"/>
  <c r="G180" i="132" s="1"/>
  <c r="G183" i="132" s="1"/>
  <c r="G203" i="132" s="1"/>
  <c r="G204" i="132" s="1"/>
  <c r="G124" i="132"/>
  <c r="G127" i="132" s="1"/>
  <c r="G130" i="132" s="1"/>
  <c r="G150" i="132" s="1"/>
  <c r="G152" i="132" s="1"/>
  <c r="G205" i="132" s="1"/>
  <c r="C118" i="132"/>
  <c r="E177" i="132"/>
  <c r="C171" i="132"/>
  <c r="H177" i="132"/>
  <c r="C115" i="132"/>
  <c r="G275" i="132"/>
  <c r="G221" i="132"/>
  <c r="G274" i="132"/>
  <c r="G241" i="132"/>
  <c r="E252" i="132"/>
  <c r="E253" i="132" s="1"/>
  <c r="E225" i="132"/>
  <c r="E226" i="132" s="1"/>
  <c r="F230" i="132"/>
  <c r="G230" i="132" s="1"/>
  <c r="D234" i="132"/>
  <c r="I249" i="132"/>
  <c r="D177" i="132"/>
  <c r="C164" i="132"/>
  <c r="D285" i="132"/>
  <c r="F282" i="132"/>
  <c r="G282" i="132" s="1"/>
  <c r="C20" i="132"/>
  <c r="D23" i="132"/>
  <c r="E13" i="87" s="1"/>
  <c r="F222" i="132"/>
  <c r="F242" i="132"/>
  <c r="E231" i="132"/>
  <c r="E245" i="132"/>
  <c r="C37" i="132"/>
  <c r="D40" i="132"/>
  <c r="H241" i="132"/>
  <c r="F250" i="132"/>
  <c r="E230" i="132"/>
  <c r="E283" i="132"/>
  <c r="C111" i="132"/>
  <c r="D124" i="132"/>
  <c r="H221" i="132"/>
  <c r="G249" i="132"/>
  <c r="H274" i="132"/>
  <c r="H275" i="132"/>
  <c r="E282" i="132"/>
  <c r="E232" i="132"/>
  <c r="E278" i="132"/>
  <c r="F283" i="132" l="1"/>
  <c r="G283" i="132" s="1"/>
  <c r="F231" i="132"/>
  <c r="G231" i="132" s="1"/>
  <c r="G277" i="132"/>
  <c r="G278" i="132" s="1"/>
  <c r="G207" i="132"/>
  <c r="G208" i="132" s="1"/>
  <c r="I275" i="132"/>
  <c r="H283" i="132"/>
  <c r="I283" i="132" s="1"/>
  <c r="C40" i="132"/>
  <c r="D43" i="132"/>
  <c r="I221" i="132"/>
  <c r="H230" i="132"/>
  <c r="G250" i="132"/>
  <c r="G252" i="132" s="1"/>
  <c r="G253" i="132" s="1"/>
  <c r="H250" i="132"/>
  <c r="D300" i="132"/>
  <c r="C23" i="132"/>
  <c r="F188" i="132"/>
  <c r="F189" i="132" s="1"/>
  <c r="F178" i="132"/>
  <c r="F180" i="132" s="1"/>
  <c r="F181" i="132"/>
  <c r="E285" i="132"/>
  <c r="C177" i="132"/>
  <c r="G242" i="132"/>
  <c r="G244" i="132" s="1"/>
  <c r="G245" i="132" s="1"/>
  <c r="H242" i="132"/>
  <c r="I242" i="132" s="1"/>
  <c r="H188" i="132"/>
  <c r="H189" i="132" s="1"/>
  <c r="H196" i="132" s="1"/>
  <c r="H202" i="132" s="1"/>
  <c r="H178" i="132"/>
  <c r="H180" i="132" s="1"/>
  <c r="H181" i="132"/>
  <c r="E188" i="132"/>
  <c r="E189" i="132" s="1"/>
  <c r="E181" i="132"/>
  <c r="E178" i="132"/>
  <c r="E180" i="132" s="1"/>
  <c r="E135" i="132"/>
  <c r="E136" i="132" s="1"/>
  <c r="E125" i="132"/>
  <c r="E127" i="132" s="1"/>
  <c r="E128" i="132"/>
  <c r="E234" i="132"/>
  <c r="E235" i="132" s="1"/>
  <c r="H282" i="132"/>
  <c r="H277" i="132"/>
  <c r="I274" i="132"/>
  <c r="I241" i="132"/>
  <c r="G222" i="132"/>
  <c r="F223" i="132"/>
  <c r="H222" i="132"/>
  <c r="H135" i="132"/>
  <c r="H136" i="132" s="1"/>
  <c r="H143" i="132" s="1"/>
  <c r="H149" i="132" s="1"/>
  <c r="H125" i="132"/>
  <c r="H127" i="132" s="1"/>
  <c r="H128" i="132"/>
  <c r="F135" i="132"/>
  <c r="F136" i="132" s="1"/>
  <c r="F125" i="132"/>
  <c r="F127" i="132" s="1"/>
  <c r="F128" i="132"/>
  <c r="C124" i="132"/>
  <c r="F232" i="132"/>
  <c r="G232" i="132" s="1"/>
  <c r="G234" i="132" s="1"/>
  <c r="G235" i="132" s="1"/>
  <c r="G285" i="132"/>
  <c r="G286" i="132" s="1"/>
  <c r="H183" i="132" l="1"/>
  <c r="H203" i="132" s="1"/>
  <c r="H204" i="132" s="1"/>
  <c r="G299" i="132"/>
  <c r="I277" i="132"/>
  <c r="I278" i="132" s="1"/>
  <c r="F146" i="132" s="1"/>
  <c r="F147" i="132" s="1"/>
  <c r="E183" i="132"/>
  <c r="E203" i="132" s="1"/>
  <c r="E130" i="132"/>
  <c r="E150" i="132" s="1"/>
  <c r="F130" i="132"/>
  <c r="F150" i="132" s="1"/>
  <c r="I244" i="132"/>
  <c r="F183" i="132"/>
  <c r="F203" i="132" s="1"/>
  <c r="I230" i="132"/>
  <c r="C43" i="132"/>
  <c r="D46" i="132"/>
  <c r="H130" i="132"/>
  <c r="H150" i="132" s="1"/>
  <c r="H152" i="132" s="1"/>
  <c r="H205" i="132" s="1"/>
  <c r="D188" i="132"/>
  <c r="D189" i="132" s="1"/>
  <c r="D178" i="132"/>
  <c r="D181" i="132"/>
  <c r="C181" i="132" s="1"/>
  <c r="I250" i="132"/>
  <c r="I252" i="132" s="1"/>
  <c r="H252" i="132"/>
  <c r="G223" i="132"/>
  <c r="G225" i="132" s="1"/>
  <c r="G226" i="132" s="1"/>
  <c r="H223" i="132"/>
  <c r="H285" i="132"/>
  <c r="I282" i="132"/>
  <c r="I285" i="132" s="1"/>
  <c r="I222" i="132"/>
  <c r="H231" i="132"/>
  <c r="I231" i="132" s="1"/>
  <c r="D135" i="132"/>
  <c r="D136" i="132" s="1"/>
  <c r="D125" i="132"/>
  <c r="D128" i="132"/>
  <c r="C128" i="132" s="1"/>
  <c r="H244" i="132"/>
  <c r="C46" i="132" l="1"/>
  <c r="I253" i="132"/>
  <c r="E192" i="132" s="1"/>
  <c r="E193" i="132" s="1"/>
  <c r="E196" i="132" s="1"/>
  <c r="F139" i="132"/>
  <c r="F140" i="132" s="1"/>
  <c r="F143" i="132" s="1"/>
  <c r="F149" i="132" s="1"/>
  <c r="F152" i="132" s="1"/>
  <c r="F205" i="132" s="1"/>
  <c r="I245" i="132"/>
  <c r="E139" i="132" s="1"/>
  <c r="E140" i="132" s="1"/>
  <c r="E143" i="132" s="1"/>
  <c r="H207" i="132"/>
  <c r="H299" i="132" s="1"/>
  <c r="H232" i="132"/>
  <c r="I232" i="132" s="1"/>
  <c r="I234" i="132" s="1"/>
  <c r="I223" i="132"/>
  <c r="I225" i="132" s="1"/>
  <c r="C136" i="132"/>
  <c r="H225" i="132"/>
  <c r="C125" i="132"/>
  <c r="D127" i="132"/>
  <c r="C189" i="132"/>
  <c r="I286" i="132"/>
  <c r="C178" i="132"/>
  <c r="D180" i="132"/>
  <c r="E199" i="132" l="1"/>
  <c r="E200" i="132" s="1"/>
  <c r="E202" i="132" s="1"/>
  <c r="E204" i="132" s="1"/>
  <c r="H234" i="132"/>
  <c r="I235" i="132" s="1"/>
  <c r="H208" i="132"/>
  <c r="E146" i="132"/>
  <c r="E147" i="132" s="1"/>
  <c r="E149" i="132" s="1"/>
  <c r="E152" i="132" s="1"/>
  <c r="E205" i="132" s="1"/>
  <c r="F199" i="132"/>
  <c r="F200" i="132" s="1"/>
  <c r="F192" i="132"/>
  <c r="F193" i="132" s="1"/>
  <c r="F196" i="132" s="1"/>
  <c r="D183" i="132"/>
  <c r="C180" i="132"/>
  <c r="D130" i="132"/>
  <c r="C127" i="132"/>
  <c r="I226" i="132"/>
  <c r="E207" i="132" l="1"/>
  <c r="E299" i="132" s="1"/>
  <c r="F202" i="132"/>
  <c r="F204" i="132" s="1"/>
  <c r="F207" i="132" s="1"/>
  <c r="F208" i="132" s="1"/>
  <c r="D150" i="132"/>
  <c r="C130" i="132"/>
  <c r="C150" i="132" s="1"/>
  <c r="D139" i="132"/>
  <c r="D140" i="132" s="1"/>
  <c r="D146" i="132"/>
  <c r="D147" i="132" s="1"/>
  <c r="D192" i="132"/>
  <c r="D193" i="132" s="1"/>
  <c r="D199" i="132"/>
  <c r="D200" i="132" s="1"/>
  <c r="C183" i="132"/>
  <c r="D203" i="132"/>
  <c r="C203" i="132" s="1"/>
  <c r="E208" i="132" l="1"/>
  <c r="F299" i="132"/>
  <c r="C193" i="132"/>
  <c r="D196" i="132"/>
  <c r="D202" i="132" s="1"/>
  <c r="C200" i="132"/>
  <c r="C140" i="132"/>
  <c r="D143" i="132"/>
  <c r="D149" i="132" s="1"/>
  <c r="D152" i="132" s="1"/>
  <c r="D205" i="132" s="1"/>
  <c r="C205" i="132" s="1"/>
  <c r="C147" i="132"/>
  <c r="C143" i="132" l="1"/>
  <c r="C149" i="132" s="1"/>
  <c r="C152" i="132" s="1"/>
  <c r="C196" i="132"/>
  <c r="C202" i="132" s="1"/>
  <c r="D204" i="132"/>
  <c r="D207" i="132" l="1"/>
  <c r="C204" i="132"/>
  <c r="D208" i="132" l="1"/>
  <c r="C207" i="132"/>
  <c r="C208" i="132" s="1"/>
  <c r="D299" i="132"/>
  <c r="G103" i="88" l="1"/>
  <c r="G101" i="88"/>
  <c r="G100" i="88"/>
  <c r="H7" i="88"/>
  <c r="H8" i="88"/>
  <c r="H9" i="88"/>
  <c r="F9" i="87" s="1"/>
  <c r="G9" i="87" s="1"/>
  <c r="H10" i="88"/>
  <c r="H11" i="88"/>
  <c r="F10" i="87" s="1"/>
  <c r="G10" i="87" s="1"/>
  <c r="H12" i="88"/>
  <c r="H13" i="88"/>
  <c r="H14" i="88"/>
  <c r="H15" i="88"/>
  <c r="H16" i="88"/>
  <c r="H17" i="88"/>
  <c r="H18" i="88"/>
  <c r="H19" i="88"/>
  <c r="H20" i="88"/>
  <c r="H21" i="88"/>
  <c r="H22" i="88"/>
  <c r="H23" i="88"/>
  <c r="H24" i="88"/>
  <c r="H25" i="88"/>
  <c r="H6" i="88"/>
  <c r="F7" i="87" s="1"/>
  <c r="G7" i="87" s="1"/>
  <c r="F11" i="87" l="1"/>
  <c r="G11" i="87" s="1"/>
  <c r="H29" i="88"/>
  <c r="F8" i="87"/>
  <c r="G8" i="87" s="1"/>
  <c r="H28" i="88"/>
  <c r="H31" i="88"/>
  <c r="G18" i="87"/>
  <c r="G16" i="87"/>
  <c r="G13" i="87"/>
  <c r="G14" i="87"/>
  <c r="G15" i="87"/>
  <c r="G17" i="87" l="1"/>
  <c r="Q17" i="130" l="1"/>
  <c r="Q19" i="130" s="1"/>
  <c r="P17" i="130"/>
  <c r="O17" i="130"/>
  <c r="N17" i="130"/>
  <c r="M17" i="130"/>
  <c r="L17" i="130"/>
  <c r="K17" i="130"/>
  <c r="J17" i="130"/>
  <c r="I17" i="130"/>
  <c r="H17" i="130"/>
  <c r="H19" i="130" s="1"/>
  <c r="I137" i="122" s="1"/>
  <c r="G17" i="130"/>
  <c r="G19" i="130" s="1"/>
  <c r="H137" i="122" s="1"/>
  <c r="F17" i="130"/>
  <c r="H16" i="130"/>
  <c r="I138" i="122" s="1"/>
  <c r="G16" i="130"/>
  <c r="H138" i="122" s="1"/>
  <c r="Q10" i="130"/>
  <c r="P10" i="130"/>
  <c r="O10" i="130"/>
  <c r="N10" i="130"/>
  <c r="M10" i="130"/>
  <c r="L10" i="130"/>
  <c r="K10" i="130"/>
  <c r="J10" i="130"/>
  <c r="I10" i="130"/>
  <c r="H10" i="130"/>
  <c r="G10" i="130"/>
  <c r="F10" i="130"/>
  <c r="E10" i="130"/>
  <c r="R63" i="122"/>
  <c r="R65" i="122"/>
  <c r="Q65" i="122"/>
  <c r="Q63" i="122"/>
  <c r="N102" i="129"/>
  <c r="O79" i="122" s="1"/>
  <c r="G80" i="122"/>
  <c r="H80" i="122"/>
  <c r="I80" i="122"/>
  <c r="J80" i="122"/>
  <c r="K80" i="122"/>
  <c r="L80" i="122"/>
  <c r="M80" i="122"/>
  <c r="N80" i="122"/>
  <c r="O80" i="122"/>
  <c r="P80" i="122"/>
  <c r="F80" i="122"/>
  <c r="R80" i="122"/>
  <c r="N74" i="122"/>
  <c r="Q62" i="122"/>
  <c r="R62" i="122"/>
  <c r="Q64" i="122"/>
  <c r="R64" i="122"/>
  <c r="Q66" i="122"/>
  <c r="R66" i="122"/>
  <c r="G62" i="122"/>
  <c r="H62" i="122"/>
  <c r="I62" i="122"/>
  <c r="J62" i="122"/>
  <c r="K62" i="122"/>
  <c r="M62" i="122"/>
  <c r="N62" i="122"/>
  <c r="O62" i="122"/>
  <c r="P62" i="122"/>
  <c r="H63" i="122"/>
  <c r="I63" i="122"/>
  <c r="M63" i="122"/>
  <c r="N63" i="122"/>
  <c r="G64" i="122"/>
  <c r="H64" i="122"/>
  <c r="I64" i="122"/>
  <c r="J64" i="122"/>
  <c r="K64" i="122"/>
  <c r="M64" i="122"/>
  <c r="N64" i="122"/>
  <c r="O64" i="122"/>
  <c r="P64" i="122"/>
  <c r="P65" i="122"/>
  <c r="G66" i="122"/>
  <c r="H66" i="122"/>
  <c r="I66" i="122"/>
  <c r="J66" i="122"/>
  <c r="K66" i="122"/>
  <c r="M66" i="122"/>
  <c r="N66" i="122"/>
  <c r="O66" i="122"/>
  <c r="P66" i="122"/>
  <c r="I79" i="122"/>
  <c r="M79" i="122"/>
  <c r="H77" i="122"/>
  <c r="M77" i="122"/>
  <c r="P77" i="122"/>
  <c r="O73" i="129"/>
  <c r="J73" i="129"/>
  <c r="I73" i="129"/>
  <c r="G73" i="129"/>
  <c r="H73" i="129"/>
  <c r="L73" i="129"/>
  <c r="M73" i="129"/>
  <c r="N73" i="129"/>
  <c r="P73" i="129"/>
  <c r="Q73" i="129"/>
  <c r="F79" i="122"/>
  <c r="F66" i="122"/>
  <c r="F64" i="122"/>
  <c r="F62" i="122"/>
  <c r="L74" i="122"/>
  <c r="L64" i="122"/>
  <c r="L65" i="122"/>
  <c r="L66" i="122"/>
  <c r="L62" i="122"/>
  <c r="K73" i="129"/>
  <c r="E65" i="129"/>
  <c r="F103" i="129"/>
  <c r="G63" i="122" s="1"/>
  <c r="G103" i="129"/>
  <c r="H103" i="129"/>
  <c r="I103" i="129"/>
  <c r="J63" i="122" s="1"/>
  <c r="J103" i="129"/>
  <c r="K63" i="122" s="1"/>
  <c r="K103" i="129"/>
  <c r="L63" i="122" s="1"/>
  <c r="L103" i="129"/>
  <c r="M103" i="129"/>
  <c r="F104" i="129"/>
  <c r="G65" i="122" s="1"/>
  <c r="G104" i="129"/>
  <c r="H65" i="122" s="1"/>
  <c r="H104" i="129"/>
  <c r="I65" i="122" s="1"/>
  <c r="I104" i="129"/>
  <c r="J65" i="122" s="1"/>
  <c r="J104" i="129"/>
  <c r="K65" i="122" s="1"/>
  <c r="K104" i="129"/>
  <c r="L104" i="129"/>
  <c r="M65" i="122" s="1"/>
  <c r="M104" i="129"/>
  <c r="N65" i="122" s="1"/>
  <c r="N104" i="129"/>
  <c r="O65" i="122" s="1"/>
  <c r="O104" i="129"/>
  <c r="F105" i="129"/>
  <c r="G74" i="122" s="1"/>
  <c r="G105" i="129"/>
  <c r="H74" i="122" s="1"/>
  <c r="H105" i="129"/>
  <c r="I74" i="122" s="1"/>
  <c r="I105" i="129"/>
  <c r="J74" i="122" s="1"/>
  <c r="J105" i="129"/>
  <c r="K74" i="122" s="1"/>
  <c r="K105" i="129"/>
  <c r="L105" i="129"/>
  <c r="M74" i="122" s="1"/>
  <c r="M105" i="129"/>
  <c r="N105" i="129"/>
  <c r="O74" i="122" s="1"/>
  <c r="O105" i="129"/>
  <c r="P74" i="122" s="1"/>
  <c r="F106" i="129"/>
  <c r="G77" i="122" s="1"/>
  <c r="G106" i="129"/>
  <c r="H106" i="129"/>
  <c r="I77" i="122" s="1"/>
  <c r="I106" i="129"/>
  <c r="J77" i="122" s="1"/>
  <c r="J106" i="129"/>
  <c r="K77" i="122" s="1"/>
  <c r="K106" i="129"/>
  <c r="L77" i="122" s="1"/>
  <c r="L106" i="129"/>
  <c r="M106" i="129"/>
  <c r="N77" i="122" s="1"/>
  <c r="F107" i="129"/>
  <c r="G107" i="129"/>
  <c r="H107" i="129"/>
  <c r="I107" i="129"/>
  <c r="J107" i="129"/>
  <c r="K107" i="129"/>
  <c r="L107" i="129"/>
  <c r="M107" i="129"/>
  <c r="N107" i="129"/>
  <c r="O107" i="129"/>
  <c r="E106" i="129"/>
  <c r="F77" i="122" s="1"/>
  <c r="E105" i="129"/>
  <c r="F74" i="122" s="1"/>
  <c r="E104" i="129"/>
  <c r="F65" i="122" s="1"/>
  <c r="E103" i="129"/>
  <c r="F63" i="122" s="1"/>
  <c r="N93" i="129"/>
  <c r="N106" i="129" s="1"/>
  <c r="O77" i="122" s="1"/>
  <c r="N91" i="129"/>
  <c r="N103" i="129" s="1"/>
  <c r="O63" i="122" s="1"/>
  <c r="E107" i="129"/>
  <c r="M102" i="129"/>
  <c r="N79" i="122" s="1"/>
  <c r="L102" i="129"/>
  <c r="K102" i="129"/>
  <c r="L79" i="122" s="1"/>
  <c r="J102" i="129"/>
  <c r="K79" i="122" s="1"/>
  <c r="I102" i="129"/>
  <c r="J79" i="122" s="1"/>
  <c r="H102" i="129"/>
  <c r="G102" i="129"/>
  <c r="H79" i="122" s="1"/>
  <c r="F102" i="129"/>
  <c r="G79" i="122" s="1"/>
  <c r="E102" i="129"/>
  <c r="O93" i="129"/>
  <c r="O106" i="129" s="1"/>
  <c r="O91" i="129"/>
  <c r="O102" i="129" s="1"/>
  <c r="P79" i="122" s="1"/>
  <c r="Q93" i="129"/>
  <c r="Q92" i="129"/>
  <c r="P99" i="129"/>
  <c r="P93" i="129"/>
  <c r="P91" i="129"/>
  <c r="U24" i="94"/>
  <c r="R115" i="122" s="1"/>
  <c r="T24" i="94"/>
  <c r="Q115" i="122" s="1"/>
  <c r="J16" i="129"/>
  <c r="I16" i="129"/>
  <c r="H16" i="129"/>
  <c r="G16" i="129"/>
  <c r="F16" i="129"/>
  <c r="E16" i="129"/>
  <c r="Q16" i="129"/>
  <c r="Q20" i="129" s="1"/>
  <c r="Q23" i="129"/>
  <c r="P23" i="129"/>
  <c r="P16" i="129"/>
  <c r="O23" i="129"/>
  <c r="O16" i="129"/>
  <c r="N23" i="129"/>
  <c r="N16" i="129"/>
  <c r="M23" i="129"/>
  <c r="M16" i="129"/>
  <c r="L23" i="129"/>
  <c r="L42" i="129" s="1"/>
  <c r="M22" i="122" s="1"/>
  <c r="L16" i="129"/>
  <c r="K23" i="129"/>
  <c r="K16" i="129"/>
  <c r="J23" i="129"/>
  <c r="J42" i="129" s="1"/>
  <c r="K22" i="122" s="1"/>
  <c r="I23" i="129"/>
  <c r="H23" i="129"/>
  <c r="G23" i="129"/>
  <c r="F23" i="129"/>
  <c r="E23" i="129"/>
  <c r="M42" i="129"/>
  <c r="N22" i="122" s="1"/>
  <c r="Q35" i="129"/>
  <c r="Q34" i="129"/>
  <c r="Q31" i="129"/>
  <c r="P31" i="129"/>
  <c r="P42" i="129" s="1"/>
  <c r="P18" i="129"/>
  <c r="P20" i="129" s="1"/>
  <c r="O33" i="129"/>
  <c r="O18" i="129"/>
  <c r="O20" i="129" s="1"/>
  <c r="O31" i="129"/>
  <c r="O42" i="129" s="1"/>
  <c r="P22" i="122" s="1"/>
  <c r="N18" i="129"/>
  <c r="N20" i="129" s="1"/>
  <c r="N31" i="129"/>
  <c r="M18" i="129"/>
  <c r="M20" i="129" s="1"/>
  <c r="L17" i="129"/>
  <c r="L18" i="129"/>
  <c r="K28" i="129"/>
  <c r="K42" i="129" s="1"/>
  <c r="K18" i="129"/>
  <c r="K17" i="129"/>
  <c r="K20" i="129" s="1"/>
  <c r="K44" i="129" s="1"/>
  <c r="J18" i="129"/>
  <c r="J20" i="129" s="1"/>
  <c r="I28" i="129"/>
  <c r="I18" i="129"/>
  <c r="I22" i="129"/>
  <c r="I17" i="129"/>
  <c r="I20" i="129" s="1"/>
  <c r="H22" i="129"/>
  <c r="H42" i="129" s="1"/>
  <c r="I22" i="122" s="1"/>
  <c r="H18" i="129"/>
  <c r="H17" i="129"/>
  <c r="H20" i="129" s="1"/>
  <c r="G26" i="129"/>
  <c r="G22" i="129"/>
  <c r="G18" i="129"/>
  <c r="G17" i="129"/>
  <c r="G20" i="129" s="1"/>
  <c r="F25" i="129"/>
  <c r="F26" i="129"/>
  <c r="F27" i="129"/>
  <c r="F22" i="129"/>
  <c r="F17" i="129"/>
  <c r="F18" i="129"/>
  <c r="E26" i="129"/>
  <c r="E22" i="129"/>
  <c r="E25" i="129"/>
  <c r="E24" i="129"/>
  <c r="E18" i="129"/>
  <c r="E17" i="129"/>
  <c r="U35" i="91"/>
  <c r="K114" i="122" l="1"/>
  <c r="K116" i="122" s="1"/>
  <c r="K21" i="122"/>
  <c r="M114" i="122"/>
  <c r="M116" i="122" s="1"/>
  <c r="M21" i="122"/>
  <c r="J44" i="129"/>
  <c r="E20" i="129"/>
  <c r="F42" i="129"/>
  <c r="G22" i="122" s="1"/>
  <c r="I42" i="129"/>
  <c r="J22" i="122" s="1"/>
  <c r="P114" i="122"/>
  <c r="P116" i="122" s="1"/>
  <c r="P21" i="122"/>
  <c r="N114" i="122"/>
  <c r="N116" i="122" s="1"/>
  <c r="N21" i="122"/>
  <c r="M44" i="129"/>
  <c r="E42" i="129"/>
  <c r="L20" i="129"/>
  <c r="L44" i="129" s="1"/>
  <c r="L45" i="129" s="1"/>
  <c r="P47" i="129"/>
  <c r="Q22" i="122"/>
  <c r="G42" i="129"/>
  <c r="H22" i="122" s="1"/>
  <c r="I21" i="122"/>
  <c r="I114" i="122"/>
  <c r="I116" i="122" s="1"/>
  <c r="K47" i="129"/>
  <c r="L22" i="122"/>
  <c r="N42" i="129"/>
  <c r="O22" i="122" s="1"/>
  <c r="Q44" i="129"/>
  <c r="R137" i="122"/>
  <c r="R139" i="122" s="1"/>
  <c r="L19" i="130"/>
  <c r="L21" i="130"/>
  <c r="L23" i="130" s="1"/>
  <c r="I139" i="122"/>
  <c r="H21" i="130"/>
  <c r="H23" i="130" s="1"/>
  <c r="I19" i="130"/>
  <c r="I21" i="130"/>
  <c r="I23" i="130" s="1"/>
  <c r="M19" i="130"/>
  <c r="M21" i="130"/>
  <c r="M23" i="130" s="1"/>
  <c r="H139" i="122"/>
  <c r="C5" i="143" s="1"/>
  <c r="G21" i="130"/>
  <c r="G23" i="130" s="1"/>
  <c r="P19" i="130"/>
  <c r="P21" i="130"/>
  <c r="P23" i="130" s="1"/>
  <c r="K19" i="130"/>
  <c r="K21" i="130"/>
  <c r="K23" i="130" s="1"/>
  <c r="O19" i="130"/>
  <c r="O21" i="130"/>
  <c r="O23" i="130" s="1"/>
  <c r="F19" i="130"/>
  <c r="F23" i="130"/>
  <c r="J19" i="130"/>
  <c r="J21" i="130"/>
  <c r="J23" i="130" s="1"/>
  <c r="N19" i="130"/>
  <c r="N21" i="130"/>
  <c r="N23" i="130" s="1"/>
  <c r="Q21" i="130"/>
  <c r="Q23" i="130" s="1"/>
  <c r="E68" i="129"/>
  <c r="E72" i="129" s="1"/>
  <c r="E73" i="129" s="1"/>
  <c r="J67" i="122"/>
  <c r="F67" i="122"/>
  <c r="O67" i="122"/>
  <c r="N67" i="122"/>
  <c r="I67" i="122"/>
  <c r="K67" i="122"/>
  <c r="G67" i="122"/>
  <c r="Q67" i="122"/>
  <c r="Q75" i="122" s="1"/>
  <c r="Q78" i="122" s="1"/>
  <c r="M67" i="122"/>
  <c r="H67" i="122"/>
  <c r="R67" i="122"/>
  <c r="R75" i="122" s="1"/>
  <c r="R78" i="122" s="1"/>
  <c r="L67" i="122"/>
  <c r="F73" i="129"/>
  <c r="E44" i="129"/>
  <c r="E45" i="129" s="1"/>
  <c r="P102" i="129"/>
  <c r="Q102" i="129"/>
  <c r="O103" i="129"/>
  <c r="P63" i="122" s="1"/>
  <c r="P67" i="122" s="1"/>
  <c r="F20" i="129"/>
  <c r="F44" i="129" s="1"/>
  <c r="F45" i="129" s="1"/>
  <c r="Q42" i="129"/>
  <c r="J45" i="129"/>
  <c r="F22" i="122"/>
  <c r="F114" i="122" s="1"/>
  <c r="F116" i="122" s="1"/>
  <c r="E47" i="129"/>
  <c r="G47" i="129"/>
  <c r="H47" i="129"/>
  <c r="I44" i="129"/>
  <c r="I45" i="129" s="1"/>
  <c r="O44" i="129"/>
  <c r="O45" i="129" s="1"/>
  <c r="P44" i="129"/>
  <c r="Q45" i="129"/>
  <c r="N47" i="129"/>
  <c r="O47" i="129"/>
  <c r="G44" i="129"/>
  <c r="H44" i="129"/>
  <c r="H45" i="129" s="1"/>
  <c r="G45" i="129"/>
  <c r="K45" i="129"/>
  <c r="P45" i="129"/>
  <c r="M47" i="129"/>
  <c r="M45" i="129"/>
  <c r="L47" i="129"/>
  <c r="J47" i="129"/>
  <c r="J179" i="122" l="1"/>
  <c r="D5" i="143"/>
  <c r="M6" i="143"/>
  <c r="M5" i="143"/>
  <c r="S179" i="122"/>
  <c r="S196" i="122" s="1"/>
  <c r="S162" i="122"/>
  <c r="S140" i="122"/>
  <c r="J21" i="122"/>
  <c r="J114" i="122"/>
  <c r="J116" i="122" s="1"/>
  <c r="O137" i="122"/>
  <c r="O139" i="122" s="1"/>
  <c r="L137" i="122"/>
  <c r="L139" i="122" s="1"/>
  <c r="J137" i="122"/>
  <c r="J139" i="122" s="1"/>
  <c r="E5" i="143" s="1"/>
  <c r="O21" i="122"/>
  <c r="O114" i="122"/>
  <c r="O116" i="122" s="1"/>
  <c r="G114" i="122"/>
  <c r="G116" i="122" s="1"/>
  <c r="G21" i="122"/>
  <c r="L21" i="122"/>
  <c r="L114" i="122"/>
  <c r="L116" i="122" s="1"/>
  <c r="H21" i="122"/>
  <c r="H114" i="122"/>
  <c r="H116" i="122" s="1"/>
  <c r="P107" i="122"/>
  <c r="P110" i="122" s="1"/>
  <c r="P24" i="122"/>
  <c r="P41" i="122" s="1"/>
  <c r="P43" i="122" s="1"/>
  <c r="P51" i="122" s="1"/>
  <c r="K107" i="122"/>
  <c r="K110" i="122" s="1"/>
  <c r="F5" i="140" s="1"/>
  <c r="K24" i="122"/>
  <c r="K41" i="122" s="1"/>
  <c r="K43" i="122" s="1"/>
  <c r="K51" i="122" s="1"/>
  <c r="N107" i="122"/>
  <c r="N110" i="122" s="1"/>
  <c r="N24" i="122"/>
  <c r="N41" i="122" s="1"/>
  <c r="N43" i="122" s="1"/>
  <c r="N51" i="122" s="1"/>
  <c r="M107" i="122"/>
  <c r="M110" i="122" s="1"/>
  <c r="M24" i="122"/>
  <c r="M41" i="122" s="1"/>
  <c r="M43" i="122" s="1"/>
  <c r="M51" i="122" s="1"/>
  <c r="G137" i="122"/>
  <c r="G139" i="122" s="1"/>
  <c r="B5" i="143" s="1"/>
  <c r="M139" i="122"/>
  <c r="M137" i="122"/>
  <c r="I107" i="122"/>
  <c r="I110" i="122" s="1"/>
  <c r="D5" i="140" s="1"/>
  <c r="I24" i="122"/>
  <c r="I41" i="122" s="1"/>
  <c r="I43" i="122" s="1"/>
  <c r="I51" i="122" s="1"/>
  <c r="I47" i="129"/>
  <c r="F47" i="129"/>
  <c r="N44" i="129"/>
  <c r="N45" i="129" s="1"/>
  <c r="Q47" i="129"/>
  <c r="R22" i="122"/>
  <c r="P109" i="129"/>
  <c r="P110" i="129" s="1"/>
  <c r="Q80" i="122" s="1"/>
  <c r="Q79" i="122"/>
  <c r="K137" i="122"/>
  <c r="K139" i="122" s="1"/>
  <c r="F5" i="143" s="1"/>
  <c r="P139" i="122"/>
  <c r="P137" i="122"/>
  <c r="Q137" i="122"/>
  <c r="Q139" i="122" s="1"/>
  <c r="N139" i="122"/>
  <c r="N137" i="122"/>
  <c r="Q114" i="122"/>
  <c r="Q116" i="122" s="1"/>
  <c r="Q21" i="122"/>
  <c r="I179" i="122"/>
  <c r="I196" i="122" s="1"/>
  <c r="N140" i="122"/>
  <c r="J196" i="122"/>
  <c r="I162" i="122"/>
  <c r="I140" i="122"/>
  <c r="R79" i="122"/>
  <c r="R83" i="122" s="1"/>
  <c r="R129" i="122"/>
  <c r="F21" i="122"/>
  <c r="M179" i="122" l="1"/>
  <c r="M196" i="122" s="1"/>
  <c r="G5" i="143"/>
  <c r="M162" i="122"/>
  <c r="Q83" i="122"/>
  <c r="H5" i="140"/>
  <c r="H6" i="140"/>
  <c r="L6" i="143"/>
  <c r="L5" i="143"/>
  <c r="M6" i="142"/>
  <c r="M5" i="142"/>
  <c r="Q179" i="122"/>
  <c r="Q196" i="122" s="1"/>
  <c r="K5" i="143"/>
  <c r="K6" i="143"/>
  <c r="N179" i="122"/>
  <c r="N196" i="122" s="1"/>
  <c r="H5" i="143"/>
  <c r="H6" i="143"/>
  <c r="O179" i="122"/>
  <c r="O196" i="122" s="1"/>
  <c r="I6" i="143"/>
  <c r="I5" i="143"/>
  <c r="I6" i="140"/>
  <c r="I5" i="140"/>
  <c r="K6" i="140"/>
  <c r="K5" i="140"/>
  <c r="J6" i="143"/>
  <c r="J5" i="143"/>
  <c r="L179" i="122"/>
  <c r="L196" i="122" s="1"/>
  <c r="K140" i="122"/>
  <c r="L140" i="122"/>
  <c r="L162" i="122"/>
  <c r="K162" i="122"/>
  <c r="H179" i="122"/>
  <c r="H196" i="122" s="1"/>
  <c r="H162" i="122"/>
  <c r="G140" i="122"/>
  <c r="H140" i="122"/>
  <c r="P179" i="122"/>
  <c r="P196" i="122" s="1"/>
  <c r="O140" i="122"/>
  <c r="P162" i="122"/>
  <c r="O162" i="122"/>
  <c r="P140" i="122"/>
  <c r="R179" i="122"/>
  <c r="R196" i="122" s="1"/>
  <c r="R162" i="122"/>
  <c r="Q162" i="122"/>
  <c r="R140" i="122"/>
  <c r="Q140" i="122"/>
  <c r="K179" i="122"/>
  <c r="K196" i="122" s="1"/>
  <c r="J140" i="122"/>
  <c r="J162" i="122"/>
  <c r="R21" i="122"/>
  <c r="R114" i="122"/>
  <c r="R116" i="122" s="1"/>
  <c r="N171" i="122"/>
  <c r="L171" i="122"/>
  <c r="L188" i="122" s="1"/>
  <c r="H107" i="122"/>
  <c r="H110" i="122" s="1"/>
  <c r="C5" i="140" s="1"/>
  <c r="H24" i="122"/>
  <c r="H41" i="122" s="1"/>
  <c r="H43" i="122" s="1"/>
  <c r="H51" i="122" s="1"/>
  <c r="G107" i="122"/>
  <c r="G110" i="122" s="1"/>
  <c r="G24" i="122"/>
  <c r="G41" i="122" s="1"/>
  <c r="G43" i="122" s="1"/>
  <c r="G51" i="122" s="1"/>
  <c r="N162" i="122"/>
  <c r="M140" i="122"/>
  <c r="J171" i="122"/>
  <c r="I111" i="122"/>
  <c r="O171" i="122"/>
  <c r="N154" i="122"/>
  <c r="N111" i="122"/>
  <c r="Q171" i="122"/>
  <c r="L107" i="122"/>
  <c r="L110" i="122" s="1"/>
  <c r="G5" i="140" s="1"/>
  <c r="L24" i="122"/>
  <c r="L41" i="122" s="1"/>
  <c r="L43" i="122" s="1"/>
  <c r="L51" i="122" s="1"/>
  <c r="Q107" i="122"/>
  <c r="Q110" i="122" s="1"/>
  <c r="Q24" i="122"/>
  <c r="Q41" i="122" s="1"/>
  <c r="Q43" i="122" s="1"/>
  <c r="Q51" i="122" s="1"/>
  <c r="O107" i="122"/>
  <c r="O110" i="122" s="1"/>
  <c r="O24" i="122"/>
  <c r="O41" i="122" s="1"/>
  <c r="O43" i="122" s="1"/>
  <c r="O51" i="122" s="1"/>
  <c r="J107" i="122"/>
  <c r="J110" i="122" s="1"/>
  <c r="J24" i="122"/>
  <c r="J41" i="122" s="1"/>
  <c r="J43" i="122" s="1"/>
  <c r="J51" i="122" s="1"/>
  <c r="S175" i="122"/>
  <c r="S192" i="122" s="1"/>
  <c r="S158" i="122"/>
  <c r="S130" i="122"/>
  <c r="F24" i="122"/>
  <c r="F41" i="122" s="1"/>
  <c r="F43" i="122" s="1"/>
  <c r="F51" i="122" s="1"/>
  <c r="F107" i="122"/>
  <c r="F110" i="122" s="1"/>
  <c r="U12" i="91"/>
  <c r="U15" i="91" s="1"/>
  <c r="U17" i="91" s="1"/>
  <c r="U12" i="94"/>
  <c r="U15" i="94" s="1"/>
  <c r="U17" i="94" s="1"/>
  <c r="U26" i="94"/>
  <c r="U26" i="91"/>
  <c r="H171" i="122" l="1"/>
  <c r="B5" i="140"/>
  <c r="J6" i="140"/>
  <c r="J5" i="140"/>
  <c r="M111" i="122"/>
  <c r="P111" i="122"/>
  <c r="K111" i="122"/>
  <c r="E5" i="140"/>
  <c r="L5" i="140"/>
  <c r="L6" i="140"/>
  <c r="P154" i="122"/>
  <c r="I171" i="122"/>
  <c r="H154" i="122"/>
  <c r="H111" i="122"/>
  <c r="R107" i="122"/>
  <c r="R110" i="122" s="1"/>
  <c r="R24" i="122"/>
  <c r="R41" i="122" s="1"/>
  <c r="R43" i="122" s="1"/>
  <c r="R51" i="122" s="1"/>
  <c r="P171" i="122"/>
  <c r="O111" i="122"/>
  <c r="O154" i="122"/>
  <c r="M171" i="122"/>
  <c r="L154" i="122"/>
  <c r="L111" i="122"/>
  <c r="I154" i="122"/>
  <c r="M154" i="122"/>
  <c r="K171" i="122"/>
  <c r="J111" i="122"/>
  <c r="J154" i="122"/>
  <c r="R171" i="122"/>
  <c r="Q111" i="122"/>
  <c r="Q154" i="122"/>
  <c r="U39" i="94"/>
  <c r="U42" i="94" s="1"/>
  <c r="K154" i="122"/>
  <c r="G111" i="122"/>
  <c r="U34" i="94"/>
  <c r="R102" i="122" s="1"/>
  <c r="U31" i="94"/>
  <c r="R125" i="122" s="1"/>
  <c r="U34" i="91"/>
  <c r="U39" i="91"/>
  <c r="U42" i="91" s="1"/>
  <c r="U31" i="91"/>
  <c r="R124" i="122" s="1"/>
  <c r="R126" i="122" s="1"/>
  <c r="E86" i="120"/>
  <c r="E29" i="87"/>
  <c r="K22" i="87" s="1"/>
  <c r="P27" i="120"/>
  <c r="P37" i="120"/>
  <c r="M51" i="120"/>
  <c r="N51" i="120" s="1"/>
  <c r="S51" i="120" s="1"/>
  <c r="K75" i="122"/>
  <c r="N75" i="122"/>
  <c r="N78" i="122" s="1"/>
  <c r="M75" i="122"/>
  <c r="M78" i="122" s="1"/>
  <c r="H75" i="122"/>
  <c r="H78" i="122" s="1"/>
  <c r="G75" i="122"/>
  <c r="G78" i="122" s="1"/>
  <c r="F75" i="122"/>
  <c r="F78" i="122" s="1"/>
  <c r="S77" i="120"/>
  <c r="S63" i="120"/>
  <c r="R40" i="120"/>
  <c r="O40" i="120"/>
  <c r="F37" i="120"/>
  <c r="F27" i="87"/>
  <c r="D37" i="110"/>
  <c r="F37" i="110" s="1"/>
  <c r="T26" i="94"/>
  <c r="S26" i="94"/>
  <c r="R26" i="94"/>
  <c r="Q26" i="94"/>
  <c r="P26" i="94"/>
  <c r="O26" i="94"/>
  <c r="N26" i="94"/>
  <c r="M26" i="94"/>
  <c r="L26" i="94"/>
  <c r="K26" i="94"/>
  <c r="J26" i="94"/>
  <c r="I26" i="94"/>
  <c r="T12" i="94"/>
  <c r="T31" i="94" s="1"/>
  <c r="Q125" i="122" s="1"/>
  <c r="S12" i="94"/>
  <c r="S34" i="94" s="1"/>
  <c r="R12" i="94"/>
  <c r="Q12" i="94"/>
  <c r="P12" i="94"/>
  <c r="O12" i="94"/>
  <c r="O15" i="94" s="1"/>
  <c r="O17" i="94" s="1"/>
  <c r="N12" i="94"/>
  <c r="N31" i="94" s="1"/>
  <c r="K125" i="122" s="1"/>
  <c r="M12" i="94"/>
  <c r="M34" i="94" s="1"/>
  <c r="L12" i="94"/>
  <c r="L31" i="94" s="1"/>
  <c r="K12" i="94"/>
  <c r="K39" i="94" s="1"/>
  <c r="J12" i="94"/>
  <c r="J31" i="94" s="1"/>
  <c r="I12" i="94"/>
  <c r="I34" i="94" s="1"/>
  <c r="R39" i="94"/>
  <c r="N15" i="94"/>
  <c r="N17" i="94" s="1"/>
  <c r="P15" i="94"/>
  <c r="P17" i="94"/>
  <c r="R15" i="94"/>
  <c r="R17" i="94" s="1"/>
  <c r="T32" i="94"/>
  <c r="M35" i="91"/>
  <c r="T26" i="91"/>
  <c r="S26" i="91"/>
  <c r="R26" i="91"/>
  <c r="Q26" i="91"/>
  <c r="P26" i="91"/>
  <c r="O26" i="91"/>
  <c r="N26" i="91"/>
  <c r="M26" i="91"/>
  <c r="L26" i="91"/>
  <c r="K26" i="91"/>
  <c r="J26" i="91"/>
  <c r="I26" i="91"/>
  <c r="T12" i="91"/>
  <c r="S12" i="91"/>
  <c r="S34" i="91" s="1"/>
  <c r="R12" i="91"/>
  <c r="R34" i="91" s="1"/>
  <c r="Q12" i="91"/>
  <c r="Q34" i="91" s="1"/>
  <c r="P12" i="91"/>
  <c r="P34" i="91" s="1"/>
  <c r="O12" i="91"/>
  <c r="N12" i="91"/>
  <c r="N34" i="91" s="1"/>
  <c r="M12" i="91"/>
  <c r="M34" i="91" s="1"/>
  <c r="L12" i="91"/>
  <c r="L34" i="91" s="1"/>
  <c r="K12" i="91"/>
  <c r="K15" i="91" s="1"/>
  <c r="K17" i="91" s="1"/>
  <c r="J12" i="91"/>
  <c r="J34" i="91" s="1"/>
  <c r="I12" i="91"/>
  <c r="I34" i="91" s="1"/>
  <c r="P17" i="120"/>
  <c r="N39" i="91"/>
  <c r="N42" i="91"/>
  <c r="O39" i="91"/>
  <c r="O42" i="91" s="1"/>
  <c r="P39" i="91"/>
  <c r="P42" i="91"/>
  <c r="R39" i="91"/>
  <c r="R42" i="91"/>
  <c r="S39" i="91"/>
  <c r="S42" i="91"/>
  <c r="T39" i="91"/>
  <c r="T42" i="91" s="1"/>
  <c r="T43" i="91" s="1"/>
  <c r="T45" i="91" s="1"/>
  <c r="T48" i="91" s="1"/>
  <c r="T53" i="91" s="1"/>
  <c r="N15" i="91"/>
  <c r="N17" i="91" s="1"/>
  <c r="N45" i="91" s="1"/>
  <c r="O15" i="91"/>
  <c r="O17" i="91" s="1"/>
  <c r="P15" i="91"/>
  <c r="P17" i="91" s="1"/>
  <c r="R15" i="91"/>
  <c r="R17" i="91" s="1"/>
  <c r="S15" i="91"/>
  <c r="S17" i="91" s="1"/>
  <c r="T15" i="91"/>
  <c r="T17" i="91" s="1"/>
  <c r="N31" i="91"/>
  <c r="K124" i="122" s="1"/>
  <c r="K126" i="122" s="1"/>
  <c r="F5" i="141" s="1"/>
  <c r="N32" i="91"/>
  <c r="N43" i="91" s="1"/>
  <c r="P31" i="91"/>
  <c r="M124" i="122" s="1"/>
  <c r="R31" i="91"/>
  <c r="O124" i="122" s="1"/>
  <c r="O126" i="122" s="1"/>
  <c r="S31" i="91"/>
  <c r="P124" i="122" s="1"/>
  <c r="T31" i="91"/>
  <c r="Q124" i="122" s="1"/>
  <c r="T32" i="91"/>
  <c r="R42" i="94"/>
  <c r="N34" i="94"/>
  <c r="P34" i="94"/>
  <c r="P31" i="94"/>
  <c r="M125" i="122" s="1"/>
  <c r="R34" i="94"/>
  <c r="R31" i="94"/>
  <c r="O125" i="122" s="1"/>
  <c r="O31" i="94"/>
  <c r="O32" i="94" s="1"/>
  <c r="T34" i="91"/>
  <c r="Q101" i="122" s="1"/>
  <c r="P39" i="94"/>
  <c r="P42" i="94" s="1"/>
  <c r="P32" i="91"/>
  <c r="P43" i="91" s="1"/>
  <c r="P45" i="91" s="1"/>
  <c r="P48" i="91" s="1"/>
  <c r="P53" i="91" s="1"/>
  <c r="Q15" i="94"/>
  <c r="Q17" i="94" s="1"/>
  <c r="Q39" i="94"/>
  <c r="Q42" i="94" s="1"/>
  <c r="M50" i="120"/>
  <c r="N50" i="120" s="1"/>
  <c r="S50" i="120" s="1"/>
  <c r="M17" i="120"/>
  <c r="N17" i="120" s="1"/>
  <c r="P32" i="94"/>
  <c r="T39" i="94"/>
  <c r="T42" i="94" s="1"/>
  <c r="F10" i="120"/>
  <c r="F29" i="87"/>
  <c r="H27" i="120"/>
  <c r="I75" i="122"/>
  <c r="I78" i="122" s="1"/>
  <c r="N32" i="94"/>
  <c r="R32" i="94"/>
  <c r="R43" i="94"/>
  <c r="H21" i="120"/>
  <c r="M6" i="140" l="1"/>
  <c r="M5" i="140"/>
  <c r="J6" i="141"/>
  <c r="J5" i="141"/>
  <c r="M5" i="141"/>
  <c r="M6" i="141"/>
  <c r="N48" i="91"/>
  <c r="N53" i="91" s="1"/>
  <c r="P43" i="94"/>
  <c r="P45" i="94" s="1"/>
  <c r="P48" i="94" s="1"/>
  <c r="R45" i="94"/>
  <c r="P173" i="122"/>
  <c r="S127" i="122"/>
  <c r="R127" i="122"/>
  <c r="S173" i="122"/>
  <c r="S190" i="122" s="1"/>
  <c r="S156" i="122"/>
  <c r="O34" i="94"/>
  <c r="L173" i="122"/>
  <c r="K127" i="122"/>
  <c r="K156" i="122"/>
  <c r="L156" i="122"/>
  <c r="L127" i="122"/>
  <c r="O101" i="122"/>
  <c r="N43" i="94"/>
  <c r="N45" i="94" s="1"/>
  <c r="N48" i="94" s="1"/>
  <c r="N53" i="94" s="1"/>
  <c r="R32" i="91"/>
  <c r="R43" i="91" s="1"/>
  <c r="R45" i="91" s="1"/>
  <c r="Q126" i="122"/>
  <c r="M126" i="122"/>
  <c r="M39" i="91"/>
  <c r="M42" i="91" s="1"/>
  <c r="O34" i="91"/>
  <c r="O31" i="91"/>
  <c r="O32" i="91" s="1"/>
  <c r="O43" i="91" s="1"/>
  <c r="O45" i="91" s="1"/>
  <c r="P101" i="122"/>
  <c r="N39" i="94"/>
  <c r="N42" i="94" s="1"/>
  <c r="Q34" i="94"/>
  <c r="N102" i="122" s="1"/>
  <c r="Q31" i="94"/>
  <c r="N125" i="122" s="1"/>
  <c r="R101" i="122"/>
  <c r="R103" i="122" s="1"/>
  <c r="M9" i="139" s="1"/>
  <c r="S15" i="94"/>
  <c r="S17" i="94" s="1"/>
  <c r="S31" i="94"/>
  <c r="S171" i="122"/>
  <c r="S188" i="122" s="1"/>
  <c r="R154" i="122"/>
  <c r="S154" i="122"/>
  <c r="R111" i="122"/>
  <c r="S111" i="122"/>
  <c r="M102" i="122"/>
  <c r="Q31" i="91"/>
  <c r="Q15" i="91"/>
  <c r="Q17" i="91" s="1"/>
  <c r="K101" i="122"/>
  <c r="O39" i="94"/>
  <c r="O42" i="94" s="1"/>
  <c r="O43" i="94" s="1"/>
  <c r="O45" i="94" s="1"/>
  <c r="O48" i="94" s="1"/>
  <c r="T34" i="94"/>
  <c r="Q102" i="122" s="1"/>
  <c r="Q103" i="122" s="1"/>
  <c r="L9" i="139" s="1"/>
  <c r="O102" i="122"/>
  <c r="Q39" i="91"/>
  <c r="Q42" i="91" s="1"/>
  <c r="M101" i="122"/>
  <c r="H49" i="120"/>
  <c r="G49" i="120"/>
  <c r="H129" i="122"/>
  <c r="H83" i="122"/>
  <c r="G129" i="122"/>
  <c r="G83" i="122"/>
  <c r="F129" i="122"/>
  <c r="G130" i="122" s="1"/>
  <c r="F83" i="122"/>
  <c r="N129" i="122"/>
  <c r="N83" i="122"/>
  <c r="I129" i="122"/>
  <c r="D5" i="142" s="1"/>
  <c r="I83" i="122"/>
  <c r="M129" i="122"/>
  <c r="M83" i="122"/>
  <c r="J39" i="91"/>
  <c r="J42" i="91" s="1"/>
  <c r="I125" i="122"/>
  <c r="G125" i="122"/>
  <c r="L39" i="94"/>
  <c r="G29" i="87"/>
  <c r="M39" i="94"/>
  <c r="M42" i="94" s="1"/>
  <c r="D41" i="110"/>
  <c r="L34" i="94"/>
  <c r="P11" i="120"/>
  <c r="L15" i="94"/>
  <c r="L17" i="94" s="1"/>
  <c r="L32" i="94"/>
  <c r="K34" i="94"/>
  <c r="I15" i="91"/>
  <c r="I17" i="91" s="1"/>
  <c r="J15" i="94"/>
  <c r="J17" i="94" s="1"/>
  <c r="J34" i="94"/>
  <c r="M31" i="91"/>
  <c r="M32" i="91" s="1"/>
  <c r="M43" i="91" s="1"/>
  <c r="L15" i="91"/>
  <c r="L17" i="91" s="1"/>
  <c r="I31" i="91"/>
  <c r="F124" i="122" s="1"/>
  <c r="M15" i="91"/>
  <c r="M17" i="91" s="1"/>
  <c r="I39" i="91"/>
  <c r="I42" i="91" s="1"/>
  <c r="J32" i="94"/>
  <c r="L31" i="91"/>
  <c r="I124" i="122" s="1"/>
  <c r="P9" i="120"/>
  <c r="S9" i="120" s="1"/>
  <c r="L39" i="91"/>
  <c r="L42" i="91" s="1"/>
  <c r="K42" i="94"/>
  <c r="K15" i="94"/>
  <c r="K17" i="94" s="1"/>
  <c r="I31" i="94"/>
  <c r="F125" i="122" s="1"/>
  <c r="K31" i="94"/>
  <c r="H125" i="122" s="1"/>
  <c r="I39" i="94"/>
  <c r="F102" i="122" s="1"/>
  <c r="I15" i="94"/>
  <c r="I17" i="94" s="1"/>
  <c r="M15" i="94"/>
  <c r="M17" i="94" s="1"/>
  <c r="M31" i="94"/>
  <c r="M32" i="94" s="1"/>
  <c r="J39" i="94"/>
  <c r="K34" i="91"/>
  <c r="K31" i="91"/>
  <c r="J31" i="91"/>
  <c r="G124" i="122" s="1"/>
  <c r="J15" i="91"/>
  <c r="J17" i="91" s="1"/>
  <c r="K39" i="91"/>
  <c r="K42" i="91" s="1"/>
  <c r="F21" i="120"/>
  <c r="F38" i="120" s="1"/>
  <c r="F12" i="120"/>
  <c r="K20" i="87"/>
  <c r="Q129" i="122"/>
  <c r="E27" i="87"/>
  <c r="G27" i="87" s="1"/>
  <c r="O188" i="122"/>
  <c r="J188" i="122"/>
  <c r="H188" i="122"/>
  <c r="R188" i="122"/>
  <c r="K78" i="122"/>
  <c r="T15" i="94"/>
  <c r="T17" i="94" s="1"/>
  <c r="U32" i="94"/>
  <c r="U43" i="94" s="1"/>
  <c r="U45" i="94" s="1"/>
  <c r="U48" i="94" s="1"/>
  <c r="U53" i="94" s="1"/>
  <c r="U32" i="91"/>
  <c r="U43" i="91" s="1"/>
  <c r="E10" i="120"/>
  <c r="E12" i="120" s="1"/>
  <c r="E21" i="120"/>
  <c r="E27" i="120"/>
  <c r="E37" i="120"/>
  <c r="F28" i="87"/>
  <c r="K21" i="87"/>
  <c r="K188" i="122"/>
  <c r="H25" i="87"/>
  <c r="E28" i="87"/>
  <c r="I62" i="120"/>
  <c r="I69" i="120"/>
  <c r="R48" i="91"/>
  <c r="R53" i="91" s="1"/>
  <c r="P53" i="94"/>
  <c r="R48" i="94"/>
  <c r="R53" i="94" s="1"/>
  <c r="T43" i="94"/>
  <c r="H10" i="120"/>
  <c r="H12" i="120" s="1"/>
  <c r="H37" i="120"/>
  <c r="H38" i="120" s="1"/>
  <c r="I37" i="120"/>
  <c r="S32" i="91"/>
  <c r="S43" i="91" s="1"/>
  <c r="S45" i="91" s="1"/>
  <c r="S39" i="94"/>
  <c r="P102" i="122" s="1"/>
  <c r="P16" i="120" l="1"/>
  <c r="P21" i="120" s="1"/>
  <c r="P38" i="120" s="1"/>
  <c r="N175" i="122"/>
  <c r="N192" i="122" s="1"/>
  <c r="H6" i="142"/>
  <c r="H5" i="142"/>
  <c r="O175" i="122"/>
  <c r="O192" i="122" s="1"/>
  <c r="I6" i="142"/>
  <c r="I5" i="142"/>
  <c r="H175" i="122"/>
  <c r="H192" i="122" s="1"/>
  <c r="B5" i="142"/>
  <c r="H6" i="141"/>
  <c r="H5" i="141"/>
  <c r="O103" i="122"/>
  <c r="J9" i="139" s="1"/>
  <c r="R175" i="122"/>
  <c r="R192" i="122" s="1"/>
  <c r="L6" i="142"/>
  <c r="L5" i="142"/>
  <c r="I175" i="122"/>
  <c r="I192" i="122" s="1"/>
  <c r="C5" i="142"/>
  <c r="R156" i="122"/>
  <c r="L6" i="141"/>
  <c r="L5" i="141"/>
  <c r="P103" i="122"/>
  <c r="K9" i="139" s="1"/>
  <c r="N173" i="122"/>
  <c r="M156" i="122"/>
  <c r="M127" i="122"/>
  <c r="Q104" i="122"/>
  <c r="R167" i="122"/>
  <c r="R184" i="122" s="1"/>
  <c r="O104" i="122"/>
  <c r="P167" i="122"/>
  <c r="P184" i="122" s="1"/>
  <c r="O53" i="94"/>
  <c r="O48" i="91"/>
  <c r="O53" i="91" s="1"/>
  <c r="P125" i="122"/>
  <c r="P126" i="122" s="1"/>
  <c r="Q127" i="122" s="1"/>
  <c r="S32" i="94"/>
  <c r="K102" i="122"/>
  <c r="K103" i="122" s="1"/>
  <c r="F8" i="139" s="1"/>
  <c r="N101" i="122"/>
  <c r="N103" i="122" s="1"/>
  <c r="I8" i="139" s="1"/>
  <c r="S104" i="122"/>
  <c r="S167" i="122"/>
  <c r="S184" i="122" s="1"/>
  <c r="R104" i="122"/>
  <c r="S152" i="122"/>
  <c r="R152" i="122"/>
  <c r="T45" i="94"/>
  <c r="T48" i="94" s="1"/>
  <c r="T53" i="94" s="1"/>
  <c r="R173" i="122"/>
  <c r="M103" i="122"/>
  <c r="H8" i="139" s="1"/>
  <c r="N124" i="122"/>
  <c r="N126" i="122" s="1"/>
  <c r="Q32" i="91"/>
  <c r="Q43" i="91" s="1"/>
  <c r="Q45" i="91" s="1"/>
  <c r="N158" i="122"/>
  <c r="H130" i="122"/>
  <c r="H158" i="122"/>
  <c r="I158" i="122"/>
  <c r="J175" i="122"/>
  <c r="J192" i="122" s="1"/>
  <c r="N130" i="122"/>
  <c r="K129" i="122"/>
  <c r="F5" i="142" s="1"/>
  <c r="K83" i="122"/>
  <c r="I130" i="122"/>
  <c r="G101" i="122"/>
  <c r="F101" i="122"/>
  <c r="F103" i="122" s="1"/>
  <c r="M43" i="94"/>
  <c r="M45" i="94" s="1"/>
  <c r="M48" i="94" s="1"/>
  <c r="M53" i="94" s="1"/>
  <c r="J103" i="122"/>
  <c r="I126" i="122"/>
  <c r="D5" i="141" s="1"/>
  <c r="R158" i="122"/>
  <c r="G126" i="122"/>
  <c r="H124" i="122"/>
  <c r="H126" i="122" s="1"/>
  <c r="G102" i="122"/>
  <c r="H102" i="122"/>
  <c r="I101" i="122"/>
  <c r="I102" i="122"/>
  <c r="F126" i="122"/>
  <c r="H101" i="122"/>
  <c r="R130" i="122"/>
  <c r="L42" i="94"/>
  <c r="L43" i="94" s="1"/>
  <c r="L45" i="94" s="1"/>
  <c r="L48" i="94" s="1"/>
  <c r="L53" i="94" s="1"/>
  <c r="D6" i="82"/>
  <c r="G28" i="87"/>
  <c r="E84" i="120"/>
  <c r="M45" i="91"/>
  <c r="M48" i="91" s="1"/>
  <c r="I71" i="120"/>
  <c r="I74" i="120" s="1"/>
  <c r="L32" i="91"/>
  <c r="L43" i="91" s="1"/>
  <c r="I32" i="91"/>
  <c r="I43" i="91" s="1"/>
  <c r="K32" i="91"/>
  <c r="K43" i="91" s="1"/>
  <c r="K45" i="91" s="1"/>
  <c r="K48" i="91" s="1"/>
  <c r="K53" i="91" s="1"/>
  <c r="P10" i="120"/>
  <c r="P12" i="120" s="1"/>
  <c r="I42" i="94"/>
  <c r="J42" i="94"/>
  <c r="J43" i="94" s="1"/>
  <c r="J45" i="94" s="1"/>
  <c r="I32" i="94"/>
  <c r="K32" i="94"/>
  <c r="K43" i="94" s="1"/>
  <c r="K45" i="94" s="1"/>
  <c r="J32" i="91"/>
  <c r="J43" i="91" s="1"/>
  <c r="I27" i="120"/>
  <c r="F40" i="120"/>
  <c r="F53" i="120" s="1"/>
  <c r="I10" i="87"/>
  <c r="J10" i="87" s="1"/>
  <c r="I9" i="87"/>
  <c r="J9" i="87" s="1"/>
  <c r="K8" i="87"/>
  <c r="K7" i="87"/>
  <c r="N188" i="122"/>
  <c r="M188" i="122"/>
  <c r="I188" i="122"/>
  <c r="U45" i="91"/>
  <c r="U48" i="91" s="1"/>
  <c r="U53" i="91" s="1"/>
  <c r="I21" i="120"/>
  <c r="E38" i="120"/>
  <c r="E40" i="120" s="1"/>
  <c r="L75" i="122"/>
  <c r="L78" i="122" s="1"/>
  <c r="D5" i="82"/>
  <c r="K15" i="87"/>
  <c r="K14" i="87"/>
  <c r="K18" i="87"/>
  <c r="K16" i="87"/>
  <c r="K17" i="87"/>
  <c r="K13" i="87"/>
  <c r="K11" i="87"/>
  <c r="Q32" i="94"/>
  <c r="Q43" i="94" s="1"/>
  <c r="Q45" i="94" s="1"/>
  <c r="S48" i="91"/>
  <c r="S53" i="91"/>
  <c r="S42" i="94"/>
  <c r="S43" i="94" s="1"/>
  <c r="S45" i="94" s="1"/>
  <c r="I22" i="87"/>
  <c r="I8" i="87"/>
  <c r="I18" i="87"/>
  <c r="I14" i="87"/>
  <c r="I11" i="87"/>
  <c r="I7" i="87"/>
  <c r="I20" i="87"/>
  <c r="I21" i="87"/>
  <c r="I16" i="87"/>
  <c r="I15" i="87"/>
  <c r="I13" i="87"/>
  <c r="I17" i="87"/>
  <c r="I12" i="120"/>
  <c r="O75" i="122"/>
  <c r="O78" i="122" s="1"/>
  <c r="H40" i="120"/>
  <c r="Q48" i="91"/>
  <c r="Q53" i="91" s="1"/>
  <c r="P40" i="120" l="1"/>
  <c r="P48" i="120" s="1"/>
  <c r="P53" i="120" s="1"/>
  <c r="H173" i="122"/>
  <c r="H190" i="122" s="1"/>
  <c r="B5" i="141"/>
  <c r="K167" i="122"/>
  <c r="E8" i="139"/>
  <c r="Q152" i="122"/>
  <c r="I5" i="141"/>
  <c r="I6" i="141"/>
  <c r="I173" i="122"/>
  <c r="I190" i="122" s="1"/>
  <c r="C5" i="141"/>
  <c r="K6" i="141"/>
  <c r="K5" i="141"/>
  <c r="L152" i="122"/>
  <c r="L104" i="122"/>
  <c r="L167" i="122"/>
  <c r="L184" i="122" s="1"/>
  <c r="N167" i="122"/>
  <c r="N184" i="122" s="1"/>
  <c r="M152" i="122"/>
  <c r="M104" i="122"/>
  <c r="Q173" i="122"/>
  <c r="Q190" i="122" s="1"/>
  <c r="P156" i="122"/>
  <c r="P127" i="122"/>
  <c r="Q156" i="122"/>
  <c r="O167" i="122"/>
  <c r="O184" i="122" s="1"/>
  <c r="N104" i="122"/>
  <c r="N152" i="122"/>
  <c r="O152" i="122"/>
  <c r="Q167" i="122"/>
  <c r="Q184" i="122" s="1"/>
  <c r="P152" i="122"/>
  <c r="P104" i="122"/>
  <c r="O173" i="122"/>
  <c r="N127" i="122"/>
  <c r="N156" i="122"/>
  <c r="O156" i="122"/>
  <c r="O127" i="122"/>
  <c r="L175" i="122"/>
  <c r="L192" i="122" s="1"/>
  <c r="J156" i="122"/>
  <c r="J173" i="122"/>
  <c r="J190" i="122" s="1"/>
  <c r="K104" i="122"/>
  <c r="K184" i="122"/>
  <c r="O129" i="122"/>
  <c r="O83" i="122"/>
  <c r="L129" i="122"/>
  <c r="G5" i="142" s="1"/>
  <c r="L83" i="122"/>
  <c r="G103" i="122"/>
  <c r="D7" i="82"/>
  <c r="D9" i="82" s="1"/>
  <c r="S17" i="120" s="1"/>
  <c r="H103" i="122"/>
  <c r="J127" i="122"/>
  <c r="I156" i="122"/>
  <c r="K152" i="122"/>
  <c r="G127" i="122"/>
  <c r="L158" i="122"/>
  <c r="H127" i="122"/>
  <c r="H156" i="122"/>
  <c r="I103" i="122"/>
  <c r="I127" i="122"/>
  <c r="L130" i="122"/>
  <c r="M130" i="122"/>
  <c r="P190" i="122"/>
  <c r="M53" i="91"/>
  <c r="I78" i="120"/>
  <c r="L45" i="91"/>
  <c r="L48" i="91" s="1"/>
  <c r="L53" i="91" s="1"/>
  <c r="I45" i="91"/>
  <c r="I48" i="91" s="1"/>
  <c r="I53" i="91" s="1"/>
  <c r="I38" i="120"/>
  <c r="I40" i="120" s="1"/>
  <c r="K48" i="94"/>
  <c r="K53" i="94" s="1"/>
  <c r="J48" i="94"/>
  <c r="J53" i="94" s="1"/>
  <c r="I43" i="94"/>
  <c r="I45" i="94" s="1"/>
  <c r="I48" i="94" s="1"/>
  <c r="I53" i="94" s="1"/>
  <c r="J45" i="91"/>
  <c r="O190" i="122"/>
  <c r="Q188" i="122"/>
  <c r="R190" i="122"/>
  <c r="K190" i="122"/>
  <c r="N190" i="122"/>
  <c r="L190" i="122"/>
  <c r="M190" i="122"/>
  <c r="J75" i="122"/>
  <c r="J78" i="122" s="1"/>
  <c r="P75" i="122"/>
  <c r="P78" i="122" s="1"/>
  <c r="L17" i="87"/>
  <c r="M17" i="87" s="1"/>
  <c r="J17" i="87"/>
  <c r="L15" i="87"/>
  <c r="M15" i="87" s="1"/>
  <c r="J15" i="87"/>
  <c r="J21" i="87"/>
  <c r="L21" i="87"/>
  <c r="M21" i="87" s="1"/>
  <c r="O11" i="87"/>
  <c r="L7" i="87"/>
  <c r="M7" i="87" s="1"/>
  <c r="I25" i="87"/>
  <c r="J7" i="87"/>
  <c r="L14" i="87"/>
  <c r="M14" i="87" s="1"/>
  <c r="J14" i="87"/>
  <c r="L8" i="87"/>
  <c r="M8" i="87" s="1"/>
  <c r="J8" i="87"/>
  <c r="S48" i="94"/>
  <c r="S53" i="94" s="1"/>
  <c r="Q48" i="94"/>
  <c r="Q53" i="94" s="1"/>
  <c r="O18" i="87"/>
  <c r="L13" i="87"/>
  <c r="M13" i="87" s="1"/>
  <c r="J13" i="87"/>
  <c r="L16" i="87"/>
  <c r="M16" i="87" s="1"/>
  <c r="J16" i="87"/>
  <c r="J20" i="87"/>
  <c r="L20" i="87"/>
  <c r="M20" i="87" s="1"/>
  <c r="O22" i="87"/>
  <c r="J11" i="87"/>
  <c r="L11" i="87"/>
  <c r="M11" i="87" s="1"/>
  <c r="J18" i="87"/>
  <c r="L18" i="87"/>
  <c r="M18" i="87" s="1"/>
  <c r="L22" i="87"/>
  <c r="M22" i="87" s="1"/>
  <c r="J22" i="87"/>
  <c r="C8" i="139" l="1"/>
  <c r="C5" i="139"/>
  <c r="B8" i="139"/>
  <c r="B5" i="139"/>
  <c r="D8" i="139"/>
  <c r="D5" i="139"/>
  <c r="J5" i="142"/>
  <c r="J6" i="142"/>
  <c r="J167" i="122"/>
  <c r="J184" i="122" s="1"/>
  <c r="I167" i="122"/>
  <c r="I184" i="122" s="1"/>
  <c r="M158" i="122"/>
  <c r="M175" i="122"/>
  <c r="M192" i="122" s="1"/>
  <c r="H167" i="122"/>
  <c r="H184" i="122" s="1"/>
  <c r="P175" i="122"/>
  <c r="P192" i="122" s="1"/>
  <c r="P129" i="122"/>
  <c r="P83" i="122"/>
  <c r="O130" i="122"/>
  <c r="O158" i="122"/>
  <c r="J129" i="122"/>
  <c r="E5" i="142" s="1"/>
  <c r="J83" i="122"/>
  <c r="H152" i="122"/>
  <c r="G104" i="122"/>
  <c r="E20" i="103"/>
  <c r="E24" i="103" s="1"/>
  <c r="Q21" i="120"/>
  <c r="H104" i="122"/>
  <c r="I152" i="122"/>
  <c r="J152" i="122"/>
  <c r="I104" i="122"/>
  <c r="J104" i="122"/>
  <c r="J48" i="91"/>
  <c r="J53" i="91" s="1"/>
  <c r="J25" i="87"/>
  <c r="N22" i="87"/>
  <c r="P22" i="87" s="1"/>
  <c r="N18" i="87"/>
  <c r="P18" i="87" s="1"/>
  <c r="N11" i="87"/>
  <c r="P11" i="87" s="1"/>
  <c r="O24" i="87"/>
  <c r="P158" i="122" l="1"/>
  <c r="K6" i="142"/>
  <c r="K5" i="142"/>
  <c r="K175" i="122"/>
  <c r="K192" i="122" s="1"/>
  <c r="J130" i="122"/>
  <c r="J158" i="122"/>
  <c r="K130" i="122"/>
  <c r="Q158" i="122"/>
  <c r="Q175" i="122"/>
  <c r="Q192" i="122" s="1"/>
  <c r="K158" i="122"/>
  <c r="P130" i="122"/>
  <c r="Q130" i="122"/>
  <c r="G18" i="126"/>
  <c r="K7" i="120"/>
  <c r="P188" i="122"/>
  <c r="Q11" i="120"/>
  <c r="S11" i="120" s="1"/>
  <c r="P24" i="87"/>
  <c r="P25" i="87" s="1"/>
  <c r="K8" i="120" l="1"/>
  <c r="Q8" i="120" s="1"/>
  <c r="S8" i="120" s="1"/>
  <c r="Q7" i="120"/>
  <c r="K36" i="120"/>
  <c r="M36" i="120" s="1"/>
  <c r="N36" i="120" s="1"/>
  <c r="S36" i="120" s="1"/>
  <c r="K26" i="120"/>
  <c r="Q10" i="120" l="1"/>
  <c r="Q12" i="120" s="1"/>
  <c r="S7" i="120"/>
  <c r="E10" i="103"/>
  <c r="K35" i="120"/>
  <c r="K25" i="120"/>
  <c r="K73" i="120"/>
  <c r="K74" i="120" s="1"/>
  <c r="K64" i="120"/>
  <c r="K68" i="120"/>
  <c r="K58" i="120"/>
  <c r="K60" i="120"/>
  <c r="K67" i="120"/>
  <c r="K65" i="120"/>
  <c r="K61" i="120"/>
  <c r="K59" i="120"/>
  <c r="K66" i="120"/>
  <c r="M26" i="120"/>
  <c r="N26" i="120" s="1"/>
  <c r="M20" i="120"/>
  <c r="N20" i="120" s="1"/>
  <c r="S20" i="120" s="1"/>
  <c r="M19" i="120"/>
  <c r="N19" i="120" s="1"/>
  <c r="S19" i="120" s="1"/>
  <c r="S10" i="120" l="1"/>
  <c r="S12" i="120" s="1"/>
  <c r="E13" i="103"/>
  <c r="E15" i="103" s="1"/>
  <c r="E37" i="103"/>
  <c r="Q34" i="120" s="1"/>
  <c r="E29" i="103"/>
  <c r="Q26" i="120" s="1"/>
  <c r="E32" i="103"/>
  <c r="Q29" i="120" s="1"/>
  <c r="K29" i="120"/>
  <c r="M18" i="120"/>
  <c r="N18" i="120" s="1"/>
  <c r="S18" i="120" s="1"/>
  <c r="M25" i="120"/>
  <c r="N25" i="120" s="1"/>
  <c r="S25" i="120" s="1"/>
  <c r="M35" i="120"/>
  <c r="N35" i="120" s="1"/>
  <c r="S35" i="120" s="1"/>
  <c r="E30" i="103" l="1"/>
  <c r="E40" i="103"/>
  <c r="Q37" i="120"/>
  <c r="K34" i="120"/>
  <c r="K31" i="120"/>
  <c r="K30" i="120"/>
  <c r="K24" i="120"/>
  <c r="M24" i="120" s="1"/>
  <c r="S26" i="120" l="1"/>
  <c r="Q27" i="120"/>
  <c r="Q38" i="120" s="1"/>
  <c r="Q40" i="120" s="1"/>
  <c r="Q48" i="120" s="1"/>
  <c r="Q53" i="120" s="1"/>
  <c r="E41" i="103"/>
  <c r="E43" i="103" s="1"/>
  <c r="E46" i="103" s="1"/>
  <c r="E51" i="103" s="1"/>
  <c r="M31" i="120"/>
  <c r="N31" i="120" s="1"/>
  <c r="S31" i="120" s="1"/>
  <c r="M30" i="120"/>
  <c r="N30" i="120" s="1"/>
  <c r="S30" i="120" s="1"/>
  <c r="M34" i="120"/>
  <c r="N34" i="120" s="1"/>
  <c r="M16" i="120"/>
  <c r="N16" i="120" s="1"/>
  <c r="S16" i="120" s="1"/>
  <c r="M29" i="120"/>
  <c r="N29" i="120" s="1"/>
  <c r="S29" i="120" s="1"/>
  <c r="M73" i="120"/>
  <c r="N73" i="120" s="1"/>
  <c r="M27" i="120"/>
  <c r="N24" i="120"/>
  <c r="M21" i="120" l="1"/>
  <c r="M37" i="120"/>
  <c r="N27" i="120"/>
  <c r="S24" i="120"/>
  <c r="S27" i="120" s="1"/>
  <c r="S34" i="120"/>
  <c r="S37" i="120" s="1"/>
  <c r="N37" i="120"/>
  <c r="M75" i="120"/>
  <c r="N75" i="120" s="1"/>
  <c r="S75" i="120" s="1"/>
  <c r="M76" i="120"/>
  <c r="N76" i="120" s="1"/>
  <c r="S76" i="120" s="1"/>
  <c r="S73" i="120"/>
  <c r="S21" i="120"/>
  <c r="N21" i="120"/>
  <c r="M61" i="120"/>
  <c r="N61" i="120" s="1"/>
  <c r="S61" i="120" s="1"/>
  <c r="M38" i="120" l="1"/>
  <c r="M40" i="120" s="1"/>
  <c r="N38" i="120"/>
  <c r="N40" i="120" s="1"/>
  <c r="M60" i="120"/>
  <c r="N60" i="120" s="1"/>
  <c r="S60" i="120" s="1"/>
  <c r="M68" i="120"/>
  <c r="N68" i="120" s="1"/>
  <c r="S68" i="120" s="1"/>
  <c r="S38" i="120"/>
  <c r="S40" i="120" s="1"/>
  <c r="M48" i="120" l="1"/>
  <c r="M67" i="120"/>
  <c r="N67" i="120" s="1"/>
  <c r="S67" i="120" s="1"/>
  <c r="M59" i="120"/>
  <c r="N59" i="120" s="1"/>
  <c r="S59" i="120" s="1"/>
  <c r="M57" i="120" l="1"/>
  <c r="M58" i="120"/>
  <c r="N58" i="120" s="1"/>
  <c r="S58" i="120" s="1"/>
  <c r="M66" i="120"/>
  <c r="N66" i="120" s="1"/>
  <c r="S66" i="120" s="1"/>
  <c r="M65" i="120" l="1"/>
  <c r="N65" i="120" s="1"/>
  <c r="S65" i="120" s="1"/>
  <c r="M64" i="120"/>
  <c r="N57" i="120"/>
  <c r="M62" i="120"/>
  <c r="N64" i="120" l="1"/>
  <c r="M69" i="120"/>
  <c r="M71" i="120" s="1"/>
  <c r="M74" i="120" s="1"/>
  <c r="S57" i="120"/>
  <c r="S62" i="120" s="1"/>
  <c r="N62" i="120"/>
  <c r="M78" i="120" l="1"/>
  <c r="M49" i="120" s="1"/>
  <c r="S64" i="120"/>
  <c r="S69" i="120" s="1"/>
  <c r="N69" i="120"/>
  <c r="N71" i="120" s="1"/>
  <c r="N74" i="120" s="1"/>
  <c r="M53" i="120" l="1"/>
  <c r="S71" i="120"/>
  <c r="S78" i="120" s="1"/>
  <c r="N78" i="120"/>
  <c r="S74" i="120"/>
  <c r="S84" i="120" l="1"/>
  <c r="F12" i="126"/>
  <c r="H12" i="126" s="1"/>
  <c r="H16" i="126" l="1"/>
  <c r="J12" i="126"/>
  <c r="J16" i="126" s="1"/>
  <c r="H53" i="120"/>
  <c r="G53" i="120" l="1"/>
  <c r="I48" i="120" l="1"/>
  <c r="N48" i="120" l="1"/>
  <c r="S48" i="120" l="1"/>
  <c r="E53" i="120" l="1"/>
  <c r="I49" i="120"/>
  <c r="I53" i="120" l="1"/>
  <c r="N49" i="120"/>
  <c r="E80" i="120"/>
  <c r="E85" i="120"/>
  <c r="E87" i="120" s="1"/>
  <c r="S49" i="120" l="1"/>
  <c r="S53" i="120" s="1"/>
  <c r="N53" i="120"/>
  <c r="F18" i="126" l="1"/>
  <c r="H18" i="126" s="1"/>
  <c r="S80" i="120"/>
  <c r="S85" i="120"/>
  <c r="S87" i="120" s="1"/>
  <c r="S89" i="120" s="1"/>
  <c r="S90" i="120" s="1"/>
  <c r="J18" i="126" l="1"/>
  <c r="H20" i="126"/>
  <c r="H24" i="126" s="1"/>
  <c r="L18" i="126" l="1"/>
  <c r="L28" i="126"/>
  <c r="J28" i="126"/>
  <c r="J20" i="126"/>
  <c r="J24" i="126" s="1"/>
  <c r="J32" i="126" s="1"/>
  <c r="J30" i="126" l="1"/>
  <c r="M24" i="126"/>
  <c r="M30" i="126" s="1"/>
  <c r="M26" i="126" l="1"/>
</calcChain>
</file>

<file path=xl/comments1.xml><?xml version="1.0" encoding="utf-8"?>
<comments xmlns="http://schemas.openxmlformats.org/spreadsheetml/2006/main">
  <authors>
    <author>gzhkw6</author>
  </authors>
  <commentList>
    <comment ref="R11" authorId="0" shapeId="0">
      <text>
        <r>
          <rPr>
            <b/>
            <sz val="8"/>
            <color indexed="81"/>
            <rFont val="Tahoma"/>
            <family val="2"/>
          </rPr>
          <t>gzhkw6:</t>
        </r>
        <r>
          <rPr>
            <sz val="8"/>
            <color indexed="81"/>
            <rFont val="Tahoma"/>
            <family val="2"/>
          </rPr>
          <t xml:space="preserve">
Commission Basis report erroneously picked up unbilled revenue on this line instead of interdepartmental.  Total is OK but both line 1 and 2 are misstated.
Restated correctly here to facilitate analysis</t>
        </r>
      </text>
    </comment>
    <comment ref="F77" authorId="0" shapeId="0">
      <text>
        <r>
          <rPr>
            <b/>
            <sz val="8"/>
            <color indexed="81"/>
            <rFont val="Tahoma"/>
            <family val="2"/>
          </rPr>
          <t>gzhkw6:</t>
        </r>
        <r>
          <rPr>
            <sz val="8"/>
            <color indexed="81"/>
            <rFont val="Tahoma"/>
            <family val="2"/>
          </rPr>
          <t xml:space="preserve">
Segregated Deferred Taxes and Deferred Debits and Credits as if it had been shown that way prior to 2011</t>
        </r>
      </text>
    </comment>
  </commentList>
</comments>
</file>

<file path=xl/comments2.xml><?xml version="1.0" encoding="utf-8"?>
<comments xmlns="http://schemas.openxmlformats.org/spreadsheetml/2006/main">
  <authors>
    <author>Joe Miller</author>
  </authors>
  <commentList>
    <comment ref="G14" authorId="0" shapeId="0">
      <text>
        <r>
          <rPr>
            <b/>
            <sz val="8"/>
            <color indexed="81"/>
            <rFont val="Tahoma"/>
            <family val="2"/>
          </rPr>
          <t>Joe Miller:</t>
        </r>
        <r>
          <rPr>
            <sz val="8"/>
            <color indexed="81"/>
            <rFont val="Tahoma"/>
            <family val="2"/>
          </rPr>
          <t xml:space="preserve">
Includes Unbilled</t>
        </r>
      </text>
    </comment>
  </commentList>
</comments>
</file>

<file path=xl/comments3.xml><?xml version="1.0" encoding="utf-8"?>
<comments xmlns="http://schemas.openxmlformats.org/spreadsheetml/2006/main">
  <authors>
    <author>gzhkw6</author>
  </authors>
  <commentList>
    <comment ref="I18" authorId="0" shapeId="0">
      <text>
        <r>
          <rPr>
            <b/>
            <sz val="8"/>
            <color indexed="81"/>
            <rFont val="Tahoma"/>
            <family val="2"/>
          </rPr>
          <t>gzhkw6:</t>
        </r>
        <r>
          <rPr>
            <sz val="8"/>
            <color indexed="81"/>
            <rFont val="Tahoma"/>
            <family val="2"/>
          </rPr>
          <t xml:space="preserve">
includes100K for leased transportation vehicles amort that should have been general plant related</t>
        </r>
      </text>
    </comment>
    <comment ref="J30" authorId="0" shapeId="0">
      <text>
        <r>
          <rPr>
            <b/>
            <sz val="8"/>
            <color indexed="81"/>
            <rFont val="Tahoma"/>
            <family val="2"/>
          </rPr>
          <t>gzhkw6:</t>
        </r>
        <r>
          <rPr>
            <sz val="8"/>
            <color indexed="81"/>
            <rFont val="Tahoma"/>
            <family val="2"/>
          </rPr>
          <t xml:space="preserve">
Prior to 2006 the amortization of the write off was recorded in account 426, changed to 407 making manual CB adjustment no longer necessary</t>
        </r>
      </text>
    </comment>
    <comment ref="G49" authorId="0" shapeId="0">
      <text>
        <r>
          <rPr>
            <b/>
            <sz val="8"/>
            <color indexed="81"/>
            <rFont val="Tahoma"/>
            <family val="2"/>
          </rPr>
          <t>gzhkw6:</t>
        </r>
        <r>
          <rPr>
            <sz val="8"/>
            <color indexed="81"/>
            <rFont val="Tahoma"/>
            <family val="2"/>
          </rPr>
          <t xml:space="preserve">
includes CS2 pro forma plant and small gen</t>
        </r>
      </text>
    </comment>
    <comment ref="H49" authorId="0" shapeId="0">
      <text>
        <r>
          <rPr>
            <b/>
            <sz val="8"/>
            <color indexed="81"/>
            <rFont val="Tahoma"/>
            <family val="2"/>
          </rPr>
          <t>gzhkw6:</t>
        </r>
        <r>
          <rPr>
            <sz val="8"/>
            <color indexed="81"/>
            <rFont val="Tahoma"/>
            <family val="2"/>
          </rPr>
          <t xml:space="preserve">
includes CS2 pro forma plant</t>
        </r>
      </text>
    </comment>
    <comment ref="I49" authorId="0" shapeId="0">
      <text>
        <r>
          <rPr>
            <b/>
            <sz val="8"/>
            <color indexed="81"/>
            <rFont val="Tahoma"/>
            <family val="2"/>
          </rPr>
          <t>gzhkw6:</t>
        </r>
        <r>
          <rPr>
            <sz val="8"/>
            <color indexed="81"/>
            <rFont val="Tahoma"/>
            <family val="2"/>
          </rPr>
          <t xml:space="preserve">
pro formed CS2</t>
        </r>
      </text>
    </comment>
  </commentList>
</comments>
</file>

<file path=xl/comments4.xml><?xml version="1.0" encoding="utf-8"?>
<comments xmlns="http://schemas.openxmlformats.org/spreadsheetml/2006/main">
  <authors>
    <author>gzhkw6</author>
  </authors>
  <commentList>
    <comment ref="I24" authorId="0" shapeId="0">
      <text>
        <r>
          <rPr>
            <b/>
            <sz val="8"/>
            <color indexed="81"/>
            <rFont val="Tahoma"/>
            <family val="2"/>
          </rPr>
          <t>gzhkw6:</t>
        </r>
        <r>
          <rPr>
            <sz val="8"/>
            <color indexed="81"/>
            <rFont val="Tahoma"/>
            <family val="2"/>
          </rPr>
          <t xml:space="preserve">
No Res X in 2000 but Centralia Gain was refunded</t>
        </r>
      </text>
    </comment>
    <comment ref="T24" authorId="0" shapeId="0">
      <text>
        <r>
          <rPr>
            <b/>
            <sz val="8"/>
            <color indexed="81"/>
            <rFont val="Tahoma"/>
            <family val="2"/>
          </rPr>
          <t>gzhkw6:</t>
        </r>
        <r>
          <rPr>
            <sz val="8"/>
            <color indexed="81"/>
            <rFont val="Tahoma"/>
            <family val="2"/>
          </rPr>
          <t xml:space="preserve">
Net with Buck a block revenue offset
</t>
        </r>
      </text>
    </comment>
  </commentList>
</comments>
</file>

<file path=xl/comments5.xml><?xml version="1.0" encoding="utf-8"?>
<comments xmlns="http://schemas.openxmlformats.org/spreadsheetml/2006/main">
  <authors>
    <author>Scott Reid</author>
  </authors>
  <commentList>
    <comment ref="A84" authorId="0" shapeId="0">
      <text>
        <r>
          <rPr>
            <sz val="11"/>
            <color indexed="81"/>
            <rFont val="Tahoma"/>
            <family val="2"/>
          </rPr>
          <t>Billed Demand is entered by Schedule, then allocated to Comm/Indust based on Billed Energy.</t>
        </r>
      </text>
    </comment>
  </commentList>
</comments>
</file>

<file path=xl/comments6.xml><?xml version="1.0" encoding="utf-8"?>
<comments xmlns="http://schemas.openxmlformats.org/spreadsheetml/2006/main">
  <authors>
    <author>gzhkw6</author>
  </authors>
  <commentList>
    <comment ref="E16" authorId="0" shapeId="0">
      <text>
        <r>
          <rPr>
            <b/>
            <sz val="9"/>
            <color indexed="81"/>
            <rFont val="Tahoma"/>
            <family val="2"/>
          </rPr>
          <t>gzhkw6:</t>
        </r>
        <r>
          <rPr>
            <sz val="9"/>
            <color indexed="81"/>
            <rFont val="Tahoma"/>
            <family val="2"/>
          </rPr>
          <t xml:space="preserve">
in ps wps 
11,802 * 66.29%</t>
        </r>
      </text>
    </comment>
    <comment ref="F16" authorId="0" shapeId="0">
      <text>
        <r>
          <rPr>
            <b/>
            <sz val="9"/>
            <color indexed="81"/>
            <rFont val="Tahoma"/>
            <family val="2"/>
          </rPr>
          <t>gzhkw6:</t>
        </r>
        <r>
          <rPr>
            <sz val="9"/>
            <color indexed="81"/>
            <rFont val="Tahoma"/>
            <family val="2"/>
          </rPr>
          <t xml:space="preserve">
in ps wps
14,659 * 67.48%
</t>
        </r>
      </text>
    </comment>
    <comment ref="G16" authorId="0" shapeId="0">
      <text>
        <r>
          <rPr>
            <b/>
            <sz val="9"/>
            <color indexed="81"/>
            <rFont val="Tahoma"/>
            <family val="2"/>
          </rPr>
          <t>gzhkw6:</t>
        </r>
        <r>
          <rPr>
            <sz val="9"/>
            <color indexed="81"/>
            <rFont val="Tahoma"/>
            <family val="2"/>
          </rPr>
          <t xml:space="preserve">
in ps wps</t>
        </r>
      </text>
    </comment>
    <comment ref="H16" authorId="0" shapeId="0">
      <text>
        <r>
          <rPr>
            <b/>
            <sz val="9"/>
            <color indexed="81"/>
            <rFont val="Tahoma"/>
            <family val="2"/>
          </rPr>
          <t>gzhkw6:</t>
        </r>
        <r>
          <rPr>
            <sz val="9"/>
            <color indexed="81"/>
            <rFont val="Tahoma"/>
            <family val="2"/>
          </rPr>
          <t xml:space="preserve">
2004 glm query
</t>
        </r>
      </text>
    </comment>
    <comment ref="I16" authorId="0" shapeId="0">
      <text>
        <r>
          <rPr>
            <b/>
            <sz val="9"/>
            <color indexed="81"/>
            <rFont val="Tahoma"/>
            <family val="2"/>
          </rPr>
          <t>gzhkw6:</t>
        </r>
        <r>
          <rPr>
            <sz val="9"/>
            <color indexed="81"/>
            <rFont val="Tahoma"/>
            <family val="2"/>
          </rPr>
          <t xml:space="preserve">
pf transmission per power supply adj wps
case same as CB </t>
        </r>
      </text>
    </comment>
    <comment ref="R16" authorId="0" shapeId="0">
      <text>
        <r>
          <rPr>
            <b/>
            <sz val="9"/>
            <color indexed="81"/>
            <rFont val="Tahoma"/>
            <family val="2"/>
          </rPr>
          <t>gzhkw6:</t>
        </r>
        <r>
          <rPr>
            <sz val="9"/>
            <color indexed="81"/>
            <rFont val="Tahoma"/>
            <family val="2"/>
          </rPr>
          <t xml:space="preserve">
2005 - 2012 RevTran Journal totals Allocated + WA direct</t>
        </r>
      </text>
    </comment>
  </commentList>
</comments>
</file>

<file path=xl/comments7.xml><?xml version="1.0" encoding="utf-8"?>
<comments xmlns="http://schemas.openxmlformats.org/spreadsheetml/2006/main">
  <authors>
    <author>gzhkw6</author>
  </authors>
  <commentList>
    <comment ref="D14" authorId="0" shapeId="0">
      <text>
        <r>
          <rPr>
            <b/>
            <sz val="9"/>
            <color indexed="81"/>
            <rFont val="Tahoma"/>
            <family val="2"/>
          </rPr>
          <t>gzhkw6:</t>
        </r>
        <r>
          <rPr>
            <sz val="9"/>
            <color indexed="81"/>
            <rFont val="Tahoma"/>
            <family val="2"/>
          </rPr>
          <t xml:space="preserve">
From Wheeling Revenue in Transmission Adjustment</t>
        </r>
      </text>
    </comment>
  </commentList>
</comments>
</file>

<file path=xl/comments8.xml><?xml version="1.0" encoding="utf-8"?>
<comments xmlns="http://schemas.openxmlformats.org/spreadsheetml/2006/main">
  <authors>
    <author>gzhkw6</author>
  </authors>
  <commentList>
    <comment ref="D14" authorId="0" shapeId="0">
      <text>
        <r>
          <rPr>
            <b/>
            <sz val="9"/>
            <color indexed="81"/>
            <rFont val="Tahoma"/>
            <family val="2"/>
          </rPr>
          <t>gzhkw6:</t>
        </r>
        <r>
          <rPr>
            <sz val="9"/>
            <color indexed="81"/>
            <rFont val="Tahoma"/>
            <family val="2"/>
          </rPr>
          <t xml:space="preserve">
From Wheeling Revenue in Transmission Adjustment</t>
        </r>
      </text>
    </comment>
  </commentList>
</comments>
</file>

<file path=xl/sharedStrings.xml><?xml version="1.0" encoding="utf-8"?>
<sst xmlns="http://schemas.openxmlformats.org/spreadsheetml/2006/main" count="1674" uniqueCount="632">
  <si>
    <t>REVENUES</t>
  </si>
  <si>
    <t>Other Revenue</t>
  </si>
  <si>
    <t>ELECTRIC</t>
  </si>
  <si>
    <t>Line</t>
  </si>
  <si>
    <t>DESCRIPTION</t>
  </si>
  <si>
    <t>Washington</t>
  </si>
  <si>
    <t>Avista Corporation</t>
  </si>
  <si>
    <t>WA Power Supply Net Costs</t>
  </si>
  <si>
    <t>Total</t>
  </si>
  <si>
    <t>P/T Allocation Percentages</t>
  </si>
  <si>
    <t>447 Sales for Resale</t>
  </si>
  <si>
    <t>453 Sales of Water and Water Power</t>
  </si>
  <si>
    <t>454 Misc Rents</t>
  </si>
  <si>
    <t>456 Other Electric Revenue</t>
  </si>
  <si>
    <t xml:space="preserve">   Total Revenue</t>
  </si>
  <si>
    <t>501 Thermal Fuel Expense</t>
  </si>
  <si>
    <t>546 Other Power Gen Supvsn &amp; Eng</t>
  </si>
  <si>
    <t>547 Other Fuel Expense</t>
  </si>
  <si>
    <t>536 Water for Power</t>
  </si>
  <si>
    <t>555 Purchased Power</t>
  </si>
  <si>
    <t>549 Misc Other Gen Expense</t>
  </si>
  <si>
    <t>550 Rents</t>
  </si>
  <si>
    <t>556 System Control &amp; Dispatch</t>
  </si>
  <si>
    <t>557 Other Expenses</t>
  </si>
  <si>
    <t>565 Trans. of Elec. by Others</t>
  </si>
  <si>
    <t xml:space="preserve">   Total Expense</t>
  </si>
  <si>
    <t>Net Income Before Income Taxes</t>
  </si>
  <si>
    <t>Federal Income Tax</t>
  </si>
  <si>
    <t>Net Income</t>
  </si>
  <si>
    <t>Total Washington</t>
  </si>
  <si>
    <t>Forecast</t>
  </si>
  <si>
    <t>Average</t>
  </si>
  <si>
    <t>WA</t>
  </si>
  <si>
    <t>WA001</t>
  </si>
  <si>
    <t>WA012</t>
  </si>
  <si>
    <t>WA022</t>
  </si>
  <si>
    <t>WA032</t>
  </si>
  <si>
    <t>WA011</t>
  </si>
  <si>
    <t>WA021</t>
  </si>
  <si>
    <t>WA025</t>
  </si>
  <si>
    <t>WA031</t>
  </si>
  <si>
    <t>WA028</t>
  </si>
  <si>
    <t>WA04X</t>
  </si>
  <si>
    <t>Total Customers by Rate Sched:</t>
  </si>
  <si>
    <t>Total Billed Energy Usage by State:</t>
  </si>
  <si>
    <t>Billed Demand Usage &gt; minimum (in Kw's)</t>
  </si>
  <si>
    <t>Total Demand Usage by Rate Sched:</t>
  </si>
  <si>
    <t>Total Demand Usage by State:</t>
  </si>
  <si>
    <t>Revenue</t>
  </si>
  <si>
    <t>Revenue Requirement</t>
  </si>
  <si>
    <t xml:space="preserve">RATE OF RETURN  </t>
  </si>
  <si>
    <t xml:space="preserve">TOTAL RATE BASE  </t>
  </si>
  <si>
    <t xml:space="preserve">DEFERRED TAXES  </t>
  </si>
  <si>
    <t xml:space="preserve">WORKING CAPITAL </t>
  </si>
  <si>
    <t xml:space="preserve">Total Plant in Service  </t>
  </si>
  <si>
    <t xml:space="preserve">General  </t>
  </si>
  <si>
    <t xml:space="preserve">Distribution  </t>
  </si>
  <si>
    <t xml:space="preserve">Transmission  </t>
  </si>
  <si>
    <t xml:space="preserve">Production  </t>
  </si>
  <si>
    <t xml:space="preserve">Intangible  </t>
  </si>
  <si>
    <t xml:space="preserve">PLANT IN SERVICE  </t>
  </si>
  <si>
    <t xml:space="preserve">RATE BASE  </t>
  </si>
  <si>
    <t xml:space="preserve">NET OPERATING INCOME  </t>
  </si>
  <si>
    <t>Amortized ITC - Noxon</t>
  </si>
  <si>
    <t xml:space="preserve">Deferred Income Taxes  </t>
  </si>
  <si>
    <t xml:space="preserve">FEDERAL INCOME TAX  </t>
  </si>
  <si>
    <t xml:space="preserve">OPERATING INCOME BEFORE FIT  </t>
  </si>
  <si>
    <t xml:space="preserve">Total Electric Expenses  </t>
  </si>
  <si>
    <t xml:space="preserve">Total Admin. &amp; General  </t>
  </si>
  <si>
    <t xml:space="preserve">Taxes  </t>
  </si>
  <si>
    <t xml:space="preserve">Operating Expenses  </t>
  </si>
  <si>
    <t xml:space="preserve">Administrative &amp; General  </t>
  </si>
  <si>
    <t xml:space="preserve">Sales Expenses  </t>
  </si>
  <si>
    <t xml:space="preserve">Customer Service &amp; Information  </t>
  </si>
  <si>
    <t xml:space="preserve">Customer Accounting  </t>
  </si>
  <si>
    <t xml:space="preserve">Total Distribution  </t>
  </si>
  <si>
    <t xml:space="preserve">Total Production &amp; Transmission  </t>
  </si>
  <si>
    <t xml:space="preserve">Purchased Power  </t>
  </si>
  <si>
    <t xml:space="preserve">Production and Transmission  </t>
  </si>
  <si>
    <t xml:space="preserve">EXPENSES  </t>
  </si>
  <si>
    <t xml:space="preserve">Total Electric Revenue  </t>
  </si>
  <si>
    <t xml:space="preserve">Other Revenue  </t>
  </si>
  <si>
    <t xml:space="preserve">Total Sales of Electricity  </t>
  </si>
  <si>
    <t xml:space="preserve">Sales for Resale  </t>
  </si>
  <si>
    <t xml:space="preserve">Interdepartmental Sales  </t>
  </si>
  <si>
    <t xml:space="preserve">Total General Business  </t>
  </si>
  <si>
    <t xml:space="preserve">REVENUES  </t>
  </si>
  <si>
    <t>TOTAL</t>
  </si>
  <si>
    <t>Supply</t>
  </si>
  <si>
    <t>Power</t>
  </si>
  <si>
    <t>No.</t>
  </si>
  <si>
    <t>Common</t>
  </si>
  <si>
    <t>Remove</t>
  </si>
  <si>
    <t xml:space="preserve">(000'S OF DOLLARS)  </t>
  </si>
  <si>
    <t xml:space="preserve">AVISTA UTILITIES  </t>
  </si>
  <si>
    <t>Revenue Conversion Factor</t>
  </si>
  <si>
    <t xml:space="preserve"> </t>
  </si>
  <si>
    <t>Capital</t>
  </si>
  <si>
    <t>System</t>
  </si>
  <si>
    <t>Rate</t>
  </si>
  <si>
    <t>Schedule</t>
  </si>
  <si>
    <t>RESIDENTIAL</t>
  </si>
  <si>
    <t>SCHEDULE 1</t>
  </si>
  <si>
    <t xml:space="preserve">GENERAL SVC. </t>
  </si>
  <si>
    <t>SCH. 11,12</t>
  </si>
  <si>
    <t>LG. GEN. SVC.</t>
  </si>
  <si>
    <t>SCH. 21,22</t>
  </si>
  <si>
    <t>EX LG GEN SVC</t>
  </si>
  <si>
    <t>SCHEDULE 25</t>
  </si>
  <si>
    <t>PUMPING</t>
  </si>
  <si>
    <t>SCH. 30, 31, 32</t>
  </si>
  <si>
    <t>ST &amp; AREA LTG</t>
  </si>
  <si>
    <t>SCH. 41-48</t>
  </si>
  <si>
    <t>Billing Determinant</t>
  </si>
  <si>
    <t>Volumes</t>
  </si>
  <si>
    <t>Demand</t>
  </si>
  <si>
    <t>Revenue Growth Factor</t>
  </si>
  <si>
    <t>AVISTA UTILITIES</t>
  </si>
  <si>
    <t>Working Capital</t>
  </si>
  <si>
    <t>Growth</t>
  </si>
  <si>
    <t>Basic Charge</t>
  </si>
  <si>
    <t>[A]</t>
  </si>
  <si>
    <t>[B]</t>
  </si>
  <si>
    <t>[D]</t>
  </si>
  <si>
    <t>[E] = [D] / SUM([D])</t>
  </si>
  <si>
    <t>Weight x Growth</t>
  </si>
  <si>
    <t>WA Power Supply Pro Forma Net Cost</t>
  </si>
  <si>
    <t>Amounts</t>
  </si>
  <si>
    <t>456 Other Electric Revenue-Direct WA</t>
  </si>
  <si>
    <t>557 Other Expenses-Direct WA</t>
  </si>
  <si>
    <t>Total Customers</t>
  </si>
  <si>
    <t>Total Volumes</t>
  </si>
  <si>
    <t>Total Demand</t>
  </si>
  <si>
    <t>Load MWh</t>
  </si>
  <si>
    <t>Difference</t>
  </si>
  <si>
    <t>Cost of Incremental Load ($1000)</t>
  </si>
  <si>
    <t xml:space="preserve">WASHINGTON ELECTRIC RESULTS  </t>
  </si>
  <si>
    <t xml:space="preserve">Adjustment Number </t>
  </si>
  <si>
    <t>Workpaper Reference</t>
  </si>
  <si>
    <t xml:space="preserve">Depreciation/Amortization  </t>
  </si>
  <si>
    <t>Regulatory Amortization</t>
  </si>
  <si>
    <t>Depreciation/Amortization</t>
  </si>
  <si>
    <t xml:space="preserve">Current Accrual </t>
  </si>
  <si>
    <t>Debt Interest</t>
  </si>
  <si>
    <t>ACCUMULATED DEPRECIATION/AMORT</t>
  </si>
  <si>
    <t>Total Accumulated Depreciation</t>
  </si>
  <si>
    <t xml:space="preserve">NET PLANT </t>
  </si>
  <si>
    <t>Net Plant After DFIT</t>
  </si>
  <si>
    <t xml:space="preserve">DEFERRED DEBITS AND CREDITS </t>
  </si>
  <si>
    <t>Cost per MWh 2013</t>
  </si>
  <si>
    <t>WORK PAPER</t>
  </si>
  <si>
    <t>REFERENCE</t>
  </si>
  <si>
    <t>Print Header for all printed pages on this worksheet:</t>
  </si>
  <si>
    <t>PRESENT BILL DETERMINANTS</t>
  </si>
  <si>
    <t>Calculate all revenue exhibits using  ____ rates:</t>
  </si>
  <si>
    <t>KILOWATT HOURS (KWHS)</t>
  </si>
  <si>
    <t>1)</t>
  </si>
  <si>
    <t>BASE TARIFF</t>
  </si>
  <si>
    <t>PDE-E-10</t>
  </si>
  <si>
    <t>BLOCK 1</t>
  </si>
  <si>
    <t>or</t>
  </si>
  <si>
    <t>BLOCK 2</t>
  </si>
  <si>
    <t>2)</t>
  </si>
  <si>
    <t>BILLING</t>
  </si>
  <si>
    <t>BLOCK 3</t>
  </si>
  <si>
    <t>BLOCK 4</t>
  </si>
  <si>
    <t>STREET &amp; AREA LIGHTS</t>
  </si>
  <si>
    <t>SUBTOTAL</t>
  </si>
  <si>
    <t>ADJUSTMENT TO ACTUAL</t>
  </si>
  <si>
    <t>TOTAL BEFORE ADJUSTMENT</t>
  </si>
  <si>
    <t>PDE-E-3</t>
  </si>
  <si>
    <t>WEATHER &amp; UNBILLED ADJ. KWHS</t>
  </si>
  <si>
    <t>TOTAL PROFORMA KWHS</t>
  </si>
  <si>
    <t>TOTAL BILLS</t>
  </si>
  <si>
    <t>MINIMUM BILLS</t>
  </si>
  <si>
    <t>EXCESS DEMAND</t>
  </si>
  <si>
    <t>PROPOSED BILL DETERMINANTS</t>
  </si>
  <si>
    <t>PRESENT RATES</t>
  </si>
  <si>
    <t>- range name where Present Rates table can be found</t>
  </si>
  <si>
    <t>PDE-E-22</t>
  </si>
  <si>
    <t>BASIC CHARGE</t>
  </si>
  <si>
    <t>- range name where Proposed Rates table can be found</t>
  </si>
  <si>
    <t>MONTHLY MINIMUM</t>
  </si>
  <si>
    <t>BLOCK 1 PER KWH</t>
  </si>
  <si>
    <t>BLOCK 2 PER KWH</t>
  </si>
  <si>
    <t>BLOCK 3 PER KWH</t>
  </si>
  <si>
    <t>BLOCK 4 PER KWH</t>
  </si>
  <si>
    <t>ADJUST TO ACTUAL PER KWH</t>
  </si>
  <si>
    <t>DEMAND BLOCK 1</t>
  </si>
  <si>
    <t>DEMAND BLOCK 2</t>
  </si>
  <si>
    <t>PROPOSED RATES</t>
  </si>
  <si>
    <t>PRESENT REVENUE</t>
  </si>
  <si>
    <t>POWER FACTOR ADJUSTMENT</t>
  </si>
  <si>
    <t>PRIMARY VOLTAGE DISCOUNT</t>
  </si>
  <si>
    <t>ANNUAL MINIMUM ADJUSTMENT</t>
  </si>
  <si>
    <t>PDE-E-11</t>
  </si>
  <si>
    <t>STREET &amp; AREA LIGHT REVENUE</t>
  </si>
  <si>
    <t>ADJUST TO ACTUAL</t>
  </si>
  <si>
    <t>ADJUSTMENT REVENUE</t>
  </si>
  <si>
    <t>UNBILLED REVENUE ADJUSTMENT</t>
  </si>
  <si>
    <t>UNBILLED LOAD KWHS</t>
  </si>
  <si>
    <t>PDE-E-5/6</t>
  </si>
  <si>
    <t>UNBILLED LOAD RATE</t>
  </si>
  <si>
    <t>UNBILLED LOAD REVENUE</t>
  </si>
  <si>
    <t>PDE-E-17</t>
  </si>
  <si>
    <t>WEATHER-SENSITIVE KWHS</t>
  </si>
  <si>
    <t>WEATHER-SENSITIVE RATE</t>
  </si>
  <si>
    <t>WEATHER-SENSITIVE REVENUE</t>
  </si>
  <si>
    <t>TOTAL UNBILLED KWH ADJUST</t>
  </si>
  <si>
    <t>TOTAL UNBILLED REVENUE ADJ</t>
  </si>
  <si>
    <t>WEATHER NORMALIZATION ADJ</t>
  </si>
  <si>
    <t>TOTAL ADJUSTMENT REVENUE</t>
  </si>
  <si>
    <t>TOTAL PRESENT REVENUE</t>
  </si>
  <si>
    <t>PROPOSED REVENUE</t>
  </si>
  <si>
    <t>TOTAL PROPOSED REVENUE</t>
  </si>
  <si>
    <t>TOTAL REVENUE INCREASE</t>
  </si>
  <si>
    <t>PERCENT REVENUE INCREASE</t>
  </si>
  <si>
    <t>BASELOAD</t>
  </si>
  <si>
    <t>WTHR-SENS.</t>
  </si>
  <si>
    <t>RATES</t>
  </si>
  <si>
    <t>KWHS</t>
  </si>
  <si>
    <t>REVENUE</t>
  </si>
  <si>
    <t>PRESENT BASELOAD AND WEATHER-SENSITIVE RATES</t>
  </si>
  <si>
    <t>0-600 KWHS</t>
  </si>
  <si>
    <t>601-1300 KWHS</t>
  </si>
  <si>
    <t>OVER 1300 KWHS</t>
  </si>
  <si>
    <t>AVERAGE RATE</t>
  </si>
  <si>
    <t>PROPOSED BASELOAD AND WEATHER-SENSITIVE RATES</t>
  </si>
  <si>
    <t>SCHEDULE 11</t>
  </si>
  <si>
    <t>0-3650 KWHS</t>
  </si>
  <si>
    <t>over 3650 KWHS</t>
  </si>
  <si>
    <t>SCHEDULE 21</t>
  </si>
  <si>
    <t>0-250000 KWHS</t>
  </si>
  <si>
    <t>OVER 250000 KWHS</t>
  </si>
  <si>
    <t>Revenue Model</t>
  </si>
  <si>
    <t>Net Plant</t>
  </si>
  <si>
    <t>TWELVE MONTHS ENDED DECEMBER 31, 2005 - 2011</t>
  </si>
  <si>
    <t>(Note 1)</t>
  </si>
  <si>
    <t>ResX</t>
  </si>
  <si>
    <t>DSM</t>
  </si>
  <si>
    <t>(Note 2)</t>
  </si>
  <si>
    <t>Note 1:  2011 Washington electric revenue conversion factor amounts.</t>
  </si>
  <si>
    <t>Other</t>
  </si>
  <si>
    <t>Plant in Service</t>
  </si>
  <si>
    <t>Subtotal: Production and Transmission</t>
  </si>
  <si>
    <t>Subtotal: Distribution</t>
  </si>
  <si>
    <t>Subtotal: Administrative and General</t>
  </si>
  <si>
    <t>Accumulated Depreciation and Amortization</t>
  </si>
  <si>
    <t>Deferred Taxes</t>
  </si>
  <si>
    <t>Deferred Debits and Credits</t>
  </si>
  <si>
    <t>CBR Line Number</t>
  </si>
  <si>
    <t>Determine Base Cost and Revenue to Escalate</t>
  </si>
  <si>
    <t>ATTRITION ADJUSTMENT RELATED TO RETAIL REVENUE GROWTH AND ASSOCIATED POWER SUPPLY COST</t>
  </si>
  <si>
    <t>and Power</t>
  </si>
  <si>
    <t>Supply Cost</t>
  </si>
  <si>
    <t>Subtotal: Sales of Electricity</t>
  </si>
  <si>
    <t>Subtotal: Plant in Service</t>
  </si>
  <si>
    <t>Escalate Non-Energy Cost</t>
  </si>
  <si>
    <t>Other Cost &amp; Revenue Adjustments</t>
  </si>
  <si>
    <t>[F] = [C] x [E]</t>
  </si>
  <si>
    <t>Seems high</t>
  </si>
  <si>
    <t>12 bills per customer per year</t>
  </si>
  <si>
    <t>Volume Weights</t>
  </si>
  <si>
    <t>Diff x Growth</t>
  </si>
  <si>
    <t>ID</t>
  </si>
  <si>
    <t>ID001</t>
  </si>
  <si>
    <t>ID012</t>
  </si>
  <si>
    <t>ID022</t>
  </si>
  <si>
    <t>ID032</t>
  </si>
  <si>
    <t>ID04X</t>
  </si>
  <si>
    <t>ID011</t>
  </si>
  <si>
    <t>ID021</t>
  </si>
  <si>
    <t>ID025</t>
  </si>
  <si>
    <t>ID031</t>
  </si>
  <si>
    <t>ID025P</t>
  </si>
  <si>
    <t>Total Calendar Energy Usage by Rate Sched:</t>
  </si>
  <si>
    <t>Total Calendar Energy Usage by State:</t>
  </si>
  <si>
    <t>Washington - Electric System</t>
  </si>
  <si>
    <t>Weighted</t>
  </si>
  <si>
    <t>Component</t>
  </si>
  <si>
    <t>Structure</t>
  </si>
  <si>
    <t>Cost</t>
  </si>
  <si>
    <t>Total Debt</t>
  </si>
  <si>
    <t>Proposed Rate of Return</t>
  </si>
  <si>
    <t>na</t>
  </si>
  <si>
    <t>ATTRITION ADJUSTED REVENUE REQUIREMENT</t>
  </si>
  <si>
    <t>Operating Income Deficiency</t>
  </si>
  <si>
    <t>Attrition Adjusted Revenue Requirement</t>
  </si>
  <si>
    <t>[C]</t>
  </si>
  <si>
    <t>[E]</t>
  </si>
  <si>
    <t>[F]</t>
  </si>
  <si>
    <t>[G]</t>
  </si>
  <si>
    <t>[H]</t>
  </si>
  <si>
    <t>[I]</t>
  </si>
  <si>
    <t>[J]</t>
  </si>
  <si>
    <t>CALCULATION OF THE PURCHASED POWER COST OF INCREMENTAL  LOAD</t>
  </si>
  <si>
    <t>Subtotal: Accumulated Depreciation and Amortization</t>
  </si>
  <si>
    <t>Net Plant After Deferred taxes</t>
  </si>
  <si>
    <t>Return on Plant in Service at Proposed Rate</t>
  </si>
  <si>
    <t>Net Plant After Deferred Income Taxes</t>
  </si>
  <si>
    <t>Normalized Cost Per Power Supply Adjustment</t>
  </si>
  <si>
    <t>TWELVE MONTHS ENDED DECEMBER 31, 2000 - 2012</t>
  </si>
  <si>
    <t>Note 2:  Adder Schedules were removed from the 2004 and 2006 case files which were provided for Commission Basis reporting those years.</t>
  </si>
  <si>
    <t>Note 3:  Adder Schedules were removed from the 2004 and 2006 case files which were provided for Commission Basis reporting those years.</t>
  </si>
  <si>
    <t>Levelized Settlement Exchange Power</t>
  </si>
  <si>
    <t>Note 2:  No ResX rate credit in 2000.  However, there was a refund of the Centralia Gain that affected both revenue and regulatory amortizations.</t>
  </si>
  <si>
    <t>P/T Depreciation/Amort as filed</t>
  </si>
  <si>
    <t>Regulatory Amortizations as filed</t>
  </si>
  <si>
    <t>403 Production Depreciation</t>
  </si>
  <si>
    <t>403 Transmission Depreciation</t>
  </si>
  <si>
    <t>404 Intangible Amortization</t>
  </si>
  <si>
    <t>405 Exchange Power Amortization</t>
  </si>
  <si>
    <t>406 Colstrip Common AFUDC</t>
  </si>
  <si>
    <t>407 Amort of CO2 credits</t>
  </si>
  <si>
    <t>407 Amort of Centralia Gain</t>
  </si>
  <si>
    <t>407 Amort of Rate Base Reduction</t>
  </si>
  <si>
    <t>407 Amort of MOPS Reg Asset</t>
  </si>
  <si>
    <t>407 Amort of Residential Exchange</t>
  </si>
  <si>
    <t>407 Small Gen Amortization</t>
  </si>
  <si>
    <t>407 Kettle Falls Disallowed Depreciation</t>
  </si>
  <si>
    <t>Rev</t>
  </si>
  <si>
    <t>407 SRR &amp; CDA Settlement Deferrals &amp; Amorts</t>
  </si>
  <si>
    <t>407 Lancaster Generation</t>
  </si>
  <si>
    <t>407 Optional Renewable Power Revenue Offset</t>
  </si>
  <si>
    <t>407 Deferred O&amp;M Deferral &amp; Amort</t>
  </si>
  <si>
    <t>407 LiDAR Deferral &amp; Amortization</t>
  </si>
  <si>
    <t>407 CNC Transmission Amortization</t>
  </si>
  <si>
    <t>407 WA Renewable Energy Credits Amortization</t>
  </si>
  <si>
    <t>407 Optional Renewable Solar Project Offset</t>
  </si>
  <si>
    <t>407 Palouse Wind Deferral</t>
  </si>
  <si>
    <t>P/T Depreciation</t>
  </si>
  <si>
    <t>Regulatory Deferrals and Amortizations</t>
  </si>
  <si>
    <t>Included in Depreciation prior to 2012, should continue in depreciation</t>
  </si>
  <si>
    <t>Check Total</t>
  </si>
  <si>
    <t>Regulatory Deferrals &amp; Amorts Excluding Revenue</t>
  </si>
  <si>
    <t>Regulatory Amortizations</t>
  </si>
  <si>
    <t>Adjusted Regulatory Amortizations</t>
  </si>
  <si>
    <t>Gain on Sale of Office Building</t>
  </si>
  <si>
    <t>Colstrip 3 Reallocation</t>
  </si>
  <si>
    <t>Colstrip Common AFUDC</t>
  </si>
  <si>
    <t>Accum Depr</t>
  </si>
  <si>
    <t>Kettle Falls Disallowance</t>
  </si>
  <si>
    <t>ADFIT</t>
  </si>
  <si>
    <t>Settlement Exchange Power</t>
  </si>
  <si>
    <t>Hydro Relicensing</t>
  </si>
  <si>
    <t>Montana Riverbed Settlement</t>
  </si>
  <si>
    <t>Lancaster Generation</t>
  </si>
  <si>
    <t>Customer Advances</t>
  </si>
  <si>
    <t>Customer Deposits</t>
  </si>
  <si>
    <t>PGE Monetization</t>
  </si>
  <si>
    <t>MOPS</t>
  </si>
  <si>
    <t>Production Plant</t>
  </si>
  <si>
    <t>Distribution Plant</t>
  </si>
  <si>
    <t>Prod Plant</t>
  </si>
  <si>
    <t>Dist Plant</t>
  </si>
  <si>
    <t>ADFIT on Gain on Sale of Office Bldg</t>
  </si>
  <si>
    <t>Non-Retail Revenue Analysis</t>
  </si>
  <si>
    <t>Power Supply Normalized</t>
  </si>
  <si>
    <t>CB Totals</t>
  </si>
  <si>
    <t>Sales for Resale</t>
  </si>
  <si>
    <t>Non-PT Other Revenue</t>
  </si>
  <si>
    <t>BPA settlement erroneously removed from gen business, should have been removed from transmission wheeling rev</t>
  </si>
  <si>
    <t>missing normalize transmission wheeling revenues adjustment for CB</t>
  </si>
  <si>
    <t>12 ME 06.2013</t>
  </si>
  <si>
    <t>12ME 06.2013</t>
  </si>
  <si>
    <t>Source PF Power Supply Weighted Average Secondary Price of Power</t>
  </si>
  <si>
    <t>Grand Total</t>
  </si>
  <si>
    <t>Total Customers by State:</t>
  </si>
  <si>
    <t>Total Bills</t>
  </si>
  <si>
    <t>kw &gt; 20</t>
  </si>
  <si>
    <t>kw &gt; 50</t>
  </si>
  <si>
    <t>kvar &gt; 3000</t>
  </si>
  <si>
    <t>Fixed Demand/Cust</t>
  </si>
  <si>
    <t>Trended 2015 Non-Energy Cost</t>
  </si>
  <si>
    <t>Annual Growth Rates</t>
  </si>
  <si>
    <t>2001-2002</t>
  </si>
  <si>
    <t>2002-2003</t>
  </si>
  <si>
    <t>2003-2004</t>
  </si>
  <si>
    <t>2004-2005</t>
  </si>
  <si>
    <t>2005-2006</t>
  </si>
  <si>
    <t>2006-2007</t>
  </si>
  <si>
    <t>2007-2008</t>
  </si>
  <si>
    <t>2008-2009</t>
  </si>
  <si>
    <t>2009-2010</t>
  </si>
  <si>
    <t>2010-2011</t>
  </si>
  <si>
    <t>2011-2012</t>
  </si>
  <si>
    <t>Adjusted operating expenses</t>
  </si>
  <si>
    <t>Adjusted depreciation/amortization</t>
  </si>
  <si>
    <t>Adjusted taxes other than income</t>
  </si>
  <si>
    <t>Rate base</t>
  </si>
  <si>
    <t>Adjusted Other Revenue</t>
  </si>
  <si>
    <t>PDE-E-23</t>
  </si>
  <si>
    <t>PDE-E-24</t>
  </si>
  <si>
    <t>PDE-E-31/8</t>
  </si>
  <si>
    <t>PDE-E-16</t>
  </si>
  <si>
    <t>PDE-E-18</t>
  </si>
  <si>
    <t>Note:  Total Base Load for Sch. 1 = Base Load per bill times total billings (base load per bill on PDE-E-19) =</t>
  </si>
  <si>
    <t>Note:  Total Base Load for Sch. 21 = Base Load per bill times total billings (base load per bill on PDE-E-19) =</t>
  </si>
  <si>
    <t>TWELVE MONTHS ENDED DECEMBER RESTATED TOTALS</t>
  </si>
  <si>
    <t>As Filed</t>
  </si>
  <si>
    <t>2000</t>
  </si>
  <si>
    <t>2001</t>
  </si>
  <si>
    <t>2002</t>
  </si>
  <si>
    <t>2003</t>
  </si>
  <si>
    <t>2004</t>
  </si>
  <si>
    <t>2005</t>
  </si>
  <si>
    <t>2006</t>
  </si>
  <si>
    <t>2007</t>
  </si>
  <si>
    <t>2008</t>
  </si>
  <si>
    <t>2009</t>
  </si>
  <si>
    <t>2010</t>
  </si>
  <si>
    <t>2011</t>
  </si>
  <si>
    <t>2012</t>
  </si>
  <si>
    <t>[K]</t>
  </si>
  <si>
    <t xml:space="preserve"> Proposed Cap Structure</t>
  </si>
  <si>
    <t>Note 1:  06.2013 Washington electric revenue conversion factor amounts.</t>
  </si>
  <si>
    <t>Commission Basis Power Supply Adjustment - 06.2013 Historical Loads</t>
  </si>
  <si>
    <t>456 Transmission Wheeling Revenue</t>
  </si>
  <si>
    <t>456 Other Electric Revenue Direct WA</t>
  </si>
  <si>
    <t>557 Other Expenses Direct WA</t>
  </si>
  <si>
    <t>456 Other Wholesale Revenue</t>
  </si>
  <si>
    <t>check</t>
  </si>
  <si>
    <t xml:space="preserve">Line </t>
  </si>
  <si>
    <t>Description</t>
  </si>
  <si>
    <t>Factor</t>
  </si>
  <si>
    <t>Revenues</t>
  </si>
  <si>
    <t>Expense:</t>
  </si>
  <si>
    <t xml:space="preserve">  Uncollectibles</t>
  </si>
  <si>
    <t xml:space="preserve">  Commission Fees</t>
  </si>
  <si>
    <t xml:space="preserve">  Washington Excise Tax</t>
  </si>
  <si>
    <t xml:space="preserve">    Total Expense</t>
  </si>
  <si>
    <t>Net Operating Income Before FIT</t>
  </si>
  <si>
    <t xml:space="preserve">  Federal Income Tax @ 35%</t>
  </si>
  <si>
    <t>REVENUE CONVERSION FACTOR</t>
  </si>
  <si>
    <t>Incremental Revenue Normalization Adjustment</t>
  </si>
  <si>
    <t>[C] = ([B] - [A])/[A]</t>
  </si>
  <si>
    <t>Escalation Factor</t>
  </si>
  <si>
    <t>2 years</t>
  </si>
  <si>
    <t xml:space="preserve"> Non-Energy Cost Escalation Amount</t>
  </si>
  <si>
    <t>Commission Basis Results of Operations</t>
  </si>
  <si>
    <t>Deduct DSM Tariff Rider Expenses</t>
  </si>
  <si>
    <t>Deduct Res X Credit Expenses</t>
  </si>
  <si>
    <t>Adjusted Operating Expenses</t>
  </si>
  <si>
    <t>Deduct Power Supply Expenses</t>
  </si>
  <si>
    <t>Production/Transmission</t>
  </si>
  <si>
    <t>Purchased Power</t>
  </si>
  <si>
    <t>Distribution</t>
  </si>
  <si>
    <t>Customer Accounting</t>
  </si>
  <si>
    <t>Customer Service and Information</t>
  </si>
  <si>
    <t>Sales</t>
  </si>
  <si>
    <t>Adminisrtative and General</t>
  </si>
  <si>
    <t>Total Operating &amp; Maintenance Expenses</t>
  </si>
  <si>
    <t>Total Depreciation/Amortization</t>
  </si>
  <si>
    <t>Total Taxes Other Than Income Tax</t>
  </si>
  <si>
    <t>Deduct DSM Tariff Rider Excise Tax</t>
  </si>
  <si>
    <t>Deduct Res X Credit Excise Tax</t>
  </si>
  <si>
    <t>Adjusted Taxes Other Than Income Tax</t>
  </si>
  <si>
    <t>Net Plant After Deferred Income Tax</t>
  </si>
  <si>
    <t>Total Rate Base</t>
  </si>
  <si>
    <t>Exclude Power Supply and Transmission Wheeling from Other Operating Revenue</t>
  </si>
  <si>
    <t>CBR Ln 7</t>
  </si>
  <si>
    <t>CBR Ln 8</t>
  </si>
  <si>
    <t>CBR Ln 13</t>
  </si>
  <si>
    <t>CBR Ln 17</t>
  </si>
  <si>
    <t>CBR Ln 18</t>
  </si>
  <si>
    <t>CBR Ln 19</t>
  </si>
  <si>
    <t>CBR Ln 20</t>
  </si>
  <si>
    <t>CBR Ln 9</t>
  </si>
  <si>
    <t>CBR Ln 14</t>
  </si>
  <si>
    <t>CBR Ln 21</t>
  </si>
  <si>
    <t>CBR Ln 10</t>
  </si>
  <si>
    <t>CBR Ln 11</t>
  </si>
  <si>
    <t>CBR Ln 15</t>
  </si>
  <si>
    <t>CBR Ln 22</t>
  </si>
  <si>
    <t>CBR Ln 46</t>
  </si>
  <si>
    <t>CBR Ln 49</t>
  </si>
  <si>
    <t>Other Operating Revenue</t>
  </si>
  <si>
    <t>CBR Ln 5</t>
  </si>
  <si>
    <t>Deduct Power Supply Other Revenue</t>
  </si>
  <si>
    <t>Deduct Transmission Other Revenue</t>
  </si>
  <si>
    <t>Total Power Supply Other Revenue</t>
  </si>
  <si>
    <t>Total depreciation/amortization</t>
  </si>
  <si>
    <t>No</t>
  </si>
  <si>
    <t>Exclude Power Supply and Adder Schedule Expenses (DSM Tariff Rider and Residential Exchange Credit) from O&amp;M</t>
  </si>
  <si>
    <t>Exclude Adder Schedule amortizations (Residential Exchange Credit) from Regulatory Amortizations</t>
  </si>
  <si>
    <t>Note: The Deferred Debits and Credits Category has been restated in prior years to reflect consistency with the current reporting format.</t>
  </si>
  <si>
    <t>Note: The Regulatory Amortization Category has been restated in prior years to reflect consistency with the current reporting format.</t>
  </si>
  <si>
    <t>Deduct Res X Credit amortization</t>
  </si>
  <si>
    <t>ANNUAL AND COMPOUND GROWTH RATES</t>
  </si>
  <si>
    <t xml:space="preserve">WASHINGTON ELECTRIC RESULTS </t>
  </si>
  <si>
    <t>Excerpt from:  EREV v1 12 08 -Draft Final Budget - Updated WA001 Block.xlsm, Cal Load tab</t>
  </si>
  <si>
    <t>Excerpt from:  EREV v1 12 08 -Draft Final Budget - Updated WA001 Block.xlsm, Cust Load tab</t>
  </si>
  <si>
    <t xml:space="preserve"> Authorized Cap Structure</t>
  </si>
  <si>
    <t>Calculation of General Revenue Requirement</t>
  </si>
  <si>
    <t>Net Operating Income Requirement</t>
  </si>
  <si>
    <t>Net Operating Income Deficiency</t>
  </si>
  <si>
    <t>Total General Business Revenues</t>
  </si>
  <si>
    <t>Percentage Revenue Increase</t>
  </si>
  <si>
    <t>Growth Factor</t>
  </si>
  <si>
    <t>Attrition Rate Base</t>
  </si>
  <si>
    <t>(000's of Dollars)</t>
  </si>
  <si>
    <t>Balances</t>
  </si>
  <si>
    <t xml:space="preserve">Revenue </t>
  </si>
  <si>
    <t>Attrition Net Operating Income</t>
  </si>
  <si>
    <t xml:space="preserve">Notes: </t>
  </si>
  <si>
    <t>(a)</t>
  </si>
  <si>
    <t>After Attrition</t>
  </si>
  <si>
    <t xml:space="preserve">Final </t>
  </si>
  <si>
    <t>Attrition Adjusted</t>
  </si>
  <si>
    <t>Attrition</t>
  </si>
  <si>
    <t>(b)</t>
  </si>
  <si>
    <t xml:space="preserve">(c) </t>
  </si>
  <si>
    <t>(d)</t>
  </si>
  <si>
    <t>(e)</t>
  </si>
  <si>
    <t>(f)</t>
  </si>
  <si>
    <t>(g)</t>
  </si>
  <si>
    <t>Adjustments (i)</t>
  </si>
  <si>
    <t>(i)</t>
  </si>
  <si>
    <t>Electric Growth  Rate Analysis and Escalation Factor Calculation</t>
  </si>
  <si>
    <t>7A</t>
  </si>
  <si>
    <t>13A</t>
  </si>
  <si>
    <t>Electric Data for Escalators</t>
  </si>
  <si>
    <t xml:space="preserve">2014 Temporary </t>
  </si>
  <si>
    <t xml:space="preserve">Requirement </t>
  </si>
  <si>
    <t>Alternative Operating Expense Factor</t>
  </si>
  <si>
    <t>AVISTA'S 2015  ELECTRIC ATTRITION REVENUE REQUIREMENT</t>
  </si>
  <si>
    <t>$000s</t>
  </si>
  <si>
    <t>2015 Revenue</t>
  </si>
  <si>
    <t>Line No.</t>
  </si>
  <si>
    <t>Exclude Adder Schedule excise taxes (DSM Tariff Rider and Residential Exchange Credit) from Taxes Other Than Income Tax</t>
  </si>
  <si>
    <t>(plus)  Revenue Growth</t>
  </si>
  <si>
    <t>2015 Revenue and Cost</t>
  </si>
  <si>
    <t>ELECTRIC BILLING DETERMINANT INDEX</t>
  </si>
  <si>
    <t>2013 TO 2015 WEIGHTED REVENUE GROWTH</t>
  </si>
  <si>
    <t>2013</t>
  </si>
  <si>
    <t>407 BPA Parallel Capacity Support</t>
  </si>
  <si>
    <t>407 Colstrip Outage Return</t>
  </si>
  <si>
    <t>`</t>
  </si>
  <si>
    <t>2012-2013</t>
  </si>
  <si>
    <t>Compound Growth Rates to 2013</t>
  </si>
  <si>
    <t>2001-2013</t>
  </si>
  <si>
    <t>2002-2013</t>
  </si>
  <si>
    <t>2003-2013</t>
  </si>
  <si>
    <t>2004-2013</t>
  </si>
  <si>
    <t>2005-2013</t>
  </si>
  <si>
    <t>2006-2013</t>
  </si>
  <si>
    <t>2007-2013</t>
  </si>
  <si>
    <t>2008-2013</t>
  </si>
  <si>
    <t>2009-2013</t>
  </si>
  <si>
    <t>2010-2013</t>
  </si>
  <si>
    <t>2011-2013</t>
  </si>
  <si>
    <t>12.2013 Commission Basis Report Restated Totals</t>
  </si>
  <si>
    <t>(less) 12.2013 Normalized Net Power Supply  Cost</t>
  </si>
  <si>
    <t>Proposed Working Capital &amp; Restated Def. Deb/Cred Adjustment</t>
  </si>
  <si>
    <t>December 2013 Escalation Base</t>
  </si>
  <si>
    <t>(plus) 12.2013 Pro-Formed Net Energy Cost</t>
  </si>
  <si>
    <t>Commission Basis Power Supply Adjustment - 12.2013 Historical Loads</t>
  </si>
  <si>
    <t>2013 Removed in CBR</t>
  </si>
  <si>
    <t>TWELVE MONTHS ENDED DECEMBER 31, 2000 - 2013</t>
  </si>
  <si>
    <t>ELECTRIC COST AND REVENUE TREND CALCULATIONS 2001-2013</t>
  </si>
  <si>
    <t>Correction to CB Deferred Debits &amp; Credits</t>
  </si>
  <si>
    <t>Correction to CB Working Capital</t>
  </si>
  <si>
    <t>Actual Cost of Capital AMA 12/31/2013</t>
  </si>
  <si>
    <t>Note 1:  12.2013 Washington electric revenue conversion factor amounts.</t>
  </si>
  <si>
    <t>(Note 4)</t>
  </si>
  <si>
    <t>Note 4:  Eliminate Adder Schedules Adjustment in 2013 Commission Basis filing eliminated both the revenues and expenses associated with Res X and the Tariff Rider &amp; Buck-a-Block</t>
  </si>
  <si>
    <t>Note 3:  Eliminate Adder Schedules Adjustment in 2013 Commission Basis filing eliminated both the revenues and expenses associated with Res X and the Tariff Rider &amp; Buck-a-Block</t>
  </si>
  <si>
    <t>(Note 3)</t>
  </si>
  <si>
    <t>Twelve Months Ended December 31, 2013</t>
  </si>
  <si>
    <t>Weight</t>
  </si>
  <si>
    <t>Resource Optimization directly assigned to WA, add to Other Wholesale</t>
  </si>
  <si>
    <t>Capital Structure</t>
  </si>
  <si>
    <t>Trend Factor</t>
  </si>
  <si>
    <t>x</t>
  </si>
  <si>
    <t>Operating Exp Factor</t>
  </si>
  <si>
    <t>Trend Shape</t>
  </si>
  <si>
    <t>Adjusted Operating Expense (2001-2013)</t>
  </si>
  <si>
    <t>Reg 2001-2013</t>
  </si>
  <si>
    <t>Reg 2007-2013</t>
  </si>
  <si>
    <t>Reg (2001-2013)</t>
  </si>
  <si>
    <t>Reg (2007-2013)</t>
  </si>
  <si>
    <t>Adj Taxes other than Income (2001-2013)</t>
  </si>
  <si>
    <t>Adj Taxes other than Income (2007-2013)</t>
  </si>
  <si>
    <t>Net Plant after DFIT (2001-2013)</t>
  </si>
  <si>
    <t>Net Plant after DFIT (2007-2013)</t>
  </si>
  <si>
    <t>Adjusted Other Revenue (2001-2013)</t>
  </si>
  <si>
    <t>Adjusted Other Revenue (2007-2013)</t>
  </si>
  <si>
    <t>Weighted 50-50</t>
  </si>
  <si>
    <t>per year</t>
  </si>
  <si>
    <t>Revenue/NOI Factor</t>
  </si>
  <si>
    <t>Future Test Year</t>
  </si>
  <si>
    <t>Linear</t>
  </si>
  <si>
    <t>Ref. Column</t>
  </si>
  <si>
    <t>Weighted 50-50 (not plotted)</t>
  </si>
  <si>
    <t>Growth Trends - Adjusted Other Revenue (Electric)</t>
  </si>
  <si>
    <t>Regression (2001-2013)</t>
  </si>
  <si>
    <t>Regression (2007-2013)</t>
  </si>
  <si>
    <t>Staff's Proposed Cost of Capital</t>
  </si>
  <si>
    <t>COMMISSION STAFF 2015 ELECTRIC ATTRITION STUDY</t>
  </si>
  <si>
    <t>Growth Trends - Net Plant after Deferred Income Taxes</t>
  </si>
  <si>
    <t>Growth Trends - Adjusted Taxes (other than income)</t>
  </si>
  <si>
    <t>Growth Trends - Adjusted Depreciation/Amortization</t>
  </si>
  <si>
    <t>Adj Depreciation/Amortization (2001-2013)</t>
  </si>
  <si>
    <t>Adj Depreciation/Amortization (2007-2013)</t>
  </si>
  <si>
    <t>Growth Trends - Adjusted Operating Expense</t>
  </si>
  <si>
    <t>Regression (2001-2013) (not plotted)</t>
  </si>
  <si>
    <t>Regression (2007-2013) (not plotted)</t>
  </si>
  <si>
    <t>Two year</t>
  </si>
  <si>
    <t>Regression (2001-2013, omit 2009-2012)</t>
  </si>
  <si>
    <t>Alternative</t>
  </si>
  <si>
    <t>Attrition-Based Revenue Requirement</t>
  </si>
  <si>
    <t>Rate Increase</t>
  </si>
  <si>
    <t>Plus After-Attrition Adjustments</t>
  </si>
  <si>
    <t>Adjusted Operating Expense (2009-2012)</t>
  </si>
  <si>
    <t>Attrition Revenue Deficiency (Surplus)</t>
  </si>
  <si>
    <t>Avista-proposed rate</t>
  </si>
  <si>
    <t>KenDecoup</t>
  </si>
  <si>
    <t>Rate of Return (pre-attrition adjustment)</t>
  </si>
  <si>
    <t>After tax ROR</t>
  </si>
  <si>
    <t>(Shown in plot below)</t>
  </si>
  <si>
    <t>(Used for attrition analysis)</t>
  </si>
  <si>
    <t>Slope (Annual $)</t>
  </si>
  <si>
    <t>Slope (annual $)</t>
  </si>
  <si>
    <t>Power Supply</t>
  </si>
  <si>
    <t>DR171</t>
  </si>
  <si>
    <t>Rate Case Power Supply Adjustment Pro Forma - 2015 Rate Year Loads</t>
  </si>
  <si>
    <t>Staff Revisions</t>
  </si>
  <si>
    <t>WGJ-2</t>
  </si>
  <si>
    <t>JLB-3</t>
  </si>
  <si>
    <t>Pro Forma (2015)</t>
  </si>
  <si>
    <t>Revised Power Supply</t>
  </si>
  <si>
    <t>Adjustment included after the attrition calculated revenue requirement was to account for the Lake Spokane Deferral Amortization, proposed to start in the 2015 rate period.  This adjustment represents activity which was not included in the 12/31/2013 normalized commission basis results used as the starting point for Staff's attrition analysis.  This adjustment is the same as that included in the Company's direct case. Staff does not contest this adjustment.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</si>
</sst>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
    <numFmt numFmtId="168" formatCode="_(&quot;$&quot;* #,##0_);_(&quot;$&quot;* \(#,##0\);_(&quot;$&quot;* &quot;-&quot;??_);_(@_)"/>
    <numFmt numFmtId="169" formatCode="0.000%"/>
    <numFmt numFmtId="170" formatCode="_(&quot;$&quot;#,###_);_(&quot;$&quot;\ \(#,###\);_(* _);_(@_)"/>
    <numFmt numFmtId="171" formatCode="#,##0.000000"/>
    <numFmt numFmtId="172" formatCode="#,##0.000_);\(#,##0.000\)"/>
    <numFmt numFmtId="173" formatCode="0.0000"/>
    <numFmt numFmtId="174" formatCode=";;;"/>
    <numFmt numFmtId="175" formatCode="0.000_);\(0.000\)"/>
    <numFmt numFmtId="176" formatCode="0.000"/>
    <numFmt numFmtId="177" formatCode="0_);\(0\)"/>
    <numFmt numFmtId="178" formatCode="#,##0;;"/>
    <numFmt numFmtId="179" formatCode="&quot;$&quot;#,##0.00;\-&quot;$&quot;#,##0.00;"/>
    <numFmt numFmtId="180" formatCode="#,##0.000\¢\ ;\(#,##0.000\¢\);"/>
    <numFmt numFmtId="181" formatCode="#,##0.000\¢\ ;\(#,##0.000\¢\)"/>
    <numFmt numFmtId="182" formatCode="&quot;$&quot;#,##0.0000_);\(&quot;$&quot;#,##0.0000\)"/>
    <numFmt numFmtId="183" formatCode="0.000000_);\(0.000000\)"/>
    <numFmt numFmtId="184" formatCode="0.000000"/>
    <numFmt numFmtId="185" formatCode="0.00000"/>
    <numFmt numFmtId="186" formatCode="_(* #,##0.000000_);_(* \(#,##0.000000\);_(* &quot;-&quot;??_);_(@_)"/>
    <numFmt numFmtId="187" formatCode="0.0"/>
    <numFmt numFmtId="188" formatCode="0.0000%"/>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0"/>
      <name val="Arial"/>
      <family val="2"/>
    </font>
    <font>
      <sz val="9"/>
      <name val="Times New Roman"/>
      <family val="1"/>
    </font>
    <font>
      <b/>
      <sz val="9"/>
      <name val="Times New Roman"/>
      <family val="1"/>
    </font>
    <font>
      <u/>
      <sz val="10"/>
      <name val="Arial"/>
      <family val="2"/>
    </font>
    <font>
      <sz val="10"/>
      <name val="Arial"/>
      <family val="2"/>
    </font>
    <font>
      <b/>
      <sz val="11"/>
      <name val="Arial"/>
      <family val="2"/>
    </font>
    <font>
      <sz val="10"/>
      <color indexed="12"/>
      <name val="Arial"/>
      <family val="2"/>
    </font>
    <font>
      <b/>
      <sz val="10"/>
      <name val="Arial"/>
      <family val="2"/>
    </font>
    <font>
      <b/>
      <sz val="11"/>
      <color indexed="10"/>
      <name val="Arial"/>
      <family val="2"/>
    </font>
    <font>
      <sz val="11"/>
      <color indexed="81"/>
      <name val="Tahoma"/>
      <family val="2"/>
    </font>
    <font>
      <b/>
      <sz val="8"/>
      <color indexed="81"/>
      <name val="Tahoma"/>
      <family val="2"/>
    </font>
    <font>
      <sz val="8"/>
      <color indexed="81"/>
      <name val="Tahoma"/>
      <family val="2"/>
    </font>
    <font>
      <sz val="10"/>
      <name val="Geneva"/>
      <family val="2"/>
    </font>
    <font>
      <sz val="10"/>
      <name val="Geneva"/>
    </font>
    <font>
      <b/>
      <sz val="16"/>
      <name val="Times New Roman"/>
      <family val="1"/>
    </font>
    <font>
      <sz val="12"/>
      <name val="Times New Roman"/>
      <family val="1"/>
    </font>
    <font>
      <sz val="10"/>
      <name val="Arial"/>
      <family val="2"/>
    </font>
    <font>
      <sz val="10"/>
      <name val="Arial"/>
      <family val="2"/>
    </font>
    <font>
      <sz val="8"/>
      <name val="Geneva"/>
    </font>
    <font>
      <sz val="10"/>
      <name val="Times New Roman"/>
      <family val="1"/>
    </font>
    <font>
      <b/>
      <sz val="10"/>
      <name val="Times New Roman"/>
      <family val="1"/>
    </font>
    <font>
      <u/>
      <sz val="7.5"/>
      <color indexed="9"/>
      <name val="Arial"/>
      <family val="2"/>
    </font>
    <font>
      <b/>
      <sz val="9"/>
      <name val="Arial"/>
      <family val="2"/>
    </font>
    <font>
      <sz val="10"/>
      <color indexed="12"/>
      <name val="Times New Roman"/>
      <family val="1"/>
    </font>
    <font>
      <sz val="10"/>
      <color indexed="8"/>
      <name val="Calibri"/>
      <family val="2"/>
    </font>
    <font>
      <sz val="12"/>
      <color indexed="10"/>
      <name val="Times New Roman"/>
      <family val="1"/>
    </font>
    <font>
      <b/>
      <sz val="8"/>
      <color indexed="10"/>
      <name val="Geneva"/>
    </font>
    <font>
      <u/>
      <sz val="8"/>
      <name val="Geneva"/>
    </font>
    <font>
      <b/>
      <sz val="8"/>
      <name val="Courier"/>
      <family val="3"/>
    </font>
    <font>
      <b/>
      <sz val="8"/>
      <color indexed="12"/>
      <name val="Geneva"/>
    </font>
    <font>
      <sz val="8"/>
      <color indexed="12"/>
      <name val="Geneva"/>
    </font>
    <font>
      <sz val="8"/>
      <color indexed="39"/>
      <name val="Geneva"/>
    </font>
    <font>
      <b/>
      <sz val="8"/>
      <name val="Geneva"/>
    </font>
    <font>
      <sz val="8"/>
      <color indexed="10"/>
      <name val="Geneva"/>
    </font>
    <font>
      <sz val="8"/>
      <name val="Arial"/>
      <family val="2"/>
    </font>
    <font>
      <u/>
      <sz val="10"/>
      <color indexed="8"/>
      <name val="Arial"/>
      <family val="2"/>
    </font>
    <font>
      <sz val="8"/>
      <name val="Arial"/>
      <family val="2"/>
    </font>
    <font>
      <b/>
      <sz val="11"/>
      <color indexed="10"/>
      <name val="Calibri"/>
      <family val="2"/>
    </font>
    <font>
      <sz val="11"/>
      <color indexed="8"/>
      <name val="Calibri"/>
      <family val="2"/>
    </font>
    <font>
      <sz val="11"/>
      <color indexed="8"/>
      <name val="Calibri"/>
      <family val="2"/>
    </font>
    <font>
      <sz val="8"/>
      <name val="Arial"/>
      <family val="2"/>
    </font>
    <font>
      <b/>
      <sz val="12"/>
      <name val="Times New Roman"/>
      <family val="1"/>
    </font>
    <font>
      <sz val="12"/>
      <name val="Arial"/>
      <family val="2"/>
    </font>
    <font>
      <i/>
      <u/>
      <sz val="12"/>
      <name val="Times New Roman"/>
      <family val="1"/>
    </font>
    <font>
      <sz val="10"/>
      <color indexed="8"/>
      <name val="Arial"/>
      <family val="2"/>
    </font>
    <font>
      <b/>
      <sz val="11"/>
      <color indexed="8"/>
      <name val="Arial"/>
      <family val="2"/>
    </font>
    <font>
      <sz val="10"/>
      <color indexed="8"/>
      <name val="Times New Roman"/>
      <family val="1"/>
    </font>
    <font>
      <sz val="11"/>
      <color indexed="8"/>
      <name val="Times New Roman"/>
      <family val="1"/>
    </font>
    <font>
      <b/>
      <sz val="10"/>
      <color indexed="8"/>
      <name val="Times New Roman"/>
      <family val="1"/>
    </font>
    <font>
      <i/>
      <sz val="10"/>
      <color indexed="8"/>
      <name val="Times New Roman"/>
      <family val="1"/>
    </font>
    <font>
      <sz val="11"/>
      <color indexed="8"/>
      <name val="Times New Roman"/>
      <family val="1"/>
    </font>
    <font>
      <b/>
      <sz val="16"/>
      <color indexed="8"/>
      <name val="Times New Roman"/>
      <family val="1"/>
    </font>
    <font>
      <sz val="11"/>
      <color theme="1"/>
      <name val="Calibri"/>
      <family val="2"/>
      <scheme val="minor"/>
    </font>
    <font>
      <u/>
      <sz val="7.5"/>
      <color theme="0"/>
      <name val="Arial"/>
      <family val="2"/>
    </font>
    <font>
      <u/>
      <sz val="10"/>
      <color theme="0"/>
      <name val="Arial"/>
      <family val="2"/>
    </font>
    <font>
      <sz val="10"/>
      <color theme="1"/>
      <name val="Arial"/>
      <family val="2"/>
    </font>
    <font>
      <sz val="10"/>
      <color theme="1"/>
      <name val="Times New Roman"/>
      <family val="1"/>
    </font>
    <font>
      <sz val="12"/>
      <color rgb="FF000000"/>
      <name val="Times New Roman"/>
      <family val="1"/>
    </font>
    <font>
      <b/>
      <sz val="14"/>
      <color rgb="FF000000"/>
      <name val="Times New Roman"/>
      <family val="1"/>
    </font>
    <font>
      <sz val="11"/>
      <color rgb="FF000000"/>
      <name val="Calibri"/>
      <family val="2"/>
    </font>
    <font>
      <sz val="9"/>
      <color theme="1"/>
      <name val="Times New Roman"/>
      <family val="1"/>
    </font>
    <font>
      <b/>
      <sz val="9"/>
      <color theme="1"/>
      <name val="Times New Roman"/>
      <family val="1"/>
    </font>
    <font>
      <sz val="10"/>
      <color rgb="FF0000FF"/>
      <name val="Arial"/>
      <family val="2"/>
    </font>
    <font>
      <b/>
      <sz val="10"/>
      <color theme="1"/>
      <name val="Arial"/>
      <family val="2"/>
    </font>
    <font>
      <u/>
      <sz val="9"/>
      <color theme="1"/>
      <name val="Times New Roman"/>
      <family val="1"/>
    </font>
    <font>
      <sz val="8"/>
      <color rgb="FF92D050"/>
      <name val="Geneva"/>
    </font>
    <font>
      <sz val="8"/>
      <color rgb="FF0000FF"/>
      <name val="Geneva"/>
    </font>
    <font>
      <sz val="8"/>
      <color indexed="56"/>
      <name val="Arial"/>
      <family val="2"/>
    </font>
    <font>
      <sz val="10"/>
      <name val="MS Sans Serif"/>
      <family val="2"/>
    </font>
    <font>
      <b/>
      <sz val="10"/>
      <name val="MS Sans Serif"/>
      <family val="2"/>
    </font>
    <font>
      <sz val="12"/>
      <color rgb="FF0000FF"/>
      <name val="Times New Roman"/>
      <family val="1"/>
    </font>
    <font>
      <sz val="9"/>
      <color indexed="81"/>
      <name val="Tahoma"/>
      <family val="2"/>
    </font>
    <font>
      <b/>
      <sz val="9"/>
      <color indexed="81"/>
      <name val="Tahoma"/>
      <family val="2"/>
    </font>
    <font>
      <b/>
      <i/>
      <sz val="10"/>
      <name val="Times New Roman"/>
      <family val="1"/>
    </font>
    <font>
      <i/>
      <sz val="10"/>
      <name val="Times New Roman"/>
      <family val="1"/>
    </font>
    <font>
      <sz val="10"/>
      <color indexed="48"/>
      <name val="Times New Roman"/>
      <family val="1"/>
    </font>
    <font>
      <sz val="9"/>
      <name val="Arial"/>
      <family val="2"/>
    </font>
    <font>
      <u/>
      <sz val="12"/>
      <name val="Times New Roman"/>
      <family val="1"/>
    </font>
    <font>
      <b/>
      <sz val="14"/>
      <name val="Times New Roman"/>
      <family val="1"/>
    </font>
    <font>
      <b/>
      <sz val="11"/>
      <name val="Times New Roman"/>
      <family val="1"/>
    </font>
    <font>
      <sz val="11"/>
      <name val="Arial"/>
      <family val="2"/>
    </font>
    <font>
      <sz val="11"/>
      <name val="Calibri"/>
      <family val="2"/>
      <scheme val="minor"/>
    </font>
    <font>
      <b/>
      <sz val="11"/>
      <name val="Calibri"/>
      <family val="2"/>
      <scheme val="minor"/>
    </font>
    <font>
      <sz val="10"/>
      <color rgb="FFFF0000"/>
      <name val="Arial"/>
      <family val="2"/>
    </font>
    <font>
      <b/>
      <sz val="16"/>
      <name val="Arial"/>
      <family val="2"/>
    </font>
    <font>
      <i/>
      <u/>
      <sz val="10"/>
      <name val="Times New Roman"/>
      <family val="1"/>
    </font>
  </fonts>
  <fills count="1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6"/>
        <bgColor indexed="64"/>
      </patternFill>
    </fill>
    <fill>
      <patternFill patternType="solid">
        <fgColor theme="9" tint="0.79998168889431442"/>
        <bgColor indexed="64"/>
      </patternFill>
    </fill>
    <fill>
      <patternFill patternType="mediumGray">
        <fgColor indexed="22"/>
      </patternFill>
    </fill>
    <fill>
      <patternFill patternType="solid">
        <fgColor indexed="57"/>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double">
        <color indexed="64"/>
      </top>
      <bottom style="thin">
        <color indexed="64"/>
      </bottom>
      <diagonal/>
    </border>
  </borders>
  <cellStyleXfs count="151">
    <xf numFmtId="0" fontId="0" fillId="0" borderId="0"/>
    <xf numFmtId="43"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4" fontId="2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6" fillId="0" borderId="0" applyFont="0" applyFill="0" applyBorder="0" applyAlignment="0" applyProtection="0"/>
    <xf numFmtId="0" fontId="71"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43" fillId="2" borderId="0"/>
    <xf numFmtId="0" fontId="70" fillId="0" borderId="0"/>
    <xf numFmtId="0" fontId="70" fillId="0" borderId="0"/>
    <xf numFmtId="0" fontId="18" fillId="0" borderId="0">
      <alignment readingOrder="1"/>
    </xf>
    <xf numFmtId="0" fontId="70" fillId="0" borderId="0"/>
    <xf numFmtId="0" fontId="18" fillId="0" borderId="0"/>
    <xf numFmtId="0" fontId="18" fillId="0" borderId="0"/>
    <xf numFmtId="0" fontId="18" fillId="0" borderId="0">
      <alignment readingOrder="1"/>
    </xf>
    <xf numFmtId="0" fontId="18" fillId="0" borderId="0"/>
    <xf numFmtId="0" fontId="18" fillId="0" borderId="0">
      <alignment readingOrder="1"/>
    </xf>
    <xf numFmtId="0" fontId="31" fillId="0" borderId="0"/>
    <xf numFmtId="0" fontId="18" fillId="0" borderId="0"/>
    <xf numFmtId="0" fontId="35" fillId="0" borderId="0"/>
    <xf numFmtId="0" fontId="18" fillId="0" borderId="0"/>
    <xf numFmtId="0" fontId="18" fillId="0" borderId="0"/>
    <xf numFmtId="0" fontId="70" fillId="0" borderId="0"/>
    <xf numFmtId="0" fontId="70" fillId="0" borderId="0"/>
    <xf numFmtId="0" fontId="70" fillId="0" borderId="0"/>
    <xf numFmtId="0" fontId="73" fillId="0" borderId="0"/>
    <xf numFmtId="0" fontId="70" fillId="0" borderId="0"/>
    <xf numFmtId="0" fontId="30" fillId="0" borderId="0"/>
    <xf numFmtId="0" fontId="30" fillId="0" borderId="0"/>
    <xf numFmtId="0" fontId="30" fillId="0" borderId="0"/>
    <xf numFmtId="0" fontId="31"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3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0" fontId="11" fillId="0" borderId="0"/>
    <xf numFmtId="43" fontId="60" fillId="0" borderId="0" applyFont="0" applyFill="0" applyBorder="0" applyAlignment="0" applyProtection="0"/>
    <xf numFmtId="44" fontId="18" fillId="0" borderId="0" applyFont="0" applyFill="0" applyBorder="0" applyAlignment="0" applyProtection="0"/>
    <xf numFmtId="44" fontId="60" fillId="0" borderId="0" applyFont="0" applyFill="0" applyBorder="0" applyAlignment="0" applyProtection="0"/>
    <xf numFmtId="44" fontId="37" fillId="0" borderId="0" applyFont="0" applyFill="0" applyBorder="0" applyAlignment="0" applyProtection="0"/>
    <xf numFmtId="44" fontId="18" fillId="0" borderId="0" applyFont="0" applyFill="0" applyBorder="0" applyAlignment="0" applyProtection="0"/>
    <xf numFmtId="0" fontId="37" fillId="0" borderId="0"/>
    <xf numFmtId="9" fontId="33" fillId="0" borderId="0" applyFont="0" applyFill="0" applyBorder="0" applyAlignment="0" applyProtection="0"/>
    <xf numFmtId="9" fontId="37" fillId="0" borderId="0" applyFont="0" applyFill="0" applyBorder="0" applyAlignment="0" applyProtection="0"/>
    <xf numFmtId="38" fontId="85" fillId="0" borderId="0" applyNumberFormat="0" applyFont="0" applyFill="0" applyBorder="0">
      <alignment horizontal="left" indent="4"/>
      <protection locked="0"/>
    </xf>
    <xf numFmtId="0" fontId="86" fillId="0" borderId="0" applyNumberFormat="0" applyFont="0" applyFill="0" applyBorder="0" applyAlignment="0" applyProtection="0">
      <alignment horizontal="left"/>
    </xf>
    <xf numFmtId="15" fontId="86" fillId="0" borderId="0" applyFont="0" applyFill="0" applyBorder="0" applyAlignment="0" applyProtection="0"/>
    <xf numFmtId="4" fontId="86" fillId="0" borderId="0" applyFont="0" applyFill="0" applyBorder="0" applyAlignment="0" applyProtection="0"/>
    <xf numFmtId="0" fontId="87" fillId="0" borderId="13">
      <alignment horizontal="center"/>
    </xf>
    <xf numFmtId="3" fontId="86" fillId="0" borderId="0" applyFont="0" applyFill="0" applyBorder="0" applyAlignment="0" applyProtection="0"/>
    <xf numFmtId="0" fontId="86" fillId="7" borderId="0" applyNumberFormat="0" applyFont="0" applyBorder="0" applyAlignment="0" applyProtection="0"/>
    <xf numFmtId="166" fontId="60" fillId="3" borderId="0" applyFont="0" applyFill="0" applyBorder="0" applyAlignment="0" applyProtection="0">
      <alignment wrapText="1"/>
    </xf>
    <xf numFmtId="0" fontId="18" fillId="8" borderId="0" applyNumberFormat="0" applyFont="0" applyFill="0" applyBorder="0" applyAlignment="0" applyProtection="0"/>
    <xf numFmtId="0" fontId="4" fillId="0" borderId="0"/>
    <xf numFmtId="3" fontId="73" fillId="0" borderId="0"/>
    <xf numFmtId="3" fontId="73" fillId="0" borderId="0"/>
    <xf numFmtId="0" fontId="18" fillId="0" borderId="0"/>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33" fillId="0" borderId="0"/>
    <xf numFmtId="0" fontId="3" fillId="0" borderId="0"/>
    <xf numFmtId="9" fontId="13" fillId="0" borderId="0" applyFont="0" applyFill="0" applyBorder="0" applyAlignment="0" applyProtection="0"/>
    <xf numFmtId="43" fontId="13" fillId="0" borderId="0" applyFont="0" applyFill="0" applyBorder="0" applyAlignment="0" applyProtection="0"/>
    <xf numFmtId="43" fontId="1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 fillId="0" borderId="0"/>
    <xf numFmtId="0" fontId="3" fillId="0" borderId="0"/>
    <xf numFmtId="0" fontId="18" fillId="0" borderId="0">
      <alignment readingOrder="1"/>
    </xf>
    <xf numFmtId="0" fontId="3" fillId="0" borderId="0"/>
    <xf numFmtId="0" fontId="3" fillId="0" borderId="0"/>
    <xf numFmtId="0" fontId="3" fillId="0" borderId="0"/>
    <xf numFmtId="0" fontId="3" fillId="0" borderId="0"/>
    <xf numFmtId="0" fontId="3" fillId="0" borderId="0"/>
    <xf numFmtId="9" fontId="13" fillId="0" borderId="0" applyFont="0" applyFill="0" applyBorder="0" applyAlignment="0" applyProtection="0"/>
    <xf numFmtId="9" fontId="18" fillId="0" borderId="0" applyFont="0" applyFill="0" applyBorder="0" applyAlignment="0" applyProtection="0"/>
    <xf numFmtId="9" fontId="1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18" fillId="0" borderId="0" applyFont="0" applyFill="0" applyBorder="0" applyAlignment="0" applyProtection="0"/>
    <xf numFmtId="0" fontId="2" fillId="0" borderId="0"/>
    <xf numFmtId="0" fontId="2" fillId="0" borderId="0"/>
    <xf numFmtId="0" fontId="2" fillId="0" borderId="0"/>
    <xf numFmtId="43" fontId="18" fillId="0" borderId="0" applyFont="0" applyFill="0" applyBorder="0" applyAlignment="0" applyProtection="0"/>
    <xf numFmtId="0" fontId="2" fillId="0" borderId="0"/>
    <xf numFmtId="0" fontId="2" fillId="0" borderId="0"/>
    <xf numFmtId="0" fontId="2" fillId="0" borderId="0"/>
    <xf numFmtId="0" fontId="2" fillId="0" borderId="0"/>
    <xf numFmtId="43" fontId="18"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18" fillId="0" borderId="0" applyFont="0" applyFill="0" applyBorder="0" applyAlignment="0" applyProtection="0"/>
  </cellStyleXfs>
  <cellXfs count="791">
    <xf numFmtId="0" fontId="0" fillId="0" borderId="0" xfId="0"/>
    <xf numFmtId="10" fontId="0" fillId="0" borderId="0" xfId="42" applyNumberFormat="1" applyFont="1" applyAlignment="1">
      <alignment horizontal="center"/>
    </xf>
    <xf numFmtId="10" fontId="0" fillId="3" borderId="0" xfId="42" applyNumberFormat="1" applyFont="1" applyFill="1" applyAlignment="1">
      <alignment horizontal="center"/>
    </xf>
    <xf numFmtId="3" fontId="0" fillId="0" borderId="0" xfId="0" applyNumberFormat="1"/>
    <xf numFmtId="0" fontId="23" fillId="0" borderId="0" xfId="21" applyFont="1">
      <alignment readingOrder="1"/>
    </xf>
    <xf numFmtId="0" fontId="18" fillId="0" borderId="0" xfId="21">
      <alignment readingOrder="1"/>
    </xf>
    <xf numFmtId="0" fontId="18" fillId="0" borderId="0" xfId="21" applyFont="1">
      <alignment readingOrder="1"/>
    </xf>
    <xf numFmtId="0" fontId="25" fillId="0" borderId="0" xfId="21" applyFont="1">
      <alignment readingOrder="1"/>
    </xf>
    <xf numFmtId="0" fontId="24" fillId="0" borderId="0" xfId="21" applyFont="1">
      <alignment readingOrder="1"/>
    </xf>
    <xf numFmtId="0" fontId="24" fillId="0" borderId="0" xfId="21" quotePrefix="1" applyFont="1">
      <alignment readingOrder="1"/>
    </xf>
    <xf numFmtId="0" fontId="18" fillId="0" borderId="0" xfId="21" applyBorder="1">
      <alignment readingOrder="1"/>
    </xf>
    <xf numFmtId="0" fontId="24" fillId="0" borderId="0" xfId="21" applyFont="1" applyBorder="1">
      <alignment readingOrder="1"/>
    </xf>
    <xf numFmtId="0" fontId="18" fillId="0" borderId="0" xfId="21" applyFont="1" applyBorder="1">
      <alignment readingOrder="1"/>
    </xf>
    <xf numFmtId="0" fontId="18" fillId="0" borderId="0" xfId="0" applyFont="1"/>
    <xf numFmtId="0" fontId="19" fillId="0" borderId="0" xfId="40" applyFont="1"/>
    <xf numFmtId="3" fontId="19" fillId="0" borderId="0" xfId="40" applyNumberFormat="1" applyFont="1" applyFill="1" applyBorder="1"/>
    <xf numFmtId="0" fontId="19" fillId="0" borderId="0" xfId="40" applyFont="1" applyBorder="1"/>
    <xf numFmtId="0" fontId="19" fillId="0" borderId="0" xfId="40" applyNumberFormat="1" applyFont="1" applyAlignment="1">
      <alignment horizontal="center"/>
    </xf>
    <xf numFmtId="0" fontId="18" fillId="0" borderId="0" xfId="23" applyFill="1"/>
    <xf numFmtId="37" fontId="19" fillId="0" borderId="0" xfId="40" applyNumberFormat="1" applyFont="1" applyAlignment="1">
      <alignment horizontal="center"/>
    </xf>
    <xf numFmtId="5" fontId="19" fillId="0" borderId="0" xfId="40" applyNumberFormat="1" applyFont="1"/>
    <xf numFmtId="1" fontId="19" fillId="0" borderId="0" xfId="38" applyNumberFormat="1" applyFont="1" applyAlignment="1">
      <alignment horizontal="center"/>
    </xf>
    <xf numFmtId="37" fontId="19" fillId="0" borderId="0" xfId="40" applyNumberFormat="1" applyFont="1"/>
    <xf numFmtId="37" fontId="19" fillId="0" borderId="0" xfId="40" applyNumberFormat="1" applyFont="1" applyFill="1"/>
    <xf numFmtId="3" fontId="19" fillId="0" borderId="0" xfId="38" applyNumberFormat="1" applyFont="1" applyAlignment="1">
      <alignment horizontal="center"/>
    </xf>
    <xf numFmtId="0" fontId="20" fillId="0" borderId="0" xfId="40" applyFont="1" applyAlignment="1">
      <alignment horizontal="center"/>
    </xf>
    <xf numFmtId="3" fontId="20" fillId="0" borderId="0" xfId="40" applyNumberFormat="1" applyFont="1" applyFill="1" applyBorder="1" applyAlignment="1">
      <alignment horizontal="center"/>
    </xf>
    <xf numFmtId="0" fontId="20" fillId="0" borderId="0" xfId="40" applyFont="1" applyBorder="1" applyAlignment="1">
      <alignment horizontal="center"/>
    </xf>
    <xf numFmtId="0" fontId="20" fillId="0" borderId="0" xfId="40" applyNumberFormat="1" applyFont="1" applyAlignment="1">
      <alignment horizontal="center"/>
    </xf>
    <xf numFmtId="0" fontId="20" fillId="0" borderId="1" xfId="40" applyFont="1" applyBorder="1" applyAlignment="1">
      <alignment horizontal="center"/>
    </xf>
    <xf numFmtId="0" fontId="20" fillId="0" borderId="5" xfId="40" applyFont="1" applyBorder="1" applyAlignment="1">
      <alignment horizontal="center"/>
    </xf>
    <xf numFmtId="0" fontId="20" fillId="0" borderId="4" xfId="40" applyNumberFormat="1" applyFont="1" applyBorder="1" applyAlignment="1">
      <alignment horizontal="center"/>
    </xf>
    <xf numFmtId="0" fontId="20" fillId="0" borderId="7" xfId="40" applyFont="1" applyBorder="1" applyAlignment="1">
      <alignment horizontal="center"/>
    </xf>
    <xf numFmtId="0" fontId="20" fillId="0" borderId="6" xfId="40" applyNumberFormat="1" applyFont="1" applyBorder="1" applyAlignment="1">
      <alignment horizontal="center"/>
    </xf>
    <xf numFmtId="170" fontId="20" fillId="0" borderId="0" xfId="39" applyNumberFormat="1" applyFont="1" applyFill="1" applyBorder="1" applyAlignment="1">
      <alignment horizontal="center"/>
    </xf>
    <xf numFmtId="0" fontId="20" fillId="0" borderId="9" xfId="40" applyFont="1" applyBorder="1" applyAlignment="1">
      <alignment horizontal="center"/>
    </xf>
    <xf numFmtId="0" fontId="20" fillId="0" borderId="10" xfId="40" applyFont="1" applyBorder="1" applyAlignment="1">
      <alignment horizontal="center"/>
    </xf>
    <xf numFmtId="0" fontId="20" fillId="0" borderId="8" xfId="40" applyNumberFormat="1" applyFont="1" applyBorder="1" applyAlignment="1">
      <alignment horizontal="center"/>
    </xf>
    <xf numFmtId="0" fontId="18" fillId="0" borderId="0" xfId="23" applyFont="1" applyFill="1"/>
    <xf numFmtId="0" fontId="19" fillId="0" borderId="0" xfId="40" applyNumberFormat="1" applyFont="1" applyAlignment="1">
      <alignment horizontal="left"/>
    </xf>
    <xf numFmtId="3" fontId="19" fillId="0" borderId="0" xfId="0" applyNumberFormat="1" applyFont="1" applyFill="1"/>
    <xf numFmtId="3" fontId="19" fillId="0" borderId="0" xfId="0" applyNumberFormat="1" applyFont="1" applyFill="1" applyBorder="1"/>
    <xf numFmtId="3" fontId="19" fillId="0" borderId="0" xfId="0" applyNumberFormat="1" applyFont="1" applyFill="1" applyBorder="1" applyAlignment="1">
      <alignment horizontal="center"/>
    </xf>
    <xf numFmtId="10" fontId="19" fillId="0" borderId="0" xfId="42" applyNumberFormat="1" applyFont="1" applyFill="1" applyBorder="1"/>
    <xf numFmtId="37" fontId="19" fillId="0" borderId="0" xfId="0" applyNumberFormat="1" applyFont="1" applyFill="1" applyBorder="1"/>
    <xf numFmtId="166" fontId="19" fillId="0" borderId="0" xfId="1" applyNumberFormat="1" applyFont="1"/>
    <xf numFmtId="10" fontId="19" fillId="0" borderId="0" xfId="42" applyNumberFormat="1" applyFont="1" applyFill="1"/>
    <xf numFmtId="0" fontId="25" fillId="0" borderId="0" xfId="0" applyFont="1"/>
    <xf numFmtId="3" fontId="19" fillId="0" borderId="0" xfId="23" applyNumberFormat="1" applyFont="1"/>
    <xf numFmtId="0" fontId="19" fillId="0" borderId="0" xfId="23" applyFont="1"/>
    <xf numFmtId="0" fontId="19" fillId="0" borderId="0" xfId="23" applyFont="1" applyBorder="1"/>
    <xf numFmtId="172" fontId="19" fillId="0" borderId="0" xfId="23" applyNumberFormat="1" applyFont="1" applyAlignment="1">
      <alignment horizontal="center"/>
    </xf>
    <xf numFmtId="0" fontId="37" fillId="0" borderId="0" xfId="23" applyFont="1" applyFill="1" applyAlignment="1">
      <alignment horizontal="center"/>
    </xf>
    <xf numFmtId="0" fontId="37" fillId="0" borderId="0" xfId="23" applyFont="1" applyFill="1"/>
    <xf numFmtId="0" fontId="19" fillId="0" borderId="0" xfId="23" applyFont="1" applyFill="1" applyBorder="1"/>
    <xf numFmtId="172" fontId="19" fillId="0" borderId="0" xfId="23" applyNumberFormat="1" applyFont="1" applyFill="1" applyAlignment="1">
      <alignment horizontal="center"/>
    </xf>
    <xf numFmtId="3" fontId="19" fillId="0" borderId="0" xfId="23" applyNumberFormat="1" applyFont="1" applyFill="1"/>
    <xf numFmtId="0" fontId="19" fillId="0" borderId="0" xfId="23" applyFont="1" applyFill="1"/>
    <xf numFmtId="3" fontId="37" fillId="0" borderId="0" xfId="23" applyNumberFormat="1" applyFont="1" applyFill="1"/>
    <xf numFmtId="168" fontId="37" fillId="0" borderId="0" xfId="10" applyNumberFormat="1" applyFont="1" applyFill="1"/>
    <xf numFmtId="168" fontId="19" fillId="0" borderId="0" xfId="10" applyNumberFormat="1" applyFont="1" applyFill="1" applyBorder="1"/>
    <xf numFmtId="168" fontId="19" fillId="0" borderId="0" xfId="10" applyNumberFormat="1" applyFont="1" applyFill="1"/>
    <xf numFmtId="168" fontId="19" fillId="0" borderId="0" xfId="23" applyNumberFormat="1" applyFont="1" applyFill="1"/>
    <xf numFmtId="3" fontId="19" fillId="0" borderId="0" xfId="0" applyNumberFormat="1" applyFont="1" applyFill="1" applyAlignment="1">
      <alignment horizontal="center"/>
    </xf>
    <xf numFmtId="0" fontId="18" fillId="0" borderId="0" xfId="23" applyAlignment="1">
      <alignment horizontal="centerContinuous"/>
    </xf>
    <xf numFmtId="0" fontId="21" fillId="0" borderId="0" xfId="23" applyFont="1" applyAlignment="1">
      <alignment horizontal="centerContinuous"/>
    </xf>
    <xf numFmtId="0" fontId="18" fillId="0" borderId="0" xfId="23" applyAlignment="1">
      <alignment horizontal="center"/>
    </xf>
    <xf numFmtId="0" fontId="21" fillId="0" borderId="0" xfId="23" applyFont="1" applyAlignment="1">
      <alignment horizontal="center"/>
    </xf>
    <xf numFmtId="164" fontId="18" fillId="0" borderId="0" xfId="23" applyNumberFormat="1"/>
    <xf numFmtId="3" fontId="18" fillId="0" borderId="0" xfId="23" applyNumberFormat="1"/>
    <xf numFmtId="3" fontId="18" fillId="0" borderId="1" xfId="23" applyNumberFormat="1" applyBorder="1"/>
    <xf numFmtId="3" fontId="18" fillId="0" borderId="0" xfId="23" applyNumberFormat="1" applyBorder="1"/>
    <xf numFmtId="3" fontId="18" fillId="0" borderId="2" xfId="23" applyNumberFormat="1" applyBorder="1"/>
    <xf numFmtId="9" fontId="18" fillId="0" borderId="0" xfId="23" applyNumberFormat="1"/>
    <xf numFmtId="164" fontId="18" fillId="0" borderId="0" xfId="23" applyNumberFormat="1" applyBorder="1"/>
    <xf numFmtId="166" fontId="18" fillId="0" borderId="0" xfId="1" applyNumberFormat="1">
      <alignment readingOrder="1"/>
    </xf>
    <xf numFmtId="172" fontId="19" fillId="0" borderId="0" xfId="1" applyNumberFormat="1" applyFont="1" applyFill="1" applyAlignment="1">
      <alignment horizontal="center"/>
    </xf>
    <xf numFmtId="172" fontId="19" fillId="0" borderId="0" xfId="23" applyNumberFormat="1" applyFont="1"/>
    <xf numFmtId="3" fontId="38" fillId="0" borderId="0" xfId="23" applyNumberFormat="1" applyFont="1" applyFill="1"/>
    <xf numFmtId="168" fontId="38" fillId="0" borderId="0" xfId="10" applyNumberFormat="1" applyFont="1" applyFill="1"/>
    <xf numFmtId="172" fontId="20" fillId="0" borderId="0" xfId="23" applyNumberFormat="1" applyFont="1" applyFill="1" applyAlignment="1">
      <alignment horizontal="center"/>
    </xf>
    <xf numFmtId="168" fontId="20" fillId="0" borderId="0" xfId="10" applyNumberFormat="1" applyFont="1" applyFill="1"/>
    <xf numFmtId="0" fontId="70" fillId="0" borderId="0" xfId="34"/>
    <xf numFmtId="0" fontId="42" fillId="0" borderId="0" xfId="34" applyFont="1"/>
    <xf numFmtId="0" fontId="42" fillId="0" borderId="0" xfId="34" applyFont="1" applyFill="1"/>
    <xf numFmtId="0" fontId="70" fillId="0" borderId="0" xfId="34" applyFill="1"/>
    <xf numFmtId="168" fontId="37" fillId="0" borderId="0" xfId="10" applyNumberFormat="1" applyFont="1" applyFill="1" applyBorder="1"/>
    <xf numFmtId="172" fontId="19" fillId="0" borderId="0" xfId="1" applyNumberFormat="1" applyFont="1" applyFill="1" applyBorder="1" applyAlignment="1">
      <alignment horizontal="center"/>
    </xf>
    <xf numFmtId="9" fontId="19" fillId="0" borderId="0" xfId="42" applyFont="1"/>
    <xf numFmtId="10" fontId="19" fillId="0" borderId="0" xfId="42" applyNumberFormat="1" applyFont="1" applyFill="1" applyBorder="1" applyAlignment="1">
      <alignment horizontal="center"/>
    </xf>
    <xf numFmtId="0" fontId="18" fillId="0" borderId="0" xfId="23" applyBorder="1"/>
    <xf numFmtId="0" fontId="21" fillId="0" borderId="0" xfId="23" applyFont="1" applyBorder="1" applyAlignment="1">
      <alignment horizontal="center"/>
    </xf>
    <xf numFmtId="10" fontId="0" fillId="0" borderId="0" xfId="42" applyNumberFormat="1" applyFont="1" applyBorder="1" applyAlignment="1">
      <alignment horizontal="center"/>
    </xf>
    <xf numFmtId="0" fontId="18" fillId="0" borderId="0" xfId="23" applyFont="1"/>
    <xf numFmtId="2" fontId="20" fillId="0" borderId="0" xfId="40" applyNumberFormat="1" applyFont="1" applyAlignment="1">
      <alignment horizontal="center"/>
    </xf>
    <xf numFmtId="2" fontId="19" fillId="0" borderId="0" xfId="40" applyNumberFormat="1" applyFont="1" applyAlignment="1">
      <alignment horizontal="left"/>
    </xf>
    <xf numFmtId="2" fontId="20" fillId="0" borderId="0" xfId="40" applyNumberFormat="1" applyFont="1" applyFill="1" applyBorder="1" applyAlignment="1">
      <alignment horizontal="center"/>
    </xf>
    <xf numFmtId="2" fontId="20" fillId="0" borderId="0" xfId="14" applyNumberFormat="1" applyFont="1" applyFill="1" applyBorder="1" applyAlignment="1" applyProtection="1">
      <alignment horizontal="center"/>
    </xf>
    <xf numFmtId="2" fontId="20" fillId="0" borderId="0" xfId="40" applyNumberFormat="1" applyFont="1" applyBorder="1" applyAlignment="1">
      <alignment horizontal="center"/>
    </xf>
    <xf numFmtId="37" fontId="19" fillId="0" borderId="0" xfId="40" applyNumberFormat="1" applyFont="1" applyFill="1" applyAlignment="1">
      <alignment horizontal="center"/>
    </xf>
    <xf numFmtId="3" fontId="19" fillId="0" borderId="0" xfId="38" applyNumberFormat="1" applyFont="1" applyFill="1" applyAlignment="1">
      <alignment horizontal="center"/>
    </xf>
    <xf numFmtId="0" fontId="19" fillId="0" borderId="0" xfId="40" applyNumberFormat="1" applyFont="1" applyBorder="1" applyAlignment="1">
      <alignment horizontal="center"/>
    </xf>
    <xf numFmtId="3" fontId="19" fillId="0" borderId="0" xfId="0" applyNumberFormat="1" applyFont="1" applyFill="1" applyAlignment="1">
      <alignment horizontal="left"/>
    </xf>
    <xf numFmtId="0" fontId="19" fillId="0" borderId="12" xfId="23" applyFont="1" applyFill="1" applyBorder="1"/>
    <xf numFmtId="0" fontId="37" fillId="0" borderId="0" xfId="23" applyFont="1" applyFill="1" applyBorder="1"/>
    <xf numFmtId="166" fontId="37" fillId="0" borderId="0" xfId="1" applyNumberFormat="1" applyFont="1" applyFill="1" applyBorder="1"/>
    <xf numFmtId="3" fontId="37" fillId="0" borderId="0" xfId="0" applyNumberFormat="1" applyFont="1" applyFill="1" applyBorder="1"/>
    <xf numFmtId="0" fontId="37" fillId="0" borderId="0" xfId="0" applyFont="1" applyFill="1" applyBorder="1" applyAlignment="1"/>
    <xf numFmtId="172" fontId="19" fillId="0" borderId="0" xfId="23" applyNumberFormat="1" applyFont="1" applyFill="1"/>
    <xf numFmtId="0" fontId="38" fillId="0" borderId="0" xfId="23" applyFont="1" applyFill="1" applyBorder="1"/>
    <xf numFmtId="168" fontId="19" fillId="0" borderId="0" xfId="10" applyNumberFormat="1" applyFont="1" applyFill="1" applyBorder="1" applyAlignment="1">
      <alignment horizontal="center"/>
    </xf>
    <xf numFmtId="165" fontId="37" fillId="0" borderId="0" xfId="23" applyNumberFormat="1" applyFont="1" applyFill="1" applyBorder="1"/>
    <xf numFmtId="172" fontId="19" fillId="0" borderId="0" xfId="23" applyNumberFormat="1" applyFont="1" applyFill="1" applyBorder="1"/>
    <xf numFmtId="0" fontId="36" fillId="0" borderId="0" xfId="23" applyFont="1" applyAlignment="1">
      <alignment horizontal="left"/>
    </xf>
    <xf numFmtId="0" fontId="44" fillId="0" borderId="0" xfId="23" applyFont="1"/>
    <xf numFmtId="0" fontId="36" fillId="0" borderId="0" xfId="23" applyFont="1"/>
    <xf numFmtId="0" fontId="36" fillId="0" borderId="0" xfId="23" applyFont="1" applyAlignment="1">
      <alignment horizontal="center"/>
    </xf>
    <xf numFmtId="0" fontId="36" fillId="0" borderId="1" xfId="23" applyFont="1" applyBorder="1" applyAlignment="1">
      <alignment horizontal="center"/>
    </xf>
    <xf numFmtId="0" fontId="45" fillId="0" borderId="0" xfId="23" applyFont="1" applyAlignment="1"/>
    <xf numFmtId="0" fontId="46" fillId="0" borderId="1" xfId="23" applyFont="1" applyBorder="1"/>
    <xf numFmtId="0" fontId="36" fillId="0" borderId="0" xfId="23" applyFont="1" applyAlignment="1"/>
    <xf numFmtId="0" fontId="36" fillId="0" borderId="1" xfId="23" applyFont="1" applyBorder="1"/>
    <xf numFmtId="0" fontId="36" fillId="0" borderId="0" xfId="23" applyFont="1" applyAlignment="1">
      <alignment horizontal="right"/>
    </xf>
    <xf numFmtId="37" fontId="36" fillId="0" borderId="0" xfId="23" applyNumberFormat="1" applyFont="1"/>
    <xf numFmtId="0" fontId="47" fillId="0" borderId="0" xfId="23" applyFont="1" applyAlignment="1">
      <alignment horizontal="left" indent="1"/>
    </xf>
    <xf numFmtId="37" fontId="36" fillId="0" borderId="1" xfId="23" applyNumberFormat="1" applyFont="1" applyBorder="1"/>
    <xf numFmtId="5" fontId="36" fillId="0" borderId="0" xfId="23" applyNumberFormat="1" applyFont="1"/>
    <xf numFmtId="0" fontId="36" fillId="0" borderId="0" xfId="1" applyNumberFormat="1" applyFont="1"/>
    <xf numFmtId="166" fontId="36" fillId="0" borderId="0" xfId="1" applyNumberFormat="1" applyFont="1"/>
    <xf numFmtId="37" fontId="36" fillId="0" borderId="9" xfId="23" applyNumberFormat="1" applyFont="1" applyBorder="1"/>
    <xf numFmtId="37" fontId="36" fillId="0" borderId="0" xfId="1" applyNumberFormat="1" applyFont="1"/>
    <xf numFmtId="3" fontId="36" fillId="0" borderId="0" xfId="23" applyNumberFormat="1" applyFont="1"/>
    <xf numFmtId="0" fontId="50" fillId="0" borderId="0" xfId="23" applyFont="1" applyAlignment="1">
      <alignment horizontal="left"/>
    </xf>
    <xf numFmtId="0" fontId="50" fillId="0" borderId="0" xfId="23" applyFont="1"/>
    <xf numFmtId="37" fontId="36" fillId="0" borderId="0" xfId="23" applyNumberFormat="1" applyFont="1" applyBorder="1"/>
    <xf numFmtId="166" fontId="36" fillId="0" borderId="0" xfId="1" applyNumberFormat="1" applyFont="1" applyAlignment="1">
      <alignment horizontal="left"/>
    </xf>
    <xf numFmtId="0" fontId="36" fillId="0" borderId="0" xfId="1" applyNumberFormat="1" applyFont="1" applyFill="1"/>
    <xf numFmtId="174" fontId="36" fillId="0" borderId="0" xfId="23" applyNumberFormat="1" applyFont="1"/>
    <xf numFmtId="178" fontId="36" fillId="0" borderId="0" xfId="23" applyNumberFormat="1" applyFont="1" applyAlignment="1">
      <alignment horizontal="center"/>
    </xf>
    <xf numFmtId="0" fontId="36" fillId="0" borderId="0" xfId="23" quotePrefix="1" applyFont="1"/>
    <xf numFmtId="179" fontId="36" fillId="0" borderId="0" xfId="23" applyNumberFormat="1" applyFont="1"/>
    <xf numFmtId="0" fontId="49" fillId="0" borderId="0" xfId="23" applyFont="1"/>
    <xf numFmtId="7" fontId="36" fillId="0" borderId="0" xfId="23" applyNumberFormat="1" applyFont="1"/>
    <xf numFmtId="180" fontId="36" fillId="0" borderId="0" xfId="23" applyNumberFormat="1" applyFont="1"/>
    <xf numFmtId="181" fontId="36" fillId="0" borderId="0" xfId="23" applyNumberFormat="1" applyFont="1"/>
    <xf numFmtId="10" fontId="49" fillId="0" borderId="0" xfId="23" applyNumberFormat="1" applyFont="1"/>
    <xf numFmtId="173" fontId="36" fillId="0" borderId="0" xfId="23" applyNumberFormat="1" applyFont="1"/>
    <xf numFmtId="0" fontId="36" fillId="0" borderId="0" xfId="23" applyFont="1" applyAlignment="1">
      <alignment horizontal="left" indent="1"/>
    </xf>
    <xf numFmtId="37" fontId="36" fillId="0" borderId="0" xfId="23" applyNumberFormat="1" applyFont="1" applyFill="1"/>
    <xf numFmtId="37" fontId="49" fillId="0" borderId="0" xfId="23" applyNumberFormat="1" applyFont="1" applyFill="1"/>
    <xf numFmtId="37" fontId="45" fillId="0" borderId="1" xfId="23" applyNumberFormat="1" applyFont="1" applyBorder="1"/>
    <xf numFmtId="37" fontId="36" fillId="0" borderId="1" xfId="23" applyNumberFormat="1" applyFont="1" applyFill="1" applyBorder="1"/>
    <xf numFmtId="0" fontId="36" fillId="0" borderId="2" xfId="23" applyFont="1" applyBorder="1"/>
    <xf numFmtId="0" fontId="36" fillId="0" borderId="0" xfId="23" applyFont="1" applyFill="1" applyAlignment="1">
      <alignment horizontal="left"/>
    </xf>
    <xf numFmtId="37" fontId="36" fillId="0" borderId="0" xfId="23" applyNumberFormat="1" applyFont="1" applyAlignment="1">
      <alignment horizontal="left" indent="1"/>
    </xf>
    <xf numFmtId="181" fontId="36" fillId="0" borderId="0" xfId="23" applyNumberFormat="1" applyFont="1" applyAlignment="1">
      <alignment horizontal="left" indent="1"/>
    </xf>
    <xf numFmtId="181" fontId="36" fillId="0" borderId="0" xfId="23" applyNumberFormat="1" applyFont="1" applyFill="1"/>
    <xf numFmtId="5" fontId="36" fillId="0" borderId="0" xfId="23" applyNumberFormat="1" applyFont="1" applyAlignment="1">
      <alignment horizontal="left" indent="1"/>
    </xf>
    <xf numFmtId="5" fontId="36" fillId="0" borderId="9" xfId="23" applyNumberFormat="1" applyFont="1" applyBorder="1"/>
    <xf numFmtId="37" fontId="49" fillId="0" borderId="0" xfId="1" applyNumberFormat="1" applyFont="1"/>
    <xf numFmtId="5" fontId="36" fillId="0" borderId="9" xfId="23" applyNumberFormat="1" applyFont="1" applyFill="1" applyBorder="1"/>
    <xf numFmtId="5" fontId="36" fillId="0" borderId="0" xfId="23" applyNumberFormat="1" applyFont="1" applyFill="1"/>
    <xf numFmtId="3" fontId="36" fillId="0" borderId="0" xfId="23" applyNumberFormat="1" applyFont="1" applyAlignment="1">
      <alignment horizontal="left" indent="1"/>
    </xf>
    <xf numFmtId="166" fontId="49" fillId="0" borderId="0" xfId="1" applyNumberFormat="1" applyFont="1" applyFill="1"/>
    <xf numFmtId="166" fontId="48" fillId="0" borderId="0" xfId="1" applyNumberFormat="1" applyFont="1" applyFill="1"/>
    <xf numFmtId="166" fontId="49" fillId="0" borderId="0" xfId="1" applyNumberFormat="1" applyFont="1"/>
    <xf numFmtId="5" fontId="48" fillId="0" borderId="0" xfId="23" applyNumberFormat="1" applyFont="1"/>
    <xf numFmtId="182" fontId="36" fillId="0" borderId="0" xfId="23" applyNumberFormat="1" applyFont="1"/>
    <xf numFmtId="5" fontId="36" fillId="0" borderId="0" xfId="23" applyNumberFormat="1" applyFont="1" applyBorder="1"/>
    <xf numFmtId="5" fontId="45" fillId="0" borderId="9" xfId="23" applyNumberFormat="1" applyFont="1" applyBorder="1"/>
    <xf numFmtId="5" fontId="50" fillId="0" borderId="0" xfId="23" applyNumberFormat="1" applyFont="1"/>
    <xf numFmtId="10" fontId="50" fillId="0" borderId="0" xfId="23" applyNumberFormat="1" applyFont="1"/>
    <xf numFmtId="0" fontId="51" fillId="0" borderId="0" xfId="23" applyFont="1" applyAlignment="1"/>
    <xf numFmtId="10" fontId="36" fillId="0" borderId="0" xfId="23" applyNumberFormat="1" applyFont="1"/>
    <xf numFmtId="7" fontId="18" fillId="0" borderId="0" xfId="23" applyNumberFormat="1"/>
    <xf numFmtId="0" fontId="45" fillId="0" borderId="0" xfId="23" applyFont="1"/>
    <xf numFmtId="0" fontId="36" fillId="0" borderId="9" xfId="23" applyFont="1" applyBorder="1"/>
    <xf numFmtId="0" fontId="36" fillId="0" borderId="0" xfId="23" applyFont="1" applyFill="1"/>
    <xf numFmtId="166" fontId="19" fillId="0" borderId="0" xfId="1" applyNumberFormat="1" applyFont="1" applyFill="1" applyBorder="1" applyAlignment="1">
      <alignment horizontal="center"/>
    </xf>
    <xf numFmtId="166" fontId="19" fillId="0" borderId="0" xfId="1" applyNumberFormat="1" applyFont="1" applyFill="1" applyBorder="1" applyAlignment="1">
      <alignment horizontal="left"/>
    </xf>
    <xf numFmtId="0" fontId="73" fillId="0" borderId="0" xfId="36"/>
    <xf numFmtId="0" fontId="73" fillId="0" borderId="1" xfId="36" applyBorder="1" applyAlignment="1">
      <alignment horizontal="centerContinuous"/>
    </xf>
    <xf numFmtId="0" fontId="73" fillId="0" borderId="0" xfId="36" applyAlignment="1">
      <alignment horizontal="center"/>
    </xf>
    <xf numFmtId="0" fontId="53" fillId="0" borderId="0" xfId="36" applyFont="1" applyAlignment="1">
      <alignment horizontal="center"/>
    </xf>
    <xf numFmtId="0" fontId="53" fillId="0" borderId="0" xfId="36" applyFont="1"/>
    <xf numFmtId="171" fontId="73" fillId="0" borderId="0" xfId="36" applyNumberFormat="1"/>
    <xf numFmtId="3" fontId="73" fillId="0" borderId="0" xfId="36" applyNumberFormat="1"/>
    <xf numFmtId="3" fontId="73" fillId="0" borderId="1" xfId="36" applyNumberFormat="1" applyBorder="1"/>
    <xf numFmtId="3" fontId="73" fillId="0" borderId="2" xfId="36" applyNumberFormat="1" applyBorder="1"/>
    <xf numFmtId="0" fontId="73" fillId="0" borderId="1" xfId="36" applyBorder="1" applyAlignment="1">
      <alignment horizontal="center"/>
    </xf>
    <xf numFmtId="3" fontId="19" fillId="0" borderId="0" xfId="23" applyNumberFormat="1" applyFont="1" applyFill="1" applyBorder="1"/>
    <xf numFmtId="0" fontId="73" fillId="0" borderId="0" xfId="36" applyBorder="1" applyAlignment="1">
      <alignment horizontal="center"/>
    </xf>
    <xf numFmtId="166" fontId="20" fillId="0" borderId="0" xfId="1" applyNumberFormat="1" applyFont="1" applyFill="1" applyBorder="1" applyAlignment="1">
      <alignment horizontal="center"/>
    </xf>
    <xf numFmtId="37" fontId="48" fillId="0" borderId="0" xfId="23" applyNumberFormat="1" applyFont="1"/>
    <xf numFmtId="37" fontId="49" fillId="0" borderId="0" xfId="23" applyNumberFormat="1" applyFont="1"/>
    <xf numFmtId="37" fontId="36" fillId="0" borderId="0" xfId="1" applyNumberFormat="1" applyFont="1" applyAlignment="1"/>
    <xf numFmtId="37" fontId="45" fillId="0" borderId="1" xfId="23" applyNumberFormat="1" applyFont="1" applyFill="1" applyBorder="1"/>
    <xf numFmtId="0" fontId="55" fillId="4" borderId="0" xfId="34" applyFont="1" applyFill="1"/>
    <xf numFmtId="0" fontId="70" fillId="4" borderId="0" xfId="34" applyFill="1"/>
    <xf numFmtId="10" fontId="70" fillId="4" borderId="0" xfId="34" applyNumberFormat="1" applyFill="1"/>
    <xf numFmtId="165" fontId="56" fillId="4" borderId="0" xfId="42" applyNumberFormat="1" applyFont="1" applyFill="1" applyAlignment="1">
      <alignment horizontal="center"/>
    </xf>
    <xf numFmtId="10" fontId="70" fillId="4" borderId="0" xfId="34" applyNumberFormat="1" applyFill="1" applyAlignment="1">
      <alignment horizontal="center"/>
    </xf>
    <xf numFmtId="10" fontId="56" fillId="4" borderId="0" xfId="42" applyNumberFormat="1" applyFont="1" applyFill="1"/>
    <xf numFmtId="0" fontId="70" fillId="4" borderId="0" xfId="34" applyFill="1" applyAlignment="1">
      <alignment horizontal="center"/>
    </xf>
    <xf numFmtId="10" fontId="56" fillId="4" borderId="0" xfId="42" applyNumberFormat="1" applyFont="1" applyFill="1" applyAlignment="1">
      <alignment horizontal="center"/>
    </xf>
    <xf numFmtId="0" fontId="15" fillId="4" borderId="1" xfId="34" applyFont="1" applyFill="1" applyBorder="1"/>
    <xf numFmtId="0" fontId="15" fillId="4" borderId="1" xfId="34" applyFont="1" applyFill="1" applyBorder="1" applyAlignment="1">
      <alignment horizontal="center"/>
    </xf>
    <xf numFmtId="165" fontId="70" fillId="0" borderId="0" xfId="34" applyNumberFormat="1"/>
    <xf numFmtId="10" fontId="55" fillId="4" borderId="0" xfId="42" applyNumberFormat="1" applyFont="1" applyFill="1"/>
    <xf numFmtId="166" fontId="19" fillId="0" borderId="0" xfId="1" applyNumberFormat="1" applyFont="1" applyFill="1"/>
    <xf numFmtId="0" fontId="70" fillId="0" borderId="0" xfId="19"/>
    <xf numFmtId="0" fontId="14" fillId="0" borderId="0" xfId="34" applyFont="1"/>
    <xf numFmtId="166" fontId="57" fillId="0" borderId="0" xfId="1" applyNumberFormat="1" applyFont="1"/>
    <xf numFmtId="0" fontId="70" fillId="0" borderId="0" xfId="34" applyAlignment="1">
      <alignment horizontal="center"/>
    </xf>
    <xf numFmtId="10" fontId="57" fillId="0" borderId="0" xfId="42" applyNumberFormat="1" applyFont="1"/>
    <xf numFmtId="10" fontId="70" fillId="0" borderId="0" xfId="34" applyNumberFormat="1"/>
    <xf numFmtId="3" fontId="37" fillId="0" borderId="0" xfId="23" applyNumberFormat="1" applyFont="1" applyFill="1" applyBorder="1" applyAlignment="1">
      <alignment horizontal="center"/>
    </xf>
    <xf numFmtId="0" fontId="20" fillId="0" borderId="0" xfId="1" applyNumberFormat="1" applyFont="1" applyFill="1" applyBorder="1" applyAlignment="1">
      <alignment horizontal="center"/>
    </xf>
    <xf numFmtId="164" fontId="19" fillId="0" borderId="0" xfId="0" applyNumberFormat="1" applyFont="1" applyFill="1"/>
    <xf numFmtId="37" fontId="19" fillId="0" borderId="0" xfId="0" applyNumberFormat="1" applyFont="1" applyFill="1" applyBorder="1" applyProtection="1">
      <protection locked="0"/>
    </xf>
    <xf numFmtId="5" fontId="19" fillId="0" borderId="0" xfId="0" applyNumberFormat="1" applyFont="1" applyFill="1" applyBorder="1" applyProtection="1">
      <protection locked="0"/>
    </xf>
    <xf numFmtId="37" fontId="19" fillId="0" borderId="0" xfId="0" applyNumberFormat="1" applyFont="1" applyFill="1" applyBorder="1" applyAlignment="1" applyProtection="1">
      <alignment horizontal="center"/>
      <protection locked="0"/>
    </xf>
    <xf numFmtId="172" fontId="37" fillId="0" borderId="0" xfId="23" applyNumberFormat="1" applyFont="1" applyFill="1" applyAlignment="1">
      <alignment horizontal="center"/>
    </xf>
    <xf numFmtId="3" fontId="33" fillId="0" borderId="0" xfId="23" applyNumberFormat="1" applyFont="1" applyFill="1" applyAlignment="1">
      <alignment horizontal="center"/>
    </xf>
    <xf numFmtId="0" fontId="33" fillId="0" borderId="0" xfId="23" applyFont="1" applyFill="1" applyAlignment="1">
      <alignment horizontal="center"/>
    </xf>
    <xf numFmtId="3" fontId="33" fillId="0" borderId="0" xfId="23" applyNumberFormat="1" applyFont="1" applyFill="1" applyBorder="1"/>
    <xf numFmtId="3" fontId="33" fillId="0" borderId="0" xfId="23" applyNumberFormat="1" applyFont="1" applyFill="1" applyAlignment="1">
      <alignment wrapText="1"/>
    </xf>
    <xf numFmtId="172" fontId="33" fillId="0" borderId="0" xfId="23" applyNumberFormat="1" applyFont="1" applyFill="1" applyAlignment="1">
      <alignment horizontal="center"/>
    </xf>
    <xf numFmtId="0" fontId="33" fillId="0" borderId="0" xfId="23" applyFont="1" applyFill="1"/>
    <xf numFmtId="3" fontId="33" fillId="0" borderId="0" xfId="23" applyNumberFormat="1" applyFont="1" applyFill="1"/>
    <xf numFmtId="0" fontId="33" fillId="0" borderId="12" xfId="23" applyFont="1" applyFill="1" applyBorder="1"/>
    <xf numFmtId="3" fontId="33" fillId="0" borderId="14" xfId="0" applyNumberFormat="1" applyFont="1" applyFill="1" applyBorder="1"/>
    <xf numFmtId="3" fontId="33" fillId="0" borderId="0" xfId="0" applyNumberFormat="1" applyFont="1" applyFill="1" applyBorder="1"/>
    <xf numFmtId="0" fontId="73" fillId="0" borderId="0" xfId="36" applyFill="1"/>
    <xf numFmtId="166" fontId="62" fillId="0" borderId="0" xfId="1" applyNumberFormat="1" applyFont="1" applyFill="1"/>
    <xf numFmtId="0" fontId="38" fillId="0" borderId="15" xfId="19" applyFont="1" applyFill="1" applyBorder="1" applyAlignment="1">
      <alignment horizontal="left"/>
    </xf>
    <xf numFmtId="0" fontId="38" fillId="0" borderId="16" xfId="19" applyFont="1" applyFill="1" applyBorder="1" applyAlignment="1">
      <alignment horizontal="center"/>
    </xf>
    <xf numFmtId="0" fontId="38" fillId="0" borderId="17" xfId="19" applyFont="1" applyFill="1" applyBorder="1" applyAlignment="1">
      <alignment horizontal="center"/>
    </xf>
    <xf numFmtId="37" fontId="37" fillId="0" borderId="14" xfId="40" applyNumberFormat="1" applyFont="1" applyFill="1" applyBorder="1"/>
    <xf numFmtId="37" fontId="37" fillId="0" borderId="0" xfId="40" applyNumberFormat="1" applyFont="1" applyFill="1" applyBorder="1"/>
    <xf numFmtId="0" fontId="38" fillId="0" borderId="0" xfId="19" applyFont="1" applyFill="1" applyBorder="1" applyAlignment="1">
      <alignment horizontal="center"/>
    </xf>
    <xf numFmtId="37" fontId="41" fillId="0" borderId="0" xfId="40" applyNumberFormat="1" applyFont="1" applyFill="1" applyBorder="1"/>
    <xf numFmtId="37" fontId="37" fillId="0" borderId="18" xfId="40" applyNumberFormat="1" applyFont="1" applyFill="1" applyBorder="1"/>
    <xf numFmtId="0" fontId="37" fillId="0" borderId="0" xfId="19" applyFont="1" applyFill="1" applyBorder="1"/>
    <xf numFmtId="0" fontId="38" fillId="0" borderId="1" xfId="19" applyFont="1" applyFill="1" applyBorder="1" applyAlignment="1">
      <alignment horizontal="center"/>
    </xf>
    <xf numFmtId="0" fontId="37" fillId="0" borderId="18" xfId="19" applyFont="1" applyFill="1" applyBorder="1"/>
    <xf numFmtId="5" fontId="37" fillId="0" borderId="0" xfId="19" applyNumberFormat="1" applyFont="1" applyFill="1" applyBorder="1"/>
    <xf numFmtId="10" fontId="37" fillId="0" borderId="0" xfId="49" applyNumberFormat="1" applyFont="1" applyFill="1" applyBorder="1"/>
    <xf numFmtId="10" fontId="41" fillId="0" borderId="0" xfId="49" applyNumberFormat="1" applyFont="1" applyFill="1" applyBorder="1"/>
    <xf numFmtId="166" fontId="37" fillId="0" borderId="0" xfId="9" applyNumberFormat="1" applyFont="1" applyFill="1" applyBorder="1"/>
    <xf numFmtId="10" fontId="38" fillId="0" borderId="18" xfId="49" applyNumberFormat="1" applyFont="1" applyFill="1" applyBorder="1" applyAlignment="1">
      <alignment horizontal="center"/>
    </xf>
    <xf numFmtId="169" fontId="37" fillId="0" borderId="0" xfId="49" applyNumberFormat="1" applyFont="1" applyFill="1" applyBorder="1"/>
    <xf numFmtId="169" fontId="41" fillId="0" borderId="0" xfId="49" applyNumberFormat="1" applyFont="1" applyFill="1" applyBorder="1"/>
    <xf numFmtId="10" fontId="37" fillId="0" borderId="11" xfId="49" applyNumberFormat="1" applyFont="1" applyFill="1" applyBorder="1"/>
    <xf numFmtId="37" fontId="37" fillId="0" borderId="19" xfId="40" applyNumberFormat="1" applyFont="1" applyFill="1" applyBorder="1"/>
    <xf numFmtId="0" fontId="37" fillId="0" borderId="13" xfId="19" applyFont="1" applyFill="1" applyBorder="1"/>
    <xf numFmtId="166" fontId="37" fillId="0" borderId="13" xfId="9" applyNumberFormat="1" applyFont="1" applyFill="1" applyBorder="1"/>
    <xf numFmtId="10" fontId="37" fillId="0" borderId="13" xfId="49" applyNumberFormat="1" applyFont="1" applyFill="1" applyBorder="1"/>
    <xf numFmtId="10" fontId="41" fillId="0" borderId="13" xfId="49" applyNumberFormat="1" applyFont="1" applyFill="1" applyBorder="1"/>
    <xf numFmtId="37" fontId="37" fillId="0" borderId="20" xfId="40" applyNumberFormat="1" applyFont="1" applyFill="1" applyBorder="1"/>
    <xf numFmtId="37" fontId="38" fillId="0" borderId="18" xfId="40" applyNumberFormat="1" applyFont="1" applyFill="1" applyBorder="1" applyAlignment="1">
      <alignment horizontal="center"/>
    </xf>
    <xf numFmtId="0" fontId="0" fillId="0" borderId="0" xfId="0" applyFill="1"/>
    <xf numFmtId="10" fontId="0" fillId="0" borderId="0" xfId="42" applyNumberFormat="1" applyFont="1" applyFill="1" applyAlignment="1">
      <alignment horizontal="center"/>
    </xf>
    <xf numFmtId="166" fontId="0" fillId="0" borderId="0" xfId="1" applyNumberFormat="1" applyFont="1" applyFill="1"/>
    <xf numFmtId="9" fontId="0" fillId="0" borderId="0" xfId="42" applyFont="1" applyFill="1"/>
    <xf numFmtId="0" fontId="19" fillId="5" borderId="0" xfId="23" applyFont="1" applyFill="1" applyBorder="1"/>
    <xf numFmtId="3" fontId="19" fillId="5" borderId="0" xfId="0" applyNumberFormat="1" applyFont="1" applyFill="1" applyBorder="1"/>
    <xf numFmtId="0" fontId="19" fillId="5" borderId="0" xfId="23" applyFont="1" applyFill="1"/>
    <xf numFmtId="3" fontId="19" fillId="5" borderId="0" xfId="23" applyNumberFormat="1" applyFont="1" applyFill="1"/>
    <xf numFmtId="166" fontId="19" fillId="5" borderId="0" xfId="1" applyNumberFormat="1" applyFont="1" applyFill="1"/>
    <xf numFmtId="172" fontId="19" fillId="5" borderId="0" xfId="23" applyNumberFormat="1" applyFont="1" applyFill="1" applyAlignment="1">
      <alignment horizontal="center"/>
    </xf>
    <xf numFmtId="0" fontId="60" fillId="0" borderId="0" xfId="0" applyFont="1" applyFill="1"/>
    <xf numFmtId="0" fontId="60" fillId="0" borderId="0" xfId="0" applyFont="1" applyFill="1" applyBorder="1"/>
    <xf numFmtId="168" fontId="33" fillId="0" borderId="0" xfId="10" applyNumberFormat="1" applyFont="1" applyFill="1" applyBorder="1"/>
    <xf numFmtId="168" fontId="33" fillId="0" borderId="0" xfId="10" applyNumberFormat="1" applyFont="1" applyFill="1" applyAlignment="1">
      <alignment horizontal="center"/>
    </xf>
    <xf numFmtId="175" fontId="33" fillId="0" borderId="0" xfId="1" applyNumberFormat="1" applyFont="1" applyFill="1" applyAlignment="1">
      <alignment horizontal="center"/>
    </xf>
    <xf numFmtId="10" fontId="33" fillId="0" borderId="0" xfId="42" applyNumberFormat="1" applyFont="1" applyFill="1" applyAlignment="1">
      <alignment horizontal="center"/>
    </xf>
    <xf numFmtId="168" fontId="33" fillId="0" borderId="0" xfId="10" applyNumberFormat="1" applyFont="1" applyFill="1"/>
    <xf numFmtId="168" fontId="33" fillId="0" borderId="1" xfId="10" applyNumberFormat="1" applyFont="1" applyFill="1" applyBorder="1"/>
    <xf numFmtId="168" fontId="33" fillId="0" borderId="1" xfId="10" applyNumberFormat="1" applyFont="1" applyFill="1" applyBorder="1" applyAlignment="1">
      <alignment horizontal="center"/>
    </xf>
    <xf numFmtId="175" fontId="33" fillId="0" borderId="1" xfId="1" applyNumberFormat="1" applyFont="1" applyFill="1" applyBorder="1" applyAlignment="1">
      <alignment horizontal="center"/>
    </xf>
    <xf numFmtId="10" fontId="33" fillId="0" borderId="1" xfId="42" applyNumberFormat="1" applyFont="1" applyFill="1" applyBorder="1" applyAlignment="1">
      <alignment horizontal="center"/>
    </xf>
    <xf numFmtId="166" fontId="33" fillId="0" borderId="0" xfId="1" applyNumberFormat="1" applyFont="1" applyFill="1" applyAlignment="1">
      <alignment horizontal="center"/>
    </xf>
    <xf numFmtId="165" fontId="33" fillId="0" borderId="0" xfId="42" applyNumberFormat="1" applyFont="1" applyFill="1" applyAlignment="1">
      <alignment horizontal="center"/>
    </xf>
    <xf numFmtId="10" fontId="33" fillId="0" borderId="0" xfId="42" applyNumberFormat="1" applyFont="1" applyFill="1" applyBorder="1" applyAlignment="1">
      <alignment horizontal="center"/>
    </xf>
    <xf numFmtId="166" fontId="33" fillId="0" borderId="0" xfId="1" applyNumberFormat="1" applyFont="1" applyFill="1" applyBorder="1"/>
    <xf numFmtId="44" fontId="33" fillId="0" borderId="1" xfId="10" applyNumberFormat="1" applyFont="1" applyFill="1" applyBorder="1"/>
    <xf numFmtId="168" fontId="33" fillId="0" borderId="0" xfId="23" applyNumberFormat="1" applyFont="1" applyFill="1" applyBorder="1"/>
    <xf numFmtId="0" fontId="33" fillId="0" borderId="0" xfId="23" applyFont="1" applyFill="1" applyBorder="1"/>
    <xf numFmtId="168" fontId="33" fillId="0" borderId="0" xfId="42" applyNumberFormat="1" applyFont="1" applyFill="1"/>
    <xf numFmtId="166" fontId="33" fillId="0" borderId="0" xfId="1" applyNumberFormat="1" applyFont="1" applyFill="1"/>
    <xf numFmtId="168" fontId="33" fillId="0" borderId="0" xfId="11" applyNumberFormat="1" applyFont="1" applyFill="1"/>
    <xf numFmtId="168" fontId="33" fillId="0" borderId="0" xfId="11" applyNumberFormat="1" applyFont="1" applyFill="1" applyBorder="1"/>
    <xf numFmtId="9" fontId="33" fillId="0" borderId="0" xfId="42" applyFont="1" applyFill="1"/>
    <xf numFmtId="168" fontId="33" fillId="0" borderId="0" xfId="10" applyNumberFormat="1" applyFont="1" applyFill="1" applyBorder="1" applyAlignment="1">
      <alignment horizontal="center"/>
    </xf>
    <xf numFmtId="168" fontId="33" fillId="0" borderId="0" xfId="42" applyNumberFormat="1" applyFont="1" applyFill="1" applyBorder="1" applyAlignment="1">
      <alignment horizontal="center"/>
    </xf>
    <xf numFmtId="168" fontId="33" fillId="0" borderId="0" xfId="42" applyNumberFormat="1" applyFont="1" applyFill="1" applyAlignment="1">
      <alignment horizontal="center"/>
    </xf>
    <xf numFmtId="10" fontId="33" fillId="0" borderId="0" xfId="42" applyNumberFormat="1" applyFont="1" applyFill="1" applyBorder="1"/>
    <xf numFmtId="10" fontId="33" fillId="0" borderId="0" xfId="42" applyNumberFormat="1" applyFont="1" applyFill="1"/>
    <xf numFmtId="168" fontId="33" fillId="0" borderId="0" xfId="23" applyNumberFormat="1" applyFont="1" applyFill="1"/>
    <xf numFmtId="168" fontId="33" fillId="0" borderId="12" xfId="23" applyNumberFormat="1" applyFont="1" applyFill="1" applyBorder="1"/>
    <xf numFmtId="166" fontId="33" fillId="0" borderId="12" xfId="1" applyNumberFormat="1" applyFont="1" applyFill="1" applyBorder="1"/>
    <xf numFmtId="172" fontId="33" fillId="0" borderId="12" xfId="23" applyNumberFormat="1" applyFont="1" applyFill="1" applyBorder="1" applyAlignment="1">
      <alignment horizontal="center"/>
    </xf>
    <xf numFmtId="3" fontId="33" fillId="0" borderId="12" xfId="23" applyNumberFormat="1" applyFont="1" applyFill="1" applyBorder="1"/>
    <xf numFmtId="168" fontId="33" fillId="0" borderId="12" xfId="10" applyNumberFormat="1" applyFont="1" applyFill="1" applyBorder="1"/>
    <xf numFmtId="0" fontId="33" fillId="0" borderId="21" xfId="23" applyFont="1" applyFill="1" applyBorder="1"/>
    <xf numFmtId="172" fontId="33" fillId="0" borderId="0" xfId="23" applyNumberFormat="1" applyFont="1" applyFill="1" applyBorder="1" applyAlignment="1">
      <alignment horizontal="center"/>
    </xf>
    <xf numFmtId="172" fontId="33" fillId="0" borderId="0" xfId="23" applyNumberFormat="1" applyFont="1" applyFill="1" applyBorder="1"/>
    <xf numFmtId="10" fontId="33" fillId="0" borderId="18" xfId="42" applyNumberFormat="1" applyFont="1" applyFill="1" applyBorder="1" applyAlignment="1">
      <alignment horizontal="center"/>
    </xf>
    <xf numFmtId="3" fontId="33" fillId="0" borderId="0" xfId="42" applyNumberFormat="1" applyFont="1" applyFill="1" applyBorder="1" applyAlignment="1">
      <alignment horizontal="center"/>
    </xf>
    <xf numFmtId="3" fontId="61" fillId="0" borderId="0" xfId="0" applyNumberFormat="1" applyFont="1" applyFill="1" applyBorder="1" applyAlignment="1"/>
    <xf numFmtId="0" fontId="33" fillId="0" borderId="0" xfId="0" applyFont="1" applyFill="1" applyBorder="1" applyAlignment="1">
      <alignment horizontal="center"/>
    </xf>
    <xf numFmtId="165" fontId="33" fillId="0" borderId="0" xfId="42" applyNumberFormat="1" applyFont="1" applyFill="1" applyBorder="1" applyAlignment="1">
      <alignment horizontal="center"/>
    </xf>
    <xf numFmtId="0" fontId="33" fillId="0" borderId="18" xfId="0" applyFont="1" applyFill="1" applyBorder="1" applyAlignment="1">
      <alignment horizontal="center"/>
    </xf>
    <xf numFmtId="3" fontId="33" fillId="0" borderId="0" xfId="0" applyNumberFormat="1" applyFont="1" applyFill="1" applyBorder="1" applyAlignment="1"/>
    <xf numFmtId="173" fontId="33" fillId="0" borderId="0" xfId="42" applyNumberFormat="1" applyFont="1" applyFill="1" applyBorder="1" applyAlignment="1">
      <alignment horizontal="center"/>
    </xf>
    <xf numFmtId="168" fontId="43" fillId="0" borderId="0" xfId="10" applyNumberFormat="1" applyFont="1" applyFill="1" applyBorder="1"/>
    <xf numFmtId="176" fontId="33" fillId="0" borderId="0" xfId="42" applyNumberFormat="1" applyFont="1" applyFill="1" applyBorder="1" applyAlignment="1">
      <alignment horizontal="center"/>
    </xf>
    <xf numFmtId="3" fontId="33" fillId="0" borderId="22" xfId="23" applyNumberFormat="1" applyFont="1" applyFill="1" applyBorder="1"/>
    <xf numFmtId="3" fontId="33" fillId="0" borderId="19" xfId="0" applyNumberFormat="1" applyFont="1" applyFill="1" applyBorder="1"/>
    <xf numFmtId="0" fontId="19" fillId="0" borderId="0" xfId="23" applyFont="1" applyFill="1" applyAlignment="1">
      <alignment horizontal="center" wrapText="1"/>
    </xf>
    <xf numFmtId="0" fontId="64" fillId="0" borderId="0" xfId="34" applyFont="1"/>
    <xf numFmtId="0" fontId="64" fillId="0" borderId="0" xfId="34" applyFont="1" applyFill="1" applyBorder="1" applyAlignment="1">
      <alignment horizontal="center"/>
    </xf>
    <xf numFmtId="0" fontId="64" fillId="0" borderId="0" xfId="34" applyFont="1" applyFill="1" applyAlignment="1">
      <alignment horizontal="center"/>
    </xf>
    <xf numFmtId="0" fontId="64" fillId="0" borderId="0" xfId="34" applyFont="1" applyFill="1"/>
    <xf numFmtId="0" fontId="64" fillId="0" borderId="0" xfId="34" applyFont="1" applyBorder="1"/>
    <xf numFmtId="0" fontId="64" fillId="0" borderId="0" xfId="34" applyFont="1" applyFill="1" applyBorder="1"/>
    <xf numFmtId="0" fontId="65" fillId="0" borderId="0" xfId="34" applyFont="1" applyFill="1"/>
    <xf numFmtId="0" fontId="64" fillId="0" borderId="1" xfId="34" applyFont="1" applyBorder="1"/>
    <xf numFmtId="0" fontId="64" fillId="0" borderId="1" xfId="34" applyFont="1" applyFill="1" applyBorder="1" applyAlignment="1">
      <alignment horizontal="center"/>
    </xf>
    <xf numFmtId="0" fontId="64" fillId="0" borderId="1" xfId="34" applyFont="1" applyFill="1" applyBorder="1"/>
    <xf numFmtId="0" fontId="37" fillId="0" borderId="0" xfId="31" applyFont="1" applyAlignment="1">
      <alignment horizontal="left"/>
    </xf>
    <xf numFmtId="0" fontId="37" fillId="0" borderId="0" xfId="31" applyFont="1" applyBorder="1" applyAlignment="1">
      <alignment horizontal="left"/>
    </xf>
    <xf numFmtId="166" fontId="37" fillId="0" borderId="0" xfId="6" applyNumberFormat="1" applyFont="1" applyFill="1"/>
    <xf numFmtId="10" fontId="66" fillId="0" borderId="0" xfId="42" applyNumberFormat="1" applyFont="1" applyFill="1" applyAlignment="1">
      <alignment horizontal="center"/>
    </xf>
    <xf numFmtId="10" fontId="64" fillId="0" borderId="0" xfId="42" applyNumberFormat="1" applyFont="1" applyFill="1" applyAlignment="1">
      <alignment horizontal="center"/>
    </xf>
    <xf numFmtId="10" fontId="64" fillId="0" borderId="0" xfId="42" applyNumberFormat="1" applyFont="1" applyFill="1" applyBorder="1" applyAlignment="1">
      <alignment horizontal="center"/>
    </xf>
    <xf numFmtId="0" fontId="37" fillId="0" borderId="1" xfId="31" applyFont="1" applyBorder="1" applyAlignment="1">
      <alignment horizontal="left"/>
    </xf>
    <xf numFmtId="166" fontId="37" fillId="0" borderId="1" xfId="6" applyNumberFormat="1" applyFont="1" applyFill="1" applyBorder="1"/>
    <xf numFmtId="10" fontId="64" fillId="0" borderId="1" xfId="42" applyNumberFormat="1" applyFont="1" applyFill="1" applyBorder="1" applyAlignment="1">
      <alignment horizontal="center"/>
    </xf>
    <xf numFmtId="43" fontId="64" fillId="0" borderId="0" xfId="1" applyFont="1" applyFill="1"/>
    <xf numFmtId="43" fontId="67" fillId="0" borderId="0" xfId="1" applyFont="1" applyFill="1"/>
    <xf numFmtId="10" fontId="64" fillId="0" borderId="0" xfId="42" applyNumberFormat="1" applyFont="1" applyFill="1"/>
    <xf numFmtId="0" fontId="37" fillId="0" borderId="3" xfId="31" applyFont="1" applyBorder="1" applyAlignment="1">
      <alignment horizontal="left"/>
    </xf>
    <xf numFmtId="43" fontId="67" fillId="0" borderId="3" xfId="1" applyFont="1" applyFill="1" applyBorder="1"/>
    <xf numFmtId="10" fontId="64" fillId="0" borderId="3" xfId="42" applyNumberFormat="1" applyFont="1" applyFill="1" applyBorder="1"/>
    <xf numFmtId="10" fontId="64" fillId="0" borderId="3" xfId="42" applyNumberFormat="1" applyFont="1" applyFill="1" applyBorder="1" applyAlignment="1">
      <alignment horizontal="center"/>
    </xf>
    <xf numFmtId="166" fontId="67" fillId="0" borderId="0" xfId="6" applyNumberFormat="1" applyFont="1" applyFill="1"/>
    <xf numFmtId="10" fontId="64" fillId="0" borderId="0" xfId="34" applyNumberFormat="1" applyFont="1" applyFill="1" applyAlignment="1">
      <alignment horizontal="center"/>
    </xf>
    <xf numFmtId="166" fontId="64" fillId="0" borderId="0" xfId="1" applyNumberFormat="1" applyFont="1" applyFill="1"/>
    <xf numFmtId="0" fontId="65" fillId="0" borderId="0" xfId="34" applyFont="1"/>
    <xf numFmtId="0" fontId="18" fillId="0" borderId="0" xfId="21" applyFill="1">
      <alignment readingOrder="1"/>
    </xf>
    <xf numFmtId="0" fontId="25" fillId="0" borderId="0" xfId="21" applyFont="1" applyFill="1">
      <alignment readingOrder="1"/>
    </xf>
    <xf numFmtId="3" fontId="18" fillId="0" borderId="0" xfId="21" applyNumberFormat="1" applyFill="1">
      <alignment readingOrder="1"/>
    </xf>
    <xf numFmtId="3" fontId="18" fillId="0" borderId="0" xfId="21" applyNumberFormat="1" applyFill="1" applyBorder="1">
      <alignment readingOrder="1"/>
    </xf>
    <xf numFmtId="167" fontId="18" fillId="0" borderId="0" xfId="21" applyNumberFormat="1" applyFill="1">
      <alignment readingOrder="1"/>
    </xf>
    <xf numFmtId="167" fontId="24" fillId="0" borderId="0" xfId="21" applyNumberFormat="1" applyFont="1" applyFill="1">
      <alignment readingOrder="1"/>
    </xf>
    <xf numFmtId="3" fontId="33" fillId="0" borderId="0" xfId="23" applyNumberFormat="1" applyFont="1" applyFill="1" applyBorder="1" applyAlignment="1">
      <alignment horizontal="center"/>
    </xf>
    <xf numFmtId="3" fontId="37" fillId="0" borderId="0" xfId="23" applyNumberFormat="1" applyFont="1" applyFill="1" applyBorder="1"/>
    <xf numFmtId="3" fontId="33" fillId="0" borderId="0" xfId="23" applyNumberFormat="1" applyFont="1" applyFill="1" applyBorder="1" applyAlignment="1">
      <alignment horizontal="center" vertical="center" wrapText="1"/>
    </xf>
    <xf numFmtId="3" fontId="33" fillId="0" borderId="0" xfId="23" applyNumberFormat="1" applyFont="1" applyFill="1" applyBorder="1" applyAlignment="1">
      <alignment horizontal="center" wrapText="1"/>
    </xf>
    <xf numFmtId="166" fontId="33" fillId="0" borderId="0" xfId="1" applyNumberFormat="1" applyFont="1" applyFill="1" applyBorder="1" applyAlignment="1">
      <alignment horizontal="center" wrapText="1"/>
    </xf>
    <xf numFmtId="0" fontId="33" fillId="0" borderId="0" xfId="23" applyFont="1" applyFill="1" applyBorder="1" applyAlignment="1">
      <alignment horizontal="center"/>
    </xf>
    <xf numFmtId="0" fontId="74" fillId="0" borderId="0" xfId="34" applyFont="1" applyAlignment="1">
      <alignment horizontal="center"/>
    </xf>
    <xf numFmtId="0" fontId="75" fillId="0" borderId="0" xfId="0" applyFont="1"/>
    <xf numFmtId="0" fontId="76" fillId="0" borderId="0" xfId="0" applyFont="1"/>
    <xf numFmtId="0" fontId="77" fillId="0" borderId="0" xfId="0" applyFont="1"/>
    <xf numFmtId="3" fontId="20" fillId="0" borderId="0" xfId="23" applyNumberFormat="1" applyFont="1" applyFill="1"/>
    <xf numFmtId="168" fontId="33" fillId="0" borderId="0" xfId="11" applyNumberFormat="1" applyFont="1" applyFill="1" applyAlignment="1">
      <alignment horizontal="center"/>
    </xf>
    <xf numFmtId="183" fontId="33" fillId="0" borderId="18" xfId="23" applyNumberFormat="1" applyFont="1" applyFill="1" applyBorder="1" applyAlignment="1">
      <alignment horizontal="center"/>
    </xf>
    <xf numFmtId="0" fontId="73" fillId="0" borderId="0" xfId="36" applyAlignment="1">
      <alignment horizontal="center"/>
    </xf>
    <xf numFmtId="0" fontId="18" fillId="0" borderId="0" xfId="23" applyFill="1" applyAlignment="1">
      <alignment horizontal="center"/>
    </xf>
    <xf numFmtId="164" fontId="18" fillId="0" borderId="0" xfId="23" applyNumberFormat="1" applyFill="1"/>
    <xf numFmtId="3" fontId="18" fillId="0" borderId="0" xfId="23" applyNumberFormat="1" applyFill="1"/>
    <xf numFmtId="3" fontId="18" fillId="0" borderId="1" xfId="23" applyNumberFormat="1" applyFill="1" applyBorder="1"/>
    <xf numFmtId="3" fontId="18" fillId="0" borderId="2" xfId="23" applyNumberFormat="1" applyFill="1" applyBorder="1"/>
    <xf numFmtId="3" fontId="19" fillId="0" borderId="0" xfId="0" applyNumberFormat="1" applyFont="1" applyFill="1" applyAlignment="1">
      <alignment horizontal="right"/>
    </xf>
    <xf numFmtId="37" fontId="0" fillId="0" borderId="0" xfId="0" applyNumberFormat="1"/>
    <xf numFmtId="166" fontId="0" fillId="0" borderId="0" xfId="1" applyNumberFormat="1" applyFont="1"/>
    <xf numFmtId="166" fontId="0" fillId="0" borderId="0" xfId="0" applyNumberFormat="1"/>
    <xf numFmtId="166" fontId="18" fillId="0" borderId="0" xfId="1" applyNumberFormat="1" applyFont="1"/>
    <xf numFmtId="166" fontId="18" fillId="0" borderId="9" xfId="1" applyNumberFormat="1" applyFont="1" applyBorder="1"/>
    <xf numFmtId="166" fontId="0" fillId="0" borderId="9" xfId="0" applyNumberFormat="1" applyBorder="1"/>
    <xf numFmtId="0" fontId="18" fillId="0" borderId="0" xfId="0" applyFont="1" applyAlignment="1">
      <alignment horizontal="left"/>
    </xf>
    <xf numFmtId="0" fontId="0" fillId="6" borderId="0" xfId="0" applyFill="1" applyAlignment="1">
      <alignment horizontal="right"/>
    </xf>
    <xf numFmtId="0" fontId="0" fillId="6" borderId="0" xfId="0" applyFill="1"/>
    <xf numFmtId="166" fontId="0" fillId="6" borderId="0" xfId="1" applyNumberFormat="1" applyFont="1" applyFill="1"/>
    <xf numFmtId="3" fontId="19" fillId="0" borderId="0" xfId="0" applyNumberFormat="1" applyFont="1" applyFill="1" applyBorder="1" applyAlignment="1">
      <alignment horizontal="center"/>
    </xf>
    <xf numFmtId="0" fontId="18" fillId="6" borderId="0" xfId="0" applyFont="1" applyFill="1"/>
    <xf numFmtId="0" fontId="18" fillId="0" borderId="0" xfId="0" applyFont="1" applyAlignment="1">
      <alignment horizontal="right"/>
    </xf>
    <xf numFmtId="3" fontId="20" fillId="0" borderId="0" xfId="0" applyNumberFormat="1" applyFont="1" applyFill="1"/>
    <xf numFmtId="0" fontId="12" fillId="0" borderId="0" xfId="51"/>
    <xf numFmtId="0" fontId="12" fillId="0" borderId="0" xfId="51" applyBorder="1"/>
    <xf numFmtId="0" fontId="21" fillId="0" borderId="0" xfId="51" applyFont="1" applyAlignment="1">
      <alignment horizontal="center"/>
    </xf>
    <xf numFmtId="0" fontId="18" fillId="0" borderId="1" xfId="51" applyFont="1" applyFill="1" applyBorder="1" applyAlignment="1">
      <alignment horizontal="center"/>
    </xf>
    <xf numFmtId="0" fontId="12" fillId="0" borderId="1" xfId="51" applyFill="1" applyBorder="1" applyAlignment="1">
      <alignment horizontal="center"/>
    </xf>
    <xf numFmtId="10" fontId="0" fillId="0" borderId="0" xfId="52" applyNumberFormat="1" applyFont="1" applyAlignment="1">
      <alignment horizontal="center"/>
    </xf>
    <xf numFmtId="10" fontId="0" fillId="0" borderId="0" xfId="52" applyNumberFormat="1" applyFont="1" applyFill="1" applyAlignment="1">
      <alignment horizontal="center"/>
    </xf>
    <xf numFmtId="10" fontId="12" fillId="0" borderId="0" xfId="51" applyNumberFormat="1" applyFill="1"/>
    <xf numFmtId="164" fontId="12" fillId="0" borderId="0" xfId="51" applyNumberFormat="1"/>
    <xf numFmtId="164" fontId="12" fillId="0" borderId="0" xfId="51" applyNumberFormat="1" applyFill="1"/>
    <xf numFmtId="3" fontId="12" fillId="0" borderId="0" xfId="51" applyNumberFormat="1"/>
    <xf numFmtId="3" fontId="12" fillId="0" borderId="0" xfId="51" applyNumberFormat="1" applyFill="1"/>
    <xf numFmtId="3" fontId="12" fillId="0" borderId="0" xfId="51" applyNumberFormat="1" applyBorder="1"/>
    <xf numFmtId="3" fontId="12" fillId="0" borderId="1" xfId="51" applyNumberFormat="1" applyFill="1" applyBorder="1"/>
    <xf numFmtId="166" fontId="0" fillId="0" borderId="0" xfId="53" applyNumberFormat="1" applyFont="1"/>
    <xf numFmtId="166" fontId="0" fillId="0" borderId="0" xfId="53" applyNumberFormat="1" applyFont="1" applyFill="1"/>
    <xf numFmtId="166" fontId="12" fillId="0" borderId="0" xfId="51" applyNumberFormat="1"/>
    <xf numFmtId="0" fontId="12" fillId="0" borderId="0" xfId="51" applyAlignment="1">
      <alignment horizontal="center"/>
    </xf>
    <xf numFmtId="172" fontId="19" fillId="0" borderId="0" xfId="1" applyNumberFormat="1" applyFont="1" applyFill="1" applyAlignment="1">
      <alignment horizontal="left"/>
    </xf>
    <xf numFmtId="0" fontId="25" fillId="0" borderId="0" xfId="0" applyFont="1" applyFill="1">
      <alignment readingOrder="1"/>
    </xf>
    <xf numFmtId="3" fontId="80" fillId="0" borderId="0" xfId="54" applyNumberFormat="1" applyFont="1" applyFill="1" applyAlignment="1">
      <alignment horizontal="left" indent="1"/>
    </xf>
    <xf numFmtId="0" fontId="0" fillId="0" borderId="0" xfId="0" applyFill="1" applyBorder="1">
      <alignment readingOrder="1"/>
    </xf>
    <xf numFmtId="0" fontId="24" fillId="0" borderId="0" xfId="0" applyFont="1" applyFill="1" applyAlignment="1">
      <alignment horizontal="left" indent="1" readingOrder="1"/>
    </xf>
    <xf numFmtId="0" fontId="24" fillId="0" borderId="0" xfId="0" applyFont="1" applyFill="1" applyBorder="1" applyAlignment="1">
      <alignment horizontal="left" indent="1" readingOrder="1"/>
    </xf>
    <xf numFmtId="0" fontId="0" fillId="0" borderId="0" xfId="0" applyFill="1">
      <alignment readingOrder="1"/>
    </xf>
    <xf numFmtId="3" fontId="81" fillId="0" borderId="0" xfId="54" applyNumberFormat="1" applyFont="1" applyFill="1"/>
    <xf numFmtId="0" fontId="18" fillId="0" borderId="0" xfId="21" applyFont="1" applyFill="1" applyAlignment="1">
      <alignment horizontal="center" readingOrder="1"/>
    </xf>
    <xf numFmtId="0" fontId="18" fillId="0" borderId="0" xfId="0" applyFont="1" applyAlignment="1">
      <alignment horizontal="center"/>
    </xf>
    <xf numFmtId="0" fontId="26" fillId="0" borderId="0" xfId="0" applyFont="1" applyFill="1">
      <alignment readingOrder="1"/>
    </xf>
    <xf numFmtId="0" fontId="80" fillId="0" borderId="0" xfId="0" applyFont="1" applyFill="1" applyAlignment="1">
      <alignment horizontal="left" indent="1" readingOrder="1"/>
    </xf>
    <xf numFmtId="0" fontId="24" fillId="0" borderId="0" xfId="21" applyFont="1" applyFill="1">
      <alignment readingOrder="1"/>
    </xf>
    <xf numFmtId="10" fontId="70" fillId="0" borderId="0" xfId="42" applyNumberFormat="1" applyFont="1"/>
    <xf numFmtId="0" fontId="18" fillId="0" borderId="0" xfId="23"/>
    <xf numFmtId="0" fontId="78" fillId="0" borderId="0" xfId="41" applyNumberFormat="1" applyFont="1" applyFill="1" applyAlignment="1">
      <alignment horizontal="center"/>
    </xf>
    <xf numFmtId="3" fontId="79" fillId="0" borderId="0" xfId="41" applyNumberFormat="1" applyFont="1"/>
    <xf numFmtId="0" fontId="82" fillId="0" borderId="0" xfId="41" applyNumberFormat="1" applyFont="1" applyAlignment="1">
      <alignment horizontal="center"/>
    </xf>
    <xf numFmtId="0" fontId="38" fillId="0" borderId="1" xfId="0" applyFont="1" applyBorder="1"/>
    <xf numFmtId="0" fontId="78" fillId="0" borderId="1" xfId="41" applyFont="1" applyBorder="1"/>
    <xf numFmtId="3" fontId="79" fillId="0" borderId="1" xfId="41" applyNumberFormat="1" applyFont="1" applyBorder="1"/>
    <xf numFmtId="0" fontId="78" fillId="0" borderId="0" xfId="41" applyNumberFormat="1" applyFont="1" applyAlignment="1">
      <alignment horizontal="center"/>
    </xf>
    <xf numFmtId="0" fontId="79" fillId="0" borderId="0" xfId="41" applyFont="1" applyFill="1"/>
    <xf numFmtId="0" fontId="79" fillId="0" borderId="0" xfId="41" applyFont="1"/>
    <xf numFmtId="0" fontId="20" fillId="0" borderId="0" xfId="0" applyFont="1"/>
    <xf numFmtId="10" fontId="78" fillId="0" borderId="0" xfId="41" applyNumberFormat="1" applyFont="1"/>
    <xf numFmtId="0" fontId="78" fillId="0" borderId="0" xfId="41" applyFont="1"/>
    <xf numFmtId="3" fontId="79" fillId="0" borderId="0" xfId="41" applyNumberFormat="1" applyFont="1" applyBorder="1"/>
    <xf numFmtId="10" fontId="19" fillId="0" borderId="0" xfId="42" applyNumberFormat="1" applyFont="1" applyFill="1" applyAlignment="1">
      <alignment horizontal="right"/>
    </xf>
    <xf numFmtId="166" fontId="37" fillId="0" borderId="3" xfId="6" applyNumberFormat="1" applyFont="1" applyFill="1" applyBorder="1"/>
    <xf numFmtId="166" fontId="38" fillId="0" borderId="12" xfId="6" applyNumberFormat="1" applyFont="1" applyFill="1" applyBorder="1"/>
    <xf numFmtId="166" fontId="38" fillId="0" borderId="0" xfId="6" applyNumberFormat="1" applyFont="1" applyFill="1" applyBorder="1"/>
    <xf numFmtId="166" fontId="38" fillId="0" borderId="13" xfId="6" applyNumberFormat="1" applyFont="1" applyFill="1" applyBorder="1"/>
    <xf numFmtId="10" fontId="68" fillId="0" borderId="0" xfId="42" applyNumberFormat="1" applyFont="1" applyFill="1" applyAlignment="1">
      <alignment horizontal="center"/>
    </xf>
    <xf numFmtId="37" fontId="83" fillId="0" borderId="0" xfId="23" applyNumberFormat="1" applyFont="1" applyFill="1"/>
    <xf numFmtId="37" fontId="84" fillId="0" borderId="0" xfId="23" applyNumberFormat="1" applyFont="1" applyFill="1"/>
    <xf numFmtId="37" fontId="84" fillId="0" borderId="0" xfId="1" applyNumberFormat="1" applyFont="1" applyFill="1"/>
    <xf numFmtId="0" fontId="18" fillId="0" borderId="0" xfId="23"/>
    <xf numFmtId="3" fontId="20" fillId="0" borderId="0" xfId="40" quotePrefix="1" applyNumberFormat="1" applyFont="1" applyFill="1" applyBorder="1" applyAlignment="1">
      <alignment horizontal="center"/>
    </xf>
    <xf numFmtId="5" fontId="19" fillId="0" borderId="0" xfId="23" applyNumberFormat="1" applyFont="1" applyBorder="1" applyProtection="1">
      <protection locked="0"/>
    </xf>
    <xf numFmtId="37" fontId="19" fillId="0" borderId="0" xfId="23" applyNumberFormat="1" applyFont="1" applyBorder="1" applyProtection="1">
      <protection locked="0"/>
    </xf>
    <xf numFmtId="37" fontId="19" fillId="0" borderId="1" xfId="23" applyNumberFormat="1" applyFont="1" applyBorder="1" applyProtection="1">
      <protection locked="0"/>
    </xf>
    <xf numFmtId="37" fontId="19" fillId="0" borderId="0" xfId="23" applyNumberFormat="1" applyFont="1" applyBorder="1"/>
    <xf numFmtId="37" fontId="19" fillId="0" borderId="0" xfId="23" applyNumberFormat="1" applyFont="1" applyFill="1" applyBorder="1"/>
    <xf numFmtId="37" fontId="19" fillId="0" borderId="1" xfId="23" applyNumberFormat="1" applyFont="1" applyBorder="1"/>
    <xf numFmtId="37" fontId="19" fillId="0" borderId="0" xfId="23" applyNumberFormat="1" applyFont="1" applyFill="1" applyBorder="1" applyProtection="1">
      <protection locked="0"/>
    </xf>
    <xf numFmtId="164" fontId="19" fillId="0" borderId="0" xfId="23" applyNumberFormat="1" applyFont="1" applyFill="1"/>
    <xf numFmtId="5" fontId="19" fillId="0" borderId="11" xfId="23" applyNumberFormat="1" applyFont="1" applyBorder="1" applyProtection="1">
      <protection locked="0"/>
    </xf>
    <xf numFmtId="37" fontId="19" fillId="0" borderId="9" xfId="23" applyNumberFormat="1" applyFont="1" applyFill="1" applyBorder="1" applyProtection="1">
      <protection locked="0"/>
    </xf>
    <xf numFmtId="37" fontId="19" fillId="0" borderId="0" xfId="23" applyNumberFormat="1" applyFont="1" applyFill="1" applyBorder="1" applyAlignment="1" applyProtection="1">
      <alignment horizontal="center"/>
      <protection locked="0"/>
    </xf>
    <xf numFmtId="37" fontId="19" fillId="0" borderId="0" xfId="23" applyNumberFormat="1" applyFont="1" applyFill="1" applyBorder="1" applyAlignment="1" applyProtection="1">
      <alignment horizontal="right"/>
      <protection locked="0"/>
    </xf>
    <xf numFmtId="5" fontId="19" fillId="0" borderId="11" xfId="23" applyNumberFormat="1" applyFont="1" applyFill="1" applyBorder="1"/>
    <xf numFmtId="37" fontId="19" fillId="0" borderId="9" xfId="0" applyNumberFormat="1" applyFont="1" applyFill="1" applyBorder="1" applyProtection="1">
      <protection locked="0"/>
    </xf>
    <xf numFmtId="37" fontId="19" fillId="0" borderId="9" xfId="0" applyNumberFormat="1" applyFont="1" applyFill="1" applyBorder="1"/>
    <xf numFmtId="5" fontId="19" fillId="0" borderId="11" xfId="0" applyNumberFormat="1" applyFont="1" applyFill="1" applyBorder="1"/>
    <xf numFmtId="37" fontId="20" fillId="0" borderId="9" xfId="0" applyNumberFormat="1" applyFont="1" applyFill="1" applyBorder="1" applyProtection="1">
      <protection locked="0"/>
    </xf>
    <xf numFmtId="37" fontId="19" fillId="0" borderId="2" xfId="0" applyNumberFormat="1" applyFont="1" applyFill="1" applyBorder="1" applyProtection="1">
      <protection locked="0"/>
    </xf>
    <xf numFmtId="166" fontId="64" fillId="0" borderId="0" xfId="6" applyNumberFormat="1" applyFont="1" applyFill="1"/>
    <xf numFmtId="0" fontId="18" fillId="0" borderId="0" xfId="23" applyFont="1" applyFill="1" applyAlignment="1">
      <alignment horizontal="center"/>
    </xf>
    <xf numFmtId="0" fontId="18" fillId="0" borderId="9" xfId="23" applyFill="1" applyBorder="1" applyAlignment="1">
      <alignment horizontal="center"/>
    </xf>
    <xf numFmtId="10" fontId="18" fillId="0" borderId="0" xfId="23" applyNumberFormat="1" applyFill="1"/>
    <xf numFmtId="168" fontId="0" fillId="0" borderId="0" xfId="11" applyNumberFormat="1" applyFont="1" applyFill="1"/>
    <xf numFmtId="166" fontId="18" fillId="0" borderId="0" xfId="23" applyNumberFormat="1" applyFill="1"/>
    <xf numFmtId="0" fontId="64" fillId="0" borderId="22" xfId="34" applyFont="1" applyFill="1" applyBorder="1"/>
    <xf numFmtId="0" fontId="64" fillId="0" borderId="12" xfId="34" applyFont="1" applyFill="1" applyBorder="1"/>
    <xf numFmtId="10" fontId="64" fillId="0" borderId="12" xfId="42" applyNumberFormat="1" applyFont="1" applyFill="1" applyBorder="1" applyAlignment="1">
      <alignment horizontal="center"/>
    </xf>
    <xf numFmtId="166" fontId="37" fillId="0" borderId="12" xfId="6" applyNumberFormat="1" applyFont="1" applyFill="1" applyBorder="1"/>
    <xf numFmtId="10" fontId="64" fillId="0" borderId="21" xfId="34" applyNumberFormat="1" applyFont="1" applyFill="1" applyBorder="1" applyAlignment="1">
      <alignment horizontal="center"/>
    </xf>
    <xf numFmtId="0" fontId="64" fillId="0" borderId="14" xfId="34" applyFont="1" applyFill="1" applyBorder="1"/>
    <xf numFmtId="166" fontId="37" fillId="0" borderId="0" xfId="6" applyNumberFormat="1" applyFont="1" applyFill="1" applyBorder="1"/>
    <xf numFmtId="10" fontId="64" fillId="0" borderId="18" xfId="34" applyNumberFormat="1" applyFont="1" applyFill="1" applyBorder="1" applyAlignment="1">
      <alignment horizontal="center"/>
    </xf>
    <xf numFmtId="0" fontId="64" fillId="0" borderId="19" xfId="34" applyFont="1" applyFill="1" applyBorder="1"/>
    <xf numFmtId="0" fontId="64" fillId="0" borderId="13" xfId="34" applyFont="1" applyFill="1" applyBorder="1"/>
    <xf numFmtId="10" fontId="64" fillId="0" borderId="13" xfId="42" applyNumberFormat="1" applyFont="1" applyFill="1" applyBorder="1" applyAlignment="1">
      <alignment horizontal="center"/>
    </xf>
    <xf numFmtId="10" fontId="64" fillId="0" borderId="20" xfId="34" applyNumberFormat="1" applyFont="1" applyFill="1" applyBorder="1" applyAlignment="1">
      <alignment horizontal="center"/>
    </xf>
    <xf numFmtId="10" fontId="65" fillId="0" borderId="0" xfId="42" applyNumberFormat="1" applyFont="1" applyFill="1" applyBorder="1"/>
    <xf numFmtId="0" fontId="65" fillId="0" borderId="0" xfId="34" applyFont="1" applyBorder="1"/>
    <xf numFmtId="0" fontId="68" fillId="0" borderId="0" xfId="34" applyFont="1" applyFill="1" applyBorder="1"/>
    <xf numFmtId="0" fontId="10" fillId="0" borderId="0" xfId="34" applyFont="1" applyFill="1"/>
    <xf numFmtId="10" fontId="88" fillId="0" borderId="0" xfId="42" applyNumberFormat="1" applyFont="1" applyFill="1" applyAlignment="1">
      <alignment horizontal="center"/>
    </xf>
    <xf numFmtId="10" fontId="33" fillId="0" borderId="9" xfId="42" applyNumberFormat="1" applyFont="1" applyFill="1" applyBorder="1" applyAlignment="1">
      <alignment horizontal="center"/>
    </xf>
    <xf numFmtId="168" fontId="33" fillId="0" borderId="9" xfId="10" applyNumberFormat="1" applyFont="1" applyFill="1" applyBorder="1"/>
    <xf numFmtId="168" fontId="33" fillId="0" borderId="11" xfId="10" applyNumberFormat="1" applyFont="1" applyFill="1" applyBorder="1"/>
    <xf numFmtId="168" fontId="33" fillId="0" borderId="9" xfId="10" applyNumberFormat="1" applyFont="1" applyFill="1" applyBorder="1" applyAlignment="1">
      <alignment horizontal="center"/>
    </xf>
    <xf numFmtId="168" fontId="33" fillId="0" borderId="11" xfId="10" applyNumberFormat="1" applyFont="1" applyFill="1" applyBorder="1" applyAlignment="1">
      <alignment horizontal="center"/>
    </xf>
    <xf numFmtId="10" fontId="33" fillId="0" borderId="11" xfId="42" applyNumberFormat="1" applyFont="1" applyFill="1" applyBorder="1" applyAlignment="1">
      <alignment horizontal="center"/>
    </xf>
    <xf numFmtId="0" fontId="18" fillId="0" borderId="0" xfId="23"/>
    <xf numFmtId="0" fontId="18" fillId="0" borderId="0" xfId="23" applyAlignment="1">
      <alignment horizontal="center"/>
    </xf>
    <xf numFmtId="171" fontId="73" fillId="0" borderId="0" xfId="36" applyNumberFormat="1" applyFill="1"/>
    <xf numFmtId="168" fontId="33" fillId="0" borderId="2" xfId="10" applyNumberFormat="1" applyFont="1" applyFill="1" applyBorder="1" applyAlignment="1">
      <alignment horizontal="center"/>
    </xf>
    <xf numFmtId="3" fontId="18" fillId="0" borderId="0" xfId="23" applyNumberFormat="1" applyFill="1" applyBorder="1"/>
    <xf numFmtId="3" fontId="18" fillId="0" borderId="9" xfId="23" applyNumberFormat="1" applyFill="1" applyBorder="1"/>
    <xf numFmtId="0" fontId="9" fillId="0" borderId="0" xfId="51" applyFont="1"/>
    <xf numFmtId="0" fontId="8" fillId="0" borderId="0" xfId="51" applyFont="1"/>
    <xf numFmtId="3" fontId="18" fillId="0" borderId="9" xfId="23" applyNumberFormat="1" applyBorder="1"/>
    <xf numFmtId="0" fontId="38" fillId="0" borderId="0" xfId="0" applyFont="1" applyAlignment="1">
      <alignment horizontal="centerContinuous"/>
    </xf>
    <xf numFmtId="0" fontId="91" fillId="0" borderId="0" xfId="0" applyFont="1" applyAlignment="1">
      <alignment horizontal="centerContinuous"/>
    </xf>
    <xf numFmtId="0" fontId="37" fillId="0" borderId="0" xfId="0" applyFont="1"/>
    <xf numFmtId="0" fontId="92" fillId="0" borderId="0" xfId="0" applyFont="1"/>
    <xf numFmtId="0" fontId="38" fillId="0" borderId="0" xfId="0" applyFont="1" applyAlignment="1">
      <alignment horizontal="center"/>
    </xf>
    <xf numFmtId="0" fontId="91" fillId="0" borderId="0" xfId="0" applyFont="1" applyBorder="1" applyAlignment="1">
      <alignment horizontal="center"/>
    </xf>
    <xf numFmtId="0" fontId="38" fillId="0" borderId="1" xfId="0" applyFont="1" applyBorder="1" applyAlignment="1">
      <alignment horizontal="center"/>
    </xf>
    <xf numFmtId="0" fontId="38" fillId="0" borderId="0" xfId="0" applyFont="1" applyBorder="1" applyAlignment="1">
      <alignment horizontal="center"/>
    </xf>
    <xf numFmtId="0" fontId="91" fillId="0" borderId="1" xfId="0" applyFont="1" applyBorder="1" applyAlignment="1">
      <alignment horizontal="center"/>
    </xf>
    <xf numFmtId="0" fontId="37" fillId="0" borderId="0" xfId="0" applyFont="1" applyAlignment="1">
      <alignment horizontal="center"/>
    </xf>
    <xf numFmtId="0" fontId="38" fillId="0" borderId="0" xfId="0" applyFont="1"/>
    <xf numFmtId="184" fontId="92" fillId="0" borderId="0" xfId="0" applyNumberFormat="1" applyFont="1"/>
    <xf numFmtId="184" fontId="38" fillId="0" borderId="0" xfId="0" applyNumberFormat="1" applyFont="1"/>
    <xf numFmtId="184" fontId="37" fillId="0" borderId="0" xfId="0" applyNumberFormat="1" applyFont="1"/>
    <xf numFmtId="184" fontId="92" fillId="0" borderId="2" xfId="0" applyNumberFormat="1" applyFont="1" applyBorder="1"/>
    <xf numFmtId="184" fontId="92" fillId="0" borderId="0" xfId="0" applyNumberFormat="1" applyFont="1" applyBorder="1"/>
    <xf numFmtId="10" fontId="93" fillId="0" borderId="0" xfId="0" applyNumberFormat="1" applyFont="1"/>
    <xf numFmtId="184" fontId="92" fillId="0" borderId="1" xfId="0" applyNumberFormat="1" applyFont="1" applyBorder="1"/>
    <xf numFmtId="0" fontId="7" fillId="0" borderId="0" xfId="34" applyFont="1" applyFill="1"/>
    <xf numFmtId="177" fontId="37" fillId="0" borderId="0" xfId="10" applyNumberFormat="1" applyFont="1" applyFill="1" applyBorder="1" applyAlignment="1">
      <alignment horizontal="center"/>
    </xf>
    <xf numFmtId="168" fontId="37" fillId="0" borderId="0" xfId="23" applyNumberFormat="1" applyFont="1" applyFill="1"/>
    <xf numFmtId="44" fontId="37" fillId="0" borderId="0" xfId="10" applyNumberFormat="1" applyFont="1" applyFill="1"/>
    <xf numFmtId="10" fontId="13" fillId="0" borderId="0" xfId="42" applyNumberFormat="1" applyFont="1"/>
    <xf numFmtId="0" fontId="6" fillId="0" borderId="0" xfId="34" applyFont="1" applyAlignment="1">
      <alignment horizontal="center"/>
    </xf>
    <xf numFmtId="0" fontId="13" fillId="0" borderId="0" xfId="34" applyFont="1"/>
    <xf numFmtId="0" fontId="13" fillId="0" borderId="0" xfId="34" applyFont="1" applyAlignment="1">
      <alignment horizontal="center"/>
    </xf>
    <xf numFmtId="0" fontId="0" fillId="0" borderId="1" xfId="0" applyBorder="1"/>
    <xf numFmtId="0" fontId="25" fillId="0" borderId="0" xfId="21" applyFont="1" applyFill="1" applyAlignment="1">
      <alignment horizontal="center" readingOrder="1"/>
    </xf>
    <xf numFmtId="10" fontId="64" fillId="0" borderId="25" xfId="34" applyNumberFormat="1" applyFont="1" applyFill="1" applyBorder="1" applyAlignment="1">
      <alignment horizontal="center"/>
    </xf>
    <xf numFmtId="3" fontId="32" fillId="0" borderId="0" xfId="0" applyNumberFormat="1" applyFont="1" applyFill="1" applyBorder="1" applyAlignment="1">
      <alignment horizontal="center"/>
    </xf>
    <xf numFmtId="10" fontId="59" fillId="0" borderId="0" xfId="42" applyNumberFormat="1" applyFont="1" applyFill="1" applyBorder="1" applyAlignment="1">
      <alignment horizontal="center"/>
    </xf>
    <xf numFmtId="3" fontId="19" fillId="0" borderId="0" xfId="0" applyNumberFormat="1" applyFont="1" applyFill="1" applyBorder="1" applyAlignment="1"/>
    <xf numFmtId="37" fontId="20" fillId="0" borderId="11" xfId="0" applyNumberFormat="1" applyFont="1" applyFill="1" applyBorder="1" applyProtection="1">
      <protection locked="0"/>
    </xf>
    <xf numFmtId="10" fontId="19" fillId="0" borderId="0" xfId="42" applyNumberFormat="1" applyFont="1" applyFill="1" applyBorder="1" applyProtection="1">
      <protection locked="0"/>
    </xf>
    <xf numFmtId="3" fontId="20" fillId="0" borderId="0" xfId="0" applyNumberFormat="1" applyFont="1" applyFill="1" applyAlignment="1">
      <alignment horizontal="left"/>
    </xf>
    <xf numFmtId="0" fontId="5" fillId="0" borderId="0" xfId="51" applyFont="1"/>
    <xf numFmtId="3" fontId="79" fillId="0" borderId="0" xfId="41" applyNumberFormat="1" applyFont="1" applyAlignment="1">
      <alignment horizontal="center"/>
    </xf>
    <xf numFmtId="5" fontId="19" fillId="0" borderId="0" xfId="0" applyNumberFormat="1" applyFont="1" applyFill="1" applyBorder="1"/>
    <xf numFmtId="164" fontId="33" fillId="0" borderId="0" xfId="10" applyNumberFormat="1" applyFont="1" applyFill="1" applyBorder="1" applyAlignment="1">
      <alignment horizontal="center"/>
    </xf>
    <xf numFmtId="172" fontId="37" fillId="0" borderId="0" xfId="23" applyNumberFormat="1" applyFont="1" applyFill="1" applyBorder="1" applyAlignment="1">
      <alignment horizontal="center"/>
    </xf>
    <xf numFmtId="168" fontId="33" fillId="0" borderId="18" xfId="10" applyNumberFormat="1" applyFont="1" applyFill="1" applyBorder="1"/>
    <xf numFmtId="3" fontId="19" fillId="0" borderId="0" xfId="0" applyNumberFormat="1" applyFont="1" applyFill="1" applyAlignment="1">
      <alignment vertical="top"/>
    </xf>
    <xf numFmtId="3" fontId="18" fillId="0" borderId="0" xfId="21" applyNumberFormat="1" applyFill="1">
      <alignment readingOrder="1"/>
    </xf>
    <xf numFmtId="3" fontId="18" fillId="0" borderId="0" xfId="21" applyNumberFormat="1" applyFill="1">
      <alignment readingOrder="1"/>
    </xf>
    <xf numFmtId="3" fontId="18" fillId="0" borderId="0" xfId="21" applyNumberFormat="1" applyFill="1" applyBorder="1">
      <alignment readingOrder="1"/>
    </xf>
    <xf numFmtId="3" fontId="18" fillId="0" borderId="0" xfId="21" applyNumberFormat="1" applyFill="1">
      <alignment readingOrder="1"/>
    </xf>
    <xf numFmtId="0" fontId="19" fillId="0" borderId="0" xfId="0" applyFont="1"/>
    <xf numFmtId="10" fontId="19" fillId="0" borderId="0" xfId="0" applyNumberFormat="1" applyFont="1"/>
    <xf numFmtId="0" fontId="94" fillId="0" borderId="0" xfId="0" applyFont="1"/>
    <xf numFmtId="3" fontId="78" fillId="0" borderId="0" xfId="41" applyNumberFormat="1" applyFont="1"/>
    <xf numFmtId="10" fontId="78" fillId="0" borderId="0" xfId="42" applyNumberFormat="1" applyFont="1"/>
    <xf numFmtId="3" fontId="20" fillId="0" borderId="0" xfId="0" applyNumberFormat="1" applyFont="1" applyFill="1" applyAlignment="1">
      <alignment vertical="top"/>
    </xf>
    <xf numFmtId="3" fontId="20" fillId="0" borderId="0" xfId="0" applyNumberFormat="1" applyFont="1" applyFill="1" applyAlignment="1"/>
    <xf numFmtId="0" fontId="38" fillId="0" borderId="0" xfId="0" applyFont="1" applyAlignment="1">
      <alignment horizontal="center"/>
    </xf>
    <xf numFmtId="41" fontId="37" fillId="0" borderId="0" xfId="0" applyNumberFormat="1" applyFont="1"/>
    <xf numFmtId="5" fontId="37" fillId="0" borderId="0" xfId="0" applyNumberFormat="1" applyFont="1"/>
    <xf numFmtId="10" fontId="37" fillId="0" borderId="1" xfId="42" applyNumberFormat="1" applyFont="1" applyBorder="1"/>
    <xf numFmtId="169" fontId="37" fillId="0" borderId="0" xfId="42" applyNumberFormat="1" applyFont="1" applyBorder="1"/>
    <xf numFmtId="5" fontId="37" fillId="0" borderId="0" xfId="0" applyNumberFormat="1" applyFont="1" applyFill="1"/>
    <xf numFmtId="5" fontId="37" fillId="0" borderId="1" xfId="0" applyNumberFormat="1" applyFont="1" applyBorder="1"/>
    <xf numFmtId="5" fontId="37" fillId="0" borderId="0" xfId="0" applyNumberFormat="1" applyFont="1" applyBorder="1"/>
    <xf numFmtId="185" fontId="37" fillId="0" borderId="0" xfId="0" applyNumberFormat="1" applyFont="1"/>
    <xf numFmtId="6" fontId="38" fillId="0" borderId="0" xfId="0" applyNumberFormat="1" applyFont="1"/>
    <xf numFmtId="5" fontId="38" fillId="0" borderId="0" xfId="0" applyNumberFormat="1" applyFont="1"/>
    <xf numFmtId="37" fontId="37" fillId="0" borderId="0" xfId="40" applyNumberFormat="1" applyFont="1"/>
    <xf numFmtId="0" fontId="37" fillId="0" borderId="0" xfId="0" applyFont="1" applyFill="1" applyBorder="1"/>
    <xf numFmtId="5" fontId="37" fillId="0" borderId="0" xfId="0" applyNumberFormat="1" applyFont="1" applyFill="1" applyBorder="1"/>
    <xf numFmtId="10" fontId="38" fillId="0" borderId="11" xfId="42" applyNumberFormat="1" applyFont="1" applyBorder="1"/>
    <xf numFmtId="10" fontId="37" fillId="0" borderId="0" xfId="42" applyNumberFormat="1" applyFont="1" applyBorder="1"/>
    <xf numFmtId="0" fontId="37" fillId="0" borderId="0" xfId="40" applyFont="1"/>
    <xf numFmtId="0" fontId="37" fillId="0" borderId="0" xfId="40" applyFont="1" applyBorder="1"/>
    <xf numFmtId="186" fontId="37" fillId="0" borderId="0" xfId="1" applyNumberFormat="1" applyFont="1"/>
    <xf numFmtId="186" fontId="37" fillId="0" borderId="0" xfId="0" applyNumberFormat="1" applyFont="1" applyBorder="1"/>
    <xf numFmtId="0" fontId="37" fillId="0" borderId="0" xfId="0" applyFont="1" applyBorder="1"/>
    <xf numFmtId="5" fontId="38" fillId="0" borderId="0" xfId="0" applyNumberFormat="1" applyFont="1" applyBorder="1"/>
    <xf numFmtId="10" fontId="38" fillId="0" borderId="0" xfId="42" applyNumberFormat="1" applyFont="1" applyBorder="1"/>
    <xf numFmtId="0" fontId="0" fillId="0" borderId="0" xfId="0" applyBorder="1"/>
    <xf numFmtId="0" fontId="38" fillId="0" borderId="0" xfId="0" applyFont="1" applyAlignment="1">
      <alignment horizontal="center"/>
    </xf>
    <xf numFmtId="0" fontId="18" fillId="0" borderId="0" xfId="0" applyFont="1" applyAlignment="1">
      <alignment horizontal="left" vertical="top"/>
    </xf>
    <xf numFmtId="10" fontId="59" fillId="0" borderId="0" xfId="42" applyNumberFormat="1" applyFont="1" applyFill="1" applyBorder="1" applyAlignment="1">
      <alignment horizontal="center"/>
    </xf>
    <xf numFmtId="0" fontId="38" fillId="0" borderId="0" xfId="0" applyFont="1" applyAlignment="1">
      <alignment horizontal="center"/>
    </xf>
    <xf numFmtId="0" fontId="0" fillId="0" borderId="0" xfId="0" quotePrefix="1" applyAlignment="1">
      <alignment vertical="top"/>
    </xf>
    <xf numFmtId="0" fontId="20" fillId="0" borderId="0" xfId="0" applyFont="1" applyBorder="1" applyAlignment="1">
      <alignment horizontal="center" wrapText="1"/>
    </xf>
    <xf numFmtId="5" fontId="38" fillId="0" borderId="26" xfId="0" applyNumberFormat="1" applyFont="1" applyBorder="1"/>
    <xf numFmtId="0" fontId="38" fillId="0" borderId="0" xfId="0" applyFont="1" applyAlignment="1">
      <alignment horizontal="center"/>
    </xf>
    <xf numFmtId="3" fontId="37" fillId="0" borderId="16" xfId="23" applyNumberFormat="1" applyFont="1" applyFill="1" applyBorder="1" applyAlignment="1">
      <alignment horizontal="center"/>
    </xf>
    <xf numFmtId="3" fontId="33" fillId="0" borderId="16" xfId="23" applyNumberFormat="1" applyFont="1" applyFill="1" applyBorder="1" applyAlignment="1">
      <alignment horizontal="left"/>
    </xf>
    <xf numFmtId="3" fontId="32" fillId="0" borderId="16" xfId="23" applyNumberFormat="1" applyFont="1" applyFill="1" applyBorder="1" applyAlignment="1">
      <alignment horizontal="center"/>
    </xf>
    <xf numFmtId="3" fontId="33" fillId="0" borderId="16" xfId="23" applyNumberFormat="1" applyFont="1" applyFill="1" applyBorder="1" applyAlignment="1">
      <alignment horizontal="center"/>
    </xf>
    <xf numFmtId="3" fontId="59" fillId="0" borderId="16" xfId="23" applyNumberFormat="1" applyFont="1" applyFill="1" applyBorder="1" applyAlignment="1">
      <alignment horizontal="center"/>
    </xf>
    <xf numFmtId="3" fontId="33" fillId="0" borderId="16" xfId="23" applyNumberFormat="1" applyFont="1" applyFill="1" applyBorder="1"/>
    <xf numFmtId="168" fontId="59" fillId="0" borderId="0" xfId="10" quotePrefix="1" applyNumberFormat="1" applyFont="1" applyFill="1" applyBorder="1" applyAlignment="1">
      <alignment horizontal="center"/>
    </xf>
    <xf numFmtId="0" fontId="19" fillId="0" borderId="0" xfId="23" applyFont="1" applyFill="1" applyAlignment="1">
      <alignment vertical="top"/>
    </xf>
    <xf numFmtId="0" fontId="98" fillId="0" borderId="0" xfId="0" applyFont="1"/>
    <xf numFmtId="3" fontId="33" fillId="0" borderId="2" xfId="1" applyNumberFormat="1" applyFont="1" applyFill="1" applyBorder="1" applyAlignment="1">
      <alignment horizontal="center" vertical="center" wrapText="1"/>
    </xf>
    <xf numFmtId="172" fontId="33" fillId="0" borderId="2" xfId="1" applyNumberFormat="1" applyFont="1" applyFill="1" applyBorder="1" applyAlignment="1">
      <alignment horizontal="center" vertical="center" wrapText="1"/>
    </xf>
    <xf numFmtId="166" fontId="33" fillId="0" borderId="2" xfId="1" applyNumberFormat="1" applyFont="1" applyFill="1" applyBorder="1" applyAlignment="1">
      <alignment horizontal="center" vertical="center" wrapText="1"/>
    </xf>
    <xf numFmtId="3" fontId="33" fillId="0" borderId="2" xfId="23" applyNumberFormat="1" applyFont="1" applyFill="1" applyBorder="1" applyAlignment="1">
      <alignment horizontal="center" vertical="center" wrapText="1"/>
    </xf>
    <xf numFmtId="3" fontId="95" fillId="0" borderId="0" xfId="23" applyNumberFormat="1" applyFont="1" applyFill="1" applyBorder="1" applyAlignment="1">
      <alignment horizontal="center" wrapText="1"/>
    </xf>
    <xf numFmtId="0" fontId="79" fillId="0" borderId="0" xfId="41" applyNumberFormat="1" applyFont="1" applyAlignment="1">
      <alignment horizontal="left"/>
    </xf>
    <xf numFmtId="3" fontId="19" fillId="0" borderId="0" xfId="0" applyNumberFormat="1" applyFont="1" applyFill="1" applyAlignment="1">
      <alignment horizontal="center" wrapText="1"/>
    </xf>
    <xf numFmtId="0" fontId="20" fillId="0" borderId="1" xfId="0" applyFont="1" applyBorder="1" applyAlignment="1">
      <alignment horizontal="center"/>
    </xf>
    <xf numFmtId="3" fontId="32" fillId="0" borderId="0" xfId="23" applyNumberFormat="1" applyFont="1" applyFill="1" applyBorder="1" applyAlignment="1"/>
    <xf numFmtId="183" fontId="37" fillId="0" borderId="0" xfId="23" applyNumberFormat="1" applyFont="1" applyFill="1"/>
    <xf numFmtId="183" fontId="19" fillId="0" borderId="0" xfId="23" applyNumberFormat="1" applyFont="1" applyFill="1"/>
    <xf numFmtId="184" fontId="19" fillId="0" borderId="0" xfId="23" applyNumberFormat="1" applyFont="1" applyFill="1"/>
    <xf numFmtId="0" fontId="70" fillId="9" borderId="0" xfId="34" applyFill="1"/>
    <xf numFmtId="10" fontId="59" fillId="0" borderId="0" xfId="42" applyNumberFormat="1" applyFont="1" applyFill="1" applyBorder="1" applyAlignment="1">
      <alignment horizontal="center"/>
    </xf>
    <xf numFmtId="0" fontId="18" fillId="0" borderId="0" xfId="23"/>
    <xf numFmtId="0" fontId="18" fillId="0" borderId="0" xfId="23" applyAlignment="1">
      <alignment horizontal="center"/>
    </xf>
    <xf numFmtId="166" fontId="19" fillId="0" borderId="0" xfId="23" applyNumberFormat="1" applyFont="1" applyFill="1"/>
    <xf numFmtId="37" fontId="19" fillId="0" borderId="1" xfId="23" applyNumberFormat="1" applyFont="1" applyFill="1" applyBorder="1" applyAlignment="1" applyProtection="1">
      <alignment horizontal="right"/>
      <protection locked="0"/>
    </xf>
    <xf numFmtId="166" fontId="18" fillId="0" borderId="0" xfId="1" applyNumberFormat="1" applyFont="1" applyFill="1" applyBorder="1"/>
    <xf numFmtId="3" fontId="33" fillId="0" borderId="0" xfId="23" applyNumberFormat="1" applyFont="1" applyFill="1" applyAlignment="1">
      <alignment vertical="top" wrapText="1"/>
    </xf>
    <xf numFmtId="164" fontId="18" fillId="0" borderId="0" xfId="23" applyNumberFormat="1" applyFill="1" applyBorder="1"/>
    <xf numFmtId="0" fontId="18" fillId="0" borderId="0" xfId="23" applyFill="1" applyBorder="1"/>
    <xf numFmtId="0" fontId="18" fillId="0" borderId="0" xfId="23" applyFill="1" applyBorder="1" applyAlignment="1">
      <alignment horizontal="center"/>
    </xf>
    <xf numFmtId="0" fontId="21" fillId="0" borderId="0" xfId="23" applyFont="1" applyFill="1" applyBorder="1" applyAlignment="1">
      <alignment horizontal="center"/>
    </xf>
    <xf numFmtId="10" fontId="0" fillId="0" borderId="0" xfId="42" applyNumberFormat="1" applyFont="1" applyFill="1" applyBorder="1" applyAlignment="1">
      <alignment horizontal="center"/>
    </xf>
    <xf numFmtId="0" fontId="18" fillId="9" borderId="0" xfId="36" applyFont="1" applyFill="1"/>
    <xf numFmtId="0" fontId="73" fillId="9" borderId="0" xfId="36" applyFill="1"/>
    <xf numFmtId="0" fontId="73" fillId="9" borderId="1" xfId="36" applyFill="1" applyBorder="1" applyAlignment="1">
      <alignment horizontal="centerContinuous"/>
    </xf>
    <xf numFmtId="0" fontId="73" fillId="9" borderId="0" xfId="36" applyFill="1" applyAlignment="1">
      <alignment horizontal="center"/>
    </xf>
    <xf numFmtId="0" fontId="53" fillId="9" borderId="0" xfId="36" applyFont="1" applyFill="1" applyAlignment="1">
      <alignment horizontal="center"/>
    </xf>
    <xf numFmtId="3" fontId="73" fillId="9" borderId="0" xfId="36" applyNumberFormat="1" applyFill="1"/>
    <xf numFmtId="3" fontId="73" fillId="9" borderId="1" xfId="36" applyNumberFormat="1" applyFill="1" applyBorder="1"/>
    <xf numFmtId="3" fontId="73" fillId="9" borderId="2" xfId="36" applyNumberFormat="1" applyFill="1" applyBorder="1"/>
    <xf numFmtId="3" fontId="99" fillId="0" borderId="1" xfId="51" applyNumberFormat="1" applyFont="1" applyFill="1" applyBorder="1"/>
    <xf numFmtId="0" fontId="73" fillId="0" borderId="0" xfId="36" applyAlignment="1">
      <alignment horizontal="center"/>
    </xf>
    <xf numFmtId="184" fontId="92" fillId="0" borderId="3" xfId="0" applyNumberFormat="1" applyFont="1" applyBorder="1"/>
    <xf numFmtId="0" fontId="70" fillId="0" borderId="0" xfId="19" applyFill="1"/>
    <xf numFmtId="0" fontId="1" fillId="0" borderId="0" xfId="51" applyFont="1" applyAlignment="1">
      <alignment horizontal="center"/>
    </xf>
    <xf numFmtId="0" fontId="73" fillId="0" borderId="1" xfId="36" applyFill="1" applyBorder="1" applyAlignment="1">
      <alignment horizontal="centerContinuous"/>
    </xf>
    <xf numFmtId="0" fontId="73" fillId="0" borderId="0" xfId="36" applyFill="1" applyAlignment="1">
      <alignment horizontal="center"/>
    </xf>
    <xf numFmtId="0" fontId="53" fillId="0" borderId="0" xfId="36" applyFont="1" applyFill="1" applyAlignment="1">
      <alignment horizontal="center"/>
    </xf>
    <xf numFmtId="3" fontId="73" fillId="0" borderId="0" xfId="36" applyNumberFormat="1" applyFill="1"/>
    <xf numFmtId="3" fontId="73" fillId="0" borderId="1" xfId="36" applyNumberFormat="1" applyFill="1" applyBorder="1"/>
    <xf numFmtId="3" fontId="73" fillId="0" borderId="2" xfId="36" applyNumberFormat="1" applyFill="1" applyBorder="1"/>
    <xf numFmtId="0" fontId="18" fillId="10" borderId="0" xfId="36" applyFont="1" applyFill="1"/>
    <xf numFmtId="0" fontId="38" fillId="0" borderId="0" xfId="0" applyFont="1" applyFill="1" applyAlignment="1">
      <alignment horizontal="center"/>
    </xf>
    <xf numFmtId="0" fontId="38" fillId="0" borderId="1" xfId="0" applyFont="1" applyFill="1" applyBorder="1" applyAlignment="1">
      <alignment horizontal="center"/>
    </xf>
    <xf numFmtId="0" fontId="37" fillId="0" borderId="0" xfId="0" applyFont="1" applyFill="1"/>
    <xf numFmtId="10" fontId="37" fillId="0" borderId="1" xfId="42" applyNumberFormat="1" applyFont="1" applyFill="1" applyBorder="1"/>
    <xf numFmtId="169" fontId="37" fillId="0" borderId="0" xfId="42" applyNumberFormat="1" applyFont="1" applyFill="1" applyBorder="1"/>
    <xf numFmtId="5" fontId="37" fillId="0" borderId="1" xfId="0" applyNumberFormat="1" applyFont="1" applyFill="1" applyBorder="1"/>
    <xf numFmtId="185" fontId="37" fillId="0" borderId="0" xfId="0" applyNumberFormat="1" applyFont="1" applyFill="1"/>
    <xf numFmtId="0" fontId="18" fillId="0" borderId="0" xfId="23"/>
    <xf numFmtId="0" fontId="12" fillId="0" borderId="0" xfId="51" applyFill="1"/>
    <xf numFmtId="166" fontId="12" fillId="0" borderId="0" xfId="51" applyNumberFormat="1" applyFill="1"/>
    <xf numFmtId="0" fontId="100" fillId="0" borderId="0" xfId="51" applyFont="1" applyFill="1"/>
    <xf numFmtId="10" fontId="12" fillId="9" borderId="0" xfId="51" applyNumberFormat="1" applyFill="1"/>
    <xf numFmtId="0" fontId="101" fillId="9" borderId="0" xfId="0" applyFont="1" applyFill="1"/>
    <xf numFmtId="0" fontId="18" fillId="0" borderId="1" xfId="0" applyFont="1" applyBorder="1"/>
    <xf numFmtId="10" fontId="0" fillId="0" borderId="0" xfId="0" applyNumberFormat="1"/>
    <xf numFmtId="10" fontId="19" fillId="0" borderId="0" xfId="0" applyNumberFormat="1" applyFont="1" applyFill="1" applyAlignment="1">
      <alignment horizontal="right"/>
    </xf>
    <xf numFmtId="3" fontId="19" fillId="0" borderId="23" xfId="0" applyNumberFormat="1" applyFont="1" applyFill="1" applyBorder="1"/>
    <xf numFmtId="166" fontId="13" fillId="0" borderId="0" xfId="1" applyNumberFormat="1" applyFont="1"/>
    <xf numFmtId="10" fontId="78" fillId="0" borderId="0" xfId="41" applyNumberFormat="1" applyFont="1" applyFill="1" applyBorder="1"/>
    <xf numFmtId="0" fontId="20" fillId="0" borderId="28" xfId="0" applyFont="1" applyBorder="1" applyAlignment="1">
      <alignment horizontal="center"/>
    </xf>
    <xf numFmtId="3" fontId="19" fillId="0" borderId="23" xfId="0" applyNumberFormat="1" applyFont="1" applyFill="1" applyBorder="1" applyAlignment="1">
      <alignment horizontal="right"/>
    </xf>
    <xf numFmtId="0" fontId="20" fillId="0" borderId="26" xfId="0" applyFont="1" applyBorder="1" applyAlignment="1">
      <alignment horizontal="center"/>
    </xf>
    <xf numFmtId="0" fontId="94" fillId="0" borderId="6" xfId="0" applyFont="1" applyBorder="1"/>
    <xf numFmtId="10" fontId="78" fillId="0" borderId="6" xfId="41" applyNumberFormat="1" applyFont="1" applyFill="1" applyBorder="1"/>
    <xf numFmtId="10" fontId="78" fillId="0" borderId="0" xfId="42" applyNumberFormat="1" applyFont="1" applyBorder="1"/>
    <xf numFmtId="3" fontId="78" fillId="0" borderId="0" xfId="41" applyNumberFormat="1" applyFont="1" applyBorder="1"/>
    <xf numFmtId="10" fontId="78" fillId="0" borderId="0" xfId="42" applyNumberFormat="1" applyFont="1" applyFill="1" applyBorder="1"/>
    <xf numFmtId="3" fontId="78" fillId="0" borderId="6" xfId="41" applyNumberFormat="1" applyFont="1" applyBorder="1"/>
    <xf numFmtId="10" fontId="78" fillId="0" borderId="6" xfId="42" applyNumberFormat="1" applyFont="1" applyFill="1" applyBorder="1"/>
    <xf numFmtId="3" fontId="78" fillId="0" borderId="6" xfId="41" applyNumberFormat="1" applyFont="1" applyFill="1" applyBorder="1"/>
    <xf numFmtId="3" fontId="19" fillId="0" borderId="6" xfId="0" applyNumberFormat="1" applyFont="1" applyFill="1" applyBorder="1"/>
    <xf numFmtId="10" fontId="78" fillId="0" borderId="6" xfId="42" applyNumberFormat="1" applyFont="1" applyFill="1" applyBorder="1" applyAlignment="1">
      <alignment horizontal="right"/>
    </xf>
    <xf numFmtId="10" fontId="19" fillId="0" borderId="0" xfId="0" applyNumberFormat="1" applyFont="1" applyBorder="1"/>
    <xf numFmtId="10" fontId="19" fillId="0" borderId="0" xfId="0" applyNumberFormat="1" applyFont="1" applyFill="1" applyBorder="1"/>
    <xf numFmtId="10" fontId="19" fillId="0" borderId="6" xfId="0" applyNumberFormat="1" applyFont="1" applyFill="1" applyBorder="1"/>
    <xf numFmtId="10" fontId="19" fillId="0" borderId="6" xfId="0" applyNumberFormat="1" applyFont="1" applyFill="1" applyBorder="1" applyAlignment="1">
      <alignment horizontal="right"/>
    </xf>
    <xf numFmtId="10" fontId="19" fillId="0" borderId="4" xfId="0" applyNumberFormat="1" applyFont="1" applyFill="1" applyBorder="1"/>
    <xf numFmtId="10" fontId="79" fillId="0" borderId="6" xfId="42" applyNumberFormat="1" applyFont="1" applyFill="1" applyBorder="1"/>
    <xf numFmtId="0" fontId="102" fillId="0" borderId="0" xfId="0" applyFont="1"/>
    <xf numFmtId="0" fontId="20" fillId="0" borderId="1" xfId="0" applyFont="1" applyBorder="1"/>
    <xf numFmtId="37" fontId="19" fillId="0" borderId="0" xfId="0" applyNumberFormat="1" applyFont="1"/>
    <xf numFmtId="187" fontId="19" fillId="0" borderId="0" xfId="0" applyNumberFormat="1" applyFont="1"/>
    <xf numFmtId="187" fontId="19" fillId="0" borderId="1" xfId="0" applyNumberFormat="1" applyFont="1" applyBorder="1"/>
    <xf numFmtId="0" fontId="19" fillId="0" borderId="26" xfId="0" applyFont="1" applyBorder="1"/>
    <xf numFmtId="0" fontId="20" fillId="0" borderId="30" xfId="0" applyFont="1" applyBorder="1"/>
    <xf numFmtId="0" fontId="19" fillId="0" borderId="29" xfId="0" applyFont="1" applyBorder="1"/>
    <xf numFmtId="0" fontId="19" fillId="0" borderId="30" xfId="0" applyFont="1" applyBorder="1"/>
    <xf numFmtId="0" fontId="0" fillId="0" borderId="30" xfId="0" applyBorder="1"/>
    <xf numFmtId="0" fontId="0" fillId="0" borderId="29" xfId="0" applyBorder="1"/>
    <xf numFmtId="3" fontId="19" fillId="0" borderId="0" xfId="0" applyNumberFormat="1" applyFont="1"/>
    <xf numFmtId="3" fontId="19" fillId="0" borderId="1" xfId="0" applyNumberFormat="1" applyFont="1" applyBorder="1"/>
    <xf numFmtId="0" fontId="25" fillId="0" borderId="30" xfId="0" applyFont="1" applyBorder="1"/>
    <xf numFmtId="3" fontId="19" fillId="0" borderId="0" xfId="0" applyNumberFormat="1" applyFont="1" applyBorder="1"/>
    <xf numFmtId="10" fontId="41" fillId="11" borderId="27" xfId="49" applyNumberFormat="1" applyFont="1" applyFill="1" applyBorder="1"/>
    <xf numFmtId="0" fontId="13" fillId="0" borderId="0" xfId="42" applyNumberFormat="1" applyFont="1"/>
    <xf numFmtId="5" fontId="70" fillId="0" borderId="0" xfId="19" applyNumberFormat="1"/>
    <xf numFmtId="3" fontId="33" fillId="0" borderId="0" xfId="0" applyNumberFormat="1" applyFont="1" applyFill="1" applyBorder="1" applyAlignment="1">
      <alignment horizontal="center"/>
    </xf>
    <xf numFmtId="0" fontId="20" fillId="0" borderId="4" xfId="0" applyFont="1" applyBorder="1"/>
    <xf numFmtId="0" fontId="19" fillId="0" borderId="6" xfId="0" applyFont="1" applyBorder="1"/>
    <xf numFmtId="10" fontId="19" fillId="0" borderId="6" xfId="0" applyNumberFormat="1" applyFont="1" applyBorder="1"/>
    <xf numFmtId="10" fontId="20" fillId="12" borderId="26" xfId="0" applyNumberFormat="1" applyFont="1" applyFill="1" applyBorder="1"/>
    <xf numFmtId="10" fontId="88" fillId="12" borderId="27" xfId="42" applyNumberFormat="1" applyFont="1" applyFill="1" applyBorder="1" applyAlignment="1">
      <alignment horizontal="center"/>
    </xf>
    <xf numFmtId="10" fontId="78" fillId="12" borderId="27" xfId="42" applyNumberFormat="1" applyFont="1" applyFill="1" applyBorder="1"/>
    <xf numFmtId="10" fontId="19" fillId="0" borderId="23" xfId="0" applyNumberFormat="1" applyFont="1" applyFill="1" applyBorder="1"/>
    <xf numFmtId="10" fontId="19" fillId="0" borderId="24" xfId="0" applyNumberFormat="1" applyFont="1" applyFill="1" applyBorder="1"/>
    <xf numFmtId="10" fontId="88" fillId="13" borderId="27" xfId="42" applyNumberFormat="1" applyFont="1" applyFill="1" applyBorder="1" applyAlignment="1">
      <alignment horizontal="center"/>
    </xf>
    <xf numFmtId="10" fontId="33" fillId="13" borderId="0" xfId="42" applyNumberFormat="1" applyFont="1" applyFill="1" applyAlignment="1">
      <alignment horizontal="center"/>
    </xf>
    <xf numFmtId="10" fontId="20" fillId="13" borderId="26" xfId="0" applyNumberFormat="1" applyFont="1" applyFill="1" applyBorder="1"/>
    <xf numFmtId="10" fontId="20" fillId="14" borderId="26" xfId="0" applyNumberFormat="1" applyFont="1" applyFill="1" applyBorder="1"/>
    <xf numFmtId="10" fontId="78" fillId="14" borderId="27" xfId="42" applyNumberFormat="1" applyFont="1" applyFill="1" applyBorder="1"/>
    <xf numFmtId="10" fontId="88" fillId="14" borderId="27" xfId="42" applyNumberFormat="1" applyFont="1" applyFill="1" applyBorder="1" applyAlignment="1">
      <alignment horizontal="center"/>
    </xf>
    <xf numFmtId="10" fontId="33" fillId="14" borderId="1" xfId="42" applyNumberFormat="1" applyFont="1" applyFill="1" applyBorder="1" applyAlignment="1">
      <alignment horizontal="center"/>
    </xf>
    <xf numFmtId="10" fontId="78" fillId="15" borderId="27" xfId="42" applyNumberFormat="1" applyFont="1" applyFill="1" applyBorder="1"/>
    <xf numFmtId="10" fontId="78" fillId="13" borderId="27" xfId="42" applyNumberFormat="1" applyFont="1" applyFill="1" applyBorder="1"/>
    <xf numFmtId="10" fontId="20" fillId="16" borderId="26" xfId="0" applyNumberFormat="1" applyFont="1" applyFill="1" applyBorder="1"/>
    <xf numFmtId="10" fontId="78" fillId="16" borderId="27" xfId="42" applyNumberFormat="1" applyFont="1" applyFill="1" applyBorder="1"/>
    <xf numFmtId="10" fontId="88" fillId="16" borderId="27" xfId="42" applyNumberFormat="1" applyFont="1" applyFill="1" applyBorder="1" applyAlignment="1">
      <alignment horizontal="center"/>
    </xf>
    <xf numFmtId="10" fontId="33" fillId="16" borderId="0" xfId="42" applyNumberFormat="1" applyFont="1" applyFill="1" applyAlignment="1">
      <alignment horizontal="center"/>
    </xf>
    <xf numFmtId="10" fontId="88" fillId="15" borderId="27" xfId="42" applyNumberFormat="1" applyFont="1" applyFill="1" applyBorder="1" applyAlignment="1">
      <alignment horizontal="center"/>
    </xf>
    <xf numFmtId="10" fontId="33" fillId="15" borderId="0" xfId="42" applyNumberFormat="1" applyFont="1" applyFill="1" applyAlignment="1">
      <alignment horizontal="center"/>
    </xf>
    <xf numFmtId="168" fontId="33" fillId="9" borderId="11" xfId="10" applyNumberFormat="1" applyFont="1" applyFill="1" applyBorder="1"/>
    <xf numFmtId="168" fontId="33" fillId="9" borderId="11" xfId="10" applyNumberFormat="1" applyFont="1" applyFill="1" applyBorder="1" applyAlignment="1">
      <alignment horizontal="center"/>
    </xf>
    <xf numFmtId="5" fontId="38" fillId="0" borderId="32" xfId="0" applyNumberFormat="1" applyFont="1" applyFill="1" applyBorder="1"/>
    <xf numFmtId="5" fontId="38" fillId="0" borderId="32" xfId="0" applyNumberFormat="1" applyFont="1" applyBorder="1"/>
    <xf numFmtId="5" fontId="38" fillId="9" borderId="27" xfId="0" applyNumberFormat="1" applyFont="1" applyFill="1" applyBorder="1"/>
    <xf numFmtId="3" fontId="38" fillId="0" borderId="0" xfId="0" applyNumberFormat="1" applyFont="1" applyFill="1" applyBorder="1"/>
    <xf numFmtId="168" fontId="59" fillId="0" borderId="18" xfId="10" applyNumberFormat="1" applyFont="1" applyFill="1" applyBorder="1"/>
    <xf numFmtId="3" fontId="19" fillId="0" borderId="13" xfId="0" applyNumberFormat="1" applyFont="1" applyFill="1" applyBorder="1"/>
    <xf numFmtId="10" fontId="19" fillId="0" borderId="13" xfId="42" applyNumberFormat="1" applyFont="1" applyFill="1" applyBorder="1" applyAlignment="1">
      <alignment horizontal="center"/>
    </xf>
    <xf numFmtId="172" fontId="19" fillId="0" borderId="13" xfId="23" applyNumberFormat="1" applyFont="1" applyFill="1" applyBorder="1"/>
    <xf numFmtId="0" fontId="19" fillId="0" borderId="13" xfId="23" applyFont="1" applyFill="1" applyBorder="1"/>
    <xf numFmtId="168" fontId="59" fillId="9" borderId="27" xfId="10" applyNumberFormat="1" applyFont="1" applyFill="1" applyBorder="1"/>
    <xf numFmtId="0" fontId="19" fillId="0" borderId="1" xfId="0" applyFont="1" applyBorder="1"/>
    <xf numFmtId="37" fontId="19" fillId="0" borderId="1" xfId="0" applyNumberFormat="1" applyFont="1" applyBorder="1"/>
    <xf numFmtId="166" fontId="0" fillId="11" borderId="0" xfId="1" applyNumberFormat="1" applyFont="1" applyFill="1"/>
    <xf numFmtId="10" fontId="20" fillId="15" borderId="27" xfId="0" applyNumberFormat="1" applyFont="1" applyFill="1" applyBorder="1"/>
    <xf numFmtId="5" fontId="38" fillId="0" borderId="0" xfId="0" applyNumberFormat="1" applyFont="1" applyFill="1" applyBorder="1"/>
    <xf numFmtId="166" fontId="37" fillId="0" borderId="1" xfId="9" applyNumberFormat="1" applyFont="1" applyFill="1" applyBorder="1"/>
    <xf numFmtId="188" fontId="70" fillId="0" borderId="0" xfId="19" applyNumberFormat="1"/>
    <xf numFmtId="5" fontId="37" fillId="15" borderId="0" xfId="0" applyNumberFormat="1" applyFont="1" applyFill="1" applyBorder="1"/>
    <xf numFmtId="10" fontId="37" fillId="15" borderId="26" xfId="0" applyNumberFormat="1" applyFont="1" applyFill="1" applyBorder="1"/>
    <xf numFmtId="10" fontId="20" fillId="17" borderId="8" xfId="0" applyNumberFormat="1" applyFont="1" applyFill="1" applyBorder="1"/>
    <xf numFmtId="164" fontId="37" fillId="0" borderId="0" xfId="42" applyNumberFormat="1" applyFont="1" applyFill="1" applyBorder="1"/>
    <xf numFmtId="0" fontId="18" fillId="0" borderId="0" xfId="23"/>
    <xf numFmtId="0" fontId="38" fillId="18" borderId="10" xfId="0" applyFont="1" applyFill="1" applyBorder="1" applyAlignment="1">
      <alignment horizontal="center"/>
    </xf>
    <xf numFmtId="0" fontId="38" fillId="18" borderId="8" xfId="0" applyFont="1" applyFill="1" applyBorder="1" applyAlignment="1">
      <alignment horizontal="center"/>
    </xf>
    <xf numFmtId="0" fontId="103" fillId="18" borderId="7" xfId="0" applyFont="1" applyFill="1" applyBorder="1" applyAlignment="1">
      <alignment horizontal="center" vertical="center"/>
    </xf>
    <xf numFmtId="0" fontId="103" fillId="9" borderId="6" xfId="0" applyFont="1" applyFill="1" applyBorder="1" applyAlignment="1">
      <alignment horizontal="center" vertical="center" wrapText="1"/>
    </xf>
    <xf numFmtId="0" fontId="37" fillId="18" borderId="5" xfId="0" applyFont="1" applyFill="1" applyBorder="1" applyAlignment="1">
      <alignment horizontal="center" wrapText="1"/>
    </xf>
    <xf numFmtId="0" fontId="37" fillId="18" borderId="4" xfId="0" applyFont="1" applyFill="1" applyBorder="1" applyAlignment="1">
      <alignment horizontal="center" wrapText="1"/>
    </xf>
    <xf numFmtId="168" fontId="18" fillId="0" borderId="0" xfId="10" applyNumberFormat="1" applyFont="1" applyFill="1"/>
    <xf numFmtId="1" fontId="18" fillId="0" borderId="0" xfId="23" applyNumberFormat="1" applyFont="1" applyFill="1"/>
    <xf numFmtId="168" fontId="18" fillId="0" borderId="2" xfId="10" applyNumberFormat="1" applyFont="1" applyFill="1" applyBorder="1"/>
    <xf numFmtId="168" fontId="18" fillId="0" borderId="0" xfId="10" applyNumberFormat="1" applyFont="1"/>
    <xf numFmtId="1" fontId="18" fillId="0" borderId="0" xfId="23" applyNumberFormat="1"/>
    <xf numFmtId="168" fontId="18" fillId="0" borderId="2" xfId="10" applyNumberFormat="1" applyFont="1" applyBorder="1"/>
    <xf numFmtId="168" fontId="18" fillId="0" borderId="33" xfId="10" applyNumberFormat="1" applyFont="1" applyBorder="1"/>
    <xf numFmtId="168" fontId="18" fillId="0" borderId="1" xfId="10" applyNumberFormat="1" applyFont="1" applyBorder="1"/>
    <xf numFmtId="168" fontId="33" fillId="0" borderId="31" xfId="10" applyNumberFormat="1" applyFont="1" applyFill="1" applyBorder="1"/>
    <xf numFmtId="168" fontId="33" fillId="0" borderId="24" xfId="10" applyNumberFormat="1" applyFont="1" applyFill="1" applyBorder="1"/>
    <xf numFmtId="0" fontId="37" fillId="0" borderId="0" xfId="0" applyFont="1" applyAlignment="1">
      <alignment horizontal="left" vertical="top" wrapText="1"/>
    </xf>
    <xf numFmtId="0" fontId="97" fillId="0" borderId="0" xfId="0" applyFont="1" applyAlignment="1">
      <alignment horizontal="center"/>
    </xf>
    <xf numFmtId="0" fontId="33" fillId="0" borderId="0" xfId="0" applyFont="1" applyAlignment="1">
      <alignment horizontal="center"/>
    </xf>
    <xf numFmtId="0" fontId="38" fillId="0" borderId="0" xfId="0" applyFont="1" applyAlignment="1">
      <alignment horizontal="center"/>
    </xf>
    <xf numFmtId="0" fontId="38" fillId="0" borderId="0" xfId="19" applyFont="1" applyAlignment="1">
      <alignment horizontal="center"/>
    </xf>
    <xf numFmtId="3" fontId="33" fillId="0" borderId="16" xfId="23" applyNumberFormat="1" applyFont="1" applyFill="1" applyBorder="1" applyAlignment="1">
      <alignment horizontal="center"/>
    </xf>
    <xf numFmtId="3" fontId="32" fillId="0" borderId="0" xfId="23" applyNumberFormat="1" applyFont="1" applyFill="1" applyBorder="1" applyAlignment="1">
      <alignment horizontal="center"/>
    </xf>
    <xf numFmtId="3" fontId="96" fillId="0" borderId="13" xfId="23" applyNumberFormat="1" applyFont="1" applyFill="1" applyBorder="1" applyAlignment="1">
      <alignment horizontal="center"/>
    </xf>
    <xf numFmtId="10" fontId="59" fillId="0" borderId="0" xfId="42" applyNumberFormat="1" applyFont="1" applyFill="1" applyBorder="1" applyAlignment="1">
      <alignment horizontal="center"/>
    </xf>
    <xf numFmtId="3" fontId="19" fillId="0" borderId="0" xfId="0" applyNumberFormat="1" applyFont="1" applyFill="1" applyBorder="1" applyAlignment="1">
      <alignment horizontal="center"/>
    </xf>
    <xf numFmtId="3" fontId="96" fillId="0" borderId="0" xfId="0" applyNumberFormat="1" applyFont="1" applyFill="1" applyBorder="1" applyAlignment="1">
      <alignment horizontal="center"/>
    </xf>
    <xf numFmtId="3" fontId="32" fillId="0" borderId="0" xfId="0" applyNumberFormat="1" applyFont="1" applyFill="1" applyBorder="1" applyAlignment="1">
      <alignment horizontal="center"/>
    </xf>
    <xf numFmtId="3" fontId="19" fillId="0" borderId="0" xfId="0" applyNumberFormat="1" applyFont="1" applyFill="1" applyAlignment="1">
      <alignment horizontal="left" vertical="top"/>
    </xf>
    <xf numFmtId="3" fontId="59" fillId="0" borderId="0" xfId="0" applyNumberFormat="1" applyFont="1" applyFill="1" applyBorder="1" applyAlignment="1">
      <alignment horizontal="center"/>
    </xf>
    <xf numFmtId="3" fontId="33" fillId="0" borderId="0" xfId="0" applyNumberFormat="1" applyFont="1" applyFill="1" applyBorder="1" applyAlignment="1">
      <alignment horizontal="center"/>
    </xf>
    <xf numFmtId="0" fontId="69" fillId="0" borderId="13" xfId="143" applyFont="1" applyBorder="1" applyAlignment="1">
      <alignment horizontal="center"/>
    </xf>
    <xf numFmtId="0" fontId="40" fillId="0" borderId="0" xfId="23" applyFont="1" applyAlignment="1">
      <alignment wrapText="1"/>
    </xf>
    <xf numFmtId="7" fontId="50" fillId="0" borderId="0" xfId="23" applyNumberFormat="1" applyFont="1" applyAlignment="1">
      <alignment wrapText="1"/>
    </xf>
    <xf numFmtId="0" fontId="18" fillId="0" borderId="0" xfId="23"/>
    <xf numFmtId="0" fontId="63" fillId="0" borderId="0" xfId="36" applyFont="1" applyAlignment="1">
      <alignment horizontal="center" wrapText="1"/>
    </xf>
    <xf numFmtId="0" fontId="73" fillId="0" borderId="0" xfId="36" applyAlignment="1">
      <alignment horizontal="center"/>
    </xf>
    <xf numFmtId="3" fontId="59" fillId="0" borderId="0" xfId="23" applyNumberFormat="1" applyFont="1" applyFill="1" applyAlignment="1">
      <alignment horizontal="center" wrapText="1"/>
    </xf>
    <xf numFmtId="0" fontId="18" fillId="0" borderId="0" xfId="23" applyAlignment="1">
      <alignment horizontal="center"/>
    </xf>
    <xf numFmtId="0" fontId="18" fillId="0" borderId="0" xfId="23" applyFont="1" applyBorder="1" applyAlignment="1">
      <alignment horizontal="center"/>
    </xf>
    <xf numFmtId="0" fontId="18" fillId="0" borderId="0" xfId="23" applyFont="1" applyFill="1" applyBorder="1" applyAlignment="1">
      <alignment horizontal="center"/>
    </xf>
    <xf numFmtId="0" fontId="18" fillId="0" borderId="1" xfId="23" applyFont="1" applyFill="1" applyBorder="1" applyAlignment="1">
      <alignment horizontal="center"/>
    </xf>
    <xf numFmtId="0" fontId="18" fillId="0" borderId="1" xfId="23" applyFill="1" applyBorder="1" applyAlignment="1">
      <alignment horizontal="center"/>
    </xf>
    <xf numFmtId="0" fontId="21" fillId="0" borderId="0" xfId="23" applyFont="1" applyAlignment="1">
      <alignment horizontal="center"/>
    </xf>
  </cellXfs>
  <cellStyles count="151">
    <cellStyle name="Comma" xfId="1" builtinId="3"/>
    <cellStyle name="Comma [0] 2" xfId="2"/>
    <cellStyle name="Comma 10" xfId="135"/>
    <cellStyle name="Comma 11" xfId="150"/>
    <cellStyle name="Comma 12" xfId="129"/>
    <cellStyle name="Comma 13" xfId="134"/>
    <cellStyle name="Comma 14" xfId="124"/>
    <cellStyle name="Comma 2" xfId="3"/>
    <cellStyle name="Comma 2 2" xfId="4"/>
    <cellStyle name="Comma 3" xfId="5"/>
    <cellStyle name="Comma 3 2" xfId="55"/>
    <cellStyle name="Comma 4" xfId="6"/>
    <cellStyle name="Comma 4 2" xfId="7"/>
    <cellStyle name="Comma 4 2 2" xfId="86"/>
    <cellStyle name="Comma 4 3" xfId="85"/>
    <cellStyle name="Comma 5" xfId="8"/>
    <cellStyle name="Comma 5 2" xfId="87"/>
    <cellStyle name="Comma 6" xfId="9"/>
    <cellStyle name="Comma 6 2" xfId="83"/>
    <cellStyle name="Comma 7" xfId="53"/>
    <cellStyle name="Comma 7 2" xfId="104"/>
    <cellStyle name="Comma 7 2 2" xfId="147"/>
    <cellStyle name="Comma 7 3" xfId="132"/>
    <cellStyle name="Comma 7 4" xfId="117"/>
    <cellStyle name="Comma 8" xfId="84"/>
    <cellStyle name="Comma 9" xfId="120"/>
    <cellStyle name="Currency" xfId="10" builtinId="4"/>
    <cellStyle name="Currency 2" xfId="11"/>
    <cellStyle name="Currency 2 2" xfId="12"/>
    <cellStyle name="Currency 2 3" xfId="56"/>
    <cellStyle name="Currency 3" xfId="13"/>
    <cellStyle name="Currency 3 2" xfId="57"/>
    <cellStyle name="Currency 3 3" xfId="88"/>
    <cellStyle name="Currency 4" xfId="58"/>
    <cellStyle name="Currency 5" xfId="59"/>
    <cellStyle name="Followed Hyperlink" xfId="14" builtinId="9"/>
    <cellStyle name="Followed Hyperlink 2" xfId="15"/>
    <cellStyle name="Followed Hyperlink 2 2" xfId="89"/>
    <cellStyle name="Followed Hyperlink 2 3" xfId="78"/>
    <cellStyle name="Followed Hyperlink 3" xfId="77"/>
    <cellStyle name="Hyperlink" xfId="76" builtinId="8" customBuiltin="1"/>
    <cellStyle name="Hyperlink 2" xfId="16"/>
    <cellStyle name="Hyperlink 2 2" xfId="90"/>
    <cellStyle name="Hyperlink 2 3" xfId="79"/>
    <cellStyle name="Hyperlink 3" xfId="17"/>
    <cellStyle name="Manual-Input" xfId="18"/>
    <cellStyle name="Normal" xfId="0" builtinId="0"/>
    <cellStyle name="Normal 10" xfId="19"/>
    <cellStyle name="Normal 10 2" xfId="91"/>
    <cellStyle name="Normal 10 2 2" xfId="138"/>
    <cellStyle name="Normal 10 2 3" xfId="108"/>
    <cellStyle name="Normal 10 3" xfId="81"/>
    <cellStyle name="Normal 10 3 2" xfId="137"/>
    <cellStyle name="Normal 10 4" xfId="121"/>
    <cellStyle name="Normal 10 5" xfId="107"/>
    <cellStyle name="Normal 11" xfId="20"/>
    <cellStyle name="Normal 11 2" xfId="92"/>
    <cellStyle name="Normal 11 2 2" xfId="139"/>
    <cellStyle name="Normal 11 3" xfId="122"/>
    <cellStyle name="Normal 11 4" xfId="109"/>
    <cellStyle name="Normal 12" xfId="51"/>
    <cellStyle name="Normal 12 2" xfId="102"/>
    <cellStyle name="Normal 12 2 2" xfId="145"/>
    <cellStyle name="Normal 12 3" xfId="130"/>
    <cellStyle name="Normal 12 4" xfId="115"/>
    <cellStyle name="Normal 2" xfId="21"/>
    <cellStyle name="Normal 2 2" xfId="22"/>
    <cellStyle name="Normal 2 2 2" xfId="75"/>
    <cellStyle name="Normal 2 2 3" xfId="94"/>
    <cellStyle name="Normal 2 2 3 2" xfId="140"/>
    <cellStyle name="Normal 2 2 3 3" xfId="110"/>
    <cellStyle name="Normal 2 2 4" xfId="123"/>
    <cellStyle name="Normal 2 3" xfId="23"/>
    <cellStyle name="Normal 2 4" xfId="54"/>
    <cellStyle name="Normal 2 4 2" xfId="105"/>
    <cellStyle name="Normal 2 4 2 2" xfId="148"/>
    <cellStyle name="Normal 2 4 3" xfId="133"/>
    <cellStyle name="Normal 2 4 4" xfId="118"/>
    <cellStyle name="Normal 2 5" xfId="72"/>
    <cellStyle name="Normal 2 5 2" xfId="106"/>
    <cellStyle name="Normal 2 5 2 2" xfId="149"/>
    <cellStyle name="Normal 2 5 3" xfId="136"/>
    <cellStyle name="Normal 2 5 4" xfId="119"/>
    <cellStyle name="Normal 2 6" xfId="93"/>
    <cellStyle name="Normal 2 7" xfId="80"/>
    <cellStyle name="Normal 2_Gas CBR Summary" xfId="24"/>
    <cellStyle name="Normal 3" xfId="25"/>
    <cellStyle name="Normal 3 2" xfId="26"/>
    <cellStyle name="Normal 3 3" xfId="73"/>
    <cellStyle name="Normal 3_Gas CBR Summary" xfId="27"/>
    <cellStyle name="Normal 4" xfId="28"/>
    <cellStyle name="Normal 5" xfId="29"/>
    <cellStyle name="Normal 5 2" xfId="30"/>
    <cellStyle name="Normal 5 2 2" xfId="31"/>
    <cellStyle name="Normal 5_GRCW" xfId="60"/>
    <cellStyle name="Normal 6" xfId="32"/>
    <cellStyle name="Normal 6 2" xfId="74"/>
    <cellStyle name="Normal 7" xfId="33"/>
    <cellStyle name="Normal 7 2" xfId="34"/>
    <cellStyle name="Normal 7 2 2" xfId="35"/>
    <cellStyle name="Normal 7 2 2 2" xfId="97"/>
    <cellStyle name="Normal 7 2 2 2 2" xfId="143"/>
    <cellStyle name="Normal 7 2 2 3" xfId="127"/>
    <cellStyle name="Normal 7 2 2 4" xfId="113"/>
    <cellStyle name="Normal 7 2 3" xfId="96"/>
    <cellStyle name="Normal 7 2 3 2" xfId="142"/>
    <cellStyle name="Normal 7 2 4" xfId="126"/>
    <cellStyle name="Normal 7 2 5" xfId="112"/>
    <cellStyle name="Normal 7 3" xfId="95"/>
    <cellStyle name="Normal 7 3 2" xfId="141"/>
    <cellStyle name="Normal 7 4" xfId="125"/>
    <cellStyle name="Normal 7 5" xfId="111"/>
    <cellStyle name="Normal 8" xfId="36"/>
    <cellStyle name="Normal 9" xfId="37"/>
    <cellStyle name="Normal 9 2" xfId="98"/>
    <cellStyle name="Normal 9 2 2" xfId="144"/>
    <cellStyle name="Normal 9 3" xfId="128"/>
    <cellStyle name="Normal 9 4" xfId="114"/>
    <cellStyle name="Normal_DFIT-WaEle_SUM" xfId="38"/>
    <cellStyle name="Normal_IDGas6_97" xfId="39"/>
    <cellStyle name="Normal_WAElec6_97" xfId="40"/>
    <cellStyle name="Normal_WAGas6_97 2" xfId="41"/>
    <cellStyle name="Percent" xfId="42" builtinId="5"/>
    <cellStyle name="Percent 2" xfId="43"/>
    <cellStyle name="Percent 2 2" xfId="44"/>
    <cellStyle name="Percent 3" xfId="45"/>
    <cellStyle name="Percent 3 2" xfId="61"/>
    <cellStyle name="Percent 3 3" xfId="62"/>
    <cellStyle name="Percent 3 4" xfId="99"/>
    <cellStyle name="Percent 4" xfId="46"/>
    <cellStyle name="Percent 5" xfId="47"/>
    <cellStyle name="Percent 5 2" xfId="100"/>
    <cellStyle name="Percent 6" xfId="48"/>
    <cellStyle name="Percent 6 2" xfId="101"/>
    <cellStyle name="Percent 7" xfId="49"/>
    <cellStyle name="Percent 7 2" xfId="82"/>
    <cellStyle name="Percent 8" xfId="50"/>
    <cellStyle name="Percent 9" xfId="52"/>
    <cellStyle name="Percent 9 2" xfId="103"/>
    <cellStyle name="Percent 9 2 2" xfId="146"/>
    <cellStyle name="Percent 9 3" xfId="131"/>
    <cellStyle name="Percent 9 4" xfId="116"/>
    <cellStyle name="PS_Comma" xfId="63"/>
    <cellStyle name="PSChar" xfId="64"/>
    <cellStyle name="PSDate" xfId="65"/>
    <cellStyle name="PSDec" xfId="66"/>
    <cellStyle name="PSHeading" xfId="67"/>
    <cellStyle name="PSInt" xfId="68"/>
    <cellStyle name="PSSpacer" xfId="69"/>
    <cellStyle name="WM_STANDARD" xfId="70"/>
    <cellStyle name="WMI_Standard" xfId="71"/>
  </cellStyles>
  <dxfs count="3">
    <dxf>
      <fill>
        <patternFill>
          <bgColor indexed="29"/>
        </patternFill>
      </fill>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1" defaultTableStyle="TableStyleMedium9" defaultPivotStyle="PivotStyleLight16">
    <tableStyle name="Table Style 1" pivot="0" count="2">
      <tableStyleElement type="wholeTable" dxfId="2"/>
      <tableStyleElement type="headerRow" dxfId="1"/>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Net</a:t>
            </a:r>
            <a:r>
              <a:rPr lang="en-US" baseline="0"/>
              <a:t> Plant after DFIT (electric)</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Net Plant after DFIT'!$A$5</c:f>
              <c:strCache>
                <c:ptCount val="1"/>
                <c:pt idx="0">
                  <c:v>Net Plant after DFIT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0388196508549015"/>
                  <c:y val="0.158234234234234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Net Plant after DFIT'!$B$4:$N$4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Net Plant after DFIT'!$B$5:$N$5</c:f>
              <c:numCache>
                <c:formatCode>#,##0_);\(#,##0\)</c:formatCode>
                <c:ptCount val="13"/>
                <c:pt idx="0">
                  <c:v>662278</c:v>
                </c:pt>
                <c:pt idx="1">
                  <c:v>739502</c:v>
                </c:pt>
                <c:pt idx="2">
                  <c:v>720602</c:v>
                </c:pt>
                <c:pt idx="3">
                  <c:v>757756</c:v>
                </c:pt>
                <c:pt idx="4">
                  <c:v>799091</c:v>
                </c:pt>
                <c:pt idx="5">
                  <c:v>855712</c:v>
                </c:pt>
                <c:pt idx="6">
                  <c:v>870835</c:v>
                </c:pt>
                <c:pt idx="7">
                  <c:v>917247</c:v>
                </c:pt>
                <c:pt idx="8">
                  <c:v>987243</c:v>
                </c:pt>
                <c:pt idx="9">
                  <c:v>1036064</c:v>
                </c:pt>
                <c:pt idx="10">
                  <c:v>1087141</c:v>
                </c:pt>
                <c:pt idx="11">
                  <c:v>1131570</c:v>
                </c:pt>
                <c:pt idx="12">
                  <c:v>1195010</c:v>
                </c:pt>
              </c:numCache>
            </c:numRef>
          </c:yVal>
          <c:smooth val="0"/>
        </c:ser>
        <c:ser>
          <c:idx val="1"/>
          <c:order val="1"/>
          <c:tx>
            <c:strRef>
              <c:f>'Trends - Net Plant after DFIT'!$A$6</c:f>
              <c:strCache>
                <c:ptCount val="1"/>
                <c:pt idx="0">
                  <c:v>Net Plant after DFIT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21374215640263511"/>
                  <c:y val="0.3384144144144143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Net Plant after DFIT'!$B$4:$N$4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Net Plant after DFIT'!$B$6:$N$6</c:f>
              <c:numCache>
                <c:formatCode>General</c:formatCode>
                <c:ptCount val="13"/>
                <c:pt idx="6" formatCode="#,##0_);\(#,##0\)">
                  <c:v>870835</c:v>
                </c:pt>
                <c:pt idx="7" formatCode="#,##0_);\(#,##0\)">
                  <c:v>917247</c:v>
                </c:pt>
                <c:pt idx="8" formatCode="#,##0_);\(#,##0\)">
                  <c:v>987243</c:v>
                </c:pt>
                <c:pt idx="9" formatCode="#,##0_);\(#,##0\)">
                  <c:v>1036064</c:v>
                </c:pt>
                <c:pt idx="10" formatCode="#,##0_);\(#,##0\)">
                  <c:v>1087141</c:v>
                </c:pt>
                <c:pt idx="11" formatCode="#,##0_);\(#,##0\)">
                  <c:v>1131570</c:v>
                </c:pt>
                <c:pt idx="12" formatCode="#,##0_);\(#,##0\)">
                  <c:v>1195010</c:v>
                </c:pt>
              </c:numCache>
            </c:numRef>
          </c:yVal>
          <c:smooth val="0"/>
        </c:ser>
        <c:dLbls>
          <c:showLegendKey val="0"/>
          <c:showVal val="0"/>
          <c:showCatName val="0"/>
          <c:showSerName val="0"/>
          <c:showPercent val="0"/>
          <c:showBubbleSize val="0"/>
        </c:dLbls>
        <c:axId val="297408688"/>
        <c:axId val="297413392"/>
      </c:scatterChart>
      <c:valAx>
        <c:axId val="297408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413392"/>
        <c:crosses val="autoZero"/>
        <c:crossBetween val="midCat"/>
      </c:valAx>
      <c:valAx>
        <c:axId val="297413392"/>
        <c:scaling>
          <c:orientation val="minMax"/>
          <c:max val="1200000"/>
          <c:min val="6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Plant after DFIT (x $1,000)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4086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Other Revenue (Electric)</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Other Rev'!$A$5</c:f>
              <c:strCache>
                <c:ptCount val="1"/>
                <c:pt idx="0">
                  <c:v>Adjusted Other Revenue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2781516863706158"/>
                  <c:y val="6.6269258715541913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Other Rev'!$B$4:$N$4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Other Rev'!$B$5:$N$5</c:f>
              <c:numCache>
                <c:formatCode>#,##0_);\(#,##0\)</c:formatCode>
                <c:ptCount val="13"/>
                <c:pt idx="0">
                  <c:v>2162</c:v>
                </c:pt>
                <c:pt idx="1">
                  <c:v>1866</c:v>
                </c:pt>
                <c:pt idx="2">
                  <c:v>2536</c:v>
                </c:pt>
                <c:pt idx="3">
                  <c:v>2779</c:v>
                </c:pt>
                <c:pt idx="4">
                  <c:v>3442.8862000000008</c:v>
                </c:pt>
                <c:pt idx="5">
                  <c:v>2956</c:v>
                </c:pt>
                <c:pt idx="6">
                  <c:v>3073</c:v>
                </c:pt>
                <c:pt idx="7">
                  <c:v>2875</c:v>
                </c:pt>
                <c:pt idx="8">
                  <c:v>2813.6201999999994</c:v>
                </c:pt>
                <c:pt idx="9">
                  <c:v>2813.1288000000004</c:v>
                </c:pt>
                <c:pt idx="10">
                  <c:v>2812.3060000000005</c:v>
                </c:pt>
                <c:pt idx="11">
                  <c:v>3314.6805999999997</c:v>
                </c:pt>
                <c:pt idx="12">
                  <c:v>3464</c:v>
                </c:pt>
              </c:numCache>
            </c:numRef>
          </c:yVal>
          <c:smooth val="0"/>
        </c:ser>
        <c:ser>
          <c:idx val="1"/>
          <c:order val="1"/>
          <c:tx>
            <c:strRef>
              <c:f>'Trends - Adj Other Rev'!$A$6</c:f>
              <c:strCache>
                <c:ptCount val="1"/>
                <c:pt idx="0">
                  <c:v>Adjusted Other Revenue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7.1992708404244862E-2"/>
                  <c:y val="0.1094603852484541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Other Rev'!$B$4:$N$4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Other Rev'!$B$6:$N$6</c:f>
              <c:numCache>
                <c:formatCode>General</c:formatCode>
                <c:ptCount val="13"/>
                <c:pt idx="6" formatCode="#,##0_);\(#,##0\)">
                  <c:v>3073</c:v>
                </c:pt>
                <c:pt idx="7" formatCode="#,##0_);\(#,##0\)">
                  <c:v>2875</c:v>
                </c:pt>
                <c:pt idx="8" formatCode="#,##0_);\(#,##0\)">
                  <c:v>2813.6201999999994</c:v>
                </c:pt>
                <c:pt idx="9" formatCode="#,##0_);\(#,##0\)">
                  <c:v>2813.1288000000004</c:v>
                </c:pt>
                <c:pt idx="10" formatCode="#,##0_);\(#,##0\)">
                  <c:v>2812.3060000000005</c:v>
                </c:pt>
                <c:pt idx="11" formatCode="#,##0_);\(#,##0\)">
                  <c:v>3314.6805999999997</c:v>
                </c:pt>
                <c:pt idx="12" formatCode="#,##0_);\(#,##0\)">
                  <c:v>3464</c:v>
                </c:pt>
              </c:numCache>
            </c:numRef>
          </c:yVal>
          <c:smooth val="0"/>
        </c:ser>
        <c:dLbls>
          <c:showLegendKey val="0"/>
          <c:showVal val="0"/>
          <c:showCatName val="0"/>
          <c:showSerName val="0"/>
          <c:showPercent val="0"/>
          <c:showBubbleSize val="0"/>
        </c:dLbls>
        <c:axId val="434198720"/>
        <c:axId val="434197152"/>
      </c:scatterChart>
      <c:valAx>
        <c:axId val="434198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7152"/>
        <c:crosses val="autoZero"/>
        <c:crossBetween val="midCat"/>
      </c:valAx>
      <c:valAx>
        <c:axId val="434197152"/>
        <c:scaling>
          <c:orientation val="minMax"/>
          <c:max val="3600"/>
          <c:min val="1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Revenue</a:t>
                </a:r>
                <a:r>
                  <a:rPr lang="en-US" baseline="0"/>
                  <a:t> (x $1,000)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87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Taxes other than Income (electric)</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Taxes'!$A$5</c:f>
              <c:strCache>
                <c:ptCount val="1"/>
                <c:pt idx="0">
                  <c:v>Adj Taxes other than Income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1276926183043688"/>
                  <c:y val="0.1755518450398221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Taxes'!$B$4:$N$4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Taxes'!$B$5:$N$5</c:f>
              <c:numCache>
                <c:formatCode>#,##0_);\(#,##0\)</c:formatCode>
                <c:ptCount val="13"/>
                <c:pt idx="0">
                  <c:v>20455.293599970671</c:v>
                </c:pt>
                <c:pt idx="1">
                  <c:v>24219.468799136816</c:v>
                </c:pt>
                <c:pt idx="2">
                  <c:v>24018.439212030109</c:v>
                </c:pt>
                <c:pt idx="3">
                  <c:v>24687</c:v>
                </c:pt>
                <c:pt idx="4">
                  <c:v>24996.242027012875</c:v>
                </c:pt>
                <c:pt idx="5">
                  <c:v>25422</c:v>
                </c:pt>
                <c:pt idx="6">
                  <c:v>24422.193309601087</c:v>
                </c:pt>
                <c:pt idx="7">
                  <c:v>25215.167948905873</c:v>
                </c:pt>
                <c:pt idx="8">
                  <c:v>26617.424405821377</c:v>
                </c:pt>
                <c:pt idx="9">
                  <c:v>29412.477627473563</c:v>
                </c:pt>
                <c:pt idx="10">
                  <c:v>32613.966947797297</c:v>
                </c:pt>
                <c:pt idx="11">
                  <c:v>33714.92312405508</c:v>
                </c:pt>
                <c:pt idx="12">
                  <c:v>36201</c:v>
                </c:pt>
              </c:numCache>
            </c:numRef>
          </c:yVal>
          <c:smooth val="0"/>
        </c:ser>
        <c:ser>
          <c:idx val="1"/>
          <c:order val="1"/>
          <c:tx>
            <c:strRef>
              <c:f>'Trends - Adj Taxes'!$A$6</c:f>
              <c:strCache>
                <c:ptCount val="1"/>
                <c:pt idx="0">
                  <c:v>Adj Taxes other than Income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17966902873020377"/>
                  <c:y val="0.4567655227165495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Taxes'!$B$4:$N$4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Taxes'!$B$6:$N$6</c:f>
              <c:numCache>
                <c:formatCode>General</c:formatCode>
                <c:ptCount val="13"/>
                <c:pt idx="6" formatCode="#,##0_);\(#,##0\)">
                  <c:v>24422.193309601087</c:v>
                </c:pt>
                <c:pt idx="7" formatCode="#,##0_);\(#,##0\)">
                  <c:v>25215.167948905873</c:v>
                </c:pt>
                <c:pt idx="8" formatCode="#,##0_);\(#,##0\)">
                  <c:v>26617.424405821377</c:v>
                </c:pt>
                <c:pt idx="9" formatCode="#,##0_);\(#,##0\)">
                  <c:v>29412.477627473563</c:v>
                </c:pt>
                <c:pt idx="10" formatCode="#,##0_);\(#,##0\)">
                  <c:v>32613.966947797297</c:v>
                </c:pt>
                <c:pt idx="11" formatCode="#,##0_);\(#,##0\)">
                  <c:v>33714.92312405508</c:v>
                </c:pt>
                <c:pt idx="12" formatCode="#,##0_);\(#,##0\)">
                  <c:v>36201</c:v>
                </c:pt>
              </c:numCache>
            </c:numRef>
          </c:yVal>
          <c:smooth val="0"/>
        </c:ser>
        <c:dLbls>
          <c:showLegendKey val="0"/>
          <c:showVal val="0"/>
          <c:showCatName val="0"/>
          <c:showSerName val="0"/>
          <c:showPercent val="0"/>
          <c:showBubbleSize val="0"/>
        </c:dLbls>
        <c:axId val="434199112"/>
        <c:axId val="434197936"/>
      </c:scatterChart>
      <c:valAx>
        <c:axId val="434199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7936"/>
        <c:crosses val="autoZero"/>
        <c:crossBetween val="midCat"/>
      </c:valAx>
      <c:valAx>
        <c:axId val="434197936"/>
        <c:scaling>
          <c:orientation val="minMax"/>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Adjusted</a:t>
                </a:r>
                <a:r>
                  <a:rPr lang="en-US" baseline="0"/>
                  <a:t> Taxes (x $1,000)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9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Depreciation/</a:t>
            </a:r>
            <a:r>
              <a:rPr lang="en-US" baseline="0"/>
              <a:t> Amortization</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Dep Amort'!$A$5</c:f>
              <c:strCache>
                <c:ptCount val="1"/>
                <c:pt idx="0">
                  <c:v>Adj Depreciation/Amortization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3813620071684589"/>
                  <c:y val="0.1708497107431521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Dep Amort'!$B$4:$N$4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Dep Amort'!$B$5:$N$5</c:f>
              <c:numCache>
                <c:formatCode>#,##0_);\(#,##0\)</c:formatCode>
                <c:ptCount val="13"/>
                <c:pt idx="0">
                  <c:v>28794</c:v>
                </c:pt>
                <c:pt idx="1">
                  <c:v>36190</c:v>
                </c:pt>
                <c:pt idx="2">
                  <c:v>36934</c:v>
                </c:pt>
                <c:pt idx="3">
                  <c:v>38451</c:v>
                </c:pt>
                <c:pt idx="4">
                  <c:v>39565</c:v>
                </c:pt>
                <c:pt idx="5">
                  <c:v>41812</c:v>
                </c:pt>
                <c:pt idx="6">
                  <c:v>42949</c:v>
                </c:pt>
                <c:pt idx="7">
                  <c:v>45874</c:v>
                </c:pt>
                <c:pt idx="8">
                  <c:v>48466</c:v>
                </c:pt>
                <c:pt idx="9">
                  <c:v>52270</c:v>
                </c:pt>
                <c:pt idx="10">
                  <c:v>55304</c:v>
                </c:pt>
                <c:pt idx="11">
                  <c:v>58946</c:v>
                </c:pt>
                <c:pt idx="12">
                  <c:v>60311</c:v>
                </c:pt>
              </c:numCache>
            </c:numRef>
          </c:yVal>
          <c:smooth val="0"/>
        </c:ser>
        <c:ser>
          <c:idx val="1"/>
          <c:order val="1"/>
          <c:tx>
            <c:strRef>
              <c:f>'Trends - Dep Amort'!$A$6</c:f>
              <c:strCache>
                <c:ptCount val="1"/>
                <c:pt idx="0">
                  <c:v>Adj Depreciation/Amortization (2007-2013)</c:v>
                </c:pt>
              </c:strCache>
            </c:strRef>
          </c:tx>
          <c:spPr>
            <a:ln w="28575"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0.27863799283154123"/>
                  <c:y val="0.3879690868799267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Dep Amort'!$B$4:$N$4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Dep Amort'!$B$6:$N$6</c:f>
              <c:numCache>
                <c:formatCode>General</c:formatCode>
                <c:ptCount val="13"/>
                <c:pt idx="6" formatCode="#,##0_);\(#,##0\)">
                  <c:v>42949</c:v>
                </c:pt>
                <c:pt idx="7" formatCode="#,##0_);\(#,##0\)">
                  <c:v>45874</c:v>
                </c:pt>
                <c:pt idx="8" formatCode="#,##0_);\(#,##0\)">
                  <c:v>48466</c:v>
                </c:pt>
                <c:pt idx="9" formatCode="#,##0_);\(#,##0\)">
                  <c:v>52270</c:v>
                </c:pt>
                <c:pt idx="10" formatCode="#,##0_);\(#,##0\)">
                  <c:v>55304</c:v>
                </c:pt>
                <c:pt idx="11" formatCode="#,##0_);\(#,##0\)">
                  <c:v>58946</c:v>
                </c:pt>
                <c:pt idx="12" formatCode="#,##0_);\(#,##0\)">
                  <c:v>60311</c:v>
                </c:pt>
              </c:numCache>
            </c:numRef>
          </c:yVal>
          <c:smooth val="0"/>
        </c:ser>
        <c:dLbls>
          <c:showLegendKey val="0"/>
          <c:showVal val="0"/>
          <c:showCatName val="0"/>
          <c:showSerName val="0"/>
          <c:showPercent val="0"/>
          <c:showBubbleSize val="0"/>
        </c:dLbls>
        <c:axId val="434198328"/>
        <c:axId val="434199504"/>
      </c:scatterChart>
      <c:valAx>
        <c:axId val="4341983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9504"/>
        <c:crosses val="autoZero"/>
        <c:crossBetween val="midCat"/>
      </c:valAx>
      <c:valAx>
        <c:axId val="434199504"/>
        <c:scaling>
          <c:orientation val="minMax"/>
          <c:max val="70000"/>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Annual Depreciation/Amortization</a:t>
                </a:r>
                <a:r>
                  <a:rPr lang="en-US" baseline="0"/>
                  <a:t> (x $1,000)</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832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Adjusted</a:t>
            </a:r>
            <a:r>
              <a:rPr lang="en-US" baseline="0"/>
              <a:t> Operating Expense (2001-2013, omitting 2009-2012)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'Trends - Adj Op Exp'!$A$8</c:f>
              <c:strCache>
                <c:ptCount val="1"/>
                <c:pt idx="0">
                  <c:v>Adjusted Operating Expense (2001-2013)</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40350487339242341"/>
                  <c:y val="0.1618542921525451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'Trends - Adj Op Exp'!$B$4:$N$4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Op Exp'!$B$8:$N$8</c:f>
              <c:numCache>
                <c:formatCode>#,##0_);\(#,##0\)</c:formatCode>
                <c:ptCount val="13"/>
                <c:pt idx="0">
                  <c:v>66003.754964618871</c:v>
                </c:pt>
                <c:pt idx="1">
                  <c:v>75748.388958783995</c:v>
                </c:pt>
                <c:pt idx="2">
                  <c:v>73085.4995113162</c:v>
                </c:pt>
                <c:pt idx="3">
                  <c:v>82035</c:v>
                </c:pt>
                <c:pt idx="4">
                  <c:v>82829.326253093925</c:v>
                </c:pt>
                <c:pt idx="5">
                  <c:v>88828</c:v>
                </c:pt>
                <c:pt idx="6">
                  <c:v>92211.7999895299</c:v>
                </c:pt>
                <c:pt idx="7">
                  <c:v>99146.488212752593</c:v>
                </c:pt>
                <c:pt idx="12">
                  <c:v>128510</c:v>
                </c:pt>
              </c:numCache>
            </c:numRef>
          </c:yVal>
          <c:smooth val="0"/>
        </c:ser>
        <c:ser>
          <c:idx val="1"/>
          <c:order val="1"/>
          <c:tx>
            <c:strRef>
              <c:f>'Trends - Adj Op Exp'!$A$9</c:f>
              <c:strCache>
                <c:ptCount val="1"/>
                <c:pt idx="0">
                  <c:v>Adjusted Operating Expense (2009-2012)</c:v>
                </c:pt>
              </c:strCache>
            </c:strRef>
          </c:tx>
          <c:spPr>
            <a:ln w="28575" cap="rnd">
              <a:noFill/>
              <a:round/>
            </a:ln>
            <a:effectLst/>
          </c:spPr>
          <c:marker>
            <c:symbol val="circle"/>
            <c:size val="5"/>
            <c:spPr>
              <a:solidFill>
                <a:schemeClr val="accent2"/>
              </a:solidFill>
              <a:ln w="9525">
                <a:solidFill>
                  <a:schemeClr val="accent2"/>
                </a:solidFill>
              </a:ln>
              <a:effectLst/>
            </c:spPr>
          </c:marker>
          <c:xVal>
            <c:numRef>
              <c:f>'Trends - Adj Op Exp'!$B$4:$N$4</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xVal>
          <c:yVal>
            <c:numRef>
              <c:f>'Trends - Adj Op Exp'!$B$9:$N$9</c:f>
              <c:numCache>
                <c:formatCode>General</c:formatCode>
                <c:ptCount val="13"/>
                <c:pt idx="8" formatCode="#,##0_);\(#,##0\)">
                  <c:v>112721.20367903885</c:v>
                </c:pt>
                <c:pt idx="9" formatCode="#,##0_);\(#,##0\)">
                  <c:v>113649.52340035603</c:v>
                </c:pt>
                <c:pt idx="10" formatCode="#,##0_);\(#,##0\)">
                  <c:v>123418.7529832047</c:v>
                </c:pt>
                <c:pt idx="11" formatCode="#,##0_);\(#,##0\)">
                  <c:v>134596.85354937724</c:v>
                </c:pt>
              </c:numCache>
            </c:numRef>
          </c:yVal>
          <c:smooth val="0"/>
        </c:ser>
        <c:dLbls>
          <c:showLegendKey val="0"/>
          <c:showVal val="0"/>
          <c:showCatName val="0"/>
          <c:showSerName val="0"/>
          <c:showPercent val="0"/>
          <c:showBubbleSize val="0"/>
        </c:dLbls>
        <c:axId val="434200680"/>
        <c:axId val="434195584"/>
      </c:scatterChart>
      <c:valAx>
        <c:axId val="434200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195584"/>
        <c:crosses val="autoZero"/>
        <c:crossBetween val="midCat"/>
      </c:valAx>
      <c:valAx>
        <c:axId val="434195584"/>
        <c:scaling>
          <c:orientation val="minMax"/>
          <c:min val="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Adjusted</a:t>
                </a:r>
                <a:r>
                  <a:rPr lang="en-US" baseline="0"/>
                  <a:t> Operating Expense (x $1,000)</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42006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7620</xdr:colOff>
      <xdr:row>14</xdr:row>
      <xdr:rowOff>11430</xdr:rowOff>
    </xdr:from>
    <xdr:to>
      <xdr:col>10</xdr:col>
      <xdr:colOff>510540</xdr:colOff>
      <xdr:row>35</xdr:row>
      <xdr:rowOff>15240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26670</xdr:rowOff>
    </xdr:from>
    <xdr:to>
      <xdr:col>10</xdr:col>
      <xdr:colOff>487680</xdr:colOff>
      <xdr:row>34</xdr:row>
      <xdr:rowOff>144780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13</xdr:row>
      <xdr:rowOff>156210</xdr:rowOff>
    </xdr:from>
    <xdr:to>
      <xdr:col>11</xdr:col>
      <xdr:colOff>7620</xdr:colOff>
      <xdr:row>35</xdr:row>
      <xdr:rowOff>7620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13335</xdr:rowOff>
    </xdr:from>
    <xdr:to>
      <xdr:col>11</xdr:col>
      <xdr:colOff>0</xdr:colOff>
      <xdr:row>34</xdr:row>
      <xdr:rowOff>160020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17</xdr:row>
      <xdr:rowOff>11430</xdr:rowOff>
    </xdr:from>
    <xdr:to>
      <xdr:col>11</xdr:col>
      <xdr:colOff>38100</xdr:colOff>
      <xdr:row>37</xdr:row>
      <xdr:rowOff>160020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9525</xdr:colOff>
      <xdr:row>6</xdr:row>
      <xdr:rowOff>28575</xdr:rowOff>
    </xdr:from>
    <xdr:to>
      <xdr:col>12</xdr:col>
      <xdr:colOff>209550</xdr:colOff>
      <xdr:row>8</xdr:row>
      <xdr:rowOff>125730</xdr:rowOff>
    </xdr:to>
    <xdr:sp macro="" textlink="">
      <xdr:nvSpPr>
        <xdr:cNvPr id="2" name="AutoShape 15"/>
        <xdr:cNvSpPr>
          <a:spLocks/>
        </xdr:cNvSpPr>
      </xdr:nvSpPr>
      <xdr:spPr bwMode="auto">
        <a:xfrm>
          <a:off x="9686925" y="1028700"/>
          <a:ext cx="200025" cy="390525"/>
        </a:xfrm>
        <a:prstGeom prst="rightBrace">
          <a:avLst>
            <a:gd name="adj1" fmla="val 16270"/>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1m107\TARA\2013%20Misc\2014%20WA%20GRC%20prelim\EREV%20v1%2007%2003%20July%20Load%20Update%20(unadjus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iana%20Crapp/Local%20Settings/Temporary%20Internet%20Files/OLK47/From%20Avista/v16%20Electric%20Revenue%202012-2016%20-%20Res%20Exchang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rzk7kq/Local%20Settings/Temp/WA%20Elec%20Revenue%20-%20Rev%20Adj.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iana%20Crapp/Local%20Settings/Temporary%20Internet%20Files/OLK47/From%20Avista/WA%20Elec%20Revenue%20-%20wo%20schedule%20shif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Diana%20Crapp/Local%20Settings/Temporary%20Internet%20Files/OLK47/From%20Avista/2012%20WA%20Electric%20CBR%20Model%20%20(revised%20F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Tables"/>
      <sheetName val="Cust Load"/>
      <sheetName val="Unbilled"/>
      <sheetName val="Cal Load"/>
      <sheetName val="Rate Entry"/>
      <sheetName val="Rate Tables"/>
      <sheetName val="Manual Rev"/>
      <sheetName val="GRC"/>
      <sheetName val="Rev"/>
      <sheetName val="V2V"/>
      <sheetName val="EREV v1 07 03 July Load Update "/>
    </sheetNames>
    <sheetDataSet>
      <sheetData sheetId="0" refreshError="1"/>
      <sheetData sheetId="1">
        <row r="13">
          <cell r="B13">
            <v>41426</v>
          </cell>
        </row>
        <row r="16">
          <cell r="B16">
            <v>43435</v>
          </cell>
        </row>
        <row r="19">
          <cell r="B19">
            <v>41395</v>
          </cell>
        </row>
      </sheetData>
      <sheetData sheetId="2">
        <row r="3">
          <cell r="D3">
            <v>41426</v>
          </cell>
        </row>
      </sheetData>
      <sheetData sheetId="3"/>
      <sheetData sheetId="4" refreshError="1"/>
      <sheetData sheetId="5" refreshError="1"/>
      <sheetData sheetId="6"/>
      <sheetData sheetId="7"/>
      <sheetData sheetId="8" refreshError="1"/>
      <sheetData sheetId="9">
        <row r="2">
          <cell r="C2">
            <v>41426</v>
          </cell>
        </row>
        <row r="5">
          <cell r="B5">
            <v>1</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etup"/>
      <sheetName val="Load Forecast"/>
      <sheetName val="Unbilled"/>
      <sheetName val="2013 Calendar Loads"/>
      <sheetName val="Manual Rev"/>
      <sheetName val="Rates"/>
      <sheetName val="Rev Summary"/>
      <sheetName val="GRC"/>
      <sheetName val="Exp Summary"/>
      <sheetName val="Version compare"/>
    </sheetNames>
    <sheetDataSet>
      <sheetData sheetId="0"/>
      <sheetData sheetId="1">
        <row r="1">
          <cell r="B1" t="str">
            <v>ELECTRIC</v>
          </cell>
        </row>
        <row r="2">
          <cell r="B2">
            <v>2012</v>
          </cell>
        </row>
        <row r="3">
          <cell r="B3">
            <v>1</v>
          </cell>
        </row>
      </sheetData>
      <sheetData sheetId="2"/>
      <sheetData sheetId="3"/>
      <sheetData sheetId="4"/>
      <sheetData sheetId="5"/>
      <sheetData sheetId="6">
        <row r="121">
          <cell r="D121">
            <v>40664</v>
          </cell>
          <cell r="E121">
            <v>40848</v>
          </cell>
          <cell r="F121">
            <v>40909</v>
          </cell>
          <cell r="O121">
            <v>40664</v>
          </cell>
          <cell r="P121">
            <v>40817</v>
          </cell>
          <cell r="Q121">
            <v>41183</v>
          </cell>
        </row>
        <row r="122">
          <cell r="D122">
            <v>0</v>
          </cell>
          <cell r="E122">
            <v>0</v>
          </cell>
          <cell r="F122">
            <v>0</v>
          </cell>
          <cell r="O122">
            <v>0.53200000000000003</v>
          </cell>
          <cell r="P122">
            <v>7.1999999999999995E-2</v>
          </cell>
          <cell r="Q122">
            <v>7.1999999999999995E-2</v>
          </cell>
        </row>
        <row r="124">
          <cell r="D124">
            <v>5.4800000000000001E-2</v>
          </cell>
          <cell r="E124">
            <v>5.4800000000000001E-2</v>
          </cell>
          <cell r="F124">
            <v>5.4800000000000001E-2</v>
          </cell>
          <cell r="O124">
            <v>3.6400000000000002E-2</v>
          </cell>
          <cell r="P124">
            <v>3.6400000000000002E-2</v>
          </cell>
          <cell r="Q124">
            <v>3.6400000000000002E-2</v>
          </cell>
        </row>
        <row r="125">
          <cell r="D125">
            <v>-0.29799999999999999</v>
          </cell>
          <cell r="E125">
            <v>-0.29799999999999999</v>
          </cell>
          <cell r="F125">
            <v>-0.158</v>
          </cell>
          <cell r="O125">
            <v>-0.14699999999999999</v>
          </cell>
          <cell r="P125">
            <v>-0.33200000000000002</v>
          </cell>
          <cell r="Q125">
            <v>-0.33200000000000002</v>
          </cell>
        </row>
      </sheetData>
      <sheetData sheetId="7">
        <row r="2">
          <cell r="D2" t="str">
            <v>WARes001</v>
          </cell>
          <cell r="E2" t="str">
            <v>WA_001</v>
          </cell>
        </row>
        <row r="3">
          <cell r="D3">
            <v>1</v>
          </cell>
        </row>
        <row r="36">
          <cell r="B36">
            <v>0</v>
          </cell>
        </row>
        <row r="71">
          <cell r="F71" t="str">
            <v>WARes001</v>
          </cell>
        </row>
        <row r="172">
          <cell r="F172" t="str">
            <v>WARes001</v>
          </cell>
        </row>
        <row r="173">
          <cell r="F173" t="str">
            <v>WARes012</v>
          </cell>
        </row>
        <row r="174">
          <cell r="F174" t="str">
            <v>WARes022</v>
          </cell>
        </row>
        <row r="175">
          <cell r="F175" t="str">
            <v>WARes032</v>
          </cell>
        </row>
        <row r="176">
          <cell r="F176" t="str">
            <v>WARes04X</v>
          </cell>
        </row>
        <row r="177">
          <cell r="F177" t="str">
            <v>WARes095</v>
          </cell>
        </row>
        <row r="178">
          <cell r="F178" t="str">
            <v>WACom011</v>
          </cell>
        </row>
        <row r="179">
          <cell r="F179" t="str">
            <v>WACom021</v>
          </cell>
        </row>
        <row r="180">
          <cell r="F180" t="str">
            <v>WACom025</v>
          </cell>
        </row>
        <row r="181">
          <cell r="F181" t="str">
            <v>WACom031</v>
          </cell>
        </row>
        <row r="182">
          <cell r="F182" t="str">
            <v>WACom04X</v>
          </cell>
        </row>
        <row r="183">
          <cell r="F183" t="str">
            <v>WACom095</v>
          </cell>
        </row>
        <row r="184">
          <cell r="F184" t="str">
            <v>WAInd011</v>
          </cell>
        </row>
        <row r="185">
          <cell r="F185" t="str">
            <v>WAInd021</v>
          </cell>
        </row>
        <row r="186">
          <cell r="F186" t="str">
            <v>WAInd025</v>
          </cell>
        </row>
        <row r="187">
          <cell r="F187" t="str">
            <v>WAInd028</v>
          </cell>
        </row>
        <row r="188">
          <cell r="F188" t="str">
            <v>WAInd031</v>
          </cell>
        </row>
        <row r="189">
          <cell r="F189" t="str">
            <v>WAInd032</v>
          </cell>
        </row>
        <row r="190">
          <cell r="F190" t="str">
            <v>WAInd04X</v>
          </cell>
        </row>
        <row r="191">
          <cell r="F191" t="str">
            <v>WASL04X</v>
          </cell>
        </row>
        <row r="192">
          <cell r="F192" t="str">
            <v>WAIntdpt011</v>
          </cell>
        </row>
        <row r="193">
          <cell r="F193" t="str">
            <v>WAIntdpt021</v>
          </cell>
        </row>
        <row r="194">
          <cell r="F194" t="str">
            <v>IDRes001</v>
          </cell>
        </row>
        <row r="195">
          <cell r="F195" t="str">
            <v>IDRes012</v>
          </cell>
        </row>
        <row r="196">
          <cell r="F196" t="str">
            <v>IDRes022</v>
          </cell>
        </row>
        <row r="197">
          <cell r="F197" t="str">
            <v>IDRes032</v>
          </cell>
        </row>
        <row r="198">
          <cell r="F198" t="str">
            <v>IDRes04X</v>
          </cell>
        </row>
        <row r="199">
          <cell r="F199" t="str">
            <v>IDRes095</v>
          </cell>
        </row>
        <row r="200">
          <cell r="F200" t="str">
            <v>IDCom011</v>
          </cell>
        </row>
        <row r="201">
          <cell r="F201" t="str">
            <v>IDCom021</v>
          </cell>
        </row>
        <row r="202">
          <cell r="F202" t="str">
            <v>IDCom025</v>
          </cell>
        </row>
        <row r="203">
          <cell r="F203" t="str">
            <v>IDCom031</v>
          </cell>
        </row>
        <row r="204">
          <cell r="F204" t="str">
            <v>IDCom04X</v>
          </cell>
        </row>
        <row r="205">
          <cell r="F205" t="str">
            <v>IDCom095</v>
          </cell>
        </row>
        <row r="206">
          <cell r="F206" t="str">
            <v>IDInd011</v>
          </cell>
        </row>
        <row r="207">
          <cell r="F207" t="str">
            <v>IDInd021</v>
          </cell>
        </row>
        <row r="208">
          <cell r="F208" t="str">
            <v>IDInd025</v>
          </cell>
        </row>
        <row r="209">
          <cell r="F209" t="str">
            <v>IDInd025P</v>
          </cell>
        </row>
        <row r="210">
          <cell r="F210" t="str">
            <v>IDInd031</v>
          </cell>
        </row>
        <row r="211">
          <cell r="F211" t="str">
            <v>IDInd032</v>
          </cell>
        </row>
        <row r="212">
          <cell r="F212" t="str">
            <v>IDInd04X</v>
          </cell>
        </row>
        <row r="213">
          <cell r="F213" t="str">
            <v>IDSL04X</v>
          </cell>
        </row>
        <row r="214">
          <cell r="F214" t="str">
            <v>IDIntdpt011</v>
          </cell>
        </row>
        <row r="215">
          <cell r="F215" t="str">
            <v>IDIntdpt021</v>
          </cell>
        </row>
        <row r="273">
          <cell r="F273" t="str">
            <v>WARes001</v>
          </cell>
        </row>
        <row r="374">
          <cell r="F374" t="str">
            <v>WARes001</v>
          </cell>
        </row>
        <row r="475">
          <cell r="F475" t="str">
            <v>WARes001</v>
          </cell>
        </row>
        <row r="573">
          <cell r="F573" t="str">
            <v>WARes001</v>
          </cell>
        </row>
        <row r="574">
          <cell r="F574" t="str">
            <v>WARes012</v>
          </cell>
        </row>
        <row r="575">
          <cell r="F575" t="str">
            <v>WARes022</v>
          </cell>
        </row>
        <row r="576">
          <cell r="F576" t="str">
            <v>WARes032</v>
          </cell>
        </row>
        <row r="577">
          <cell r="F577" t="str">
            <v>WARes04X</v>
          </cell>
        </row>
        <row r="578">
          <cell r="F578" t="str">
            <v>WARes095</v>
          </cell>
        </row>
        <row r="579">
          <cell r="F579" t="str">
            <v>WACom011</v>
          </cell>
        </row>
        <row r="580">
          <cell r="F580" t="str">
            <v>WACom021</v>
          </cell>
        </row>
        <row r="581">
          <cell r="F581" t="str">
            <v>WACom025</v>
          </cell>
        </row>
        <row r="582">
          <cell r="F582" t="str">
            <v>WACom031</v>
          </cell>
        </row>
        <row r="583">
          <cell r="F583" t="str">
            <v>WACom04X</v>
          </cell>
        </row>
        <row r="584">
          <cell r="F584" t="str">
            <v>WACom095</v>
          </cell>
        </row>
        <row r="585">
          <cell r="F585" t="str">
            <v>WAInd011</v>
          </cell>
        </row>
        <row r="586">
          <cell r="F586" t="str">
            <v>WAInd021</v>
          </cell>
        </row>
        <row r="587">
          <cell r="F587" t="str">
            <v>WAInd025</v>
          </cell>
        </row>
        <row r="588">
          <cell r="F588" t="str">
            <v>WAInd028</v>
          </cell>
        </row>
        <row r="589">
          <cell r="F589" t="str">
            <v>WAInd031</v>
          </cell>
        </row>
        <row r="590">
          <cell r="F590" t="str">
            <v>WAInd032</v>
          </cell>
        </row>
        <row r="591">
          <cell r="F591" t="str">
            <v>WAInd04X</v>
          </cell>
        </row>
        <row r="592">
          <cell r="F592" t="str">
            <v>WASL04X</v>
          </cell>
        </row>
        <row r="593">
          <cell r="F593" t="str">
            <v>WAIntdpt011</v>
          </cell>
        </row>
        <row r="594">
          <cell r="F594" t="str">
            <v>WAIntdpt021</v>
          </cell>
        </row>
        <row r="595">
          <cell r="F595" t="str">
            <v>IDRes001</v>
          </cell>
        </row>
        <row r="596">
          <cell r="F596" t="str">
            <v>IDRes012</v>
          </cell>
        </row>
        <row r="597">
          <cell r="F597" t="str">
            <v>IDRes022</v>
          </cell>
        </row>
        <row r="598">
          <cell r="F598" t="str">
            <v>IDRes032</v>
          </cell>
        </row>
        <row r="599">
          <cell r="F599" t="str">
            <v>IDRes04X</v>
          </cell>
        </row>
        <row r="600">
          <cell r="F600" t="str">
            <v>IDRes095</v>
          </cell>
        </row>
        <row r="601">
          <cell r="F601" t="str">
            <v>IDCom011</v>
          </cell>
        </row>
        <row r="602">
          <cell r="F602" t="str">
            <v>IDCom021</v>
          </cell>
        </row>
        <row r="603">
          <cell r="F603" t="str">
            <v>IDCom025</v>
          </cell>
        </row>
        <row r="604">
          <cell r="F604" t="str">
            <v>IDCom031</v>
          </cell>
        </row>
        <row r="605">
          <cell r="F605" t="str">
            <v>IDCom04X</v>
          </cell>
        </row>
        <row r="606">
          <cell r="F606" t="str">
            <v>IDCom095</v>
          </cell>
        </row>
        <row r="607">
          <cell r="F607" t="str">
            <v>IDInd011</v>
          </cell>
        </row>
        <row r="608">
          <cell r="F608" t="str">
            <v>IDInd021</v>
          </cell>
        </row>
        <row r="609">
          <cell r="F609" t="str">
            <v>IDInd025</v>
          </cell>
        </row>
        <row r="610">
          <cell r="F610" t="str">
            <v>IDInd025P</v>
          </cell>
        </row>
        <row r="611">
          <cell r="F611" t="str">
            <v>IDInd031</v>
          </cell>
        </row>
        <row r="612">
          <cell r="F612" t="str">
            <v>IDInd032</v>
          </cell>
        </row>
        <row r="613">
          <cell r="F613" t="str">
            <v>IDInd04X</v>
          </cell>
        </row>
        <row r="614">
          <cell r="F614" t="str">
            <v>IDSL04X</v>
          </cell>
        </row>
        <row r="615">
          <cell r="F615" t="str">
            <v>IDIntdpt011</v>
          </cell>
        </row>
        <row r="616">
          <cell r="F616" t="str">
            <v>IDIntdpt021</v>
          </cell>
        </row>
        <row r="672">
          <cell r="F672" t="str">
            <v>WARes001</v>
          </cell>
        </row>
        <row r="773">
          <cell r="F773" t="str">
            <v>WARes001</v>
          </cell>
        </row>
        <row r="874">
          <cell r="F874" t="str">
            <v>WARes001</v>
          </cell>
        </row>
        <row r="975">
          <cell r="F975" t="str">
            <v>WARes001</v>
          </cell>
        </row>
        <row r="1076">
          <cell r="F1076" t="str">
            <v>WARes001</v>
          </cell>
        </row>
        <row r="1177">
          <cell r="F1177" t="str">
            <v>WARes001</v>
          </cell>
        </row>
        <row r="1279">
          <cell r="F1279" t="str">
            <v>WARes001</v>
          </cell>
          <cell r="I1279" t="str">
            <v>x</v>
          </cell>
        </row>
        <row r="1280">
          <cell r="F1280" t="str">
            <v>WARes012</v>
          </cell>
          <cell r="I1280" t="str">
            <v>x</v>
          </cell>
        </row>
        <row r="1281">
          <cell r="F1281" t="str">
            <v>WARes022</v>
          </cell>
          <cell r="I1281" t="str">
            <v>x</v>
          </cell>
        </row>
        <row r="1282">
          <cell r="F1282" t="str">
            <v>WARes032</v>
          </cell>
          <cell r="I1282" t="str">
            <v>x</v>
          </cell>
        </row>
        <row r="1283">
          <cell r="F1283" t="str">
            <v>WARes04X</v>
          </cell>
        </row>
        <row r="1284">
          <cell r="F1284" t="str">
            <v>WARes095</v>
          </cell>
        </row>
        <row r="1285">
          <cell r="F1285" t="str">
            <v>WACom011</v>
          </cell>
          <cell r="I1285" t="str">
            <v>x</v>
          </cell>
        </row>
        <row r="1286">
          <cell r="F1286" t="str">
            <v>WACom021</v>
          </cell>
          <cell r="I1286" t="str">
            <v>x</v>
          </cell>
        </row>
        <row r="1287">
          <cell r="F1287" t="str">
            <v>WACom025</v>
          </cell>
        </row>
        <row r="1288">
          <cell r="F1288" t="str">
            <v>WACom031</v>
          </cell>
          <cell r="I1288" t="str">
            <v>x</v>
          </cell>
        </row>
        <row r="1289">
          <cell r="F1289" t="str">
            <v>WACom04X</v>
          </cell>
        </row>
        <row r="1290">
          <cell r="F1290" t="str">
            <v>WACom095</v>
          </cell>
        </row>
        <row r="1291">
          <cell r="F1291" t="str">
            <v>WAInd011</v>
          </cell>
          <cell r="I1291" t="str">
            <v>x</v>
          </cell>
        </row>
        <row r="1292">
          <cell r="F1292" t="str">
            <v>WAInd021</v>
          </cell>
          <cell r="I1292" t="str">
            <v>x</v>
          </cell>
        </row>
        <row r="1293">
          <cell r="F1293" t="str">
            <v>WAInd025</v>
          </cell>
        </row>
        <row r="1294">
          <cell r="F1294" t="str">
            <v>WAInd028</v>
          </cell>
        </row>
        <row r="1295">
          <cell r="F1295" t="str">
            <v>WAInd031</v>
          </cell>
          <cell r="I1295" t="str">
            <v>x</v>
          </cell>
        </row>
        <row r="1296">
          <cell r="F1296" t="str">
            <v>WAInd032</v>
          </cell>
          <cell r="I1296" t="str">
            <v>x</v>
          </cell>
        </row>
        <row r="1297">
          <cell r="F1297" t="str">
            <v>WAInd04X</v>
          </cell>
        </row>
        <row r="1298">
          <cell r="F1298" t="str">
            <v>WASL04X</v>
          </cell>
        </row>
        <row r="1299">
          <cell r="F1299" t="str">
            <v>WAIntdpt011</v>
          </cell>
          <cell r="I1299" t="str">
            <v>x</v>
          </cell>
        </row>
        <row r="1300">
          <cell r="F1300" t="str">
            <v>WAIntdpt021</v>
          </cell>
          <cell r="I1300" t="str">
            <v>x</v>
          </cell>
        </row>
        <row r="1301">
          <cell r="F1301" t="str">
            <v>IDRes001</v>
          </cell>
          <cell r="I1301" t="str">
            <v>x</v>
          </cell>
        </row>
        <row r="1302">
          <cell r="F1302" t="str">
            <v>IDRes012</v>
          </cell>
          <cell r="I1302" t="str">
            <v>x</v>
          </cell>
        </row>
        <row r="1303">
          <cell r="F1303" t="str">
            <v>IDRes022</v>
          </cell>
          <cell r="I1303" t="str">
            <v>x</v>
          </cell>
        </row>
        <row r="1304">
          <cell r="F1304" t="str">
            <v>IDRes032</v>
          </cell>
          <cell r="I1304" t="str">
            <v>x</v>
          </cell>
        </row>
        <row r="1305">
          <cell r="F1305" t="str">
            <v>IDRes04X</v>
          </cell>
        </row>
        <row r="1306">
          <cell r="F1306" t="str">
            <v>IDRes095</v>
          </cell>
        </row>
        <row r="1307">
          <cell r="F1307" t="str">
            <v>IDCom011</v>
          </cell>
          <cell r="I1307" t="str">
            <v>x</v>
          </cell>
        </row>
        <row r="1308">
          <cell r="F1308" t="str">
            <v>IDCom021</v>
          </cell>
          <cell r="I1308" t="str">
            <v>x</v>
          </cell>
        </row>
        <row r="1309">
          <cell r="F1309" t="str">
            <v>IDCom025</v>
          </cell>
        </row>
        <row r="1310">
          <cell r="F1310" t="str">
            <v>IDCom031</v>
          </cell>
          <cell r="I1310" t="str">
            <v>x</v>
          </cell>
        </row>
        <row r="1311">
          <cell r="F1311" t="str">
            <v>IDCom04X</v>
          </cell>
        </row>
        <row r="1312">
          <cell r="F1312" t="str">
            <v>IDCom095</v>
          </cell>
        </row>
        <row r="1313">
          <cell r="F1313" t="str">
            <v>IDInd011</v>
          </cell>
          <cell r="I1313" t="str">
            <v>x</v>
          </cell>
        </row>
        <row r="1314">
          <cell r="F1314" t="str">
            <v>IDInd021</v>
          </cell>
          <cell r="I1314" t="str">
            <v>x</v>
          </cell>
        </row>
        <row r="1315">
          <cell r="F1315" t="str">
            <v>IDInd025</v>
          </cell>
        </row>
        <row r="1316">
          <cell r="F1316" t="str">
            <v>IDInd025P</v>
          </cell>
        </row>
        <row r="1317">
          <cell r="F1317" t="str">
            <v>IDInd031</v>
          </cell>
          <cell r="I1317" t="str">
            <v>x</v>
          </cell>
        </row>
        <row r="1318">
          <cell r="F1318" t="str">
            <v>IDInd032</v>
          </cell>
          <cell r="I1318" t="str">
            <v>x</v>
          </cell>
        </row>
        <row r="1319">
          <cell r="F1319" t="str">
            <v>IDInd04X</v>
          </cell>
        </row>
        <row r="1320">
          <cell r="F1320" t="str">
            <v>IDSL04X</v>
          </cell>
        </row>
        <row r="1321">
          <cell r="F1321" t="str">
            <v>IDIntdpt011</v>
          </cell>
          <cell r="I1321" t="str">
            <v>x</v>
          </cell>
        </row>
        <row r="1322">
          <cell r="F1322" t="str">
            <v>IDIntdpt021</v>
          </cell>
          <cell r="I1322" t="str">
            <v>x</v>
          </cell>
        </row>
      </sheetData>
      <sheetData sheetId="8"/>
      <sheetData sheetId="9">
        <row r="30">
          <cell r="E30">
            <v>1</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amp; Prop Rev"/>
      <sheetName val="Rate Design"/>
      <sheetName val="Exh 1"/>
      <sheetName val="Exh 2"/>
      <sheetName val="Exh 3"/>
      <sheetName val="ERM"/>
      <sheetName val="ROR"/>
      <sheetName val="Bill Determ"/>
      <sheetName val="WA Sch 25"/>
      <sheetName val="Lighting summary"/>
      <sheetName val="St Lts"/>
      <sheetName val="Area Lts"/>
      <sheetName val="Block Data"/>
      <sheetName val="Rev Runs 12MEJUNE2013"/>
      <sheetName val="Rev Runs 2011"/>
    </sheetNames>
    <sheetDataSet>
      <sheetData sheetId="0" refreshError="1"/>
      <sheetData sheetId="1" refreshError="1">
        <row r="45">
          <cell r="D4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Design"/>
      <sheetName val="Exh 1"/>
      <sheetName val="Exh 2"/>
      <sheetName val="Exh 3"/>
      <sheetName val="ROR"/>
      <sheetName val="Bill Determ"/>
      <sheetName val="WA Sch 25"/>
      <sheetName val="Lighting summary"/>
      <sheetName val="St Lts"/>
      <sheetName val="Area Lts"/>
      <sheetName val="Rev Runs CY"/>
      <sheetName val="Rev Runs LY"/>
    </sheetNames>
    <sheetDataSet>
      <sheetData sheetId="0">
        <row r="45">
          <cell r="D4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SUMMARY"/>
      <sheetName val="2011 CBR FIT fix"/>
      <sheetName val="LEAD SHEETS-DO NOT ENTER"/>
      <sheetName val="CF "/>
      <sheetName val="ROO INPUT"/>
      <sheetName val="DEBT CALC"/>
      <sheetName val="not used PROPOSED RATES"/>
      <sheetName val="not used RR SUMMARY"/>
      <sheetName val="not used RETAIL REVENUE CREDIT"/>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abSelected="1" topLeftCell="A7" zoomScaleNormal="100" zoomScaleSheetLayoutView="100" workbookViewId="0">
      <selection activeCell="C37" sqref="C37:M37"/>
    </sheetView>
  </sheetViews>
  <sheetFormatPr defaultRowHeight="12.75"/>
  <cols>
    <col min="1" max="1" width="7" customWidth="1"/>
    <col min="2" max="2" width="3" bestFit="1" customWidth="1"/>
    <col min="3" max="3" width="28.85546875" customWidth="1"/>
    <col min="4" max="4" width="1.85546875" customWidth="1"/>
    <col min="5" max="5" width="0.140625" hidden="1" customWidth="1"/>
    <col min="6" max="6" width="11.7109375" customWidth="1"/>
    <col min="7" max="7" width="13.28515625" customWidth="1"/>
    <col min="8" max="8" width="15.85546875" bestFit="1" customWidth="1"/>
    <col min="9" max="9" width="13.5703125" bestFit="1" customWidth="1"/>
    <col min="10" max="10" width="12" customWidth="1"/>
    <col min="11" max="11" width="9.140625" hidden="1" customWidth="1"/>
    <col min="12" max="12" width="15.140625" bestFit="1" customWidth="1"/>
    <col min="13" max="13" width="17.7109375" bestFit="1" customWidth="1"/>
    <col min="14" max="14" width="8.85546875" hidden="1" customWidth="1"/>
    <col min="15" max="15" width="15.28515625" hidden="1" customWidth="1"/>
    <col min="16" max="16" width="2.7109375" hidden="1" customWidth="1"/>
    <col min="17" max="17" width="19.42578125" hidden="1" customWidth="1"/>
  </cols>
  <sheetData>
    <row r="1" spans="1:17" s="597" customFormat="1" ht="14.25">
      <c r="A1" s="764" t="s">
        <v>117</v>
      </c>
      <c r="B1" s="764"/>
      <c r="C1" s="764"/>
      <c r="D1" s="764"/>
      <c r="E1" s="764"/>
      <c r="F1" s="764"/>
      <c r="G1" s="764"/>
      <c r="H1" s="764"/>
      <c r="I1" s="764"/>
      <c r="J1" s="764"/>
      <c r="K1" s="764"/>
      <c r="L1" s="764"/>
      <c r="M1" s="764"/>
    </row>
    <row r="2" spans="1:17" s="597" customFormat="1" ht="14.25">
      <c r="A2" s="764" t="s">
        <v>598</v>
      </c>
      <c r="B2" s="764"/>
      <c r="C2" s="764"/>
      <c r="D2" s="764"/>
      <c r="E2" s="764"/>
      <c r="F2" s="764"/>
      <c r="G2" s="764"/>
      <c r="H2" s="764"/>
      <c r="I2" s="764"/>
      <c r="J2" s="764"/>
      <c r="K2" s="764"/>
      <c r="L2" s="764"/>
      <c r="M2" s="764"/>
    </row>
    <row r="3" spans="1:17" s="597" customFormat="1" ht="14.25">
      <c r="A3" s="764" t="s">
        <v>493</v>
      </c>
      <c r="B3" s="764"/>
      <c r="C3" s="764"/>
      <c r="D3" s="764"/>
      <c r="E3" s="764"/>
      <c r="F3" s="764"/>
      <c r="G3" s="764"/>
      <c r="H3" s="764"/>
      <c r="I3" s="764"/>
      <c r="J3" s="764"/>
      <c r="K3" s="764"/>
      <c r="L3" s="764"/>
      <c r="M3" s="764"/>
    </row>
    <row r="4" spans="1:17" s="597" customFormat="1" ht="14.25">
      <c r="A4" s="764" t="s">
        <v>277</v>
      </c>
      <c r="B4" s="764"/>
      <c r="C4" s="764"/>
      <c r="D4" s="764"/>
      <c r="E4" s="764"/>
      <c r="F4" s="764"/>
      <c r="G4" s="764"/>
      <c r="H4" s="764"/>
      <c r="I4" s="764"/>
      <c r="J4" s="764"/>
      <c r="K4" s="764"/>
      <c r="L4" s="764"/>
      <c r="M4" s="764"/>
    </row>
    <row r="5" spans="1:17" s="597" customFormat="1" ht="15.75">
      <c r="A5" s="764" t="s">
        <v>568</v>
      </c>
      <c r="B5" s="764"/>
      <c r="C5" s="764"/>
      <c r="D5" s="764"/>
      <c r="E5" s="764"/>
      <c r="F5" s="764"/>
      <c r="G5" s="764"/>
      <c r="H5" s="764"/>
      <c r="I5" s="765"/>
      <c r="J5" s="764"/>
      <c r="K5" s="764"/>
      <c r="L5" s="764"/>
      <c r="M5" s="764"/>
    </row>
    <row r="6" spans="1:17" s="597" customFormat="1" ht="14.25">
      <c r="A6" s="764" t="s">
        <v>500</v>
      </c>
      <c r="B6" s="764"/>
      <c r="C6" s="764"/>
      <c r="D6" s="764"/>
      <c r="E6" s="764"/>
      <c r="F6" s="764"/>
      <c r="G6" s="764"/>
      <c r="H6" s="764"/>
      <c r="I6" s="764"/>
      <c r="J6" s="764"/>
      <c r="K6" s="764"/>
      <c r="L6" s="764"/>
      <c r="M6" s="764"/>
    </row>
    <row r="7" spans="1:17">
      <c r="A7" s="581"/>
      <c r="B7" s="581"/>
      <c r="C7" s="581"/>
      <c r="D7" s="581"/>
      <c r="E7" s="581"/>
      <c r="F7" s="581"/>
      <c r="G7" s="581"/>
      <c r="H7" s="581"/>
      <c r="I7" s="581"/>
      <c r="J7" s="581"/>
    </row>
    <row r="8" spans="1:17">
      <c r="A8" s="557"/>
      <c r="B8" s="557"/>
      <c r="C8" s="557"/>
      <c r="D8" s="557"/>
      <c r="E8" s="557"/>
      <c r="F8" s="581" t="s">
        <v>505</v>
      </c>
      <c r="G8" s="581" t="s">
        <v>510</v>
      </c>
      <c r="H8" s="581" t="s">
        <v>511</v>
      </c>
      <c r="I8" s="643" t="s">
        <v>512</v>
      </c>
      <c r="J8" s="581" t="s">
        <v>513</v>
      </c>
      <c r="L8" s="584" t="s">
        <v>514</v>
      </c>
      <c r="M8" s="584" t="s">
        <v>515</v>
      </c>
    </row>
    <row r="9" spans="1:17">
      <c r="A9" s="508" t="s">
        <v>422</v>
      </c>
      <c r="B9" s="508"/>
      <c r="C9" s="508"/>
      <c r="D9" s="557"/>
      <c r="E9" s="508"/>
      <c r="F9" s="581" t="s">
        <v>509</v>
      </c>
      <c r="G9" s="557" t="s">
        <v>502</v>
      </c>
      <c r="H9" s="581" t="s">
        <v>508</v>
      </c>
      <c r="I9" s="643" t="s">
        <v>506</v>
      </c>
      <c r="J9" s="581" t="s">
        <v>507</v>
      </c>
      <c r="L9" s="584" t="s">
        <v>522</v>
      </c>
      <c r="M9" s="588" t="s">
        <v>527</v>
      </c>
    </row>
    <row r="10" spans="1:17">
      <c r="A10" s="510" t="s">
        <v>90</v>
      </c>
      <c r="B10" s="508"/>
      <c r="C10" s="510" t="s">
        <v>423</v>
      </c>
      <c r="D10" s="511"/>
      <c r="E10" s="511"/>
      <c r="F10" s="510" t="s">
        <v>501</v>
      </c>
      <c r="G10" s="510" t="s">
        <v>498</v>
      </c>
      <c r="H10" s="510" t="s">
        <v>501</v>
      </c>
      <c r="I10" s="644" t="s">
        <v>516</v>
      </c>
      <c r="J10" s="510" t="s">
        <v>501</v>
      </c>
      <c r="L10" s="510" t="s">
        <v>611</v>
      </c>
      <c r="M10" s="510" t="s">
        <v>523</v>
      </c>
    </row>
    <row r="11" spans="1:17">
      <c r="A11" s="506"/>
      <c r="B11" s="506"/>
      <c r="C11" s="506"/>
      <c r="D11" s="506"/>
      <c r="E11" s="506"/>
      <c r="F11" s="506"/>
      <c r="G11" s="506"/>
      <c r="H11" s="506"/>
      <c r="I11" s="645"/>
      <c r="J11" s="506"/>
      <c r="O11" s="530" t="s">
        <v>571</v>
      </c>
      <c r="Q11" s="13" t="s">
        <v>589</v>
      </c>
    </row>
    <row r="12" spans="1:17">
      <c r="A12" s="513">
        <v>1</v>
      </c>
      <c r="B12" s="506"/>
      <c r="C12" s="506" t="s">
        <v>499</v>
      </c>
      <c r="D12" s="506"/>
      <c r="E12" s="506"/>
      <c r="F12" s="558">
        <f>'Attrition 12.2013 to 2015'!S78</f>
        <v>1332533.0000000002</v>
      </c>
      <c r="G12" s="575">
        <f>IF(Q12="Growth Rate", 'Attrition 12.2013 to 2015'!S88, 1)</f>
        <v>1</v>
      </c>
      <c r="H12" s="559">
        <f>F12/G12</f>
        <v>1332533.0000000002</v>
      </c>
      <c r="I12" s="562">
        <v>473</v>
      </c>
      <c r="J12" s="559">
        <f>H12+I12</f>
        <v>1333006.0000000002</v>
      </c>
      <c r="O12" s="655" t="s">
        <v>616</v>
      </c>
      <c r="Q12" s="655" t="s">
        <v>590</v>
      </c>
    </row>
    <row r="13" spans="1:17">
      <c r="A13" s="513"/>
      <c r="B13" s="506"/>
      <c r="C13" s="506"/>
      <c r="D13" s="506"/>
      <c r="E13" s="506"/>
      <c r="F13" s="559"/>
      <c r="G13" s="559"/>
      <c r="H13" s="559"/>
      <c r="I13" s="562"/>
      <c r="J13" s="559"/>
    </row>
    <row r="14" spans="1:17">
      <c r="A14" s="513">
        <v>2</v>
      </c>
      <c r="B14" s="506"/>
      <c r="C14" s="506" t="s">
        <v>283</v>
      </c>
      <c r="D14" s="506"/>
      <c r="E14" s="506"/>
      <c r="F14" s="572"/>
      <c r="G14" s="561"/>
      <c r="H14" s="560">
        <f>ROR!F15</f>
        <v>6.7699999999999996E-2</v>
      </c>
      <c r="I14" s="646">
        <f>H14</f>
        <v>6.7699999999999996E-2</v>
      </c>
      <c r="J14" s="560">
        <f>H14</f>
        <v>6.7699999999999996E-2</v>
      </c>
      <c r="O14" s="656" t="s">
        <v>575</v>
      </c>
      <c r="Q14" s="13"/>
    </row>
    <row r="15" spans="1:17">
      <c r="A15" s="513"/>
      <c r="B15" s="506"/>
      <c r="C15" s="506"/>
      <c r="D15" s="506"/>
      <c r="E15" s="506"/>
      <c r="F15" s="561"/>
      <c r="G15" s="561"/>
      <c r="H15" s="561"/>
      <c r="I15" s="647"/>
      <c r="J15" s="561"/>
      <c r="O15" s="655" t="s">
        <v>591</v>
      </c>
    </row>
    <row r="16" spans="1:17">
      <c r="A16" s="513">
        <v>3</v>
      </c>
      <c r="B16" s="506"/>
      <c r="C16" s="506" t="s">
        <v>494</v>
      </c>
      <c r="D16" s="506"/>
      <c r="E16" s="506"/>
      <c r="F16" s="562"/>
      <c r="G16" s="559"/>
      <c r="H16" s="562">
        <f>ROUND(H12*H14,0)</f>
        <v>90212</v>
      </c>
      <c r="I16" s="562">
        <f>ROUND(I12*I14,0)</f>
        <v>32</v>
      </c>
      <c r="J16" s="562">
        <f>ROUND(J12*J14,0)</f>
        <v>90245</v>
      </c>
    </row>
    <row r="17" spans="1:17">
      <c r="A17" s="513"/>
      <c r="B17" s="506"/>
      <c r="C17" s="506"/>
      <c r="D17" s="506"/>
      <c r="E17" s="506"/>
      <c r="F17" s="559"/>
      <c r="G17" s="559"/>
      <c r="H17" s="559"/>
      <c r="I17" s="562"/>
      <c r="J17" s="559"/>
      <c r="O17" s="656" t="s">
        <v>572</v>
      </c>
      <c r="Q17" s="530" t="s">
        <v>574</v>
      </c>
    </row>
    <row r="18" spans="1:17">
      <c r="A18" s="513">
        <v>4</v>
      </c>
      <c r="B18" s="506"/>
      <c r="C18" s="506" t="s">
        <v>503</v>
      </c>
      <c r="D18" s="506"/>
      <c r="E18" s="506"/>
      <c r="F18" s="563">
        <f>'Attrition 12.2013 to 2015'!S53</f>
        <v>86820.59583062079</v>
      </c>
      <c r="G18" s="576">
        <f>G12</f>
        <v>1</v>
      </c>
      <c r="H18" s="563">
        <f>F18/G18</f>
        <v>86820.59583062079</v>
      </c>
      <c r="I18" s="648">
        <v>-189</v>
      </c>
      <c r="J18" s="563">
        <f>H18+I18</f>
        <v>86631.59583062079</v>
      </c>
      <c r="L18" s="563">
        <f>J18+(L24*L22)</f>
        <v>95351.962290620795</v>
      </c>
      <c r="O18" s="655" t="s">
        <v>587</v>
      </c>
      <c r="Q18" s="655" t="s">
        <v>609</v>
      </c>
    </row>
    <row r="19" spans="1:17">
      <c r="A19" s="513"/>
      <c r="B19" s="506"/>
      <c r="C19" s="506"/>
      <c r="D19" s="506"/>
      <c r="E19" s="506"/>
      <c r="F19" s="506"/>
      <c r="G19" s="506"/>
      <c r="H19" s="506"/>
      <c r="I19" s="645"/>
      <c r="J19" s="506"/>
    </row>
    <row r="20" spans="1:17">
      <c r="A20" s="513">
        <v>5</v>
      </c>
      <c r="B20" s="506"/>
      <c r="C20" s="506" t="s">
        <v>495</v>
      </c>
      <c r="D20" s="506"/>
      <c r="E20" s="506"/>
      <c r="F20" s="559"/>
      <c r="G20" s="559"/>
      <c r="H20" s="559">
        <f>H16-H18</f>
        <v>3391.4041693792096</v>
      </c>
      <c r="I20" s="562">
        <f>I16-I18</f>
        <v>221</v>
      </c>
      <c r="J20" s="559">
        <f>J16-J18</f>
        <v>3613.4041693792096</v>
      </c>
      <c r="O20" s="656" t="s">
        <v>623</v>
      </c>
    </row>
    <row r="21" spans="1:17">
      <c r="A21" s="513"/>
      <c r="B21" s="506"/>
      <c r="C21" s="506"/>
      <c r="D21" s="506"/>
      <c r="E21" s="506"/>
      <c r="F21" s="506"/>
      <c r="G21" s="506"/>
      <c r="H21" s="506"/>
      <c r="I21" s="645"/>
      <c r="J21" s="506"/>
      <c r="O21" s="655" t="s">
        <v>624</v>
      </c>
    </row>
    <row r="22" spans="1:17">
      <c r="A22" s="513">
        <v>6</v>
      </c>
      <c r="B22" s="506"/>
      <c r="C22" s="506" t="s">
        <v>95</v>
      </c>
      <c r="D22" s="506"/>
      <c r="E22" s="506"/>
      <c r="F22" s="565"/>
      <c r="G22" s="506"/>
      <c r="H22" s="565">
        <f>ROR!L24</f>
        <v>0.62048999999999999</v>
      </c>
      <c r="I22" s="649">
        <f>H22</f>
        <v>0.62048999999999999</v>
      </c>
      <c r="J22" s="565">
        <f>H22</f>
        <v>0.62048999999999999</v>
      </c>
      <c r="K22" s="565">
        <f t="shared" ref="K22:L22" si="0">I22</f>
        <v>0.62048999999999999</v>
      </c>
      <c r="L22" s="565">
        <f t="shared" si="0"/>
        <v>0.62048999999999999</v>
      </c>
    </row>
    <row r="23" spans="1:17" ht="13.5" thickBot="1">
      <c r="A23" s="513"/>
      <c r="B23" s="506"/>
      <c r="C23" s="506"/>
      <c r="D23" s="506"/>
      <c r="E23" s="506"/>
      <c r="F23" s="577"/>
      <c r="G23" s="506"/>
      <c r="H23" s="506"/>
      <c r="I23" s="645"/>
      <c r="L23" s="586"/>
      <c r="M23" s="586"/>
    </row>
    <row r="24" spans="1:17" ht="13.5" thickBot="1">
      <c r="A24" s="513">
        <v>7</v>
      </c>
      <c r="B24" s="506"/>
      <c r="C24" s="506" t="s">
        <v>614</v>
      </c>
      <c r="D24" s="506"/>
      <c r="E24" s="506"/>
      <c r="F24" s="578"/>
      <c r="G24" s="564"/>
      <c r="H24" s="587">
        <f>ROUND(H20/H22,0)</f>
        <v>5466</v>
      </c>
      <c r="I24" s="725">
        <f>ROUND(I20/I22,0)+1</f>
        <v>357</v>
      </c>
      <c r="J24" s="727">
        <f>J34+ROUND(J20/J22,0)</f>
        <v>5823</v>
      </c>
      <c r="L24" s="726">
        <v>14054</v>
      </c>
      <c r="M24" s="727">
        <f>J24-L24</f>
        <v>-8231</v>
      </c>
    </row>
    <row r="25" spans="1:17">
      <c r="A25" s="513"/>
      <c r="B25" s="506"/>
      <c r="C25" s="506"/>
      <c r="D25" s="506"/>
      <c r="E25" s="506"/>
      <c r="F25" s="578"/>
      <c r="G25" s="564"/>
      <c r="H25" s="578"/>
      <c r="I25" s="566"/>
      <c r="J25" s="567"/>
    </row>
    <row r="26" spans="1:17">
      <c r="A26" s="513">
        <v>8</v>
      </c>
      <c r="B26" s="568"/>
      <c r="C26" s="506" t="s">
        <v>496</v>
      </c>
      <c r="D26" s="506"/>
      <c r="E26" s="506"/>
      <c r="F26" s="564"/>
      <c r="G26" s="564"/>
      <c r="J26" s="564">
        <f>'Attrition 12.2013 to 2015'!N7+'Attrition 12.2013 to 2015'!N8</f>
        <v>466872</v>
      </c>
      <c r="K26" s="564">
        <f>'Attrition 12.2013 to 2015'!O7+'Attrition 12.2013 to 2015'!O8</f>
        <v>0</v>
      </c>
      <c r="L26" s="564">
        <f>J26+L24</f>
        <v>480926</v>
      </c>
      <c r="M26" s="570">
        <f>L26+M24</f>
        <v>472695</v>
      </c>
    </row>
    <row r="27" spans="1:17">
      <c r="A27" s="513"/>
      <c r="B27" s="568"/>
      <c r="C27" s="506"/>
      <c r="D27" s="506"/>
      <c r="E27" s="506"/>
      <c r="F27" s="564"/>
      <c r="G27" s="564"/>
      <c r="J27" s="564"/>
      <c r="K27" s="564"/>
      <c r="L27" s="564"/>
      <c r="M27" s="570"/>
    </row>
    <row r="28" spans="1:17">
      <c r="A28" s="513">
        <v>9</v>
      </c>
      <c r="B28" s="568"/>
      <c r="C28" s="506" t="s">
        <v>617</v>
      </c>
      <c r="D28" s="506"/>
      <c r="E28" s="506"/>
      <c r="F28" s="564"/>
      <c r="G28" s="564"/>
      <c r="J28" s="743">
        <f>(J18)/J12</f>
        <v>6.4989651832490461E-2</v>
      </c>
      <c r="K28" s="742"/>
      <c r="L28" s="743">
        <f>((L24*L22)+J18)/J12</f>
        <v>7.1531532709245699E-2</v>
      </c>
      <c r="M28" s="570"/>
    </row>
    <row r="29" spans="1:17">
      <c r="A29" s="513"/>
      <c r="B29" s="568"/>
      <c r="C29" s="506"/>
      <c r="D29" s="506"/>
      <c r="E29" s="506"/>
      <c r="F29" s="577"/>
      <c r="G29" s="506"/>
      <c r="J29" s="506"/>
      <c r="M29" s="569"/>
    </row>
    <row r="30" spans="1:17" ht="13.5" thickBot="1">
      <c r="A30" s="513">
        <v>10</v>
      </c>
      <c r="B30" s="568"/>
      <c r="C30" s="506" t="s">
        <v>497</v>
      </c>
      <c r="D30" s="506"/>
      <c r="E30" s="506"/>
      <c r="F30" s="579"/>
      <c r="G30" s="572"/>
      <c r="J30" s="571">
        <f>J24/J26</f>
        <v>1.2472369300364982E-2</v>
      </c>
      <c r="M30" s="571">
        <f>M24/L26</f>
        <v>-1.7114899173677447E-2</v>
      </c>
    </row>
    <row r="31" spans="1:17" ht="14.25" thickTop="1" thickBot="1">
      <c r="A31" s="573"/>
      <c r="B31" s="573"/>
      <c r="C31" s="573"/>
      <c r="D31" s="573"/>
      <c r="E31" s="573"/>
      <c r="F31" s="574"/>
      <c r="G31" s="573"/>
      <c r="H31" s="573"/>
      <c r="I31" s="573"/>
      <c r="J31" s="573"/>
      <c r="L31" s="564"/>
    </row>
    <row r="32" spans="1:17" ht="13.5" thickBot="1">
      <c r="A32" s="513">
        <v>11</v>
      </c>
      <c r="B32" s="568"/>
      <c r="C32" s="506" t="s">
        <v>610</v>
      </c>
      <c r="F32" s="580"/>
      <c r="J32" s="727">
        <f>J26+J24</f>
        <v>472695</v>
      </c>
      <c r="L32" s="506"/>
    </row>
    <row r="33" spans="1:13">
      <c r="A33" s="513"/>
      <c r="B33" s="568"/>
      <c r="C33" s="506"/>
      <c r="F33" s="580"/>
      <c r="J33" s="739"/>
      <c r="L33" s="506"/>
    </row>
    <row r="34" spans="1:13">
      <c r="A34" s="513"/>
      <c r="C34" s="569"/>
      <c r="F34" s="580"/>
      <c r="J34" s="739"/>
      <c r="L34" s="745"/>
    </row>
    <row r="35" spans="1:13" ht="24" customHeight="1">
      <c r="F35" s="580"/>
    </row>
    <row r="36" spans="1:13" ht="52.9" customHeight="1">
      <c r="A36" s="582" t="s">
        <v>504</v>
      </c>
      <c r="B36" s="582" t="s">
        <v>517</v>
      </c>
      <c r="C36" s="763" t="s">
        <v>631</v>
      </c>
      <c r="D36" s="763"/>
      <c r="E36" s="763"/>
      <c r="F36" s="763"/>
      <c r="G36" s="763"/>
      <c r="H36" s="763"/>
      <c r="I36" s="763"/>
      <c r="J36" s="763"/>
      <c r="K36" s="763"/>
      <c r="L36" s="763"/>
      <c r="M36" s="763"/>
    </row>
    <row r="37" spans="1:13" ht="81.75" customHeight="1">
      <c r="B37" s="585"/>
      <c r="C37" s="763"/>
      <c r="D37" s="763"/>
      <c r="E37" s="763"/>
      <c r="F37" s="763"/>
      <c r="G37" s="763"/>
      <c r="H37" s="763"/>
      <c r="I37" s="763"/>
      <c r="J37" s="763"/>
      <c r="K37" s="763"/>
      <c r="L37" s="763"/>
      <c r="M37" s="763"/>
    </row>
    <row r="46" spans="1:13">
      <c r="A46" s="504"/>
      <c r="B46" s="504"/>
      <c r="C46" s="504"/>
      <c r="D46" s="504"/>
      <c r="E46" s="504"/>
      <c r="F46" s="504"/>
      <c r="G46" s="504"/>
      <c r="H46" s="504"/>
      <c r="I46" s="504"/>
      <c r="J46" s="504"/>
    </row>
  </sheetData>
  <mergeCells count="8">
    <mergeCell ref="C36:M36"/>
    <mergeCell ref="C37:M37"/>
    <mergeCell ref="A1:M1"/>
    <mergeCell ref="A3:M3"/>
    <mergeCell ref="A4:M4"/>
    <mergeCell ref="A5:M5"/>
    <mergeCell ref="A6:M6"/>
    <mergeCell ref="A2:M2"/>
  </mergeCells>
  <dataValidations count="5">
    <dataValidation type="list" allowBlank="1" showInputMessage="1" showErrorMessage="1" sqref="O12">
      <formula1>"Proposed, Current, Ken, PacifiCorp, Pac46Eq, KenDecoup"</formula1>
    </dataValidation>
    <dataValidation type="list" allowBlank="1" showInputMessage="1" showErrorMessage="1" sqref="Q18">
      <formula1>"Alternative, Actual, Best"</formula1>
    </dataValidation>
    <dataValidation type="list" allowBlank="1" showInputMessage="1" showErrorMessage="1" sqref="O15">
      <formula1>"Compounding, Linear"</formula1>
    </dataValidation>
    <dataValidation type="list" allowBlank="1" showInputMessage="1" showErrorMessage="1" sqref="Q12">
      <formula1>"Growth Rate, Future Test Year"</formula1>
    </dataValidation>
    <dataValidation type="list" allowBlank="1" showInputMessage="1" showErrorMessage="1" sqref="O21">
      <formula1>"Original, DR171"</formula1>
    </dataValidation>
  </dataValidations>
  <printOptions horizontalCentered="1"/>
  <pageMargins left="0.7" right="0.7" top="0.75" bottom="0.75" header="0.3" footer="0.3"/>
  <pageSetup scale="85" orientation="landscape" r:id="rId1"/>
  <headerFooter scaleWithDoc="0">
    <oddFooter>&amp;C&amp;F&amp;RPage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'Cost Trends'!$H$165:$V$165</xm:f>
          </x14:formula1>
          <xm:sqref>O18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5"/>
  <sheetViews>
    <sheetView topLeftCell="B4" workbookViewId="0">
      <selection activeCell="F7" sqref="F7:F22"/>
    </sheetView>
  </sheetViews>
  <sheetFormatPr defaultColWidth="9.140625" defaultRowHeight="15"/>
  <cols>
    <col min="1" max="1" width="7.28515625" style="82" customWidth="1"/>
    <col min="2" max="2" width="17.7109375" style="82" customWidth="1"/>
    <col min="3" max="3" width="17" style="82" customWidth="1"/>
    <col min="4" max="4" width="19" style="82" customWidth="1"/>
    <col min="5" max="5" width="14.28515625" style="85" customWidth="1"/>
    <col min="6" max="6" width="15.85546875" style="85" customWidth="1"/>
    <col min="7" max="7" width="18.85546875" style="82" customWidth="1"/>
    <col min="8" max="8" width="15.28515625" style="85" customWidth="1"/>
    <col min="9" max="9" width="17.5703125" style="82" customWidth="1"/>
    <col min="10" max="10" width="14.140625" style="82" customWidth="1"/>
    <col min="11" max="11" width="16.5703125" style="82" hidden="1" customWidth="1"/>
    <col min="12" max="12" width="12.5703125" style="82" hidden="1" customWidth="1"/>
    <col min="13" max="13" width="22.28515625" style="82" hidden="1" customWidth="1"/>
    <col min="14" max="15" width="0" style="82" hidden="1" customWidth="1"/>
    <col min="16" max="16" width="10.28515625" style="82" hidden="1" customWidth="1"/>
    <col min="17" max="19" width="0" style="82" hidden="1" customWidth="1"/>
    <col min="20" max="20" width="4.42578125" style="82" customWidth="1"/>
    <col min="21" max="21" width="9.7109375" style="82" customWidth="1"/>
    <col min="22" max="22" width="8.42578125" style="82" customWidth="1"/>
    <col min="23" max="23" width="7.5703125" style="82" customWidth="1"/>
    <col min="24" max="24" width="18.7109375" style="82" customWidth="1"/>
    <col min="25" max="25" width="18.7109375" style="82" hidden="1" customWidth="1"/>
    <col min="26" max="27" width="9.140625" style="82"/>
    <col min="28" max="29" width="17" style="82" customWidth="1"/>
    <col min="30" max="16384" width="9.140625" style="82"/>
  </cols>
  <sheetData>
    <row r="1" spans="1:30" s="40" customFormat="1" ht="20.25">
      <c r="A1" s="606"/>
      <c r="B1" s="769" t="s">
        <v>532</v>
      </c>
      <c r="C1" s="769"/>
      <c r="D1" s="769"/>
      <c r="E1" s="769"/>
      <c r="F1" s="769"/>
      <c r="G1" s="769"/>
      <c r="H1" s="769"/>
      <c r="I1" s="769"/>
      <c r="J1" s="769"/>
      <c r="K1" s="606"/>
      <c r="L1" s="606"/>
      <c r="M1" s="606"/>
      <c r="N1" s="606"/>
      <c r="P1" s="41"/>
      <c r="Q1" s="102"/>
    </row>
    <row r="2" spans="1:30" ht="21" thickBot="1">
      <c r="B2" s="778" t="s">
        <v>533</v>
      </c>
      <c r="C2" s="778"/>
      <c r="D2" s="778"/>
      <c r="E2" s="778"/>
      <c r="F2" s="778"/>
      <c r="G2" s="778"/>
      <c r="H2" s="778"/>
      <c r="I2" s="778"/>
      <c r="J2" s="778"/>
    </row>
    <row r="3" spans="1:30">
      <c r="B3" s="83"/>
      <c r="C3" s="83"/>
      <c r="D3" s="83"/>
      <c r="E3" s="84"/>
      <c r="F3" s="84"/>
      <c r="G3" s="83"/>
      <c r="H3" s="84"/>
      <c r="I3" s="83"/>
      <c r="J3" s="83"/>
    </row>
    <row r="4" spans="1:30" ht="15.6" customHeight="1">
      <c r="A4" s="363" t="s">
        <v>3</v>
      </c>
      <c r="B4" s="321"/>
      <c r="C4" s="321"/>
      <c r="D4" s="321"/>
      <c r="E4" s="322" t="s">
        <v>234</v>
      </c>
      <c r="F4" s="322" t="s">
        <v>30</v>
      </c>
      <c r="G4" s="323" t="s">
        <v>113</v>
      </c>
      <c r="H4" s="322" t="s">
        <v>48</v>
      </c>
      <c r="I4" s="323"/>
      <c r="J4" s="324" t="s">
        <v>125</v>
      </c>
      <c r="U4" s="529"/>
      <c r="V4" s="528"/>
      <c r="W4" s="211"/>
    </row>
    <row r="5" spans="1:30" ht="14.45" customHeight="1">
      <c r="A5" s="363" t="s">
        <v>568</v>
      </c>
      <c r="B5" s="325" t="s">
        <v>99</v>
      </c>
      <c r="C5" s="325"/>
      <c r="D5" s="325" t="s">
        <v>100</v>
      </c>
      <c r="E5" s="322" t="s">
        <v>363</v>
      </c>
      <c r="F5" s="322">
        <v>2015</v>
      </c>
      <c r="G5" s="322" t="s">
        <v>119</v>
      </c>
      <c r="H5" s="322" t="s">
        <v>363</v>
      </c>
      <c r="I5" s="323" t="s">
        <v>569</v>
      </c>
      <c r="J5" s="327"/>
      <c r="U5" s="529"/>
      <c r="V5" s="529"/>
      <c r="W5" s="211"/>
      <c r="AB5" s="211"/>
    </row>
    <row r="6" spans="1:30">
      <c r="A6" s="213"/>
      <c r="B6" s="328"/>
      <c r="C6" s="328"/>
      <c r="D6" s="328"/>
      <c r="E6" s="329" t="s">
        <v>121</v>
      </c>
      <c r="F6" s="329" t="s">
        <v>122</v>
      </c>
      <c r="G6" s="329" t="s">
        <v>435</v>
      </c>
      <c r="H6" s="329" t="s">
        <v>123</v>
      </c>
      <c r="I6" s="330" t="s">
        <v>124</v>
      </c>
      <c r="J6" s="329" t="s">
        <v>259</v>
      </c>
      <c r="K6" s="205" t="s">
        <v>262</v>
      </c>
      <c r="L6" s="205" t="s">
        <v>134</v>
      </c>
      <c r="M6" s="206" t="s">
        <v>263</v>
      </c>
      <c r="U6" s="527"/>
      <c r="V6" s="213"/>
      <c r="W6" s="213"/>
      <c r="X6" s="213"/>
      <c r="Y6" s="213"/>
      <c r="Z6" s="211"/>
    </row>
    <row r="7" spans="1:30">
      <c r="A7" s="213">
        <v>1</v>
      </c>
      <c r="B7" s="331" t="s">
        <v>101</v>
      </c>
      <c r="C7" s="331" t="s">
        <v>120</v>
      </c>
      <c r="D7" s="332" t="s">
        <v>102</v>
      </c>
      <c r="E7" s="333">
        <f>'06.2013 Rev Model'!D25</f>
        <v>2437080.9999999963</v>
      </c>
      <c r="F7" s="333">
        <f>'2015 Customers and Demand'!H6</f>
        <v>2494197</v>
      </c>
      <c r="G7" s="335">
        <f>(F7-E7)/E7</f>
        <v>2.343623375669656E-2</v>
      </c>
      <c r="H7" s="333">
        <v>19496648</v>
      </c>
      <c r="I7" s="335">
        <f>H7/$H$25</f>
        <v>4.1760183614641094E-2</v>
      </c>
      <c r="J7" s="335">
        <f>I7*G7</f>
        <v>9.7870142491529827E-4</v>
      </c>
      <c r="K7" s="200">
        <f>E7/$E$27</f>
        <v>0.85698135274775222</v>
      </c>
      <c r="L7" s="201">
        <f>I7-K7</f>
        <v>-0.81522116913311116</v>
      </c>
      <c r="M7" s="204">
        <f>L7*G7</f>
        <v>-1.9105713883211056E-2</v>
      </c>
      <c r="N7" s="198"/>
      <c r="O7" s="208" t="s">
        <v>260</v>
      </c>
      <c r="P7" s="197" t="s">
        <v>261</v>
      </c>
      <c r="Q7" s="198"/>
      <c r="T7" s="422"/>
      <c r="U7" s="526"/>
      <c r="V7" s="214"/>
      <c r="W7" s="212"/>
      <c r="X7" s="212"/>
      <c r="Y7" s="212"/>
      <c r="AB7" s="212"/>
      <c r="AC7" s="212"/>
    </row>
    <row r="8" spans="1:30">
      <c r="A8" s="213">
        <v>2</v>
      </c>
      <c r="B8" s="331" t="s">
        <v>103</v>
      </c>
      <c r="C8" s="331" t="s">
        <v>120</v>
      </c>
      <c r="D8" s="332" t="s">
        <v>104</v>
      </c>
      <c r="E8" s="333">
        <f>'06.2013 Rev Model'!E25</f>
        <v>351974.99999999994</v>
      </c>
      <c r="F8" s="333">
        <f>'2015 Customers and Demand'!H7+'2015 Customers and Demand'!H8</f>
        <v>369788</v>
      </c>
      <c r="G8" s="335">
        <f t="shared" ref="G8:G22" si="0">(F8-E8)/E8</f>
        <v>5.0608708004830062E-2</v>
      </c>
      <c r="H8" s="333">
        <v>5278625</v>
      </c>
      <c r="I8" s="335">
        <f>H8/$H$25</f>
        <v>1.1306371702091296E-2</v>
      </c>
      <c r="J8" s="335">
        <f>I8*G8</f>
        <v>5.7220086406521188E-4</v>
      </c>
      <c r="K8" s="200">
        <f>E8/$E$27</f>
        <v>0.12376938297635183</v>
      </c>
      <c r="L8" s="201">
        <f>I8-K8</f>
        <v>-0.11246301127426053</v>
      </c>
      <c r="M8" s="204">
        <f>L8*G8</f>
        <v>-5.6916076989229625E-3</v>
      </c>
      <c r="N8" s="198"/>
      <c r="O8" s="198"/>
      <c r="P8" s="198"/>
      <c r="T8" s="422"/>
      <c r="U8" s="526"/>
      <c r="V8" s="214"/>
      <c r="W8" s="212"/>
      <c r="X8" s="212"/>
      <c r="Y8" s="212"/>
      <c r="AB8" s="212"/>
      <c r="AC8" s="212"/>
    </row>
    <row r="9" spans="1:30">
      <c r="A9" s="213">
        <v>3</v>
      </c>
      <c r="B9" s="331" t="s">
        <v>105</v>
      </c>
      <c r="C9" s="331" t="s">
        <v>372</v>
      </c>
      <c r="D9" s="332" t="s">
        <v>106</v>
      </c>
      <c r="E9" s="333">
        <f>'06.2013 Rev Model'!F25</f>
        <v>25427</v>
      </c>
      <c r="F9" s="333">
        <f>'2015 Customers and Demand'!H9+'2015 Customers and Demand'!H10</f>
        <v>24074.268400000001</v>
      </c>
      <c r="G9" s="335">
        <f t="shared" si="0"/>
        <v>-5.3200597789751017E-2</v>
      </c>
      <c r="H9" s="333">
        <v>11442151</v>
      </c>
      <c r="I9" s="335">
        <f t="shared" ref="I9:I10" si="1">H9/$H$25</f>
        <v>2.4508127074277037E-2</v>
      </c>
      <c r="J9" s="335">
        <f t="shared" ref="J9:J10" si="2">I9*G9</f>
        <v>-1.30384701105872E-3</v>
      </c>
      <c r="K9" s="200"/>
      <c r="L9" s="198"/>
      <c r="M9" s="198"/>
      <c r="N9" s="198"/>
      <c r="O9" s="198"/>
      <c r="P9" s="198"/>
      <c r="T9" s="422"/>
      <c r="U9" s="526"/>
      <c r="V9" s="214"/>
      <c r="W9" s="212"/>
      <c r="X9" s="212"/>
      <c r="Y9" s="212"/>
      <c r="AB9" s="212"/>
      <c r="AC9" s="212"/>
    </row>
    <row r="10" spans="1:30">
      <c r="A10" s="213">
        <v>4</v>
      </c>
      <c r="B10" s="331" t="s">
        <v>107</v>
      </c>
      <c r="C10" s="331" t="s">
        <v>372</v>
      </c>
      <c r="D10" s="332" t="s">
        <v>108</v>
      </c>
      <c r="E10" s="333">
        <f>'06.2013 Rev Model'!G25</f>
        <v>252</v>
      </c>
      <c r="F10" s="333">
        <f>'2015 Customers and Demand'!H11</f>
        <v>252.89361741353321</v>
      </c>
      <c r="G10" s="335">
        <f t="shared" si="0"/>
        <v>3.5461008473539946E-3</v>
      </c>
      <c r="H10" s="333">
        <v>3654000</v>
      </c>
      <c r="I10" s="335">
        <f t="shared" si="1"/>
        <v>7.8265613108416659E-3</v>
      </c>
      <c r="J10" s="335">
        <f t="shared" si="2"/>
        <v>2.7753775696243624E-5</v>
      </c>
      <c r="K10" s="200"/>
      <c r="L10" s="198"/>
      <c r="M10" s="198"/>
      <c r="N10" s="198"/>
      <c r="O10" s="198"/>
      <c r="P10" s="198"/>
      <c r="T10" s="422"/>
      <c r="U10" s="526"/>
      <c r="V10" s="214"/>
      <c r="W10" s="212"/>
      <c r="X10" s="212"/>
      <c r="Y10" s="212"/>
      <c r="AB10" s="212"/>
      <c r="AC10" s="212"/>
    </row>
    <row r="11" spans="1:30">
      <c r="A11" s="213">
        <v>5</v>
      </c>
      <c r="B11" s="331" t="s">
        <v>109</v>
      </c>
      <c r="C11" s="331" t="s">
        <v>120</v>
      </c>
      <c r="D11" s="332" t="s">
        <v>110</v>
      </c>
      <c r="E11" s="333">
        <f>'06.2013 Rev Model'!H25</f>
        <v>29061.999999999996</v>
      </c>
      <c r="F11" s="333">
        <f>'2015 Customers and Demand'!H13+'2015 Customers and Demand'!H14+'2015 Customers and Demand'!H15</f>
        <v>34146.128270399102</v>
      </c>
      <c r="G11" s="335">
        <f t="shared" si="0"/>
        <v>0.17494075667191197</v>
      </c>
      <c r="H11" s="333">
        <v>435930</v>
      </c>
      <c r="I11" s="335">
        <f t="shared" ref="I11:I22" si="3">H11/$H$25</f>
        <v>9.3372547132873781E-4</v>
      </c>
      <c r="J11" s="336">
        <f>I11*G11</f>
        <v>1.6334664047808705E-4</v>
      </c>
      <c r="K11" s="200">
        <f>E11/$E$28</f>
        <v>5.2162154066125085E-6</v>
      </c>
      <c r="L11" s="201">
        <f>I11-K11</f>
        <v>9.2850925592212529E-4</v>
      </c>
      <c r="M11" s="204">
        <f>L11*G11</f>
        <v>1.6243411180789057E-4</v>
      </c>
      <c r="N11" s="199">
        <f>SUM(M7:M11)</f>
        <v>-2.4634887470326126E-2</v>
      </c>
      <c r="O11" s="199">
        <f>SUM(I7:I11)</f>
        <v>8.6334969173179829E-2</v>
      </c>
      <c r="P11" s="202">
        <f>N11*O11</f>
        <v>-2.1268522503353603E-3</v>
      </c>
      <c r="T11" s="422"/>
      <c r="U11" s="526"/>
      <c r="V11" s="214"/>
      <c r="W11" s="212"/>
      <c r="X11" s="212"/>
      <c r="Y11" s="212"/>
      <c r="AB11" s="212"/>
      <c r="AC11" s="212"/>
    </row>
    <row r="12" spans="1:30">
      <c r="A12" s="213">
        <v>6</v>
      </c>
      <c r="B12" s="337" t="s">
        <v>111</v>
      </c>
      <c r="C12" s="337" t="s">
        <v>120</v>
      </c>
      <c r="D12" s="337" t="s">
        <v>112</v>
      </c>
      <c r="E12" s="338"/>
      <c r="F12" s="338"/>
      <c r="G12" s="339"/>
      <c r="H12" s="338"/>
      <c r="I12" s="339"/>
      <c r="J12" s="339"/>
      <c r="K12" s="198"/>
      <c r="L12" s="198"/>
      <c r="M12" s="198"/>
      <c r="N12" s="198"/>
      <c r="O12" s="198"/>
      <c r="P12" s="198"/>
      <c r="U12" s="212"/>
      <c r="V12" s="212"/>
      <c r="W12" s="212"/>
      <c r="X12" s="212"/>
      <c r="Y12" s="212"/>
      <c r="AB12" s="212"/>
      <c r="AC12" s="212"/>
    </row>
    <row r="13" spans="1:30">
      <c r="A13" s="213">
        <v>7</v>
      </c>
      <c r="B13" s="331" t="s">
        <v>101</v>
      </c>
      <c r="C13" s="331" t="s">
        <v>114</v>
      </c>
      <c r="D13" s="332" t="s">
        <v>102</v>
      </c>
      <c r="E13" s="333">
        <f>'06.2013 Rev Model'!D23</f>
        <v>2352011939</v>
      </c>
      <c r="F13" s="333">
        <f>'2015 Forecast Energy'!D5</f>
        <v>2437508066.7071114</v>
      </c>
      <c r="G13" s="335">
        <f t="shared" si="0"/>
        <v>3.6350209915797266E-2</v>
      </c>
      <c r="H13" s="333">
        <f>201175753-H7</f>
        <v>181679105</v>
      </c>
      <c r="I13" s="335">
        <f t="shared" si="3"/>
        <v>0.38914139413829796</v>
      </c>
      <c r="J13" s="335">
        <f t="shared" ref="J13:J18" si="4">I13*G13</f>
        <v>1.414537136385313E-2</v>
      </c>
      <c r="K13" s="200">
        <f t="shared" ref="K13:K18" si="5">E13/$E$28</f>
        <v>0.4221526705921258</v>
      </c>
      <c r="L13" s="201">
        <f>I13-K13</f>
        <v>-3.3011276453827842E-2</v>
      </c>
      <c r="M13" s="204">
        <f t="shared" ref="M13:M18" si="6">L13*G13</f>
        <v>-1.1999668286850577E-3</v>
      </c>
      <c r="N13" s="198"/>
      <c r="O13" s="198"/>
      <c r="P13" s="198"/>
      <c r="U13" s="526"/>
      <c r="V13" s="214"/>
      <c r="W13" s="214"/>
      <c r="X13" s="212"/>
      <c r="Y13" s="212"/>
      <c r="Z13" s="214"/>
      <c r="AA13" s="214"/>
      <c r="AB13" s="212"/>
      <c r="AC13" s="212"/>
      <c r="AD13" s="214"/>
    </row>
    <row r="14" spans="1:30">
      <c r="A14" s="213">
        <v>8</v>
      </c>
      <c r="B14" s="331" t="s">
        <v>103</v>
      </c>
      <c r="C14" s="331" t="s">
        <v>114</v>
      </c>
      <c r="D14" s="332" t="s">
        <v>104</v>
      </c>
      <c r="E14" s="333">
        <f>'06.2013 Rev Model'!E23</f>
        <v>557353354</v>
      </c>
      <c r="F14" s="333">
        <f>'2015 Forecast Energy'!D6+'2015 Forecast Energy'!D7</f>
        <v>586109432.23835528</v>
      </c>
      <c r="G14" s="335">
        <f t="shared" si="0"/>
        <v>5.1593980787913725E-2</v>
      </c>
      <c r="H14" s="333">
        <f>64121658-H8-H20</f>
        <v>56889051</v>
      </c>
      <c r="I14" s="335">
        <f t="shared" si="3"/>
        <v>0.12185157240478885</v>
      </c>
      <c r="J14" s="335">
        <f t="shared" si="4"/>
        <v>6.2868076856297537E-3</v>
      </c>
      <c r="K14" s="200">
        <f t="shared" si="5"/>
        <v>0.10003699511602628</v>
      </c>
      <c r="L14" s="201">
        <f t="shared" ref="L14:L22" si="7">I14-K14</f>
        <v>2.1814577288762571E-2</v>
      </c>
      <c r="M14" s="204">
        <f t="shared" si="6"/>
        <v>1.1255008815328751E-3</v>
      </c>
      <c r="N14" s="198"/>
      <c r="O14" s="198"/>
      <c r="P14" s="198"/>
      <c r="U14" s="526"/>
      <c r="V14" s="214"/>
      <c r="W14" s="214"/>
      <c r="X14" s="212"/>
      <c r="Y14" s="212"/>
      <c r="Z14" s="214"/>
      <c r="AA14" s="214"/>
      <c r="AB14" s="212"/>
      <c r="AC14" s="212"/>
      <c r="AD14" s="214"/>
    </row>
    <row r="15" spans="1:30">
      <c r="A15" s="213">
        <v>9</v>
      </c>
      <c r="B15" s="331" t="s">
        <v>105</v>
      </c>
      <c r="C15" s="331" t="s">
        <v>114</v>
      </c>
      <c r="D15" s="332" t="s">
        <v>106</v>
      </c>
      <c r="E15" s="333">
        <f>'06.2013 Rev Model'!F23</f>
        <v>1424373231.0000002</v>
      </c>
      <c r="F15" s="333">
        <f>'2015 Forecast Energy'!D8+'2015 Forecast Energy'!D9+'2015 Forecast Energy'!D11</f>
        <v>1436806481.1183183</v>
      </c>
      <c r="G15" s="335">
        <f t="shared" si="0"/>
        <v>8.7289271152541613E-3</v>
      </c>
      <c r="H15" s="333">
        <f>123940931-H9-H21</f>
        <v>96901080</v>
      </c>
      <c r="I15" s="335">
        <f t="shared" si="3"/>
        <v>0.20755398021531835</v>
      </c>
      <c r="J15" s="335">
        <f t="shared" si="4"/>
        <v>1.8117235657804181E-3</v>
      </c>
      <c r="K15" s="200">
        <f t="shared" si="5"/>
        <v>0.25565472411770146</v>
      </c>
      <c r="L15" s="201">
        <f t="shared" si="7"/>
        <v>-4.8100743902383114E-2</v>
      </c>
      <c r="M15" s="204">
        <f t="shared" si="6"/>
        <v>-4.1986788771340824E-4</v>
      </c>
      <c r="N15" s="198"/>
      <c r="O15" s="198"/>
      <c r="P15" s="198"/>
      <c r="U15" s="526"/>
      <c r="V15" s="214"/>
      <c r="W15" s="214"/>
      <c r="X15" s="212"/>
      <c r="Y15" s="212"/>
      <c r="Z15" s="214"/>
      <c r="AA15" s="214"/>
      <c r="AB15" s="212"/>
      <c r="AC15" s="212"/>
      <c r="AD15" s="214"/>
    </row>
    <row r="16" spans="1:30">
      <c r="A16" s="213">
        <v>10</v>
      </c>
      <c r="B16" s="331" t="s">
        <v>107</v>
      </c>
      <c r="C16" s="331" t="s">
        <v>114</v>
      </c>
      <c r="D16" s="332" t="s">
        <v>108</v>
      </c>
      <c r="E16" s="333">
        <f>'06.2013 Rev Model'!G23</f>
        <v>1080448696.3333333</v>
      </c>
      <c r="F16" s="333">
        <f>'2015 Forecast Energy'!D10</f>
        <v>1076126634.9415967</v>
      </c>
      <c r="G16" s="335">
        <f t="shared" si="0"/>
        <v>-4.0002467552638817E-3</v>
      </c>
      <c r="H16" s="333">
        <f>60469040-H10-H22</f>
        <v>52120204</v>
      </c>
      <c r="I16" s="335">
        <f t="shared" si="3"/>
        <v>0.111637102391783</v>
      </c>
      <c r="J16" s="335">
        <f t="shared" si="4"/>
        <v>-4.4657595660979165E-4</v>
      </c>
      <c r="K16" s="200">
        <f t="shared" si="5"/>
        <v>0.1939251646778726</v>
      </c>
      <c r="L16" s="201">
        <f t="shared" si="7"/>
        <v>-8.2288062286089605E-2</v>
      </c>
      <c r="M16" s="204">
        <f t="shared" si="6"/>
        <v>3.2917255415688214E-4</v>
      </c>
      <c r="N16" s="198"/>
      <c r="O16" s="198"/>
      <c r="P16" s="198"/>
      <c r="U16" s="526"/>
      <c r="V16" s="214"/>
      <c r="W16" s="214"/>
      <c r="X16" s="212"/>
      <c r="Y16" s="212"/>
      <c r="Z16" s="214"/>
      <c r="AA16" s="214"/>
      <c r="AB16" s="212"/>
      <c r="AC16" s="212"/>
      <c r="AD16" s="214"/>
    </row>
    <row r="17" spans="1:30">
      <c r="A17" s="213">
        <v>11</v>
      </c>
      <c r="B17" s="331" t="s">
        <v>109</v>
      </c>
      <c r="C17" s="331" t="s">
        <v>114</v>
      </c>
      <c r="D17" s="332" t="s">
        <v>110</v>
      </c>
      <c r="E17" s="333">
        <f>'06.2013 Rev Model'!H23</f>
        <v>131638818</v>
      </c>
      <c r="F17" s="333">
        <f>'2015 Forecast Energy'!D12+'2015 Forecast Energy'!D13</f>
        <v>127927573.91248845</v>
      </c>
      <c r="G17" s="335">
        <f t="shared" si="0"/>
        <v>-2.8192626946191162E-2</v>
      </c>
      <c r="H17" s="333">
        <f>10494208-H11-H23</f>
        <v>10058278</v>
      </c>
      <c r="I17" s="335">
        <f>H17/$H$25</f>
        <v>2.1543987260123125E-2</v>
      </c>
      <c r="J17" s="336">
        <f t="shared" si="4"/>
        <v>-6.0738159575814631E-4</v>
      </c>
      <c r="K17" s="200">
        <f t="shared" si="5"/>
        <v>2.3627294424329367E-2</v>
      </c>
      <c r="L17" s="201">
        <f t="shared" si="7"/>
        <v>-2.0833071642062419E-3</v>
      </c>
      <c r="M17" s="204">
        <f t="shared" si="6"/>
        <v>5.8733901694793987E-5</v>
      </c>
      <c r="N17" s="198"/>
      <c r="O17" s="198"/>
      <c r="P17" s="198"/>
      <c r="U17" s="526"/>
      <c r="V17" s="214"/>
      <c r="W17" s="214"/>
      <c r="X17" s="212"/>
      <c r="Y17" s="212"/>
      <c r="Z17" s="214"/>
      <c r="AA17" s="214"/>
      <c r="AB17" s="212"/>
      <c r="AC17" s="212"/>
      <c r="AD17" s="214"/>
    </row>
    <row r="18" spans="1:30">
      <c r="A18" s="213">
        <v>12</v>
      </c>
      <c r="B18" s="337" t="s">
        <v>111</v>
      </c>
      <c r="C18" s="337" t="s">
        <v>114</v>
      </c>
      <c r="D18" s="337" t="s">
        <v>112</v>
      </c>
      <c r="E18" s="338">
        <f>'06.2013 Rev Model'!I23</f>
        <v>25646329</v>
      </c>
      <c r="F18" s="338">
        <f>'2015 Forecast Energy'!D14</f>
        <v>25328043.627466295</v>
      </c>
      <c r="G18" s="339">
        <f t="shared" si="0"/>
        <v>-1.2410562639733161E-2</v>
      </c>
      <c r="H18" s="338">
        <v>6670112</v>
      </c>
      <c r="I18" s="339">
        <f t="shared" si="3"/>
        <v>1.428682006518356E-2</v>
      </c>
      <c r="J18" s="339">
        <f t="shared" si="4"/>
        <v>-1.7730747534155716E-4</v>
      </c>
      <c r="K18" s="200">
        <f t="shared" si="5"/>
        <v>4.6031510719445733E-3</v>
      </c>
      <c r="L18" s="201">
        <f t="shared" si="7"/>
        <v>9.683668993238987E-3</v>
      </c>
      <c r="M18" s="204">
        <f t="shared" si="6"/>
        <v>-1.2017978062303421E-4</v>
      </c>
      <c r="N18" s="199">
        <f>SUM(M13:M18)</f>
        <v>-2.2660715963694882E-4</v>
      </c>
      <c r="O18" s="199">
        <f>SUM(I13:I18)</f>
        <v>0.86601485647549481</v>
      </c>
      <c r="P18" s="202">
        <f>N18*O18</f>
        <v>-1.9624516682931179E-4</v>
      </c>
      <c r="U18" s="526"/>
      <c r="V18" s="214"/>
      <c r="W18" s="214"/>
      <c r="X18" s="212"/>
      <c r="Y18" s="212"/>
      <c r="Z18" s="214"/>
      <c r="AA18" s="214"/>
      <c r="AB18" s="212"/>
      <c r="AC18" s="212"/>
      <c r="AD18" s="214"/>
    </row>
    <row r="19" spans="1:30">
      <c r="A19" s="213">
        <v>13</v>
      </c>
      <c r="B19" s="331" t="s">
        <v>101</v>
      </c>
      <c r="C19" s="331" t="s">
        <v>115</v>
      </c>
      <c r="D19" s="332" t="s">
        <v>102</v>
      </c>
      <c r="E19" s="333"/>
      <c r="F19" s="340"/>
      <c r="G19" s="335"/>
      <c r="H19" s="333">
        <v>0</v>
      </c>
      <c r="I19" s="335"/>
      <c r="J19" s="335"/>
      <c r="K19" s="203"/>
      <c r="L19" s="201"/>
      <c r="M19" s="204"/>
      <c r="N19" s="198"/>
      <c r="O19" s="198"/>
      <c r="P19" s="198"/>
      <c r="U19" s="212"/>
      <c r="V19" s="212"/>
      <c r="W19" s="212"/>
      <c r="X19" s="212"/>
      <c r="Y19" s="212"/>
      <c r="Z19" s="214"/>
      <c r="AA19" s="214"/>
      <c r="AB19" s="212"/>
      <c r="AC19" s="212"/>
    </row>
    <row r="20" spans="1:30">
      <c r="A20" s="213">
        <v>14</v>
      </c>
      <c r="B20" s="331" t="s">
        <v>103</v>
      </c>
      <c r="C20" s="331" t="s">
        <v>115</v>
      </c>
      <c r="D20" s="332" t="s">
        <v>104</v>
      </c>
      <c r="E20" s="333">
        <f>'06.2013 Rev Model'!E27</f>
        <v>339823</v>
      </c>
      <c r="F20" s="333">
        <f>'2015 Customers and Demand'!G86+'2015 Customers and Demand'!G87</f>
        <v>364641</v>
      </c>
      <c r="G20" s="335">
        <f t="shared" si="0"/>
        <v>7.3032137318545243E-2</v>
      </c>
      <c r="H20" s="333">
        <f>1953982</f>
        <v>1953982</v>
      </c>
      <c r="I20" s="335">
        <f t="shared" si="3"/>
        <v>4.1852654415109524E-3</v>
      </c>
      <c r="J20" s="335">
        <f>I20*G20</f>
        <v>3.0565888043898977E-4</v>
      </c>
      <c r="K20" s="204">
        <f>E20/$E$29</f>
        <v>7.8784954268279833E-2</v>
      </c>
      <c r="L20" s="201">
        <f t="shared" si="7"/>
        <v>-7.4599688826768887E-2</v>
      </c>
      <c r="M20" s="204">
        <f>L20*G20</f>
        <v>-5.4481747183173302E-3</v>
      </c>
      <c r="N20" s="198"/>
      <c r="O20" s="198"/>
      <c r="P20" s="198"/>
      <c r="U20" s="526"/>
      <c r="V20" s="214"/>
      <c r="W20" s="212"/>
      <c r="X20" s="212"/>
      <c r="Y20" s="212"/>
      <c r="Z20" s="214"/>
      <c r="AA20" s="214"/>
      <c r="AB20" s="212"/>
      <c r="AC20" s="212"/>
    </row>
    <row r="21" spans="1:30">
      <c r="A21" s="213">
        <v>15</v>
      </c>
      <c r="B21" s="331" t="s">
        <v>105</v>
      </c>
      <c r="C21" s="331" t="s">
        <v>115</v>
      </c>
      <c r="D21" s="332" t="s">
        <v>106</v>
      </c>
      <c r="E21" s="333">
        <f>'06.2013 Rev Model'!F27</f>
        <v>2725241.1818181816</v>
      </c>
      <c r="F21" s="333">
        <f>'2015 Customers and Demand'!G88+'2015 Customers and Demand'!G89</f>
        <v>2697553.041666667</v>
      </c>
      <c r="G21" s="335">
        <f t="shared" si="0"/>
        <v>-1.0159886154752055E-2</v>
      </c>
      <c r="H21" s="333">
        <f>15670137-72437</f>
        <v>15597700</v>
      </c>
      <c r="I21" s="335">
        <f t="shared" si="3"/>
        <v>3.3408964246884255E-2</v>
      </c>
      <c r="J21" s="335">
        <f>I21*G21</f>
        <v>-3.3943127329652577E-4</v>
      </c>
      <c r="K21" s="204">
        <f>E21/$E$29</f>
        <v>0.63182304281810919</v>
      </c>
      <c r="L21" s="201">
        <f t="shared" si="7"/>
        <v>-0.59841407857122497</v>
      </c>
      <c r="M21" s="204">
        <f>L21*G21</f>
        <v>6.0798189116844968E-3</v>
      </c>
      <c r="N21" s="198"/>
      <c r="O21" s="198"/>
      <c r="P21" s="198"/>
      <c r="U21" s="697">
        <f>6.42/2.5</f>
        <v>2.5680000000000001</v>
      </c>
      <c r="V21" s="214"/>
      <c r="W21" s="212"/>
      <c r="X21" s="212"/>
      <c r="Y21" s="212"/>
      <c r="Z21" s="214"/>
      <c r="AA21" s="214"/>
      <c r="AB21" s="212"/>
      <c r="AC21" s="212"/>
    </row>
    <row r="22" spans="1:30">
      <c r="A22" s="213">
        <v>16</v>
      </c>
      <c r="B22" s="331" t="s">
        <v>107</v>
      </c>
      <c r="C22" s="331" t="s">
        <v>115</v>
      </c>
      <c r="D22" s="332" t="s">
        <v>108</v>
      </c>
      <c r="E22" s="333">
        <f>'06.2013 Rev Model'!G27</f>
        <v>1248234</v>
      </c>
      <c r="F22" s="333">
        <f>'2015 Customers and Demand'!G90</f>
        <v>1168073</v>
      </c>
      <c r="G22" s="335">
        <f t="shared" si="0"/>
        <v>-6.4219529351067187E-2</v>
      </c>
      <c r="H22" s="333">
        <f>5929112-1234276</f>
        <v>4694836</v>
      </c>
      <c r="I22" s="335">
        <f t="shared" si="3"/>
        <v>1.0055944662930118E-2</v>
      </c>
      <c r="J22" s="335">
        <f>I22*G22</f>
        <v>-6.4578803343374807E-4</v>
      </c>
      <c r="K22" s="204">
        <f>E22/$E$29</f>
        <v>0.28939200291361095</v>
      </c>
      <c r="L22" s="201">
        <f t="shared" si="7"/>
        <v>-0.27933605825068081</v>
      </c>
      <c r="M22" s="204">
        <f>L22*G22</f>
        <v>1.7938830191641008E-2</v>
      </c>
      <c r="N22" s="199">
        <f>SUM(M20:M22)</f>
        <v>1.8570474385008175E-2</v>
      </c>
      <c r="O22" s="199">
        <f>SUM(I20:I22)</f>
        <v>4.7650174351325326E-2</v>
      </c>
      <c r="P22" s="202">
        <f>N22*O22</f>
        <v>8.8488634223246045E-4</v>
      </c>
      <c r="U22" s="697">
        <f>1248234-(1248234*0.02568)</f>
        <v>1216179.35088</v>
      </c>
      <c r="V22" s="214"/>
      <c r="W22" s="212"/>
      <c r="X22" s="212"/>
      <c r="Y22" s="212"/>
      <c r="Z22" s="214"/>
      <c r="AA22" s="214"/>
      <c r="AB22" s="212"/>
      <c r="AC22" s="212"/>
    </row>
    <row r="23" spans="1:30">
      <c r="A23" s="213">
        <v>17</v>
      </c>
      <c r="B23" s="331" t="s">
        <v>109</v>
      </c>
      <c r="C23" s="331" t="s">
        <v>115</v>
      </c>
      <c r="D23" s="332" t="s">
        <v>110</v>
      </c>
      <c r="E23" s="333"/>
      <c r="F23" s="341"/>
      <c r="G23" s="342"/>
      <c r="H23" s="333"/>
      <c r="I23" s="335"/>
      <c r="J23" s="335"/>
      <c r="N23" s="198"/>
      <c r="O23" s="198"/>
      <c r="P23" s="198"/>
      <c r="U23" s="212"/>
      <c r="V23" s="212"/>
      <c r="W23" s="212"/>
      <c r="X23" s="212"/>
      <c r="Y23" s="212"/>
      <c r="Z23" s="214"/>
      <c r="AA23" s="214"/>
      <c r="AB23" s="212"/>
      <c r="AC23" s="212"/>
    </row>
    <row r="24" spans="1:30" ht="15.75" thickBot="1">
      <c r="A24" s="213">
        <v>18</v>
      </c>
      <c r="B24" s="343" t="s">
        <v>111</v>
      </c>
      <c r="C24" s="343" t="s">
        <v>115</v>
      </c>
      <c r="D24" s="343" t="s">
        <v>112</v>
      </c>
      <c r="E24" s="438"/>
      <c r="F24" s="344"/>
      <c r="G24" s="345"/>
      <c r="H24" s="438"/>
      <c r="I24" s="346"/>
      <c r="J24" s="336"/>
      <c r="M24" s="610"/>
      <c r="N24" s="198"/>
      <c r="O24" s="199">
        <f>O11+O18+O22</f>
        <v>1</v>
      </c>
      <c r="P24" s="199">
        <f>P11+P18+P22</f>
        <v>-1.4382110749322119E-3</v>
      </c>
      <c r="U24" s="660" t="s">
        <v>588</v>
      </c>
      <c r="V24" s="212"/>
      <c r="W24" s="212"/>
      <c r="X24" s="212"/>
      <c r="Y24" s="212"/>
      <c r="Z24" s="214"/>
      <c r="AA24" s="214"/>
      <c r="AB24" s="212"/>
      <c r="AC24" s="212"/>
    </row>
    <row r="25" spans="1:30" ht="16.5" thickTop="1" thickBot="1">
      <c r="A25" s="213">
        <v>19</v>
      </c>
      <c r="B25" s="321" t="s">
        <v>8</v>
      </c>
      <c r="C25" s="321"/>
      <c r="D25" s="321"/>
      <c r="E25" s="333"/>
      <c r="F25" s="347"/>
      <c r="G25" s="324"/>
      <c r="H25" s="466">
        <f>SUM(H7:H24)</f>
        <v>466871702</v>
      </c>
      <c r="I25" s="335">
        <f>SUM(I7:I24)</f>
        <v>1</v>
      </c>
      <c r="J25" s="532">
        <f>SUM(J7:J24)</f>
        <v>2.0771232855358646E-2</v>
      </c>
      <c r="K25" s="207"/>
      <c r="L25" s="207"/>
      <c r="M25" s="207"/>
      <c r="P25" s="199">
        <f>J25-P24</f>
        <v>2.2209443930290857E-2</v>
      </c>
      <c r="U25" s="215">
        <f>J25/2.5</f>
        <v>8.3084931421434586E-3</v>
      </c>
      <c r="V25" s="348"/>
    </row>
    <row r="26" spans="1:30" ht="16.5" thickTop="1" thickBot="1">
      <c r="A26" s="213"/>
      <c r="B26" s="321"/>
      <c r="C26" s="321"/>
      <c r="D26" s="321"/>
      <c r="E26" s="333"/>
      <c r="F26" s="347"/>
      <c r="G26" s="349"/>
      <c r="H26" s="466"/>
      <c r="I26" s="334"/>
      <c r="J26" s="348"/>
    </row>
    <row r="27" spans="1:30">
      <c r="A27" s="213"/>
      <c r="B27" s="472" t="s">
        <v>130</v>
      </c>
      <c r="C27" s="473"/>
      <c r="D27" s="473"/>
      <c r="E27" s="439">
        <f>SUM(E7:E12)</f>
        <v>2843796.9999999963</v>
      </c>
      <c r="F27" s="439">
        <f>SUM(F7:F12)</f>
        <v>2922458.2902878127</v>
      </c>
      <c r="G27" s="474">
        <f t="shared" ref="G27:G29" si="8">(F27-E27)/E27</f>
        <v>2.7660655907512575E-2</v>
      </c>
      <c r="H27" s="475"/>
      <c r="I27" s="474"/>
      <c r="J27" s="476"/>
    </row>
    <row r="28" spans="1:30">
      <c r="A28" s="213"/>
      <c r="B28" s="477" t="s">
        <v>131</v>
      </c>
      <c r="C28" s="326"/>
      <c r="D28" s="326"/>
      <c r="E28" s="440">
        <f>SUM(E13:E18)</f>
        <v>5571472367.333333</v>
      </c>
      <c r="F28" s="440">
        <f>SUM(F13:F18)</f>
        <v>5689806232.5453358</v>
      </c>
      <c r="G28" s="335">
        <f t="shared" si="8"/>
        <v>2.1239244747190723E-2</v>
      </c>
      <c r="H28" s="478"/>
      <c r="I28" s="336"/>
      <c r="J28" s="479"/>
    </row>
    <row r="29" spans="1:30">
      <c r="A29" s="213"/>
      <c r="B29" s="477" t="s">
        <v>132</v>
      </c>
      <c r="C29" s="326"/>
      <c r="D29" s="326"/>
      <c r="E29" s="440">
        <f>SUM(E19:E24)</f>
        <v>4313298.1818181816</v>
      </c>
      <c r="F29" s="440">
        <f>SUM(F19:F24)</f>
        <v>4230267.041666667</v>
      </c>
      <c r="G29" s="335">
        <f t="shared" si="8"/>
        <v>-1.9250034811299461E-2</v>
      </c>
      <c r="H29" s="478"/>
      <c r="I29" s="336"/>
      <c r="J29" s="479"/>
    </row>
    <row r="30" spans="1:30" ht="15.75" thickBot="1">
      <c r="A30" s="213"/>
      <c r="B30" s="480"/>
      <c r="C30" s="481"/>
      <c r="D30" s="481"/>
      <c r="E30" s="441"/>
      <c r="F30" s="441"/>
      <c r="G30" s="482"/>
      <c r="H30" s="441"/>
      <c r="I30" s="482"/>
      <c r="J30" s="483"/>
    </row>
    <row r="31" spans="1:30">
      <c r="A31" s="213"/>
      <c r="B31" s="327"/>
      <c r="C31" s="327"/>
      <c r="D31" s="327"/>
      <c r="E31" s="327"/>
      <c r="F31" s="327"/>
      <c r="G31" s="327"/>
      <c r="H31" s="327"/>
      <c r="I31" s="327"/>
      <c r="J31" s="327"/>
    </row>
    <row r="32" spans="1:30">
      <c r="A32" s="213"/>
      <c r="B32" s="350"/>
      <c r="C32" s="350"/>
      <c r="D32" s="350"/>
      <c r="E32" s="327"/>
      <c r="F32" s="327"/>
      <c r="G32" s="350"/>
      <c r="H32" s="484"/>
      <c r="I32" s="485"/>
      <c r="J32" s="336"/>
      <c r="Z32" s="215"/>
      <c r="AD32" s="215"/>
    </row>
    <row r="33" spans="1:26">
      <c r="A33" s="213"/>
      <c r="B33" s="350"/>
      <c r="C33" s="350"/>
      <c r="D33" s="350"/>
      <c r="E33" s="442"/>
      <c r="F33" s="350"/>
      <c r="G33" s="350"/>
      <c r="H33" s="486"/>
      <c r="I33" s="485"/>
      <c r="J33" s="326"/>
      <c r="Z33" s="215"/>
    </row>
    <row r="34" spans="1:26">
      <c r="H34" s="522"/>
      <c r="J34" s="215"/>
    </row>
    <row r="35" spans="1:26">
      <c r="H35" s="487"/>
      <c r="J35" s="215"/>
    </row>
  </sheetData>
  <mergeCells count="2">
    <mergeCell ref="B2:J2"/>
    <mergeCell ref="B1:J1"/>
  </mergeCells>
  <phoneticPr fontId="52" type="noConversion"/>
  <pageMargins left="0.84" right="0.88" top="1" bottom="0.75" header="0.28999999999999998" footer="0.3"/>
  <pageSetup scale="76" orientation="landscape" r:id="rId1"/>
  <headerFooter scaleWithDoc="0">
    <oddFooter>&amp;C&amp;F&amp;RPage &amp;P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sheetPr>
  <dimension ref="A2:R300"/>
  <sheetViews>
    <sheetView view="pageBreakPreview" topLeftCell="A4" zoomScale="115" zoomScaleNormal="100" zoomScaleSheetLayoutView="115" workbookViewId="0">
      <selection activeCell="G27" sqref="G27"/>
    </sheetView>
  </sheetViews>
  <sheetFormatPr defaultColWidth="10.7109375" defaultRowHeight="11.25"/>
  <cols>
    <col min="1" max="1" width="9.7109375" style="113" customWidth="1"/>
    <col min="2" max="2" width="25.7109375" style="115" customWidth="1"/>
    <col min="3" max="4" width="11.85546875" style="115" customWidth="1"/>
    <col min="5" max="5" width="11.5703125" style="115" customWidth="1"/>
    <col min="6" max="6" width="11.85546875" style="115" customWidth="1"/>
    <col min="7" max="7" width="11.7109375" style="115" customWidth="1"/>
    <col min="8" max="8" width="11.28515625" style="115" customWidth="1"/>
    <col min="9" max="9" width="11.85546875" style="115" customWidth="1"/>
    <col min="10" max="10" width="10.7109375" style="115" customWidth="1"/>
    <col min="11" max="11" width="3.7109375" style="115" customWidth="1"/>
    <col min="12" max="12" width="13.28515625" style="115" customWidth="1"/>
    <col min="13" max="13" width="3.7109375" style="115" customWidth="1"/>
    <col min="14" max="15" width="10.7109375" style="115" customWidth="1"/>
    <col min="16" max="16" width="35.7109375" style="115" customWidth="1"/>
    <col min="17" max="16384" width="10.7109375" style="115"/>
  </cols>
  <sheetData>
    <row r="2" spans="1:18" ht="22.5" customHeight="1">
      <c r="B2" s="114" t="str">
        <f>IF(Base1_Billing2=2,"BILLED","")</f>
        <v/>
      </c>
    </row>
    <row r="4" spans="1:18" s="116" customFormat="1">
      <c r="A4" s="113" t="s">
        <v>150</v>
      </c>
      <c r="C4" s="116" t="s">
        <v>96</v>
      </c>
      <c r="D4" s="116" t="s">
        <v>101</v>
      </c>
      <c r="E4" s="116" t="s">
        <v>103</v>
      </c>
      <c r="F4" s="116" t="s">
        <v>105</v>
      </c>
      <c r="G4" s="116" t="s">
        <v>107</v>
      </c>
      <c r="H4" s="116" t="s">
        <v>109</v>
      </c>
      <c r="I4" s="116" t="s">
        <v>111</v>
      </c>
    </row>
    <row r="5" spans="1:18" s="116" customFormat="1">
      <c r="A5" s="113" t="s">
        <v>151</v>
      </c>
      <c r="C5" s="117" t="s">
        <v>87</v>
      </c>
      <c r="D5" s="117" t="s">
        <v>102</v>
      </c>
      <c r="E5" s="117" t="s">
        <v>104</v>
      </c>
      <c r="F5" s="117" t="s">
        <v>106</v>
      </c>
      <c r="G5" s="117" t="s">
        <v>108</v>
      </c>
      <c r="H5" s="117" t="s">
        <v>110</v>
      </c>
      <c r="I5" s="117" t="s">
        <v>112</v>
      </c>
      <c r="P5" s="118" t="s">
        <v>152</v>
      </c>
    </row>
    <row r="6" spans="1:18" ht="11.25" customHeight="1">
      <c r="B6" s="119" t="s">
        <v>153</v>
      </c>
      <c r="K6" s="116"/>
      <c r="L6" s="120" t="s">
        <v>154</v>
      </c>
      <c r="M6" s="116"/>
      <c r="N6" s="116"/>
      <c r="P6" s="779" t="str">
        <f>"AVISTA UTILITIES
WASHINGTON ELECTRIC
PRO FORMA REVENUE UNDER PRESENT AND PROPOSED "&amp;N9&amp;" RATES
12 MONTHS ENDED JUNE 30, 2013"</f>
        <v>AVISTA UTILITIES
WASHINGTON ELECTRIC
PRO FORMA REVENUE UNDER PRESENT AND PROPOSED BASE TARIFF RATES
12 MONTHS ENDED JUNE 30, 2013</v>
      </c>
      <c r="Q6" s="779"/>
      <c r="R6" s="779"/>
    </row>
    <row r="7" spans="1:18">
      <c r="B7" s="121" t="s">
        <v>155</v>
      </c>
      <c r="K7" s="122" t="s">
        <v>156</v>
      </c>
      <c r="L7" s="115" t="s">
        <v>157</v>
      </c>
      <c r="M7" s="116"/>
      <c r="N7" s="116"/>
      <c r="P7" s="779"/>
      <c r="Q7" s="779"/>
      <c r="R7" s="779"/>
    </row>
    <row r="8" spans="1:18">
      <c r="A8" s="113" t="s">
        <v>158</v>
      </c>
      <c r="B8" s="115" t="s">
        <v>159</v>
      </c>
      <c r="C8" s="123"/>
      <c r="D8" s="123">
        <v>1539744219.7323604</v>
      </c>
      <c r="E8" s="123">
        <v>399066786.04010034</v>
      </c>
      <c r="F8" s="123">
        <v>1265934692.5857337</v>
      </c>
      <c r="G8" s="123">
        <v>126000000</v>
      </c>
      <c r="H8" s="123">
        <v>50887339.443894796</v>
      </c>
      <c r="I8" s="123"/>
      <c r="L8" s="116" t="s">
        <v>160</v>
      </c>
      <c r="N8" s="124">
        <v>1</v>
      </c>
      <c r="P8" s="779"/>
      <c r="Q8" s="779"/>
      <c r="R8" s="779"/>
    </row>
    <row r="9" spans="1:18">
      <c r="A9" s="113" t="s">
        <v>158</v>
      </c>
      <c r="B9" s="115" t="s">
        <v>161</v>
      </c>
      <c r="C9" s="123"/>
      <c r="D9" s="123">
        <v>507409059.19834298</v>
      </c>
      <c r="E9" s="123">
        <v>157496002.95989969</v>
      </c>
      <c r="F9" s="123">
        <v>164689049.41426659</v>
      </c>
      <c r="G9" s="123">
        <v>545814451</v>
      </c>
      <c r="H9" s="123">
        <v>80006133.556105211</v>
      </c>
      <c r="I9" s="123"/>
      <c r="K9" s="122" t="s">
        <v>162</v>
      </c>
      <c r="L9" s="115" t="s">
        <v>163</v>
      </c>
      <c r="N9" s="115" t="str">
        <f>CHOOSE(Base1_Billing2,L7,L9)</f>
        <v>BASE TARIFF</v>
      </c>
      <c r="P9" s="779"/>
      <c r="Q9" s="779"/>
      <c r="R9" s="779"/>
    </row>
    <row r="10" spans="1:18">
      <c r="A10" s="113" t="s">
        <v>158</v>
      </c>
      <c r="B10" s="115" t="s">
        <v>164</v>
      </c>
      <c r="C10" s="123"/>
      <c r="D10" s="123">
        <v>309567515.06929666</v>
      </c>
      <c r="E10" s="123"/>
      <c r="F10" s="123"/>
      <c r="G10" s="123">
        <v>408634245.33333325</v>
      </c>
      <c r="H10" s="123"/>
      <c r="I10" s="123"/>
      <c r="N10" s="115" t="str">
        <f>CHOOSE(Base1_Billing2,"Base","Billing")</f>
        <v>Base</v>
      </c>
      <c r="P10" s="779"/>
      <c r="Q10" s="779"/>
      <c r="R10" s="779"/>
    </row>
    <row r="11" spans="1:18">
      <c r="B11" s="115" t="s">
        <v>165</v>
      </c>
      <c r="C11" s="123"/>
      <c r="D11" s="123"/>
      <c r="E11" s="123"/>
      <c r="F11" s="123"/>
      <c r="G11" s="123"/>
      <c r="H11" s="123"/>
      <c r="I11" s="123"/>
      <c r="P11" s="779"/>
      <c r="Q11" s="779"/>
      <c r="R11" s="779"/>
    </row>
    <row r="12" spans="1:18">
      <c r="A12" s="113" t="s">
        <v>179</v>
      </c>
      <c r="B12" s="115" t="s">
        <v>166</v>
      </c>
      <c r="C12" s="125"/>
      <c r="D12" s="125"/>
      <c r="E12" s="125"/>
      <c r="F12" s="125"/>
      <c r="G12" s="125"/>
      <c r="H12" s="125"/>
      <c r="I12" s="125">
        <v>25646329</v>
      </c>
      <c r="N12" s="123"/>
    </row>
    <row r="13" spans="1:18">
      <c r="C13" s="123"/>
      <c r="D13" s="123"/>
      <c r="E13" s="123"/>
      <c r="F13" s="123"/>
      <c r="G13" s="123"/>
      <c r="H13" s="123"/>
      <c r="I13" s="193"/>
      <c r="N13" s="126"/>
    </row>
    <row r="14" spans="1:18">
      <c r="B14" s="115" t="s">
        <v>167</v>
      </c>
      <c r="C14" s="123">
        <f>SUM(D14:I14)</f>
        <v>5580895823.333333</v>
      </c>
      <c r="D14" s="123">
        <f t="shared" ref="D14:I14" si="0">SUM(D8:D12)</f>
        <v>2356720794</v>
      </c>
      <c r="E14" s="123">
        <f t="shared" si="0"/>
        <v>556562789</v>
      </c>
      <c r="F14" s="123">
        <f t="shared" si="0"/>
        <v>1430623742.0000002</v>
      </c>
      <c r="G14" s="123">
        <f t="shared" si="0"/>
        <v>1080448696.3333333</v>
      </c>
      <c r="H14" s="123">
        <f t="shared" si="0"/>
        <v>130893473</v>
      </c>
      <c r="I14" s="123">
        <f t="shared" si="0"/>
        <v>25646329</v>
      </c>
    </row>
    <row r="15" spans="1:18" s="128" customFormat="1">
      <c r="A15" s="113"/>
      <c r="B15" s="127"/>
      <c r="C15" s="123"/>
      <c r="D15" s="123"/>
      <c r="E15" s="123"/>
      <c r="F15" s="123"/>
      <c r="G15" s="123"/>
      <c r="H15" s="123"/>
      <c r="I15" s="123"/>
    </row>
    <row r="16" spans="1:18">
      <c r="C16" s="129"/>
      <c r="D16" s="129"/>
      <c r="E16" s="129"/>
      <c r="F16" s="129"/>
      <c r="G16" s="129"/>
      <c r="H16" s="129"/>
      <c r="I16" s="129"/>
    </row>
    <row r="17" spans="1:9">
      <c r="B17" s="115" t="s">
        <v>167</v>
      </c>
      <c r="C17" s="123">
        <f>SUM(D17:I17)</f>
        <v>5580895823.333333</v>
      </c>
      <c r="D17" s="123">
        <f>D14+D15</f>
        <v>2356720794</v>
      </c>
      <c r="E17" s="123">
        <f t="shared" ref="E17:I17" si="1">E14+E15</f>
        <v>556562789</v>
      </c>
      <c r="F17" s="123">
        <f t="shared" si="1"/>
        <v>1430623742.0000002</v>
      </c>
      <c r="G17" s="123">
        <f t="shared" si="1"/>
        <v>1080448696.3333333</v>
      </c>
      <c r="H17" s="123">
        <f t="shared" si="1"/>
        <v>130893473</v>
      </c>
      <c r="I17" s="123">
        <f t="shared" si="1"/>
        <v>25646329</v>
      </c>
    </row>
    <row r="18" spans="1:9">
      <c r="A18" s="113" t="s">
        <v>158</v>
      </c>
      <c r="B18" s="115" t="s">
        <v>168</v>
      </c>
      <c r="C18" s="123">
        <f>SUM(D18:I18)</f>
        <v>0</v>
      </c>
      <c r="D18" s="123">
        <v>0</v>
      </c>
      <c r="E18" s="123">
        <v>0</v>
      </c>
      <c r="F18" s="123">
        <v>0</v>
      </c>
      <c r="G18" s="194">
        <v>0</v>
      </c>
      <c r="H18" s="123">
        <v>0</v>
      </c>
      <c r="I18" s="194">
        <v>0</v>
      </c>
    </row>
    <row r="19" spans="1:9">
      <c r="C19" s="129"/>
      <c r="D19" s="129"/>
      <c r="E19" s="129"/>
      <c r="F19" s="129"/>
      <c r="G19" s="129"/>
      <c r="H19" s="129"/>
      <c r="I19" s="129"/>
    </row>
    <row r="20" spans="1:9">
      <c r="B20" s="115" t="s">
        <v>169</v>
      </c>
      <c r="C20" s="123">
        <f>SUM(D20:I20)</f>
        <v>5580895823.333333</v>
      </c>
      <c r="D20" s="123">
        <f t="shared" ref="D20:I20" si="2">D17+D18</f>
        <v>2356720794</v>
      </c>
      <c r="E20" s="123">
        <f t="shared" si="2"/>
        <v>556562789</v>
      </c>
      <c r="F20" s="123">
        <f t="shared" si="2"/>
        <v>1430623742.0000002</v>
      </c>
      <c r="G20" s="123">
        <f t="shared" si="2"/>
        <v>1080448696.3333333</v>
      </c>
      <c r="H20" s="123">
        <f t="shared" si="2"/>
        <v>130893473</v>
      </c>
      <c r="I20" s="123">
        <f t="shared" si="2"/>
        <v>25646329</v>
      </c>
    </row>
    <row r="21" spans="1:9" s="128" customFormat="1">
      <c r="A21" s="113" t="s">
        <v>170</v>
      </c>
      <c r="B21" s="127" t="s">
        <v>171</v>
      </c>
      <c r="C21" s="130">
        <f>SUM(D21:I21)</f>
        <v>-9423456</v>
      </c>
      <c r="D21" s="130">
        <f t="shared" ref="D21:H21" si="3">D142+D145</f>
        <v>-4708855</v>
      </c>
      <c r="E21" s="130">
        <f t="shared" si="3"/>
        <v>790565</v>
      </c>
      <c r="F21" s="130">
        <f t="shared" si="3"/>
        <v>-6250511</v>
      </c>
      <c r="G21" s="195">
        <f t="shared" si="3"/>
        <v>0</v>
      </c>
      <c r="H21" s="130">
        <f t="shared" si="3"/>
        <v>745345</v>
      </c>
      <c r="I21" s="130">
        <f>I142+I145</f>
        <v>0</v>
      </c>
    </row>
    <row r="22" spans="1:9">
      <c r="C22" s="129"/>
      <c r="D22" s="129"/>
      <c r="E22" s="129"/>
      <c r="F22" s="129"/>
      <c r="G22" s="129"/>
      <c r="H22" s="129"/>
      <c r="I22" s="129"/>
    </row>
    <row r="23" spans="1:9">
      <c r="B23" s="115" t="s">
        <v>172</v>
      </c>
      <c r="C23" s="123">
        <f>IF(ROUND(SUM(D23:I23),3)&lt;&gt;ROUND(SUM(C20:C21),3),#VALUE!,SUM(D23:I23))</f>
        <v>5571472367.333333</v>
      </c>
      <c r="D23" s="123">
        <f t="shared" ref="D23:I23" si="4">D20+D21</f>
        <v>2352011939</v>
      </c>
      <c r="E23" s="123">
        <f t="shared" si="4"/>
        <v>557353354</v>
      </c>
      <c r="F23" s="123">
        <f t="shared" si="4"/>
        <v>1424373231.0000002</v>
      </c>
      <c r="G23" s="123">
        <f t="shared" si="4"/>
        <v>1080448696.3333333</v>
      </c>
      <c r="H23" s="123">
        <f t="shared" si="4"/>
        <v>131638818</v>
      </c>
      <c r="I23" s="123">
        <f t="shared" si="4"/>
        <v>25646329</v>
      </c>
    </row>
    <row r="24" spans="1:9">
      <c r="C24" s="123"/>
      <c r="D24" s="123"/>
      <c r="E24" s="123"/>
      <c r="F24" s="123"/>
      <c r="G24" s="123"/>
      <c r="H24" s="123"/>
      <c r="I24" s="123"/>
    </row>
    <row r="25" spans="1:9">
      <c r="A25" s="113" t="s">
        <v>158</v>
      </c>
      <c r="B25" s="115" t="s">
        <v>173</v>
      </c>
      <c r="C25" s="123"/>
      <c r="D25" s="123">
        <v>2437080.9999999963</v>
      </c>
      <c r="E25" s="123">
        <v>351974.99999999994</v>
      </c>
      <c r="F25" s="123">
        <v>25427</v>
      </c>
      <c r="G25" s="123">
        <v>252</v>
      </c>
      <c r="H25" s="123">
        <v>29061.999999999996</v>
      </c>
      <c r="I25" s="123"/>
    </row>
    <row r="26" spans="1:9">
      <c r="B26" s="115" t="s">
        <v>174</v>
      </c>
      <c r="C26" s="123"/>
      <c r="D26" s="123"/>
      <c r="E26" s="123"/>
      <c r="F26" s="123"/>
      <c r="G26" s="123"/>
      <c r="H26" s="123"/>
      <c r="I26" s="123"/>
    </row>
    <row r="27" spans="1:9">
      <c r="A27" s="113" t="s">
        <v>158</v>
      </c>
      <c r="B27" s="115" t="s">
        <v>175</v>
      </c>
      <c r="C27" s="123"/>
      <c r="D27" s="123"/>
      <c r="E27" s="123">
        <v>339823</v>
      </c>
      <c r="F27" s="123">
        <v>2725241.1818181816</v>
      </c>
      <c r="G27" s="123">
        <v>1248234</v>
      </c>
      <c r="H27" s="123"/>
      <c r="I27" s="123"/>
    </row>
    <row r="28" spans="1:9">
      <c r="C28" s="131"/>
      <c r="D28" s="131"/>
      <c r="E28" s="131"/>
      <c r="F28" s="131"/>
      <c r="G28" s="131"/>
      <c r="H28" s="131"/>
      <c r="I28" s="131"/>
    </row>
    <row r="29" spans="1:9" ht="12.75">
      <c r="B29" s="119" t="s">
        <v>176</v>
      </c>
    </row>
    <row r="30" spans="1:9" s="133" customFormat="1">
      <c r="A30" s="132"/>
      <c r="B30" s="121" t="s">
        <v>155</v>
      </c>
    </row>
    <row r="31" spans="1:9">
      <c r="B31" s="115" t="s">
        <v>159</v>
      </c>
      <c r="C31" s="123"/>
      <c r="D31" s="123">
        <f t="shared" ref="D31:I35" si="5">D8</f>
        <v>1539744219.7323604</v>
      </c>
      <c r="E31" s="123">
        <f t="shared" si="5"/>
        <v>399066786.04010034</v>
      </c>
      <c r="F31" s="123">
        <f t="shared" si="5"/>
        <v>1265934692.5857337</v>
      </c>
      <c r="G31" s="123">
        <f t="shared" si="5"/>
        <v>126000000</v>
      </c>
      <c r="H31" s="123">
        <f t="shared" si="5"/>
        <v>50887339.443894796</v>
      </c>
      <c r="I31" s="123">
        <f t="shared" si="5"/>
        <v>0</v>
      </c>
    </row>
    <row r="32" spans="1:9">
      <c r="B32" s="115" t="s">
        <v>161</v>
      </c>
      <c r="C32" s="123"/>
      <c r="D32" s="123">
        <f t="shared" si="5"/>
        <v>507409059.19834298</v>
      </c>
      <c r="E32" s="123">
        <f t="shared" si="5"/>
        <v>157496002.95989969</v>
      </c>
      <c r="F32" s="123">
        <f t="shared" si="5"/>
        <v>164689049.41426659</v>
      </c>
      <c r="G32" s="123">
        <f t="shared" ref="G32" si="6">G9</f>
        <v>545814451</v>
      </c>
      <c r="H32" s="123">
        <f t="shared" si="5"/>
        <v>80006133.556105211</v>
      </c>
      <c r="I32" s="123">
        <f t="shared" si="5"/>
        <v>0</v>
      </c>
    </row>
    <row r="33" spans="1:9">
      <c r="B33" s="115" t="s">
        <v>164</v>
      </c>
      <c r="C33" s="123"/>
      <c r="D33" s="123">
        <f t="shared" si="5"/>
        <v>309567515.06929666</v>
      </c>
      <c r="E33" s="123">
        <f t="shared" si="5"/>
        <v>0</v>
      </c>
      <c r="F33" s="123">
        <f t="shared" si="5"/>
        <v>0</v>
      </c>
      <c r="G33" s="123">
        <f t="shared" ref="G33" si="7">G10</f>
        <v>408634245.33333325</v>
      </c>
      <c r="H33" s="123">
        <f t="shared" si="5"/>
        <v>0</v>
      </c>
      <c r="I33" s="123">
        <f t="shared" si="5"/>
        <v>0</v>
      </c>
    </row>
    <row r="34" spans="1:9">
      <c r="B34" s="115" t="s">
        <v>165</v>
      </c>
      <c r="C34" s="123"/>
      <c r="D34" s="123">
        <f t="shared" si="5"/>
        <v>0</v>
      </c>
      <c r="E34" s="123">
        <f t="shared" si="5"/>
        <v>0</v>
      </c>
      <c r="F34" s="123">
        <f t="shared" si="5"/>
        <v>0</v>
      </c>
      <c r="G34" s="123">
        <f t="shared" si="5"/>
        <v>0</v>
      </c>
      <c r="H34" s="123">
        <f t="shared" si="5"/>
        <v>0</v>
      </c>
      <c r="I34" s="123">
        <f t="shared" si="5"/>
        <v>0</v>
      </c>
    </row>
    <row r="35" spans="1:9">
      <c r="B35" s="115" t="s">
        <v>166</v>
      </c>
      <c r="C35" s="134"/>
      <c r="D35" s="123">
        <f t="shared" si="5"/>
        <v>0</v>
      </c>
      <c r="E35" s="123">
        <f t="shared" si="5"/>
        <v>0</v>
      </c>
      <c r="F35" s="123">
        <f t="shared" si="5"/>
        <v>0</v>
      </c>
      <c r="G35" s="123">
        <f t="shared" si="5"/>
        <v>0</v>
      </c>
      <c r="H35" s="123">
        <f t="shared" si="5"/>
        <v>0</v>
      </c>
      <c r="I35" s="123">
        <f t="shared" si="5"/>
        <v>25646329</v>
      </c>
    </row>
    <row r="36" spans="1:9">
      <c r="C36" s="129"/>
      <c r="D36" s="129"/>
      <c r="E36" s="129"/>
      <c r="F36" s="129"/>
      <c r="G36" s="129"/>
      <c r="H36" s="129"/>
      <c r="I36" s="129"/>
    </row>
    <row r="37" spans="1:9">
      <c r="B37" s="115" t="s">
        <v>167</v>
      </c>
      <c r="C37" s="123">
        <f>SUM(D37:I37)</f>
        <v>5580895823.333333</v>
      </c>
      <c r="D37" s="123">
        <f t="shared" ref="D37:I37" si="8">SUM(D31:D35)</f>
        <v>2356720794</v>
      </c>
      <c r="E37" s="123">
        <f t="shared" si="8"/>
        <v>556562789</v>
      </c>
      <c r="F37" s="123">
        <f t="shared" si="8"/>
        <v>1430623742.0000002</v>
      </c>
      <c r="G37" s="123">
        <f t="shared" si="8"/>
        <v>1080448696.3333333</v>
      </c>
      <c r="H37" s="123">
        <f t="shared" si="8"/>
        <v>130893473</v>
      </c>
      <c r="I37" s="123">
        <f t="shared" si="8"/>
        <v>25646329</v>
      </c>
    </row>
    <row r="38" spans="1:9" s="128" customFormat="1">
      <c r="A38" s="135"/>
      <c r="B38" s="136"/>
      <c r="C38" s="123">
        <f>SUM(D38:I38)</f>
        <v>0</v>
      </c>
      <c r="D38" s="130">
        <f>D15</f>
        <v>0</v>
      </c>
      <c r="E38" s="130">
        <f t="shared" ref="E38:I38" si="9">E15</f>
        <v>0</v>
      </c>
      <c r="F38" s="130">
        <f t="shared" si="9"/>
        <v>0</v>
      </c>
      <c r="G38" s="130">
        <f t="shared" si="9"/>
        <v>0</v>
      </c>
      <c r="H38" s="130">
        <f t="shared" si="9"/>
        <v>0</v>
      </c>
      <c r="I38" s="130">
        <f t="shared" si="9"/>
        <v>0</v>
      </c>
    </row>
    <row r="39" spans="1:9">
      <c r="C39" s="129"/>
      <c r="D39" s="129"/>
      <c r="E39" s="129"/>
      <c r="F39" s="129"/>
      <c r="G39" s="129"/>
      <c r="H39" s="129"/>
      <c r="I39" s="129"/>
    </row>
    <row r="40" spans="1:9">
      <c r="B40" s="115" t="s">
        <v>167</v>
      </c>
      <c r="C40" s="123">
        <f>SUM(D40:I40)</f>
        <v>5580895823.333333</v>
      </c>
      <c r="D40" s="123">
        <f t="shared" ref="D40:I40" si="10">D37+D38</f>
        <v>2356720794</v>
      </c>
      <c r="E40" s="123">
        <f t="shared" si="10"/>
        <v>556562789</v>
      </c>
      <c r="F40" s="123">
        <f t="shared" si="10"/>
        <v>1430623742.0000002</v>
      </c>
      <c r="G40" s="123">
        <f t="shared" si="10"/>
        <v>1080448696.3333333</v>
      </c>
      <c r="H40" s="123">
        <f t="shared" si="10"/>
        <v>130893473</v>
      </c>
      <c r="I40" s="123">
        <f t="shared" si="10"/>
        <v>25646329</v>
      </c>
    </row>
    <row r="41" spans="1:9">
      <c r="B41" s="115" t="s">
        <v>168</v>
      </c>
      <c r="C41" s="123">
        <f>SUM(D41:I41)</f>
        <v>0</v>
      </c>
      <c r="D41" s="123">
        <f t="shared" ref="D41:I41" si="11">D18</f>
        <v>0</v>
      </c>
      <c r="E41" s="123">
        <f t="shared" si="11"/>
        <v>0</v>
      </c>
      <c r="F41" s="123">
        <f t="shared" si="11"/>
        <v>0</v>
      </c>
      <c r="G41" s="123">
        <f t="shared" si="11"/>
        <v>0</v>
      </c>
      <c r="H41" s="123">
        <f t="shared" si="11"/>
        <v>0</v>
      </c>
      <c r="I41" s="123">
        <f t="shared" si="11"/>
        <v>0</v>
      </c>
    </row>
    <row r="42" spans="1:9">
      <c r="C42" s="129"/>
      <c r="D42" s="129"/>
      <c r="E42" s="129"/>
      <c r="F42" s="129"/>
      <c r="G42" s="129"/>
      <c r="H42" s="129"/>
      <c r="I42" s="129"/>
    </row>
    <row r="43" spans="1:9">
      <c r="B43" s="115" t="s">
        <v>169</v>
      </c>
      <c r="C43" s="123">
        <f>SUM(D43:I43)</f>
        <v>5580895823.333333</v>
      </c>
      <c r="D43" s="123">
        <f t="shared" ref="D43:I43" si="12">D40+D41</f>
        <v>2356720794</v>
      </c>
      <c r="E43" s="123">
        <f t="shared" si="12"/>
        <v>556562789</v>
      </c>
      <c r="F43" s="123">
        <f t="shared" si="12"/>
        <v>1430623742.0000002</v>
      </c>
      <c r="G43" s="123">
        <f t="shared" si="12"/>
        <v>1080448696.3333333</v>
      </c>
      <c r="H43" s="123">
        <f t="shared" si="12"/>
        <v>130893473</v>
      </c>
      <c r="I43" s="123">
        <f t="shared" si="12"/>
        <v>25646329</v>
      </c>
    </row>
    <row r="44" spans="1:9" s="128" customFormat="1">
      <c r="A44" s="135"/>
      <c r="B44" s="127" t="s">
        <v>171</v>
      </c>
      <c r="C44" s="130">
        <f>SUM(D44:I44)</f>
        <v>-9423456</v>
      </c>
      <c r="D44" s="130">
        <f t="shared" ref="D44:I44" si="13">D21</f>
        <v>-4708855</v>
      </c>
      <c r="E44" s="130">
        <f t="shared" si="13"/>
        <v>790565</v>
      </c>
      <c r="F44" s="130">
        <f t="shared" si="13"/>
        <v>-6250511</v>
      </c>
      <c r="G44" s="130">
        <f t="shared" si="13"/>
        <v>0</v>
      </c>
      <c r="H44" s="130">
        <f t="shared" si="13"/>
        <v>745345</v>
      </c>
      <c r="I44" s="130">
        <f t="shared" si="13"/>
        <v>0</v>
      </c>
    </row>
    <row r="45" spans="1:9">
      <c r="C45" s="129"/>
      <c r="D45" s="129"/>
      <c r="E45" s="129"/>
      <c r="F45" s="129"/>
      <c r="G45" s="129"/>
      <c r="H45" s="129"/>
      <c r="I45" s="129"/>
    </row>
    <row r="46" spans="1:9">
      <c r="B46" s="115" t="s">
        <v>172</v>
      </c>
      <c r="C46" s="123">
        <f>IF(ROUND(SUM(D46:I46),3)&lt;&gt;ROUND(SUM(C43:C44),3),#VALUE!,SUM(D46:I46))</f>
        <v>5571472367.333333</v>
      </c>
      <c r="D46" s="123">
        <f t="shared" ref="D46:I46" si="14">D43+D44</f>
        <v>2352011939</v>
      </c>
      <c r="E46" s="123">
        <f t="shared" si="14"/>
        <v>557353354</v>
      </c>
      <c r="F46" s="123">
        <f t="shared" si="14"/>
        <v>1424373231.0000002</v>
      </c>
      <c r="G46" s="123">
        <f t="shared" si="14"/>
        <v>1080448696.3333333</v>
      </c>
      <c r="H46" s="123">
        <f t="shared" si="14"/>
        <v>131638818</v>
      </c>
      <c r="I46" s="123">
        <f t="shared" si="14"/>
        <v>25646329</v>
      </c>
    </row>
    <row r="47" spans="1:9">
      <c r="C47" s="123"/>
      <c r="D47" s="123"/>
      <c r="E47" s="123"/>
      <c r="F47" s="123"/>
      <c r="G47" s="123"/>
      <c r="H47" s="123"/>
      <c r="I47" s="123"/>
    </row>
    <row r="48" spans="1:9">
      <c r="B48" s="115" t="s">
        <v>173</v>
      </c>
      <c r="C48" s="123"/>
      <c r="D48" s="123">
        <f>D25</f>
        <v>2437080.9999999963</v>
      </c>
      <c r="E48" s="123">
        <f>E25</f>
        <v>351974.99999999994</v>
      </c>
      <c r="F48" s="123">
        <f>F25</f>
        <v>25427</v>
      </c>
      <c r="G48" s="123">
        <f>G25</f>
        <v>252</v>
      </c>
      <c r="H48" s="123">
        <f>H25</f>
        <v>29061.999999999996</v>
      </c>
      <c r="I48" s="123"/>
    </row>
    <row r="49" spans="1:14">
      <c r="B49" s="115" t="s">
        <v>174</v>
      </c>
      <c r="C49" s="123"/>
      <c r="D49" s="123"/>
      <c r="E49" s="123"/>
      <c r="F49" s="123"/>
      <c r="G49" s="123"/>
      <c r="H49" s="123"/>
      <c r="I49" s="123"/>
    </row>
    <row r="50" spans="1:14">
      <c r="B50" s="115" t="s">
        <v>175</v>
      </c>
      <c r="C50" s="123"/>
      <c r="D50" s="123"/>
      <c r="E50" s="123">
        <f>E27</f>
        <v>339823</v>
      </c>
      <c r="F50" s="123">
        <f>F27</f>
        <v>2725241.1818181816</v>
      </c>
      <c r="G50" s="123">
        <f>G27</f>
        <v>1248234</v>
      </c>
      <c r="H50" s="123"/>
      <c r="I50" s="123"/>
    </row>
    <row r="51" spans="1:14" s="116" customFormat="1">
      <c r="A51" s="113"/>
      <c r="C51" s="131"/>
      <c r="D51" s="131"/>
      <c r="E51" s="131"/>
      <c r="F51" s="131"/>
      <c r="G51" s="131"/>
      <c r="H51" s="131"/>
      <c r="I51" s="131"/>
    </row>
    <row r="52" spans="1:14" s="116" customFormat="1">
      <c r="A52" s="113"/>
      <c r="C52" s="131"/>
      <c r="D52" s="131"/>
      <c r="E52" s="131"/>
      <c r="F52" s="131"/>
      <c r="G52" s="131"/>
      <c r="H52" s="131"/>
      <c r="I52" s="131"/>
    </row>
    <row r="53" spans="1:14" s="116" customFormat="1" ht="27.75" customHeight="1">
      <c r="A53" s="113"/>
      <c r="C53" s="131"/>
      <c r="D53" s="131"/>
      <c r="E53" s="131"/>
      <c r="F53" s="131"/>
      <c r="G53" s="131"/>
      <c r="H53" s="131"/>
      <c r="I53" s="131"/>
    </row>
    <row r="54" spans="1:14" s="116" customFormat="1">
      <c r="A54" s="113"/>
      <c r="C54" s="131"/>
      <c r="D54" s="131"/>
      <c r="E54" s="131"/>
      <c r="F54" s="131"/>
      <c r="G54" s="131"/>
      <c r="H54" s="131"/>
      <c r="I54" s="131"/>
    </row>
    <row r="55" spans="1:14" s="116" customFormat="1">
      <c r="A55" s="113"/>
      <c r="C55" s="131"/>
      <c r="D55" s="137">
        <v>1</v>
      </c>
      <c r="E55" s="137">
        <v>2</v>
      </c>
      <c r="F55" s="137">
        <v>3</v>
      </c>
      <c r="G55" s="137">
        <v>4</v>
      </c>
      <c r="H55" s="137">
        <v>5</v>
      </c>
      <c r="I55" s="137">
        <v>6</v>
      </c>
      <c r="L55" s="138">
        <f>SUMPRODUCT(--(ISBLANK(D55:I55)))</f>
        <v>0</v>
      </c>
    </row>
    <row r="56" spans="1:14" s="116" customFormat="1">
      <c r="A56" s="113" t="s">
        <v>150</v>
      </c>
      <c r="C56" s="116" t="s">
        <v>96</v>
      </c>
      <c r="D56" s="116" t="s">
        <v>101</v>
      </c>
      <c r="E56" s="116" t="s">
        <v>103</v>
      </c>
      <c r="F56" s="116" t="s">
        <v>105</v>
      </c>
      <c r="G56" s="116" t="s">
        <v>107</v>
      </c>
      <c r="H56" s="116" t="s">
        <v>109</v>
      </c>
      <c r="I56" s="116" t="s">
        <v>111</v>
      </c>
      <c r="L56" s="115" t="str">
        <f ca="1">"selected in cell "&amp;CELL("address",Base1_Billing2)&amp;":"</f>
        <v>selected in cell $N$8:</v>
      </c>
    </row>
    <row r="57" spans="1:14" s="116" customFormat="1">
      <c r="A57" s="113" t="s">
        <v>151</v>
      </c>
      <c r="C57" s="117" t="s">
        <v>87</v>
      </c>
      <c r="D57" s="117" t="s">
        <v>102</v>
      </c>
      <c r="E57" s="117" t="s">
        <v>104</v>
      </c>
      <c r="F57" s="117" t="s">
        <v>106</v>
      </c>
      <c r="G57" s="117" t="s">
        <v>108</v>
      </c>
      <c r="H57" s="117" t="s">
        <v>110</v>
      </c>
      <c r="I57" s="117" t="s">
        <v>112</v>
      </c>
      <c r="L57" s="133" t="str">
        <f>N10</f>
        <v>Base</v>
      </c>
    </row>
    <row r="58" spans="1:14" ht="12.75">
      <c r="B58" s="119" t="s">
        <v>177</v>
      </c>
      <c r="L58" s="115" t="str">
        <f>"Rates_"&amp;$L$57&amp;"_Present"</f>
        <v>Rates_Base_Present</v>
      </c>
      <c r="N58" s="139" t="s">
        <v>178</v>
      </c>
    </row>
    <row r="59" spans="1:14">
      <c r="A59" s="113" t="s">
        <v>391</v>
      </c>
      <c r="B59" s="115" t="s">
        <v>180</v>
      </c>
      <c r="D59" s="140">
        <v>8</v>
      </c>
      <c r="E59" s="140">
        <v>15</v>
      </c>
      <c r="F59" s="140">
        <v>0</v>
      </c>
      <c r="G59" s="140">
        <v>0</v>
      </c>
      <c r="H59" s="140">
        <v>15</v>
      </c>
      <c r="I59" s="140">
        <v>0</v>
      </c>
      <c r="K59" s="141">
        <v>1</v>
      </c>
      <c r="L59" s="115" t="str">
        <f>"Rates_"&amp;$L$57&amp;"_Proposed"</f>
        <v>Rates_Base_Proposed</v>
      </c>
      <c r="N59" s="139" t="s">
        <v>181</v>
      </c>
    </row>
    <row r="60" spans="1:14">
      <c r="B60" s="115" t="s">
        <v>182</v>
      </c>
      <c r="D60" s="142"/>
    </row>
    <row r="62" spans="1:14">
      <c r="A62" s="113" t="s">
        <v>391</v>
      </c>
      <c r="B62" s="115" t="s">
        <v>183</v>
      </c>
      <c r="D62" s="143">
        <v>7.133</v>
      </c>
      <c r="E62" s="143">
        <v>11.031000000000001</v>
      </c>
      <c r="F62" s="143">
        <v>6.8780000000000001</v>
      </c>
      <c r="G62" s="143">
        <v>5.5389999999999997</v>
      </c>
      <c r="H62" s="143">
        <v>9.2530000000000001</v>
      </c>
      <c r="I62" s="143">
        <v>0</v>
      </c>
      <c r="K62" s="141">
        <v>2</v>
      </c>
    </row>
    <row r="63" spans="1:14">
      <c r="A63" s="113" t="s">
        <v>391</v>
      </c>
      <c r="B63" s="115" t="s">
        <v>184</v>
      </c>
      <c r="D63" s="143">
        <v>8.2989999999999995</v>
      </c>
      <c r="E63" s="143">
        <v>8.1050000000000004</v>
      </c>
      <c r="F63" s="143">
        <v>6.15</v>
      </c>
      <c r="G63" s="143">
        <v>4.9829999999999997</v>
      </c>
      <c r="H63" s="143">
        <v>6.609</v>
      </c>
      <c r="I63" s="143">
        <v>0</v>
      </c>
      <c r="K63" s="141">
        <v>3</v>
      </c>
    </row>
    <row r="64" spans="1:14">
      <c r="A64" s="113" t="s">
        <v>391</v>
      </c>
      <c r="B64" s="115" t="s">
        <v>185</v>
      </c>
      <c r="D64" s="143">
        <v>9.7279999999999998</v>
      </c>
      <c r="E64" s="143">
        <v>0</v>
      </c>
      <c r="F64" s="143">
        <v>0</v>
      </c>
      <c r="G64" s="143">
        <v>4.391</v>
      </c>
      <c r="H64" s="143">
        <v>0</v>
      </c>
      <c r="I64" s="143">
        <v>0</v>
      </c>
      <c r="K64" s="141">
        <v>4</v>
      </c>
    </row>
    <row r="65" spans="1:12">
      <c r="B65" s="115" t="s">
        <v>186</v>
      </c>
      <c r="D65" s="144"/>
      <c r="E65" s="144"/>
      <c r="F65" s="144"/>
      <c r="G65" s="144"/>
      <c r="H65" s="144"/>
      <c r="I65" s="144"/>
      <c r="K65" s="141">
        <v>5</v>
      </c>
    </row>
    <row r="66" spans="1:12">
      <c r="D66" s="144"/>
      <c r="E66" s="144"/>
      <c r="F66" s="144"/>
      <c r="G66" s="144"/>
      <c r="H66" s="144"/>
      <c r="I66" s="144"/>
    </row>
    <row r="67" spans="1:12">
      <c r="B67" s="115" t="s">
        <v>187</v>
      </c>
      <c r="D67" s="143">
        <v>7.7249100251287546</v>
      </c>
      <c r="E67" s="143">
        <v>10.203001230468537</v>
      </c>
      <c r="F67" s="143">
        <v>6.7941948568612505</v>
      </c>
      <c r="G67" s="143"/>
      <c r="H67" s="143">
        <v>7.6369055392089731</v>
      </c>
      <c r="I67" s="143"/>
    </row>
    <row r="68" spans="1:12">
      <c r="D68" s="144"/>
      <c r="E68" s="144"/>
      <c r="F68" s="144"/>
      <c r="G68" s="144"/>
      <c r="H68" s="144"/>
      <c r="I68" s="144"/>
    </row>
    <row r="69" spans="1:12" s="142" customFormat="1">
      <c r="A69" s="113" t="s">
        <v>391</v>
      </c>
      <c r="B69" s="142" t="s">
        <v>188</v>
      </c>
      <c r="D69" s="140">
        <v>0</v>
      </c>
      <c r="E69" s="140">
        <v>0</v>
      </c>
      <c r="F69" s="140">
        <v>450</v>
      </c>
      <c r="G69" s="140">
        <v>14500</v>
      </c>
      <c r="H69" s="140">
        <v>0</v>
      </c>
      <c r="I69" s="140">
        <v>0</v>
      </c>
      <c r="K69" s="141">
        <v>6</v>
      </c>
    </row>
    <row r="70" spans="1:12" s="142" customFormat="1">
      <c r="A70" s="113" t="s">
        <v>391</v>
      </c>
      <c r="B70" s="142" t="s">
        <v>189</v>
      </c>
      <c r="D70" s="140">
        <v>0</v>
      </c>
      <c r="E70" s="140">
        <v>5.75</v>
      </c>
      <c r="F70" s="140">
        <v>5.75</v>
      </c>
      <c r="G70" s="140">
        <v>4.75</v>
      </c>
      <c r="H70" s="140">
        <v>0</v>
      </c>
      <c r="I70" s="140">
        <v>0</v>
      </c>
      <c r="K70" s="141">
        <v>7</v>
      </c>
    </row>
    <row r="71" spans="1:12">
      <c r="D71" s="144"/>
      <c r="E71" s="144"/>
      <c r="F71" s="144"/>
      <c r="G71" s="144"/>
      <c r="H71" s="144"/>
      <c r="I71" s="144"/>
    </row>
    <row r="72" spans="1:12">
      <c r="D72" s="144"/>
      <c r="E72" s="144"/>
      <c r="F72" s="144"/>
      <c r="G72" s="144"/>
      <c r="H72" s="144"/>
      <c r="I72" s="144"/>
    </row>
    <row r="73" spans="1:12">
      <c r="D73" s="144"/>
      <c r="E73" s="144"/>
      <c r="F73" s="144"/>
      <c r="G73" s="144"/>
      <c r="H73" s="144"/>
      <c r="I73" s="144"/>
    </row>
    <row r="74" spans="1:12">
      <c r="D74" s="144"/>
      <c r="E74" s="144"/>
      <c r="F74" s="144"/>
      <c r="G74" s="144"/>
      <c r="H74" s="144"/>
      <c r="I74" s="144"/>
    </row>
    <row r="75" spans="1:12" ht="12.75">
      <c r="B75" s="119" t="s">
        <v>190</v>
      </c>
    </row>
    <row r="76" spans="1:12">
      <c r="B76" s="115" t="s">
        <v>180</v>
      </c>
      <c r="D76" s="140">
        <v>8</v>
      </c>
      <c r="E76" s="140">
        <v>15</v>
      </c>
      <c r="F76" s="140"/>
      <c r="G76" s="140"/>
      <c r="H76" s="140">
        <v>15</v>
      </c>
      <c r="I76" s="140"/>
      <c r="K76" s="141">
        <v>1</v>
      </c>
      <c r="L76" s="145"/>
    </row>
    <row r="77" spans="1:12">
      <c r="B77" s="115" t="s">
        <v>182</v>
      </c>
      <c r="D77" s="142"/>
    </row>
    <row r="79" spans="1:12">
      <c r="B79" s="115" t="s">
        <v>183</v>
      </c>
      <c r="C79" s="146"/>
      <c r="D79" s="143">
        <v>7.133</v>
      </c>
      <c r="E79" s="143">
        <v>11.031000000000001</v>
      </c>
      <c r="F79" s="143">
        <v>6.8780000000000001</v>
      </c>
      <c r="G79" s="143">
        <v>5.5389999999999997</v>
      </c>
      <c r="H79" s="143">
        <v>9.2530000000000001</v>
      </c>
      <c r="I79" s="143"/>
      <c r="K79" s="141">
        <v>2</v>
      </c>
    </row>
    <row r="80" spans="1:12">
      <c r="B80" s="115" t="s">
        <v>184</v>
      </c>
      <c r="C80" s="146"/>
      <c r="D80" s="143">
        <v>8.2989999999999995</v>
      </c>
      <c r="E80" s="143">
        <v>8.1050000000000004</v>
      </c>
      <c r="F80" s="143">
        <v>6.15</v>
      </c>
      <c r="G80" s="143">
        <v>4.9829999999999997</v>
      </c>
      <c r="H80" s="143">
        <v>6.609</v>
      </c>
      <c r="I80" s="143"/>
      <c r="K80" s="141">
        <v>3</v>
      </c>
    </row>
    <row r="81" spans="1:11">
      <c r="B81" s="115" t="s">
        <v>185</v>
      </c>
      <c r="C81" s="146"/>
      <c r="D81" s="143">
        <v>9.7279999999999998</v>
      </c>
      <c r="E81" s="143"/>
      <c r="F81" s="143"/>
      <c r="G81" s="143">
        <v>4.391</v>
      </c>
      <c r="H81" s="143"/>
      <c r="I81" s="143"/>
      <c r="K81" s="141">
        <v>4</v>
      </c>
    </row>
    <row r="82" spans="1:11">
      <c r="B82" s="115" t="s">
        <v>186</v>
      </c>
      <c r="D82" s="144"/>
      <c r="E82" s="144"/>
      <c r="F82" s="144"/>
      <c r="G82" s="144"/>
      <c r="H82" s="144"/>
      <c r="I82" s="144"/>
      <c r="K82" s="141">
        <v>5</v>
      </c>
    </row>
    <row r="83" spans="1:11">
      <c r="D83" s="144"/>
      <c r="E83" s="144"/>
      <c r="F83" s="144"/>
      <c r="G83" s="144"/>
      <c r="H83" s="144"/>
      <c r="I83" s="144"/>
    </row>
    <row r="84" spans="1:11">
      <c r="B84" s="115" t="s">
        <v>187</v>
      </c>
      <c r="D84" s="143">
        <v>7.7249100251287546</v>
      </c>
      <c r="E84" s="143">
        <v>10.203001230468537</v>
      </c>
      <c r="F84" s="143">
        <v>6.7941948568612505</v>
      </c>
      <c r="G84" s="143"/>
      <c r="H84" s="143">
        <v>7.6369055392089731</v>
      </c>
      <c r="I84" s="143"/>
    </row>
    <row r="85" spans="1:11">
      <c r="D85" s="144"/>
      <c r="E85" s="144"/>
      <c r="F85" s="144"/>
      <c r="G85" s="144"/>
      <c r="H85" s="144"/>
      <c r="I85" s="144"/>
    </row>
    <row r="86" spans="1:11" s="142" customFormat="1">
      <c r="A86" s="113"/>
      <c r="B86" s="142" t="s">
        <v>188</v>
      </c>
      <c r="D86" s="140"/>
      <c r="E86" s="140"/>
      <c r="F86" s="140">
        <v>450</v>
      </c>
      <c r="G86" s="140">
        <v>14500</v>
      </c>
      <c r="H86" s="140"/>
      <c r="I86" s="140"/>
      <c r="K86" s="141">
        <v>6</v>
      </c>
    </row>
    <row r="87" spans="1:11" s="142" customFormat="1">
      <c r="A87" s="113"/>
      <c r="B87" s="142" t="s">
        <v>189</v>
      </c>
      <c r="D87" s="140"/>
      <c r="E87" s="140">
        <v>5.75</v>
      </c>
      <c r="F87" s="140">
        <v>5.75</v>
      </c>
      <c r="G87" s="140">
        <v>4.75</v>
      </c>
      <c r="H87" s="140"/>
      <c r="I87" s="140"/>
      <c r="K87" s="141">
        <v>7</v>
      </c>
    </row>
    <row r="88" spans="1:11" s="142" customFormat="1">
      <c r="A88" s="113"/>
      <c r="D88" s="115"/>
    </row>
    <row r="89" spans="1:11" s="142" customFormat="1">
      <c r="A89" s="113"/>
      <c r="D89" s="115"/>
    </row>
    <row r="90" spans="1:11" s="142" customFormat="1">
      <c r="A90" s="113"/>
      <c r="D90" s="115"/>
    </row>
    <row r="91" spans="1:11" s="142" customFormat="1">
      <c r="A91" s="113"/>
      <c r="D91" s="115"/>
    </row>
    <row r="92" spans="1:11" s="142" customFormat="1">
      <c r="A92" s="113"/>
      <c r="D92" s="115"/>
    </row>
    <row r="93" spans="1:11" s="142" customFormat="1">
      <c r="A93" s="113"/>
      <c r="D93" s="115"/>
    </row>
    <row r="94" spans="1:11" s="142" customFormat="1">
      <c r="A94" s="113"/>
      <c r="D94" s="115"/>
    </row>
    <row r="95" spans="1:11" s="142" customFormat="1">
      <c r="A95" s="113"/>
      <c r="B95" s="780" t="str">
        <f>CHOOSE(Base1_Billing2,"Note: Rates do not include BPA Residential Exchange Program Schedule 59, Energy Efficiency Rider Adjustment Schedule 91, or Power Cost Surcharge Schedule 93.","")</f>
        <v>Note: Rates do not include BPA Residential Exchange Program Schedule 59, Energy Efficiency Rider Adjustment Schedule 91, or Power Cost Surcharge Schedule 93.</v>
      </c>
      <c r="C95" s="781"/>
      <c r="D95" s="781"/>
      <c r="E95" s="781"/>
      <c r="F95" s="781"/>
      <c r="G95" s="781"/>
      <c r="H95" s="781"/>
    </row>
    <row r="96" spans="1:11" s="142" customFormat="1">
      <c r="A96" s="113"/>
      <c r="B96" s="781"/>
      <c r="C96" s="781"/>
      <c r="D96" s="781"/>
      <c r="E96" s="781"/>
      <c r="F96" s="781"/>
      <c r="G96" s="781"/>
      <c r="H96" s="781"/>
    </row>
    <row r="97" spans="1:9" s="142" customFormat="1">
      <c r="A97" s="113"/>
      <c r="D97" s="115"/>
    </row>
    <row r="98" spans="1:9" s="142" customFormat="1">
      <c r="A98" s="113"/>
      <c r="D98" s="115"/>
    </row>
    <row r="99" spans="1:9" s="142" customFormat="1">
      <c r="A99" s="113"/>
      <c r="D99" s="115"/>
    </row>
    <row r="100" spans="1:9" s="142" customFormat="1">
      <c r="A100" s="113"/>
      <c r="D100" s="115"/>
    </row>
    <row r="101" spans="1:9" s="142" customFormat="1">
      <c r="A101" s="113"/>
      <c r="D101" s="115"/>
    </row>
    <row r="102" spans="1:9" s="142" customFormat="1">
      <c r="A102" s="113"/>
      <c r="D102" s="115"/>
    </row>
    <row r="103" spans="1:9" s="142" customFormat="1">
      <c r="A103" s="113"/>
      <c r="D103" s="115"/>
    </row>
    <row r="104" spans="1:9" s="142" customFormat="1">
      <c r="A104" s="113"/>
      <c r="D104" s="115"/>
    </row>
    <row r="105" spans="1:9" s="142" customFormat="1">
      <c r="A105" s="113"/>
      <c r="D105" s="115"/>
    </row>
    <row r="106" spans="1:9" s="142" customFormat="1">
      <c r="A106" s="113"/>
      <c r="D106" s="115"/>
    </row>
    <row r="107" spans="1:9" s="116" customFormat="1">
      <c r="A107" s="113" t="s">
        <v>150</v>
      </c>
      <c r="C107" s="116" t="s">
        <v>96</v>
      </c>
      <c r="D107" s="116" t="s">
        <v>101</v>
      </c>
      <c r="E107" s="116" t="s">
        <v>103</v>
      </c>
      <c r="F107" s="116" t="s">
        <v>105</v>
      </c>
      <c r="G107" s="116" t="s">
        <v>107</v>
      </c>
      <c r="H107" s="116" t="s">
        <v>109</v>
      </c>
      <c r="I107" s="116" t="s">
        <v>111</v>
      </c>
    </row>
    <row r="108" spans="1:9" s="116" customFormat="1">
      <c r="A108" s="113" t="s">
        <v>151</v>
      </c>
      <c r="C108" s="117" t="s">
        <v>87</v>
      </c>
      <c r="D108" s="117" t="s">
        <v>102</v>
      </c>
      <c r="E108" s="117" t="s">
        <v>104</v>
      </c>
      <c r="F108" s="117" t="s">
        <v>106</v>
      </c>
      <c r="G108" s="117" t="s">
        <v>108</v>
      </c>
      <c r="H108" s="117" t="s">
        <v>110</v>
      </c>
      <c r="I108" s="117" t="s">
        <v>112</v>
      </c>
    </row>
    <row r="109" spans="1:9" ht="12.75">
      <c r="B109" s="119" t="s">
        <v>191</v>
      </c>
      <c r="C109" s="126"/>
      <c r="D109" s="126"/>
      <c r="E109" s="126"/>
      <c r="F109" s="126"/>
      <c r="G109" s="126"/>
      <c r="H109" s="126"/>
      <c r="I109" s="126"/>
    </row>
    <row r="110" spans="1:9">
      <c r="B110" s="115" t="str">
        <f>UPPER(CHOOSE(Base1_Billing2,$N$9,$N$10))&amp;" REVENUE"</f>
        <v>BASE TARIFF REVENUE</v>
      </c>
      <c r="C110" s="126"/>
      <c r="D110" s="126"/>
      <c r="E110" s="126"/>
      <c r="F110" s="126"/>
      <c r="G110" s="126"/>
      <c r="H110" s="126"/>
      <c r="I110" s="126"/>
    </row>
    <row r="111" spans="1:9">
      <c r="B111" s="147" t="s">
        <v>180</v>
      </c>
      <c r="C111" s="126">
        <f t="shared" ref="C111:C122" si="15">SUM(D111:I111)</f>
        <v>25212202.99999997</v>
      </c>
      <c r="D111" s="126">
        <f>D25*D59</f>
        <v>19496647.99999997</v>
      </c>
      <c r="E111" s="126">
        <f>E25*E59</f>
        <v>5279624.9999999991</v>
      </c>
      <c r="F111" s="126"/>
      <c r="G111" s="126"/>
      <c r="H111" s="126">
        <f>H25*H59</f>
        <v>435929.99999999994</v>
      </c>
      <c r="I111" s="126"/>
    </row>
    <row r="112" spans="1:9">
      <c r="B112" s="147" t="s">
        <v>182</v>
      </c>
      <c r="C112" s="123">
        <f t="shared" si="15"/>
        <v>0</v>
      </c>
      <c r="D112" s="123"/>
      <c r="E112" s="123"/>
      <c r="F112" s="123"/>
      <c r="G112" s="123"/>
      <c r="H112" s="123"/>
      <c r="I112" s="123"/>
    </row>
    <row r="113" spans="1:9">
      <c r="B113" s="147" t="s">
        <v>159</v>
      </c>
      <c r="C113" s="123">
        <f t="shared" si="15"/>
        <v>252609746.04000002</v>
      </c>
      <c r="D113" s="123">
        <f t="shared" ref="D113:H115" si="16">ROUND(D8*D62/100,2)</f>
        <v>109829955.19</v>
      </c>
      <c r="E113" s="123">
        <f t="shared" si="16"/>
        <v>44021057.170000002</v>
      </c>
      <c r="F113" s="123">
        <f t="shared" si="16"/>
        <v>87070988.159999996</v>
      </c>
      <c r="G113" s="123">
        <f t="shared" si="16"/>
        <v>6979140</v>
      </c>
      <c r="H113" s="123">
        <f t="shared" si="16"/>
        <v>4708605.5199999996</v>
      </c>
      <c r="I113" s="123"/>
    </row>
    <row r="114" spans="1:9">
      <c r="B114" s="147" t="s">
        <v>161</v>
      </c>
      <c r="C114" s="123">
        <f t="shared" si="15"/>
        <v>97488844.859999999</v>
      </c>
      <c r="D114" s="123">
        <f t="shared" si="16"/>
        <v>42109877.82</v>
      </c>
      <c r="E114" s="123">
        <f t="shared" si="16"/>
        <v>12765051.039999999</v>
      </c>
      <c r="F114" s="123">
        <f t="shared" si="16"/>
        <v>10128376.539999999</v>
      </c>
      <c r="G114" s="123">
        <f t="shared" si="16"/>
        <v>27197934.09</v>
      </c>
      <c r="H114" s="123">
        <f t="shared" si="16"/>
        <v>5287605.37</v>
      </c>
      <c r="I114" s="123"/>
    </row>
    <row r="115" spans="1:9">
      <c r="B115" s="147" t="s">
        <v>164</v>
      </c>
      <c r="C115" s="123">
        <f t="shared" si="15"/>
        <v>48057857.579999998</v>
      </c>
      <c r="D115" s="123">
        <f>ROUND(D10*D64/100,2)</f>
        <v>30114727.870000001</v>
      </c>
      <c r="E115" s="123"/>
      <c r="F115" s="123"/>
      <c r="G115" s="123">
        <f t="shared" si="16"/>
        <v>17943129.710000001</v>
      </c>
      <c r="H115" s="123"/>
      <c r="I115" s="123"/>
    </row>
    <row r="116" spans="1:9">
      <c r="B116" s="147" t="s">
        <v>165</v>
      </c>
      <c r="C116" s="123">
        <f t="shared" si="15"/>
        <v>0</v>
      </c>
      <c r="D116" s="123"/>
      <c r="E116" s="123"/>
      <c r="F116" s="123"/>
      <c r="G116" s="123"/>
      <c r="H116" s="123"/>
      <c r="I116" s="123"/>
    </row>
    <row r="117" spans="1:9">
      <c r="B117" s="147" t="s">
        <v>188</v>
      </c>
      <c r="C117" s="123">
        <f t="shared" si="15"/>
        <v>15096150</v>
      </c>
      <c r="D117" s="123"/>
      <c r="E117" s="123"/>
      <c r="F117" s="123">
        <f>F25*F69</f>
        <v>11442150</v>
      </c>
      <c r="G117" s="123">
        <f>G25*G69</f>
        <v>3654000</v>
      </c>
      <c r="H117" s="123"/>
      <c r="I117" s="123"/>
    </row>
    <row r="118" spans="1:9">
      <c r="B118" s="147" t="s">
        <v>189</v>
      </c>
      <c r="C118" s="123">
        <f t="shared" si="15"/>
        <v>23553230.545454547</v>
      </c>
      <c r="D118" s="123"/>
      <c r="E118" s="123">
        <f>E27*E70</f>
        <v>1953982.25</v>
      </c>
      <c r="F118" s="123">
        <f>F27*F70</f>
        <v>15670136.795454545</v>
      </c>
      <c r="G118" s="123">
        <f>G27*G70</f>
        <v>5929111.5</v>
      </c>
      <c r="H118" s="123"/>
      <c r="I118" s="123"/>
    </row>
    <row r="119" spans="1:9">
      <c r="A119" s="113" t="s">
        <v>392</v>
      </c>
      <c r="B119" s="147" t="s">
        <v>192</v>
      </c>
      <c r="C119" s="123">
        <f t="shared" si="15"/>
        <v>136616.18181818182</v>
      </c>
      <c r="D119" s="123"/>
      <c r="E119" s="443">
        <v>5084.181818181818</v>
      </c>
      <c r="F119" s="443">
        <v>126386.18181818182</v>
      </c>
      <c r="G119" s="443"/>
      <c r="H119" s="443">
        <v>5145.818181818182</v>
      </c>
      <c r="I119" s="148"/>
    </row>
    <row r="120" spans="1:9">
      <c r="A120" s="113" t="s">
        <v>393</v>
      </c>
      <c r="B120" s="147" t="s">
        <v>193</v>
      </c>
      <c r="C120" s="123">
        <f t="shared" si="15"/>
        <v>-1306712.5333333332</v>
      </c>
      <c r="D120" s="123"/>
      <c r="E120" s="148"/>
      <c r="F120" s="149">
        <v>-72437</v>
      </c>
      <c r="G120" s="148">
        <v>-1234275.5333333332</v>
      </c>
      <c r="H120" s="148"/>
      <c r="I120" s="148"/>
    </row>
    <row r="121" spans="1:9" ht="12.75">
      <c r="A121" s="423"/>
      <c r="B121" s="147" t="s">
        <v>194</v>
      </c>
      <c r="C121" s="123">
        <f t="shared" si="15"/>
        <v>0</v>
      </c>
      <c r="D121" s="123"/>
      <c r="E121" s="148"/>
      <c r="F121" s="148"/>
      <c r="G121" s="148"/>
      <c r="H121" s="148"/>
      <c r="I121" s="148"/>
    </row>
    <row r="122" spans="1:9">
      <c r="A122" s="113" t="s">
        <v>195</v>
      </c>
      <c r="B122" s="147" t="s">
        <v>196</v>
      </c>
      <c r="C122" s="125">
        <f t="shared" si="15"/>
        <v>6670111.8002760001</v>
      </c>
      <c r="D122" s="150"/>
      <c r="E122" s="196"/>
      <c r="F122" s="196"/>
      <c r="G122" s="196"/>
      <c r="H122" s="196"/>
      <c r="I122" s="151">
        <v>6670111.8002760001</v>
      </c>
    </row>
    <row r="123" spans="1:9">
      <c r="C123" s="126"/>
      <c r="D123" s="126"/>
      <c r="E123" s="126"/>
      <c r="F123" s="126"/>
      <c r="G123" s="126"/>
      <c r="H123" s="126"/>
      <c r="I123" s="126"/>
    </row>
    <row r="124" spans="1:9">
      <c r="B124" s="115" t="s">
        <v>167</v>
      </c>
      <c r="C124" s="126">
        <f>IF(ROUND(SUM(C111:C122),3)&lt;&gt;ROUND(SUM(D124:I124),3),#VALUE!,SUM(D124:I124))</f>
        <v>467518047.47421533</v>
      </c>
      <c r="D124" s="126">
        <f t="shared" ref="D124:I124" si="17">SUM(D111:D122)</f>
        <v>201551208.87999997</v>
      </c>
      <c r="E124" s="126">
        <f t="shared" si="17"/>
        <v>64024799.641818181</v>
      </c>
      <c r="F124" s="126">
        <f t="shared" si="17"/>
        <v>124365600.67727272</v>
      </c>
      <c r="G124" s="126">
        <f t="shared" si="17"/>
        <v>60469039.766666673</v>
      </c>
      <c r="H124" s="126">
        <f t="shared" si="17"/>
        <v>10437286.708181819</v>
      </c>
      <c r="I124" s="126">
        <f t="shared" si="17"/>
        <v>6670111.8002760001</v>
      </c>
    </row>
    <row r="125" spans="1:9">
      <c r="B125" s="127"/>
      <c r="C125" s="125">
        <f>SUM(D125:I125)</f>
        <v>0</v>
      </c>
      <c r="D125" s="125">
        <f>ROUND(D15*D67/100,2)</f>
        <v>0</v>
      </c>
      <c r="E125" s="125">
        <f t="shared" ref="E125:H125" si="18">ROUND(E15*E67/100,2)</f>
        <v>0</v>
      </c>
      <c r="F125" s="125">
        <f t="shared" si="18"/>
        <v>0</v>
      </c>
      <c r="G125" s="125">
        <f>ROUND(G15*G63/100,2)</f>
        <v>0</v>
      </c>
      <c r="H125" s="125">
        <f t="shared" si="18"/>
        <v>0</v>
      </c>
      <c r="I125" s="125"/>
    </row>
    <row r="126" spans="1:9">
      <c r="C126" s="126"/>
      <c r="D126" s="126"/>
      <c r="E126" s="126"/>
      <c r="F126" s="126"/>
      <c r="G126" s="126"/>
      <c r="H126" s="126"/>
      <c r="I126" s="126"/>
    </row>
    <row r="127" spans="1:9">
      <c r="B127" s="115" t="s">
        <v>167</v>
      </c>
      <c r="C127" s="126">
        <f>SUM(D127:I127)</f>
        <v>467518047.47421533</v>
      </c>
      <c r="D127" s="126">
        <f t="shared" ref="D127:I127" si="19">D124+D125</f>
        <v>201551208.87999997</v>
      </c>
      <c r="E127" s="126">
        <f t="shared" si="19"/>
        <v>64024799.641818181</v>
      </c>
      <c r="F127" s="126">
        <f t="shared" si="19"/>
        <v>124365600.67727272</v>
      </c>
      <c r="G127" s="126">
        <f t="shared" si="19"/>
        <v>60469039.766666673</v>
      </c>
      <c r="H127" s="126">
        <f t="shared" si="19"/>
        <v>10437286.708181819</v>
      </c>
      <c r="I127" s="126">
        <f t="shared" si="19"/>
        <v>6670111.8002760001</v>
      </c>
    </row>
    <row r="128" spans="1:9">
      <c r="B128" s="115" t="s">
        <v>197</v>
      </c>
      <c r="C128" s="125">
        <f>SUM(D128:I128)</f>
        <v>0</v>
      </c>
      <c r="D128" s="125">
        <f>ROUND(D18*D67/100,2)</f>
        <v>0</v>
      </c>
      <c r="E128" s="125">
        <f t="shared" ref="E128:I128" si="20">ROUND(E18*E67/100,2)</f>
        <v>0</v>
      </c>
      <c r="F128" s="125">
        <f t="shared" si="20"/>
        <v>0</v>
      </c>
      <c r="G128" s="125">
        <f t="shared" si="20"/>
        <v>0</v>
      </c>
      <c r="H128" s="125">
        <f t="shared" si="20"/>
        <v>0</v>
      </c>
      <c r="I128" s="125">
        <f t="shared" si="20"/>
        <v>0</v>
      </c>
    </row>
    <row r="129" spans="1:9">
      <c r="C129" s="126"/>
      <c r="D129" s="126"/>
      <c r="E129" s="126"/>
      <c r="F129" s="126"/>
      <c r="G129" s="126"/>
      <c r="H129" s="126"/>
      <c r="I129" s="126"/>
    </row>
    <row r="130" spans="1:9">
      <c r="B130" s="115" t="str">
        <f>"TOTAL "&amp;UPPER(CHOOSE(Base1_Billing2,$N$9,$N$10))&amp;" REVENUE"</f>
        <v>TOTAL BASE TARIFF REVENUE</v>
      </c>
      <c r="C130" s="126">
        <f>IF(ROUND(SUM(D130:I130),3)&lt;&gt;ROUND(SUM(C127:C128),3),#VALUE!,SUM(D130:I130))</f>
        <v>467518047.47421533</v>
      </c>
      <c r="D130" s="126">
        <f t="shared" ref="D130:I130" si="21">D127+D128</f>
        <v>201551208.87999997</v>
      </c>
      <c r="E130" s="126">
        <f t="shared" si="21"/>
        <v>64024799.641818181</v>
      </c>
      <c r="F130" s="126">
        <f t="shared" si="21"/>
        <v>124365600.67727272</v>
      </c>
      <c r="G130" s="126">
        <f t="shared" si="21"/>
        <v>60469039.766666673</v>
      </c>
      <c r="H130" s="126">
        <f t="shared" si="21"/>
        <v>10437286.708181819</v>
      </c>
      <c r="I130" s="126">
        <f t="shared" si="21"/>
        <v>6670111.8002760001</v>
      </c>
    </row>
    <row r="131" spans="1:9">
      <c r="C131" s="126"/>
      <c r="D131" s="126"/>
      <c r="E131" s="126"/>
      <c r="F131" s="126"/>
      <c r="G131" s="126"/>
      <c r="H131" s="126"/>
      <c r="I131" s="126"/>
    </row>
    <row r="132" spans="1:9">
      <c r="B132" s="115" t="s">
        <v>198</v>
      </c>
      <c r="C132" s="126"/>
      <c r="D132" s="126"/>
      <c r="E132" s="126"/>
      <c r="F132" s="126"/>
      <c r="G132" s="126"/>
      <c r="H132" s="126"/>
      <c r="I132" s="126"/>
    </row>
    <row r="133" spans="1:9">
      <c r="B133" s="152" t="s">
        <v>199</v>
      </c>
      <c r="C133" s="126"/>
      <c r="D133" s="126"/>
      <c r="E133" s="126"/>
      <c r="F133" s="126"/>
      <c r="G133" s="126"/>
      <c r="H133" s="126"/>
      <c r="I133" s="126"/>
    </row>
    <row r="134" spans="1:9" s="123" customFormat="1">
      <c r="A134" s="153" t="s">
        <v>394</v>
      </c>
      <c r="B134" s="154" t="s">
        <v>200</v>
      </c>
      <c r="C134" s="123">
        <f>SUM(D134:I134)</f>
        <v>-7581891</v>
      </c>
      <c r="D134" s="443">
        <v>-3724996</v>
      </c>
      <c r="E134" s="443">
        <v>1646405</v>
      </c>
      <c r="F134" s="443">
        <v>-6248645</v>
      </c>
      <c r="G134" s="443"/>
      <c r="H134" s="443">
        <v>745345</v>
      </c>
      <c r="I134" s="444"/>
    </row>
    <row r="135" spans="1:9" s="144" customFormat="1">
      <c r="A135" s="113" t="s">
        <v>201</v>
      </c>
      <c r="B135" s="155" t="s">
        <v>202</v>
      </c>
      <c r="D135" s="144">
        <f>D67</f>
        <v>7.7249100251287546</v>
      </c>
      <c r="E135" s="144">
        <f>E67</f>
        <v>10.203001230468537</v>
      </c>
      <c r="F135" s="144">
        <f>F67</f>
        <v>6.7941948568612505</v>
      </c>
      <c r="H135" s="156">
        <f>H67</f>
        <v>7.6369055392089731</v>
      </c>
    </row>
    <row r="136" spans="1:9" s="126" customFormat="1">
      <c r="A136" s="113"/>
      <c r="B136" s="157" t="s">
        <v>203</v>
      </c>
      <c r="C136" s="126">
        <f>SUM(D136:I136)</f>
        <v>-487393.7</v>
      </c>
      <c r="D136" s="158">
        <f>ROUND(D134*D135/100,2)</f>
        <v>-287752.59000000003</v>
      </c>
      <c r="E136" s="158">
        <f>ROUND(E134*E135/100,2)</f>
        <v>167982.72</v>
      </c>
      <c r="F136" s="158">
        <f>ROUND(F134*F135/100,2)</f>
        <v>-424545.12</v>
      </c>
      <c r="G136" s="158"/>
      <c r="H136" s="158">
        <f>ROUND(H134*H135/100,2)</f>
        <v>56921.29</v>
      </c>
      <c r="I136" s="158"/>
    </row>
    <row r="137" spans="1:9" s="126" customFormat="1">
      <c r="A137" s="113"/>
      <c r="B137" s="157"/>
    </row>
    <row r="138" spans="1:9" s="128" customFormat="1" ht="11.25" hidden="1" customHeight="1">
      <c r="A138" s="113" t="s">
        <v>204</v>
      </c>
      <c r="B138" s="157" t="s">
        <v>205</v>
      </c>
      <c r="C138" s="130">
        <f>SUM(D138:I138)</f>
        <v>0</v>
      </c>
      <c r="D138" s="445">
        <v>0</v>
      </c>
      <c r="E138" s="445">
        <v>0</v>
      </c>
      <c r="F138" s="445">
        <v>0</v>
      </c>
      <c r="G138" s="159"/>
      <c r="H138" s="159"/>
      <c r="I138" s="159"/>
    </row>
    <row r="139" spans="1:9" s="144" customFormat="1" ht="11.25" hidden="1" customHeight="1">
      <c r="A139" s="113" t="s">
        <v>201</v>
      </c>
      <c r="B139" s="155" t="s">
        <v>206</v>
      </c>
      <c r="D139" s="156">
        <f>I226</f>
        <v>8.9142580330939492</v>
      </c>
      <c r="E139" s="156">
        <f>I245</f>
        <v>8.310458536960958</v>
      </c>
      <c r="F139" s="144">
        <f>I278</f>
        <v>6.6661657955075562</v>
      </c>
    </row>
    <row r="140" spans="1:9" s="126" customFormat="1" ht="11.25" hidden="1" customHeight="1">
      <c r="A140" s="113"/>
      <c r="B140" s="157" t="s">
        <v>207</v>
      </c>
      <c r="C140" s="126">
        <f>SUM(D140:I140)</f>
        <v>0</v>
      </c>
      <c r="D140" s="160">
        <f>ROUND(D138*D139/100,2)</f>
        <v>0</v>
      </c>
      <c r="E140" s="160">
        <f>ROUND(E138*E139/100,2)</f>
        <v>0</v>
      </c>
      <c r="F140" s="160">
        <f>ROUND(F138*F139/100,2)</f>
        <v>0</v>
      </c>
      <c r="G140" s="158"/>
      <c r="H140" s="158"/>
      <c r="I140" s="158"/>
    </row>
    <row r="141" spans="1:9" s="126" customFormat="1" ht="11.25" hidden="1" customHeight="1">
      <c r="A141" s="113"/>
      <c r="B141" s="157"/>
      <c r="D141" s="161"/>
      <c r="E141" s="161"/>
    </row>
    <row r="142" spans="1:9" s="131" customFormat="1">
      <c r="A142" s="153" t="s">
        <v>394</v>
      </c>
      <c r="B142" s="162" t="s">
        <v>208</v>
      </c>
      <c r="C142" s="123">
        <f>IF(ROUND(C134+C138,3)&lt;&gt;ROUND(SUM(D142:I142),3),#VALUE!,C134+C138)</f>
        <v>-7581891</v>
      </c>
      <c r="D142" s="148">
        <f>D134+D138</f>
        <v>-3724996</v>
      </c>
      <c r="E142" s="148">
        <f>E134+E138</f>
        <v>1646405</v>
      </c>
      <c r="F142" s="123">
        <f>F134+F138</f>
        <v>-6248645</v>
      </c>
      <c r="G142" s="123"/>
      <c r="H142" s="123">
        <f>H134+H138</f>
        <v>745345</v>
      </c>
      <c r="I142" s="123">
        <f>I134+I138</f>
        <v>0</v>
      </c>
    </row>
    <row r="143" spans="1:9" s="126" customFormat="1">
      <c r="A143" s="113"/>
      <c r="B143" s="157" t="s">
        <v>209</v>
      </c>
      <c r="C143" s="126">
        <f>IF(ROUND(C136+C140,3)&lt;&gt;ROUND(SUM(D143:I143),3),#VALUE!,C136+C140)</f>
        <v>-487393.7</v>
      </c>
      <c r="D143" s="161">
        <f>D136+D140</f>
        <v>-287752.59000000003</v>
      </c>
      <c r="E143" s="161">
        <f>E136+E140</f>
        <v>167982.72</v>
      </c>
      <c r="F143" s="126">
        <f>F136+F140</f>
        <v>-424545.12</v>
      </c>
      <c r="H143" s="126">
        <f>H136+H140</f>
        <v>56921.29</v>
      </c>
    </row>
    <row r="144" spans="1:9" ht="12.75">
      <c r="A144" s="423"/>
      <c r="B144" s="152" t="s">
        <v>210</v>
      </c>
      <c r="C144" s="126"/>
      <c r="D144" s="161"/>
      <c r="E144" s="161"/>
      <c r="F144" s="126"/>
      <c r="G144" s="126"/>
      <c r="H144" s="126"/>
      <c r="I144" s="126"/>
    </row>
    <row r="145" spans="1:9" s="128" customFormat="1">
      <c r="A145" s="153" t="s">
        <v>395</v>
      </c>
      <c r="B145" s="155" t="s">
        <v>205</v>
      </c>
      <c r="C145" s="128">
        <f>SUM(D145:I145)</f>
        <v>-1841565</v>
      </c>
      <c r="D145" s="163">
        <v>-983859</v>
      </c>
      <c r="E145" s="163">
        <v>-855840</v>
      </c>
      <c r="F145" s="164">
        <v>-1866</v>
      </c>
      <c r="G145" s="165"/>
      <c r="H145" s="165"/>
      <c r="I145" s="165"/>
    </row>
    <row r="146" spans="1:9" s="144" customFormat="1">
      <c r="A146" s="113" t="s">
        <v>201</v>
      </c>
      <c r="B146" s="155" t="s">
        <v>206</v>
      </c>
      <c r="C146" s="166"/>
      <c r="D146" s="144">
        <f>I226</f>
        <v>8.9142580330939492</v>
      </c>
      <c r="E146" s="144">
        <f>I245</f>
        <v>8.310458536960958</v>
      </c>
      <c r="F146" s="144">
        <f>I278</f>
        <v>6.6661657955075562</v>
      </c>
    </row>
    <row r="147" spans="1:9" s="126" customFormat="1">
      <c r="A147" s="113"/>
      <c r="B147" s="157" t="s">
        <v>207</v>
      </c>
      <c r="C147" s="126">
        <f>SUM(D147:I147)</f>
        <v>-158952.35</v>
      </c>
      <c r="D147" s="158">
        <f>ROUND(D145*D146/100,2)</f>
        <v>-87703.73</v>
      </c>
      <c r="E147" s="158">
        <f>ROUND(E145*E146/100,2)</f>
        <v>-71124.23</v>
      </c>
      <c r="F147" s="158">
        <f>ROUND(F145*F146/100,2)</f>
        <v>-124.39</v>
      </c>
      <c r="G147" s="158"/>
      <c r="H147" s="158"/>
      <c r="I147" s="158"/>
    </row>
    <row r="148" spans="1:9">
      <c r="C148" s="126"/>
      <c r="D148" s="126"/>
      <c r="E148" s="126"/>
      <c r="F148" s="126"/>
      <c r="G148" s="126"/>
      <c r="H148" s="126"/>
      <c r="I148" s="126"/>
    </row>
    <row r="149" spans="1:9">
      <c r="B149" s="115" t="s">
        <v>211</v>
      </c>
      <c r="C149" s="126">
        <f>IF(ROUND(C143+C147,3)&lt;&gt;ROUND(SUM(D149:I149),3),#VALUE!,C143+C147)</f>
        <v>-646346.05000000005</v>
      </c>
      <c r="D149" s="126">
        <f>D147+D143</f>
        <v>-375456.32</v>
      </c>
      <c r="E149" s="126">
        <f>E147+E143</f>
        <v>96858.49</v>
      </c>
      <c r="F149" s="126">
        <f>F147+F143</f>
        <v>-424669.51</v>
      </c>
      <c r="G149" s="126"/>
      <c r="H149" s="126">
        <f>H147+H143</f>
        <v>56921.29</v>
      </c>
      <c r="I149" s="126"/>
    </row>
    <row r="150" spans="1:9">
      <c r="B150" s="115" t="str">
        <f>B130</f>
        <v>TOTAL BASE TARIFF REVENUE</v>
      </c>
      <c r="C150" s="123">
        <f t="shared" ref="C150:I150" si="22">C130</f>
        <v>467518047.47421533</v>
      </c>
      <c r="D150" s="123">
        <f t="shared" si="22"/>
        <v>201551208.87999997</v>
      </c>
      <c r="E150" s="123">
        <f t="shared" si="22"/>
        <v>64024799.641818181</v>
      </c>
      <c r="F150" s="123">
        <f t="shared" si="22"/>
        <v>124365600.67727272</v>
      </c>
      <c r="G150" s="123">
        <f t="shared" si="22"/>
        <v>60469039.766666673</v>
      </c>
      <c r="H150" s="123">
        <f t="shared" si="22"/>
        <v>10437286.708181819</v>
      </c>
      <c r="I150" s="123">
        <f t="shared" si="22"/>
        <v>6670111.8002760001</v>
      </c>
    </row>
    <row r="151" spans="1:9">
      <c r="C151" s="158"/>
      <c r="D151" s="158"/>
      <c r="E151" s="158"/>
      <c r="F151" s="158"/>
      <c r="G151" s="158"/>
      <c r="H151" s="158"/>
      <c r="I151" s="158"/>
    </row>
    <row r="152" spans="1:9">
      <c r="B152" s="115" t="s">
        <v>212</v>
      </c>
      <c r="C152" s="126">
        <f>IF(ROUND(C149+C150,3)&lt;&gt;ROUND(SUM(D152:I152),3),#VALUE!,SUM(D152:I152))</f>
        <v>466871701.42421532</v>
      </c>
      <c r="D152" s="126">
        <f t="shared" ref="D152:I152" si="23">D149+D150</f>
        <v>201175752.55999997</v>
      </c>
      <c r="E152" s="126">
        <f t="shared" si="23"/>
        <v>64121658.131818183</v>
      </c>
      <c r="F152" s="126">
        <f t="shared" si="23"/>
        <v>123940931.16727272</v>
      </c>
      <c r="G152" s="126">
        <f t="shared" si="23"/>
        <v>60469039.766666673</v>
      </c>
      <c r="H152" s="126">
        <f t="shared" si="23"/>
        <v>10494207.998181818</v>
      </c>
      <c r="I152" s="126">
        <f t="shared" si="23"/>
        <v>6670111.8002760001</v>
      </c>
    </row>
    <row r="153" spans="1:9">
      <c r="C153" s="126"/>
      <c r="D153" s="126"/>
      <c r="E153" s="167"/>
      <c r="F153" s="126"/>
      <c r="G153" s="126"/>
      <c r="H153" s="126"/>
      <c r="I153" s="126"/>
    </row>
    <row r="154" spans="1:9">
      <c r="C154" s="126"/>
      <c r="D154" s="126"/>
      <c r="E154" s="126"/>
      <c r="F154" s="126"/>
      <c r="G154" s="126"/>
      <c r="H154" s="126"/>
      <c r="I154" s="126"/>
    </row>
    <row r="155" spans="1:9">
      <c r="C155" s="126"/>
      <c r="D155" s="126"/>
      <c r="E155" s="126"/>
      <c r="F155" s="126"/>
      <c r="G155" s="126"/>
      <c r="H155" s="126"/>
      <c r="I155" s="126"/>
    </row>
    <row r="156" spans="1:9">
      <c r="C156" s="126"/>
      <c r="D156" s="126"/>
      <c r="E156" s="126"/>
      <c r="F156" s="126"/>
      <c r="G156" s="126"/>
      <c r="H156" s="126"/>
      <c r="I156" s="126"/>
    </row>
    <row r="157" spans="1:9">
      <c r="C157" s="126"/>
      <c r="D157" s="126"/>
      <c r="E157" s="126"/>
      <c r="F157" s="126"/>
      <c r="G157" s="126"/>
      <c r="H157" s="126"/>
      <c r="I157" s="126"/>
    </row>
    <row r="158" spans="1:9">
      <c r="C158" s="126"/>
      <c r="D158" s="126"/>
      <c r="E158" s="126"/>
      <c r="F158" s="126"/>
      <c r="G158" s="126"/>
      <c r="H158" s="126"/>
      <c r="I158" s="126"/>
    </row>
    <row r="159" spans="1:9">
      <c r="C159" s="126"/>
      <c r="D159" s="126"/>
      <c r="E159" s="126"/>
      <c r="F159" s="126"/>
      <c r="G159" s="126"/>
      <c r="H159" s="126"/>
      <c r="I159" s="126"/>
    </row>
    <row r="160" spans="1:9" s="116" customFormat="1">
      <c r="A160" s="113" t="s">
        <v>150</v>
      </c>
      <c r="C160" s="116" t="s">
        <v>96</v>
      </c>
      <c r="D160" s="116" t="s">
        <v>101</v>
      </c>
      <c r="E160" s="116" t="s">
        <v>103</v>
      </c>
      <c r="F160" s="116" t="s">
        <v>105</v>
      </c>
      <c r="G160" s="116" t="s">
        <v>107</v>
      </c>
      <c r="H160" s="116" t="s">
        <v>109</v>
      </c>
      <c r="I160" s="116" t="s">
        <v>111</v>
      </c>
    </row>
    <row r="161" spans="1:9" s="116" customFormat="1">
      <c r="A161" s="113" t="s">
        <v>151</v>
      </c>
      <c r="C161" s="117" t="s">
        <v>87</v>
      </c>
      <c r="D161" s="117" t="s">
        <v>102</v>
      </c>
      <c r="E161" s="117" t="s">
        <v>104</v>
      </c>
      <c r="F161" s="117" t="s">
        <v>106</v>
      </c>
      <c r="G161" s="117" t="s">
        <v>108</v>
      </c>
      <c r="H161" s="117" t="s">
        <v>110</v>
      </c>
      <c r="I161" s="117" t="s">
        <v>112</v>
      </c>
    </row>
    <row r="162" spans="1:9" ht="12.75">
      <c r="B162" s="119" t="s">
        <v>213</v>
      </c>
      <c r="C162" s="126"/>
      <c r="D162" s="126"/>
      <c r="E162" s="126"/>
      <c r="F162" s="126"/>
      <c r="G162" s="126"/>
      <c r="H162" s="126"/>
      <c r="I162" s="126"/>
    </row>
    <row r="163" spans="1:9">
      <c r="B163" s="115" t="str">
        <f>UPPER(CHOOSE(Base1_Billing2,$N$9,$N$10))&amp;" REVENUE"</f>
        <v>BASE TARIFF REVENUE</v>
      </c>
      <c r="C163" s="126"/>
      <c r="D163" s="126"/>
      <c r="E163" s="126"/>
      <c r="F163" s="126"/>
      <c r="G163" s="126"/>
      <c r="H163" s="126"/>
      <c r="I163" s="126"/>
    </row>
    <row r="164" spans="1:9">
      <c r="B164" s="147" t="s">
        <v>180</v>
      </c>
      <c r="C164" s="126">
        <f t="shared" ref="C164:C175" si="24">SUM(D164:I164)</f>
        <v>25212202.99999997</v>
      </c>
      <c r="D164" s="126">
        <f>D48*D76</f>
        <v>19496647.99999997</v>
      </c>
      <c r="E164" s="126">
        <f>E48*E76</f>
        <v>5279624.9999999991</v>
      </c>
      <c r="F164" s="126"/>
      <c r="G164" s="126"/>
      <c r="H164" s="126">
        <f>H48*H76</f>
        <v>435929.99999999994</v>
      </c>
      <c r="I164" s="126"/>
    </row>
    <row r="165" spans="1:9">
      <c r="B165" s="147" t="s">
        <v>182</v>
      </c>
      <c r="C165" s="123">
        <f t="shared" si="24"/>
        <v>0</v>
      </c>
      <c r="D165" s="123">
        <f>D49*D77</f>
        <v>0</v>
      </c>
      <c r="E165" s="123"/>
      <c r="F165" s="123"/>
      <c r="G165" s="123"/>
      <c r="H165" s="123"/>
      <c r="I165" s="123"/>
    </row>
    <row r="166" spans="1:9">
      <c r="B166" s="147" t="s">
        <v>159</v>
      </c>
      <c r="C166" s="123">
        <f t="shared" si="24"/>
        <v>252609746.04000002</v>
      </c>
      <c r="D166" s="123">
        <f t="shared" ref="D166:H168" si="25">ROUND(D31*D79/100,2)</f>
        <v>109829955.19</v>
      </c>
      <c r="E166" s="123">
        <f t="shared" si="25"/>
        <v>44021057.170000002</v>
      </c>
      <c r="F166" s="123">
        <f t="shared" si="25"/>
        <v>87070988.159999996</v>
      </c>
      <c r="G166" s="123">
        <f t="shared" si="25"/>
        <v>6979140</v>
      </c>
      <c r="H166" s="123">
        <f>ROUND(H31*H79/100,2)</f>
        <v>4708605.5199999996</v>
      </c>
      <c r="I166" s="123"/>
    </row>
    <row r="167" spans="1:9">
      <c r="B167" s="147" t="s">
        <v>161</v>
      </c>
      <c r="C167" s="123">
        <f t="shared" si="24"/>
        <v>97488844.859999999</v>
      </c>
      <c r="D167" s="123">
        <f t="shared" si="25"/>
        <v>42109877.82</v>
      </c>
      <c r="E167" s="123">
        <f t="shared" si="25"/>
        <v>12765051.039999999</v>
      </c>
      <c r="F167" s="123">
        <f t="shared" si="25"/>
        <v>10128376.539999999</v>
      </c>
      <c r="G167" s="123">
        <f t="shared" si="25"/>
        <v>27197934.09</v>
      </c>
      <c r="H167" s="123">
        <f t="shared" si="25"/>
        <v>5287605.37</v>
      </c>
      <c r="I167" s="123"/>
    </row>
    <row r="168" spans="1:9">
      <c r="B168" s="147" t="s">
        <v>164</v>
      </c>
      <c r="C168" s="123">
        <f t="shared" si="24"/>
        <v>48057857.579999998</v>
      </c>
      <c r="D168" s="123">
        <f>ROUND(D33*D81/100,2)</f>
        <v>30114727.870000001</v>
      </c>
      <c r="E168" s="123"/>
      <c r="F168" s="123"/>
      <c r="G168" s="123">
        <f t="shared" si="25"/>
        <v>17943129.710000001</v>
      </c>
      <c r="H168" s="123"/>
      <c r="I168" s="123"/>
    </row>
    <row r="169" spans="1:9">
      <c r="B169" s="147" t="s">
        <v>165</v>
      </c>
      <c r="C169" s="123">
        <f t="shared" si="24"/>
        <v>0</v>
      </c>
      <c r="D169" s="123">
        <f>ROUND(D34*D82/100,2)</f>
        <v>0</v>
      </c>
      <c r="E169" s="123"/>
      <c r="F169" s="123"/>
      <c r="G169" s="123"/>
      <c r="H169" s="123"/>
      <c r="I169" s="123"/>
    </row>
    <row r="170" spans="1:9">
      <c r="B170" s="147" t="s">
        <v>188</v>
      </c>
      <c r="C170" s="123">
        <f t="shared" si="24"/>
        <v>15096150</v>
      </c>
      <c r="D170" s="123"/>
      <c r="E170" s="123"/>
      <c r="F170" s="123">
        <f>ROUND(F48*F86,2)</f>
        <v>11442150</v>
      </c>
      <c r="G170" s="123">
        <f>ROUND(G48*G86,2)</f>
        <v>3654000</v>
      </c>
      <c r="H170" s="123"/>
      <c r="I170" s="123"/>
    </row>
    <row r="171" spans="1:9">
      <c r="B171" s="147" t="s">
        <v>189</v>
      </c>
      <c r="C171" s="123">
        <f t="shared" si="24"/>
        <v>23553230.550000001</v>
      </c>
      <c r="D171" s="123"/>
      <c r="E171" s="123">
        <f>ROUND(E50*E87,2)</f>
        <v>1953982.25</v>
      </c>
      <c r="F171" s="123">
        <f>ROUND(F50*F87,2)</f>
        <v>15670136.800000001</v>
      </c>
      <c r="G171" s="123">
        <f>ROUND(G50*G87,2)</f>
        <v>5929111.5</v>
      </c>
      <c r="H171" s="123"/>
      <c r="I171" s="123"/>
    </row>
    <row r="172" spans="1:9">
      <c r="B172" s="147" t="s">
        <v>192</v>
      </c>
      <c r="C172" s="123">
        <f t="shared" si="24"/>
        <v>136616.18181818182</v>
      </c>
      <c r="D172" s="123"/>
      <c r="E172" s="123">
        <f>E119</f>
        <v>5084.181818181818</v>
      </c>
      <c r="F172" s="123">
        <f>F119</f>
        <v>126386.18181818182</v>
      </c>
      <c r="G172" s="123"/>
      <c r="H172" s="123">
        <f>H119</f>
        <v>5145.818181818182</v>
      </c>
      <c r="I172" s="123"/>
    </row>
    <row r="173" spans="1:9">
      <c r="B173" s="147" t="s">
        <v>193</v>
      </c>
      <c r="C173" s="123">
        <f t="shared" si="24"/>
        <v>-1306712.5333333332</v>
      </c>
      <c r="D173" s="123"/>
      <c r="E173" s="123"/>
      <c r="F173" s="123">
        <f>F120</f>
        <v>-72437</v>
      </c>
      <c r="G173" s="148">
        <v>-1234275.5333333332</v>
      </c>
      <c r="H173" s="123"/>
      <c r="I173" s="123"/>
    </row>
    <row r="174" spans="1:9">
      <c r="B174" s="147" t="s">
        <v>194</v>
      </c>
      <c r="C174" s="123">
        <f t="shared" si="24"/>
        <v>0</v>
      </c>
      <c r="D174" s="123"/>
      <c r="E174" s="123"/>
      <c r="F174" s="123"/>
      <c r="G174" s="123"/>
      <c r="H174" s="123"/>
      <c r="I174" s="123"/>
    </row>
    <row r="175" spans="1:9">
      <c r="A175" s="113" t="s">
        <v>195</v>
      </c>
      <c r="B175" s="147" t="s">
        <v>196</v>
      </c>
      <c r="C175" s="125">
        <f t="shared" si="24"/>
        <v>6670111.8002760001</v>
      </c>
      <c r="D175" s="125"/>
      <c r="E175" s="150"/>
      <c r="F175" s="150"/>
      <c r="G175" s="150"/>
      <c r="H175" s="150"/>
      <c r="I175" s="151">
        <v>6670111.8002760001</v>
      </c>
    </row>
    <row r="176" spans="1:9">
      <c r="C176" s="126"/>
      <c r="D176" s="126"/>
      <c r="E176" s="126"/>
      <c r="F176" s="126"/>
      <c r="G176" s="126"/>
      <c r="H176" s="126"/>
      <c r="I176" s="126"/>
    </row>
    <row r="177" spans="1:9">
      <c r="B177" s="115" t="s">
        <v>167</v>
      </c>
      <c r="C177" s="126">
        <f>IF(ROUND(SUM(C164:C175),3)&lt;&gt;ROUND(SUM(D177:I177),3),#VALUE!,SUM(D177:I177))</f>
        <v>467518047.47876078</v>
      </c>
      <c r="D177" s="126">
        <f t="shared" ref="D177:I177" si="26">SUM(D164:D175)</f>
        <v>201551208.87999997</v>
      </c>
      <c r="E177" s="126">
        <f t="shared" si="26"/>
        <v>64024799.641818181</v>
      </c>
      <c r="F177" s="126">
        <f t="shared" si="26"/>
        <v>124365600.68181817</v>
      </c>
      <c r="G177" s="126">
        <f t="shared" si="26"/>
        <v>60469039.766666673</v>
      </c>
      <c r="H177" s="126">
        <f t="shared" si="26"/>
        <v>10437286.708181819</v>
      </c>
      <c r="I177" s="126">
        <f t="shared" si="26"/>
        <v>6670111.8002760001</v>
      </c>
    </row>
    <row r="178" spans="1:9">
      <c r="B178" s="127"/>
      <c r="C178" s="125">
        <f>SUM(D178:I178)</f>
        <v>0</v>
      </c>
      <c r="D178" s="125">
        <f>ROUND(D38*D84/100,2)</f>
        <v>0</v>
      </c>
      <c r="E178" s="125">
        <f t="shared" ref="E178:H178" si="27">ROUND(E38*E84/100,2)</f>
        <v>0</v>
      </c>
      <c r="F178" s="125">
        <f t="shared" si="27"/>
        <v>0</v>
      </c>
      <c r="G178" s="125">
        <f>ROUND(G38*G80/100,2)</f>
        <v>0</v>
      </c>
      <c r="H178" s="125">
        <f t="shared" si="27"/>
        <v>0</v>
      </c>
      <c r="I178" s="125">
        <v>0</v>
      </c>
    </row>
    <row r="179" spans="1:9">
      <c r="C179" s="126"/>
      <c r="D179" s="126"/>
      <c r="E179" s="168"/>
      <c r="F179" s="168"/>
      <c r="G179" s="126"/>
      <c r="H179" s="126"/>
      <c r="I179" s="126"/>
    </row>
    <row r="180" spans="1:9">
      <c r="B180" s="115" t="s">
        <v>167</v>
      </c>
      <c r="C180" s="126">
        <f>SUM(D180:I180)</f>
        <v>467518047.47876078</v>
      </c>
      <c r="D180" s="126">
        <f t="shared" ref="D180:I180" si="28">D177+D178</f>
        <v>201551208.87999997</v>
      </c>
      <c r="E180" s="126">
        <f t="shared" si="28"/>
        <v>64024799.641818181</v>
      </c>
      <c r="F180" s="126">
        <f t="shared" si="28"/>
        <v>124365600.68181817</v>
      </c>
      <c r="G180" s="126">
        <f t="shared" si="28"/>
        <v>60469039.766666673</v>
      </c>
      <c r="H180" s="126">
        <f t="shared" si="28"/>
        <v>10437286.708181819</v>
      </c>
      <c r="I180" s="126">
        <f t="shared" si="28"/>
        <v>6670111.8002760001</v>
      </c>
    </row>
    <row r="181" spans="1:9">
      <c r="B181" s="115" t="s">
        <v>197</v>
      </c>
      <c r="C181" s="123">
        <f>SUM(D181:I181)</f>
        <v>0</v>
      </c>
      <c r="D181" s="123">
        <f t="shared" ref="D181:I181" si="29">ROUND(D41*D84/100,2)</f>
        <v>0</v>
      </c>
      <c r="E181" s="123">
        <f t="shared" si="29"/>
        <v>0</v>
      </c>
      <c r="F181" s="123">
        <f t="shared" si="29"/>
        <v>0</v>
      </c>
      <c r="G181" s="123">
        <f t="shared" si="29"/>
        <v>0</v>
      </c>
      <c r="H181" s="123">
        <f t="shared" si="29"/>
        <v>0</v>
      </c>
      <c r="I181" s="123">
        <f t="shared" si="29"/>
        <v>0</v>
      </c>
    </row>
    <row r="182" spans="1:9">
      <c r="C182" s="158"/>
      <c r="D182" s="158"/>
      <c r="E182" s="158"/>
      <c r="F182" s="158"/>
      <c r="G182" s="158"/>
      <c r="H182" s="158"/>
      <c r="I182" s="158"/>
    </row>
    <row r="183" spans="1:9">
      <c r="B183" s="115" t="str">
        <f>"SUBTOTAL "&amp;UPPER(CHOOSE(Base1_Billing2,$N$9,$N$10))&amp;" REVENUE"</f>
        <v>SUBTOTAL BASE TARIFF REVENUE</v>
      </c>
      <c r="C183" s="126">
        <f>IF(ROUND(SUM(D183:I183),3)&lt;&gt;ROUND(SUM(C180:C181),3),#VALUE!,SUM(D183:I183))</f>
        <v>467518047.47876078</v>
      </c>
      <c r="D183" s="126">
        <f t="shared" ref="D183:I183" si="30">D180+D181</f>
        <v>201551208.87999997</v>
      </c>
      <c r="E183" s="126">
        <f t="shared" si="30"/>
        <v>64024799.641818181</v>
      </c>
      <c r="F183" s="126">
        <f t="shared" si="30"/>
        <v>124365600.68181817</v>
      </c>
      <c r="G183" s="126">
        <f t="shared" si="30"/>
        <v>60469039.766666673</v>
      </c>
      <c r="H183" s="126">
        <f t="shared" si="30"/>
        <v>10437286.708181819</v>
      </c>
      <c r="I183" s="126">
        <f t="shared" si="30"/>
        <v>6670111.8002760001</v>
      </c>
    </row>
    <row r="184" spans="1:9">
      <c r="C184" s="126"/>
      <c r="D184" s="126"/>
      <c r="E184" s="126"/>
      <c r="F184" s="126"/>
      <c r="G184" s="126"/>
      <c r="H184" s="126"/>
      <c r="I184" s="126"/>
    </row>
    <row r="185" spans="1:9">
      <c r="B185" s="115" t="s">
        <v>198</v>
      </c>
      <c r="C185" s="126"/>
      <c r="D185" s="126"/>
      <c r="E185" s="126"/>
      <c r="F185" s="126"/>
      <c r="G185" s="126"/>
      <c r="H185" s="126"/>
      <c r="I185" s="126"/>
    </row>
    <row r="186" spans="1:9">
      <c r="B186" s="152" t="s">
        <v>199</v>
      </c>
      <c r="C186" s="126"/>
      <c r="D186" s="126"/>
      <c r="E186" s="126"/>
      <c r="F186" s="126"/>
      <c r="G186" s="126"/>
      <c r="H186" s="126"/>
      <c r="I186" s="126"/>
    </row>
    <row r="187" spans="1:9" s="128" customFormat="1">
      <c r="A187" s="113"/>
      <c r="B187" s="155" t="s">
        <v>200</v>
      </c>
      <c r="C187" s="130">
        <f>SUM(D187:I187)</f>
        <v>-7581891</v>
      </c>
      <c r="D187" s="123">
        <f>D134</f>
        <v>-3724996</v>
      </c>
      <c r="E187" s="123">
        <f>E134</f>
        <v>1646405</v>
      </c>
      <c r="F187" s="123">
        <f>F134</f>
        <v>-6248645</v>
      </c>
      <c r="G187" s="123"/>
      <c r="H187" s="123">
        <f>H134</f>
        <v>745345</v>
      </c>
      <c r="I187" s="130"/>
    </row>
    <row r="188" spans="1:9" s="144" customFormat="1">
      <c r="A188" s="113"/>
      <c r="B188" s="155" t="s">
        <v>202</v>
      </c>
      <c r="D188" s="144">
        <f t="shared" ref="D188:E188" si="31">D84</f>
        <v>7.7249100251287546</v>
      </c>
      <c r="E188" s="144">
        <f t="shared" si="31"/>
        <v>10.203001230468537</v>
      </c>
      <c r="F188" s="144">
        <f>F84</f>
        <v>6.7941948568612505</v>
      </c>
      <c r="H188" s="156">
        <f>H84</f>
        <v>7.6369055392089731</v>
      </c>
    </row>
    <row r="189" spans="1:9" s="126" customFormat="1">
      <c r="A189" s="113"/>
      <c r="B189" s="155" t="s">
        <v>203</v>
      </c>
      <c r="C189" s="126">
        <f>SUM(D189:I189)</f>
        <v>-487393.7</v>
      </c>
      <c r="D189" s="158">
        <f>ROUND(D187*D188/100,2)</f>
        <v>-287752.59000000003</v>
      </c>
      <c r="E189" s="158">
        <f>ROUND(E187*E188/100,2)</f>
        <v>167982.72</v>
      </c>
      <c r="F189" s="158">
        <f>ROUND(F187*F188/100,2)</f>
        <v>-424545.12</v>
      </c>
      <c r="G189" s="158"/>
      <c r="H189" s="158">
        <f>ROUND(H187*H188/100,2)</f>
        <v>56921.29</v>
      </c>
      <c r="I189" s="158"/>
    </row>
    <row r="190" spans="1:9" s="126" customFormat="1">
      <c r="A190" s="113"/>
      <c r="B190" s="155"/>
    </row>
    <row r="191" spans="1:9" s="128" customFormat="1">
      <c r="A191" s="113"/>
      <c r="B191" s="155" t="s">
        <v>205</v>
      </c>
      <c r="C191" s="130">
        <f>SUM(D191:I191)</f>
        <v>0</v>
      </c>
      <c r="D191" s="130">
        <f>D138</f>
        <v>0</v>
      </c>
      <c r="E191" s="130">
        <f>E138</f>
        <v>0</v>
      </c>
      <c r="F191" s="130">
        <f>F138</f>
        <v>0</v>
      </c>
      <c r="G191" s="130"/>
      <c r="H191" s="130"/>
      <c r="I191" s="130"/>
    </row>
    <row r="192" spans="1:9" s="144" customFormat="1">
      <c r="A192" s="113"/>
      <c r="B192" s="155" t="s">
        <v>206</v>
      </c>
      <c r="D192" s="144">
        <f>I235</f>
        <v>8.9142580330939492</v>
      </c>
      <c r="E192" s="144">
        <f>I253</f>
        <v>8.310458536960958</v>
      </c>
      <c r="F192" s="144">
        <f>I286</f>
        <v>6.6661657955075562</v>
      </c>
    </row>
    <row r="193" spans="1:15" s="126" customFormat="1">
      <c r="A193" s="113"/>
      <c r="B193" s="155" t="s">
        <v>207</v>
      </c>
      <c r="C193" s="126">
        <f>SUM(D193:I193)</f>
        <v>0</v>
      </c>
      <c r="D193" s="158">
        <f>ROUND(D191*D192/100,2)</f>
        <v>0</v>
      </c>
      <c r="E193" s="158">
        <f>ROUND(E191*E192/100,2)</f>
        <v>0</v>
      </c>
      <c r="F193" s="158">
        <f>ROUND(F191*F192/100,2)</f>
        <v>0</v>
      </c>
      <c r="G193" s="158"/>
      <c r="H193" s="158"/>
      <c r="I193" s="158"/>
    </row>
    <row r="194" spans="1:15" s="126" customFormat="1">
      <c r="A194" s="113"/>
      <c r="B194" s="155"/>
    </row>
    <row r="195" spans="1:15" s="131" customFormat="1">
      <c r="A195" s="113"/>
      <c r="B195" s="155" t="s">
        <v>208</v>
      </c>
      <c r="C195" s="123">
        <f>IF(ROUND(C187+C191,3)&lt;&gt;ROUND(SUM(D195:I195),3),#VALUE!,SUM(D195:I195))</f>
        <v>-7581891</v>
      </c>
      <c r="D195" s="123">
        <f>D187+D191</f>
        <v>-3724996</v>
      </c>
      <c r="E195" s="123">
        <f>E187+E191</f>
        <v>1646405</v>
      </c>
      <c r="F195" s="123">
        <f>F187+F191</f>
        <v>-6248645</v>
      </c>
      <c r="G195" s="123"/>
      <c r="H195" s="123">
        <f>H187+H191</f>
        <v>745345</v>
      </c>
      <c r="I195" s="123"/>
    </row>
    <row r="196" spans="1:15" s="126" customFormat="1">
      <c r="A196" s="113"/>
      <c r="B196" s="155" t="s">
        <v>209</v>
      </c>
      <c r="C196" s="126">
        <f>IF(ROUND(C189+C193,3)&lt;&gt;ROUND(SUM(D196:I196),3),#VALUE!,SUM(D196:I196))</f>
        <v>-487393.7</v>
      </c>
      <c r="D196" s="126">
        <f>D189+D193</f>
        <v>-287752.59000000003</v>
      </c>
      <c r="E196" s="126">
        <f>E189+E193</f>
        <v>167982.72</v>
      </c>
      <c r="F196" s="126">
        <f>F189+F193</f>
        <v>-424545.12</v>
      </c>
      <c r="H196" s="126">
        <f>H189+H193</f>
        <v>56921.29</v>
      </c>
    </row>
    <row r="197" spans="1:15">
      <c r="B197" s="152" t="s">
        <v>210</v>
      </c>
      <c r="C197" s="126"/>
      <c r="D197" s="126"/>
      <c r="E197" s="126"/>
      <c r="F197" s="126"/>
      <c r="G197" s="126"/>
      <c r="H197" s="126"/>
      <c r="I197" s="126"/>
    </row>
    <row r="198" spans="1:15" s="128" customFormat="1">
      <c r="A198" s="113"/>
      <c r="B198" s="155" t="s">
        <v>205</v>
      </c>
      <c r="C198" s="130">
        <f>SUM(D198:I198)</f>
        <v>-1841565</v>
      </c>
      <c r="D198" s="130">
        <f>D145</f>
        <v>-983859</v>
      </c>
      <c r="E198" s="130">
        <f>E145</f>
        <v>-855840</v>
      </c>
      <c r="F198" s="130">
        <f>F145</f>
        <v>-1866</v>
      </c>
      <c r="G198" s="130"/>
      <c r="H198" s="130"/>
      <c r="I198" s="130"/>
    </row>
    <row r="199" spans="1:15" s="144" customFormat="1">
      <c r="A199" s="113"/>
      <c r="B199" s="155" t="s">
        <v>206</v>
      </c>
      <c r="C199" s="166" t="s">
        <v>96</v>
      </c>
      <c r="D199" s="144">
        <f>I235</f>
        <v>8.9142580330939492</v>
      </c>
      <c r="E199" s="144">
        <f>I253</f>
        <v>8.310458536960958</v>
      </c>
      <c r="F199" s="144">
        <f>I286</f>
        <v>6.6661657955075562</v>
      </c>
    </row>
    <row r="200" spans="1:15" s="126" customFormat="1">
      <c r="A200" s="113"/>
      <c r="B200" s="157" t="s">
        <v>207</v>
      </c>
      <c r="C200" s="126">
        <f>SUM(D200:I200)</f>
        <v>-158952.35</v>
      </c>
      <c r="D200" s="158">
        <f>ROUND(D198*D199/100,2)</f>
        <v>-87703.73</v>
      </c>
      <c r="E200" s="158">
        <f>ROUND(E198*E199/100,2)</f>
        <v>-71124.23</v>
      </c>
      <c r="F200" s="158">
        <f>ROUND(F198*F199/100,2)</f>
        <v>-124.39</v>
      </c>
      <c r="G200" s="158"/>
      <c r="H200" s="158"/>
      <c r="I200" s="158"/>
    </row>
    <row r="201" spans="1:15" s="126" customFormat="1">
      <c r="A201" s="113"/>
      <c r="C201" s="168"/>
      <c r="D201" s="168"/>
      <c r="E201" s="168"/>
      <c r="F201" s="168"/>
      <c r="G201" s="168"/>
      <c r="H201" s="168"/>
      <c r="I201" s="168"/>
    </row>
    <row r="202" spans="1:15">
      <c r="B202" s="115" t="s">
        <v>211</v>
      </c>
      <c r="C202" s="158">
        <f>IF(ROUND(SUM(D202:I202),3)&lt;&gt;ROUND(C196+C200,3),#VALUE!,SUM(D202:I202))</f>
        <v>-646346.05000000005</v>
      </c>
      <c r="D202" s="158">
        <f>D200+D196</f>
        <v>-375456.32</v>
      </c>
      <c r="E202" s="158">
        <f>E200+E196</f>
        <v>96858.49</v>
      </c>
      <c r="F202" s="158">
        <f>F200+F196</f>
        <v>-424669.51</v>
      </c>
      <c r="G202" s="158"/>
      <c r="H202" s="158">
        <f>H200+H196</f>
        <v>56921.29</v>
      </c>
      <c r="I202" s="158"/>
    </row>
    <row r="203" spans="1:15">
      <c r="B203" s="115" t="str">
        <f>"TOTAL "&amp;UPPER(CHOOSE(Base1_Billing2,$N$9,$N$10))&amp;" REVENUE"</f>
        <v>TOTAL BASE TARIFF REVENUE</v>
      </c>
      <c r="C203" s="123">
        <f>SUM(D203:I203)</f>
        <v>467518047.47876078</v>
      </c>
      <c r="D203" s="123">
        <f t="shared" ref="D203:I203" si="32">D183</f>
        <v>201551208.87999997</v>
      </c>
      <c r="E203" s="123">
        <f t="shared" si="32"/>
        <v>64024799.641818181</v>
      </c>
      <c r="F203" s="123">
        <f t="shared" si="32"/>
        <v>124365600.68181817</v>
      </c>
      <c r="G203" s="123">
        <f t="shared" si="32"/>
        <v>60469039.766666673</v>
      </c>
      <c r="H203" s="123">
        <f t="shared" si="32"/>
        <v>10437286.708181819</v>
      </c>
      <c r="I203" s="123">
        <f t="shared" si="32"/>
        <v>6670111.8002760001</v>
      </c>
    </row>
    <row r="204" spans="1:15">
      <c r="B204" s="115" t="s">
        <v>214</v>
      </c>
      <c r="C204" s="158">
        <f>IF(ROUND(SUM(D204:I204),3)&lt;&gt;ROUND(SUM(C202:C203),3),#VALUE!,SUM(D204:I204))</f>
        <v>466871701.42876077</v>
      </c>
      <c r="D204" s="158">
        <f t="shared" ref="D204:I204" si="33">D202+D203</f>
        <v>201175752.55999997</v>
      </c>
      <c r="E204" s="158">
        <f t="shared" si="33"/>
        <v>64121658.131818183</v>
      </c>
      <c r="F204" s="158">
        <f t="shared" si="33"/>
        <v>123940931.17181817</v>
      </c>
      <c r="G204" s="158">
        <f t="shared" si="33"/>
        <v>60469039.766666673</v>
      </c>
      <c r="H204" s="158">
        <f t="shared" si="33"/>
        <v>10494207.998181818</v>
      </c>
      <c r="I204" s="158">
        <f t="shared" si="33"/>
        <v>6670111.8002760001</v>
      </c>
      <c r="L204" s="126"/>
      <c r="O204" s="126"/>
    </row>
    <row r="205" spans="1:15">
      <c r="B205" s="115" t="s">
        <v>212</v>
      </c>
      <c r="C205" s="126">
        <f>SUM(D205:I205)</f>
        <v>466871701.42421532</v>
      </c>
      <c r="D205" s="126">
        <f t="shared" ref="D205:H205" si="34">D152</f>
        <v>201175752.55999997</v>
      </c>
      <c r="E205" s="126">
        <f t="shared" si="34"/>
        <v>64121658.131818183</v>
      </c>
      <c r="F205" s="126">
        <f t="shared" si="34"/>
        <v>123940931.16727272</v>
      </c>
      <c r="G205" s="126">
        <f t="shared" si="34"/>
        <v>60469039.766666673</v>
      </c>
      <c r="H205" s="126">
        <f t="shared" si="34"/>
        <v>10494207.998181818</v>
      </c>
      <c r="I205" s="126">
        <f>I152</f>
        <v>6670111.8002760001</v>
      </c>
      <c r="L205" s="126"/>
      <c r="O205" s="126"/>
    </row>
    <row r="206" spans="1:15">
      <c r="C206" s="169"/>
      <c r="D206" s="169"/>
      <c r="E206" s="169"/>
      <c r="F206" s="169"/>
      <c r="G206" s="169"/>
      <c r="H206" s="169"/>
      <c r="I206" s="169"/>
    </row>
    <row r="207" spans="1:15" s="133" customFormat="1">
      <c r="A207" s="132"/>
      <c r="B207" s="133" t="s">
        <v>215</v>
      </c>
      <c r="C207" s="170">
        <f>SUM(D207:I207)</f>
        <v>4.5454502105712891E-3</v>
      </c>
      <c r="D207" s="170">
        <f t="shared" ref="D207:I207" si="35">D204-D205</f>
        <v>0</v>
      </c>
      <c r="E207" s="170">
        <f t="shared" si="35"/>
        <v>0</v>
      </c>
      <c r="F207" s="170">
        <f t="shared" si="35"/>
        <v>4.5454502105712891E-3</v>
      </c>
      <c r="G207" s="170">
        <f t="shared" si="35"/>
        <v>0</v>
      </c>
      <c r="H207" s="170">
        <f t="shared" si="35"/>
        <v>0</v>
      </c>
      <c r="I207" s="170">
        <f t="shared" si="35"/>
        <v>0</v>
      </c>
      <c r="L207" s="170"/>
      <c r="O207" s="170"/>
    </row>
    <row r="208" spans="1:15" s="133" customFormat="1">
      <c r="A208" s="132"/>
      <c r="B208" s="133" t="s">
        <v>216</v>
      </c>
      <c r="C208" s="171">
        <f t="shared" ref="C208:H208" si="36">C207/C205</f>
        <v>9.7359728522957544E-12</v>
      </c>
      <c r="D208" s="171">
        <f>D207/D205</f>
        <v>0</v>
      </c>
      <c r="E208" s="171">
        <f t="shared" si="36"/>
        <v>0</v>
      </c>
      <c r="F208" s="171">
        <f t="shared" si="36"/>
        <v>3.6674326776169487E-11</v>
      </c>
      <c r="G208" s="171">
        <f t="shared" si="36"/>
        <v>0</v>
      </c>
      <c r="H208" s="171">
        <f t="shared" si="36"/>
        <v>0</v>
      </c>
      <c r="I208" s="171">
        <f>I207/I205</f>
        <v>0</v>
      </c>
      <c r="J208" s="171"/>
      <c r="L208" s="171"/>
      <c r="O208" s="170"/>
    </row>
    <row r="209" spans="1:9" s="116" customFormat="1" ht="12.75">
      <c r="A209" s="113"/>
      <c r="B209" s="172" t="str">
        <f>IF(Base1_Billing2=2,"Pres and Prop Revenues may be incorrect due to Sch 59--for example all of Sch 11 gets benefit of Sch 59 but it s/only be Sch 12; see Billing Rev on Exhibit page for fix","")</f>
        <v/>
      </c>
      <c r="C209" s="173"/>
      <c r="D209" s="174"/>
      <c r="E209" s="174"/>
      <c r="F209" s="174"/>
      <c r="G209" s="174"/>
      <c r="H209" s="174"/>
      <c r="I209" s="174"/>
    </row>
    <row r="210" spans="1:9" s="116" customFormat="1" ht="12.75">
      <c r="A210" s="113"/>
      <c r="C210" s="423" t="str">
        <f>C4</f>
        <v xml:space="preserve"> </v>
      </c>
      <c r="D210" s="423"/>
      <c r="E210" s="167"/>
      <c r="F210" s="173"/>
      <c r="G210" s="173"/>
      <c r="H210" s="173"/>
      <c r="I210" s="173"/>
    </row>
    <row r="211" spans="1:9" s="116" customFormat="1" ht="12.75">
      <c r="A211" s="113"/>
      <c r="C211" s="423"/>
      <c r="D211" s="423"/>
      <c r="E211" s="167"/>
      <c r="F211" s="173"/>
      <c r="G211" s="173"/>
      <c r="H211" s="173"/>
      <c r="I211" s="173"/>
    </row>
    <row r="212" spans="1:9" s="116" customFormat="1" ht="12.75">
      <c r="A212" s="113"/>
      <c r="C212" s="423"/>
      <c r="D212" s="423"/>
      <c r="E212" s="167"/>
      <c r="F212" s="173"/>
      <c r="G212" s="173"/>
      <c r="H212" s="173"/>
      <c r="I212" s="173"/>
    </row>
    <row r="213" spans="1:9" s="116" customFormat="1" ht="12.75">
      <c r="A213" s="113"/>
      <c r="C213" s="423"/>
      <c r="D213" s="423"/>
      <c r="E213" s="167"/>
      <c r="F213" s="173"/>
      <c r="G213" s="173"/>
      <c r="H213" s="173"/>
      <c r="I213" s="173"/>
    </row>
    <row r="214" spans="1:9" s="116" customFormat="1" ht="12.75">
      <c r="A214" s="113"/>
      <c r="C214" s="423"/>
      <c r="D214" s="423"/>
      <c r="E214" s="167"/>
      <c r="F214" s="173"/>
      <c r="G214" s="173"/>
      <c r="H214" s="173"/>
      <c r="I214" s="173"/>
    </row>
    <row r="215" spans="1:9" s="116" customFormat="1">
      <c r="A215" s="113"/>
      <c r="C215" s="173"/>
      <c r="D215" s="173"/>
      <c r="E215" s="173"/>
      <c r="F215" s="173"/>
      <c r="G215" s="173"/>
      <c r="H215" s="173"/>
      <c r="I215" s="173"/>
    </row>
    <row r="216" spans="1:9" s="116" customFormat="1">
      <c r="A216" s="113" t="s">
        <v>150</v>
      </c>
      <c r="C216" s="116" t="s">
        <v>96</v>
      </c>
      <c r="D216" s="116" t="s">
        <v>87</v>
      </c>
      <c r="E216" s="116" t="s">
        <v>87</v>
      </c>
      <c r="F216" s="116" t="s">
        <v>217</v>
      </c>
      <c r="G216" s="116" t="s">
        <v>217</v>
      </c>
      <c r="H216" s="116" t="s">
        <v>218</v>
      </c>
      <c r="I216" s="116" t="s">
        <v>218</v>
      </c>
    </row>
    <row r="217" spans="1:9" s="116" customFormat="1">
      <c r="A217" s="113" t="s">
        <v>151</v>
      </c>
      <c r="C217" s="117" t="s">
        <v>219</v>
      </c>
      <c r="D217" s="117" t="s">
        <v>220</v>
      </c>
      <c r="E217" s="117" t="s">
        <v>221</v>
      </c>
      <c r="F217" s="117" t="s">
        <v>220</v>
      </c>
      <c r="G217" s="117" t="s">
        <v>221</v>
      </c>
      <c r="H217" s="117" t="s">
        <v>220</v>
      </c>
      <c r="I217" s="117" t="s">
        <v>221</v>
      </c>
    </row>
    <row r="219" spans="1:9">
      <c r="B219" s="175" t="s">
        <v>222</v>
      </c>
    </row>
    <row r="220" spans="1:9">
      <c r="B220" s="133" t="s">
        <v>102</v>
      </c>
    </row>
    <row r="221" spans="1:9">
      <c r="B221" s="147" t="s">
        <v>223</v>
      </c>
      <c r="C221" s="144">
        <f>D62</f>
        <v>7.133</v>
      </c>
      <c r="D221" s="123">
        <f>D8</f>
        <v>1539744219.7323604</v>
      </c>
      <c r="E221" s="126">
        <f>C221*D221/100</f>
        <v>109829955.19350928</v>
      </c>
      <c r="F221" s="123">
        <f>MIN(D221,F225)</f>
        <v>1539744219.7323604</v>
      </c>
      <c r="G221" s="126">
        <f>F221*C221/100</f>
        <v>109829955.19350928</v>
      </c>
      <c r="H221" s="123">
        <f>D221-F221</f>
        <v>0</v>
      </c>
      <c r="I221" s="126">
        <f>H221*C221/100</f>
        <v>0</v>
      </c>
    </row>
    <row r="222" spans="1:9">
      <c r="B222" s="147" t="s">
        <v>224</v>
      </c>
      <c r="C222" s="144">
        <f>D63</f>
        <v>8.2989999999999995</v>
      </c>
      <c r="D222" s="123">
        <f>D9</f>
        <v>507409059.19834298</v>
      </c>
      <c r="E222" s="126">
        <f>C222*D222/100</f>
        <v>42109877.822870485</v>
      </c>
      <c r="F222" s="123">
        <f>MIN(F225-F221,D222)</f>
        <v>97974212.267637253</v>
      </c>
      <c r="G222" s="126">
        <f>F222*C222/100</f>
        <v>8130879.8760912158</v>
      </c>
      <c r="H222" s="123">
        <f>D222-F222</f>
        <v>409434846.93070573</v>
      </c>
      <c r="I222" s="126">
        <f>H222*C222/100</f>
        <v>33978997.946779266</v>
      </c>
    </row>
    <row r="223" spans="1:9">
      <c r="B223" s="147" t="s">
        <v>225</v>
      </c>
      <c r="C223" s="144">
        <f>D64</f>
        <v>9.7279999999999998</v>
      </c>
      <c r="D223" s="123">
        <f>D10</f>
        <v>309567515.06929666</v>
      </c>
      <c r="E223" s="126">
        <f>C223*D223/100</f>
        <v>30114727.865941178</v>
      </c>
      <c r="F223" s="123">
        <f>MIN(F225-F221-F222,D223)</f>
        <v>0</v>
      </c>
      <c r="G223" s="126">
        <f>F223*C223/100</f>
        <v>0</v>
      </c>
      <c r="H223" s="123">
        <f>D223-F223</f>
        <v>309567515.06929666</v>
      </c>
      <c r="I223" s="126">
        <f>H223*C223/100</f>
        <v>30114727.865941178</v>
      </c>
    </row>
    <row r="224" spans="1:9">
      <c r="D224" s="129"/>
      <c r="E224" s="176"/>
      <c r="F224" s="129"/>
      <c r="G224" s="176"/>
      <c r="H224" s="129"/>
      <c r="I224" s="176"/>
    </row>
    <row r="225" spans="2:9">
      <c r="B225" s="115" t="s">
        <v>87</v>
      </c>
      <c r="D225" s="123">
        <f t="shared" ref="D225:I225" si="37">D221+D222+D223</f>
        <v>2356720794</v>
      </c>
      <c r="E225" s="126">
        <f t="shared" si="37"/>
        <v>182054560.88232094</v>
      </c>
      <c r="F225" s="149">
        <f>672*D25</f>
        <v>1637718431.9999976</v>
      </c>
      <c r="G225" s="126">
        <f t="shared" si="37"/>
        <v>117960835.06960049</v>
      </c>
      <c r="H225" s="123">
        <f t="shared" si="37"/>
        <v>719002362.00000238</v>
      </c>
      <c r="I225" s="126">
        <f t="shared" si="37"/>
        <v>64093725.812720448</v>
      </c>
    </row>
    <row r="226" spans="2:9">
      <c r="B226" s="115" t="s">
        <v>226</v>
      </c>
      <c r="D226" s="123"/>
      <c r="E226" s="144">
        <f>E225/D225*100</f>
        <v>7.7249100252272367</v>
      </c>
      <c r="F226" s="144"/>
      <c r="G226" s="144">
        <f>G225/F225*100</f>
        <v>7.2027543175138833</v>
      </c>
      <c r="H226" s="123"/>
      <c r="I226" s="144">
        <f>I225/H225*100</f>
        <v>8.9142580330939492</v>
      </c>
    </row>
    <row r="227" spans="2:9">
      <c r="D227" s="123"/>
      <c r="F227" s="123"/>
      <c r="H227" s="123"/>
    </row>
    <row r="228" spans="2:9" hidden="1">
      <c r="B228" s="175" t="s">
        <v>227</v>
      </c>
      <c r="D228" s="123"/>
      <c r="F228" s="123"/>
      <c r="H228" s="123"/>
    </row>
    <row r="229" spans="2:9" hidden="1">
      <c r="B229" s="133" t="s">
        <v>102</v>
      </c>
      <c r="D229" s="123"/>
      <c r="F229" s="123"/>
      <c r="H229" s="123"/>
    </row>
    <row r="230" spans="2:9" hidden="1">
      <c r="B230" s="147" t="s">
        <v>223</v>
      </c>
      <c r="C230" s="144">
        <f>D79</f>
        <v>7.133</v>
      </c>
      <c r="D230" s="123">
        <f>D221</f>
        <v>1539744219.7323604</v>
      </c>
      <c r="E230" s="126">
        <f>C230*D230/100</f>
        <v>109829955.19350928</v>
      </c>
      <c r="F230" s="123">
        <f>MIN(D230,F234)</f>
        <v>1539744219.7323604</v>
      </c>
      <c r="G230" s="126">
        <f>F230*C230/100</f>
        <v>109829955.19350928</v>
      </c>
      <c r="H230" s="123">
        <f>H221</f>
        <v>0</v>
      </c>
      <c r="I230" s="126">
        <f>H230*C230/100</f>
        <v>0</v>
      </c>
    </row>
    <row r="231" spans="2:9" hidden="1">
      <c r="B231" s="147" t="s">
        <v>224</v>
      </c>
      <c r="C231" s="144">
        <f>D80</f>
        <v>8.2989999999999995</v>
      </c>
      <c r="D231" s="123">
        <f>D222</f>
        <v>507409059.19834298</v>
      </c>
      <c r="E231" s="126">
        <f>C231*D231/100</f>
        <v>42109877.822870485</v>
      </c>
      <c r="F231" s="123">
        <f>MIN(F234-F230,D231)</f>
        <v>97974212.267637253</v>
      </c>
      <c r="G231" s="126">
        <f>F231*C231/100</f>
        <v>8130879.8760912158</v>
      </c>
      <c r="H231" s="123">
        <f>H222</f>
        <v>409434846.93070573</v>
      </c>
      <c r="I231" s="126">
        <f>H231*C231/100</f>
        <v>33978997.946779266</v>
      </c>
    </row>
    <row r="232" spans="2:9" hidden="1">
      <c r="B232" s="147" t="s">
        <v>225</v>
      </c>
      <c r="C232" s="144">
        <f>D81</f>
        <v>9.7279999999999998</v>
      </c>
      <c r="D232" s="123">
        <f>D223</f>
        <v>309567515.06929666</v>
      </c>
      <c r="E232" s="126">
        <f>C232*D232/100</f>
        <v>30114727.865941178</v>
      </c>
      <c r="F232" s="123">
        <f>MIN(F234-F230-F231,D232)</f>
        <v>0</v>
      </c>
      <c r="G232" s="126">
        <f>F232*C232/100</f>
        <v>0</v>
      </c>
      <c r="H232" s="123">
        <f>H223</f>
        <v>309567515.06929666</v>
      </c>
      <c r="I232" s="126">
        <f>H232*C232/100</f>
        <v>30114727.865941178</v>
      </c>
    </row>
    <row r="233" spans="2:9" hidden="1">
      <c r="D233" s="129"/>
      <c r="E233" s="176"/>
      <c r="F233" s="129"/>
      <c r="G233" s="176"/>
      <c r="H233" s="129"/>
      <c r="I233" s="176"/>
    </row>
    <row r="234" spans="2:9" hidden="1">
      <c r="B234" s="115" t="s">
        <v>87</v>
      </c>
      <c r="D234" s="123">
        <f t="shared" ref="D234:I234" si="38">D230+D231+D232</f>
        <v>2356720794</v>
      </c>
      <c r="E234" s="126">
        <f t="shared" si="38"/>
        <v>182054560.88232094</v>
      </c>
      <c r="F234" s="123">
        <f>F225</f>
        <v>1637718431.9999976</v>
      </c>
      <c r="G234" s="126">
        <f t="shared" si="38"/>
        <v>117960835.06960049</v>
      </c>
      <c r="H234" s="123">
        <f t="shared" si="38"/>
        <v>719002362.00000238</v>
      </c>
      <c r="I234" s="126">
        <f t="shared" si="38"/>
        <v>64093725.812720448</v>
      </c>
    </row>
    <row r="235" spans="2:9" hidden="1">
      <c r="B235" s="115" t="s">
        <v>226</v>
      </c>
      <c r="D235" s="123"/>
      <c r="E235" s="144">
        <f t="shared" ref="E235" si="39">E234/D234*100</f>
        <v>7.7249100252272367</v>
      </c>
      <c r="F235" s="144"/>
      <c r="G235" s="144">
        <f>G234/F234*100</f>
        <v>7.2027543175138833</v>
      </c>
      <c r="H235" s="123"/>
      <c r="I235" s="144">
        <f>I234/H234*100</f>
        <v>8.9142580330939492</v>
      </c>
    </row>
    <row r="236" spans="2:9" hidden="1">
      <c r="D236" s="123"/>
      <c r="F236" s="123"/>
      <c r="G236" s="144"/>
      <c r="H236" s="123"/>
      <c r="I236" s="144"/>
    </row>
    <row r="237" spans="2:9" hidden="1">
      <c r="D237" s="123"/>
      <c r="F237" s="123"/>
      <c r="H237" s="123"/>
    </row>
    <row r="238" spans="2:9">
      <c r="D238" s="123"/>
      <c r="F238" s="123"/>
      <c r="H238" s="123"/>
    </row>
    <row r="239" spans="2:9">
      <c r="B239" s="175" t="s">
        <v>222</v>
      </c>
      <c r="D239" s="123"/>
      <c r="F239" s="123"/>
      <c r="H239" s="123"/>
    </row>
    <row r="240" spans="2:9">
      <c r="B240" s="133" t="s">
        <v>228</v>
      </c>
      <c r="D240" s="123"/>
      <c r="F240" s="123"/>
      <c r="H240" s="123"/>
    </row>
    <row r="241" spans="2:9">
      <c r="B241" s="147" t="s">
        <v>229</v>
      </c>
      <c r="C241" s="144">
        <f>E62</f>
        <v>11.031000000000001</v>
      </c>
      <c r="D241" s="123">
        <f>E8</f>
        <v>399066786.04010034</v>
      </c>
      <c r="E241" s="126">
        <f>C241*D241/100</f>
        <v>44021057.168083467</v>
      </c>
      <c r="F241" s="123">
        <f>MIN(D241,F244)</f>
        <v>387172499.99999994</v>
      </c>
      <c r="G241" s="126">
        <f>F241*C241/100</f>
        <v>42708998.474999994</v>
      </c>
      <c r="H241" s="123">
        <f>D241-F241</f>
        <v>11894286.040100396</v>
      </c>
      <c r="I241" s="126">
        <f>H241*C241/100</f>
        <v>1312058.6930834749</v>
      </c>
    </row>
    <row r="242" spans="2:9">
      <c r="B242" s="147" t="s">
        <v>230</v>
      </c>
      <c r="C242" s="144">
        <f>E63</f>
        <v>8.1050000000000004</v>
      </c>
      <c r="D242" s="123">
        <f>E9</f>
        <v>157496002.95989969</v>
      </c>
      <c r="E242" s="126">
        <f>C242*D242/100</f>
        <v>12765051.039899871</v>
      </c>
      <c r="F242" s="123">
        <f>MIN(F244-F241,D242)</f>
        <v>0</v>
      </c>
      <c r="G242" s="126">
        <f>F242*C242/100</f>
        <v>0</v>
      </c>
      <c r="H242" s="123">
        <f>D242-F242</f>
        <v>157496002.95989969</v>
      </c>
      <c r="I242" s="126">
        <f>H242*C242/100</f>
        <v>12765051.039899871</v>
      </c>
    </row>
    <row r="243" spans="2:9">
      <c r="D243" s="129"/>
      <c r="E243" s="176"/>
      <c r="F243" s="129"/>
      <c r="G243" s="176"/>
      <c r="H243" s="129"/>
      <c r="I243" s="176"/>
    </row>
    <row r="244" spans="2:9">
      <c r="B244" s="115" t="s">
        <v>87</v>
      </c>
      <c r="D244" s="123">
        <f t="shared" ref="D244:I244" si="40">D241+D242</f>
        <v>556562789</v>
      </c>
      <c r="E244" s="126">
        <f t="shared" si="40"/>
        <v>56786108.207983337</v>
      </c>
      <c r="F244" s="149">
        <f>1100*E25</f>
        <v>387172499.99999994</v>
      </c>
      <c r="G244" s="126">
        <f t="shared" si="40"/>
        <v>42708998.474999994</v>
      </c>
      <c r="H244" s="123">
        <f t="shared" si="40"/>
        <v>169390289.00000009</v>
      </c>
      <c r="I244" s="126">
        <f t="shared" si="40"/>
        <v>14077109.732983345</v>
      </c>
    </row>
    <row r="245" spans="2:9">
      <c r="B245" s="115" t="s">
        <v>226</v>
      </c>
      <c r="D245" s="123"/>
      <c r="E245" s="144">
        <f t="shared" ref="E245" si="41">E244/D244*100</f>
        <v>10.203001230106192</v>
      </c>
      <c r="F245" s="144"/>
      <c r="G245" s="144">
        <f>G244/F244*100</f>
        <v>11.031000000000001</v>
      </c>
      <c r="H245" s="123"/>
      <c r="I245" s="144">
        <f>I244/H244*100</f>
        <v>8.310458536960958</v>
      </c>
    </row>
    <row r="246" spans="2:9">
      <c r="D246" s="123"/>
      <c r="F246" s="123"/>
      <c r="G246" s="144"/>
      <c r="H246" s="123"/>
      <c r="I246" s="144"/>
    </row>
    <row r="247" spans="2:9" hidden="1">
      <c r="B247" s="175" t="s">
        <v>227</v>
      </c>
      <c r="D247" s="123"/>
      <c r="F247" s="123"/>
      <c r="H247" s="123"/>
    </row>
    <row r="248" spans="2:9" hidden="1">
      <c r="B248" s="133" t="s">
        <v>228</v>
      </c>
      <c r="D248" s="123"/>
      <c r="F248" s="123"/>
      <c r="H248" s="123"/>
    </row>
    <row r="249" spans="2:9" hidden="1">
      <c r="B249" s="147" t="s">
        <v>229</v>
      </c>
      <c r="C249" s="144">
        <f>E79</f>
        <v>11.031000000000001</v>
      </c>
      <c r="D249" s="123">
        <f>E31</f>
        <v>399066786.04010034</v>
      </c>
      <c r="E249" s="126">
        <f>C249*D249/100</f>
        <v>44021057.168083467</v>
      </c>
      <c r="F249" s="123">
        <f>MIN(D249,F252)</f>
        <v>387172499.99999994</v>
      </c>
      <c r="G249" s="126">
        <f>F249*C249/100</f>
        <v>42708998.474999994</v>
      </c>
      <c r="H249" s="123">
        <f>D249-F249</f>
        <v>11894286.040100396</v>
      </c>
      <c r="I249" s="126">
        <f>H249*C249/100</f>
        <v>1312058.6930834749</v>
      </c>
    </row>
    <row r="250" spans="2:9" hidden="1">
      <c r="B250" s="147" t="s">
        <v>230</v>
      </c>
      <c r="C250" s="144">
        <f>E80</f>
        <v>8.1050000000000004</v>
      </c>
      <c r="D250" s="123">
        <f>E32</f>
        <v>157496002.95989969</v>
      </c>
      <c r="E250" s="126">
        <f>C250*D250/100</f>
        <v>12765051.039899871</v>
      </c>
      <c r="F250" s="123">
        <f>MIN(F252-F249,D250)</f>
        <v>0</v>
      </c>
      <c r="G250" s="126">
        <f>F250*C250/100</f>
        <v>0</v>
      </c>
      <c r="H250" s="123">
        <f>D250-F250</f>
        <v>157496002.95989969</v>
      </c>
      <c r="I250" s="126">
        <f>H250*C250/100</f>
        <v>12765051.039899871</v>
      </c>
    </row>
    <row r="251" spans="2:9" hidden="1">
      <c r="D251" s="129"/>
      <c r="E251" s="176"/>
      <c r="F251" s="129"/>
      <c r="G251" s="176"/>
      <c r="H251" s="129"/>
      <c r="I251" s="176"/>
    </row>
    <row r="252" spans="2:9" hidden="1">
      <c r="B252" s="115" t="s">
        <v>87</v>
      </c>
      <c r="D252" s="123">
        <f t="shared" ref="D252:I252" si="42">D249+D250</f>
        <v>556562789</v>
      </c>
      <c r="E252" s="126">
        <f t="shared" si="42"/>
        <v>56786108.207983337</v>
      </c>
      <c r="F252" s="123">
        <f>F244</f>
        <v>387172499.99999994</v>
      </c>
      <c r="G252" s="126">
        <f t="shared" si="42"/>
        <v>42708998.474999994</v>
      </c>
      <c r="H252" s="123">
        <f t="shared" si="42"/>
        <v>169390289.00000009</v>
      </c>
      <c r="I252" s="126">
        <f t="shared" si="42"/>
        <v>14077109.732983345</v>
      </c>
    </row>
    <row r="253" spans="2:9" hidden="1">
      <c r="B253" s="115" t="s">
        <v>226</v>
      </c>
      <c r="E253" s="144">
        <f t="shared" ref="E253" si="43">E252/D252*100</f>
        <v>10.203001230106192</v>
      </c>
      <c r="F253" s="144"/>
      <c r="G253" s="144">
        <f>G252/F252*100</f>
        <v>11.031000000000001</v>
      </c>
      <c r="I253" s="144">
        <f>I252/H252*100</f>
        <v>8.310458536960958</v>
      </c>
    </row>
    <row r="254" spans="2:9" hidden="1"/>
    <row r="255" spans="2:9" hidden="1"/>
    <row r="256" spans="2:9" hidden="1"/>
    <row r="257" spans="1:9" hidden="1"/>
    <row r="258" spans="1:9" hidden="1"/>
    <row r="261" spans="1:9">
      <c r="B261" s="177" t="s">
        <v>396</v>
      </c>
      <c r="C261" s="177"/>
      <c r="D261" s="177"/>
      <c r="E261" s="177"/>
      <c r="F261" s="177"/>
    </row>
    <row r="262" spans="1:9">
      <c r="B262" s="115" t="str">
        <f>"672 X "&amp;TEXT(D25,"#,##0")&amp;" = "&amp;TEXT(F225,"#,##0")</f>
        <v>672 X 2,437,081 = 1,637,718,432</v>
      </c>
    </row>
    <row r="263" spans="1:9">
      <c r="B263" s="115" t="str">
        <f>"Total Base Load for Sch. 11 = 1,100 X "&amp;TEXT(E25,"#,##0")&amp;" = "&amp;TEXT(F244,"#,##0")</f>
        <v>Total Base Load for Sch. 11 = 1,100 X 351,975 = 387,172,500</v>
      </c>
    </row>
    <row r="264" spans="1:9" s="116" customFormat="1" ht="12.75">
      <c r="A264" s="113"/>
      <c r="B264" s="172" t="str">
        <f>IF(Base1_Billing2=2,"Pres and Prop Revenues may be incorrect due to Sch 59--for example all of Sch 11 gets benefit of Sch 59 but it s/only be Sch 12; see Billing Rev on Exhibit page for fix","")</f>
        <v/>
      </c>
      <c r="C264" s="173"/>
      <c r="D264" s="423"/>
      <c r="E264" s="423"/>
      <c r="F264" s="423"/>
      <c r="G264" s="423"/>
      <c r="H264" s="423"/>
      <c r="I264" s="423"/>
    </row>
    <row r="265" spans="1:9" s="116" customFormat="1" ht="12.75">
      <c r="A265" s="113"/>
      <c r="C265" s="423"/>
      <c r="D265" s="423"/>
      <c r="E265" s="167"/>
      <c r="F265" s="173"/>
      <c r="G265" s="173"/>
      <c r="H265" s="173"/>
      <c r="I265" s="173"/>
    </row>
    <row r="266" spans="1:9" s="116" customFormat="1" ht="12.75">
      <c r="A266" s="113"/>
      <c r="C266" s="423"/>
      <c r="D266" s="423"/>
      <c r="E266" s="167"/>
      <c r="F266" s="173"/>
      <c r="G266" s="173"/>
      <c r="H266" s="173"/>
      <c r="I266" s="173"/>
    </row>
    <row r="267" spans="1:9" s="116" customFormat="1" ht="12.75">
      <c r="A267" s="113"/>
      <c r="C267" s="423"/>
      <c r="D267" s="423"/>
      <c r="E267" s="167"/>
      <c r="F267" s="173"/>
      <c r="G267" s="173"/>
      <c r="H267" s="173"/>
      <c r="I267" s="173"/>
    </row>
    <row r="268" spans="1:9" s="116" customFormat="1">
      <c r="A268" s="113"/>
      <c r="C268" s="173"/>
      <c r="D268" s="173"/>
      <c r="E268" s="173"/>
      <c r="F268" s="173"/>
      <c r="G268" s="173"/>
      <c r="H268" s="173"/>
      <c r="I268" s="173"/>
    </row>
    <row r="269" spans="1:9" s="116" customFormat="1">
      <c r="A269" s="113" t="s">
        <v>150</v>
      </c>
      <c r="C269" s="116" t="s">
        <v>96</v>
      </c>
      <c r="D269" s="116" t="s">
        <v>87</v>
      </c>
      <c r="E269" s="116" t="s">
        <v>87</v>
      </c>
      <c r="F269" s="116" t="s">
        <v>217</v>
      </c>
      <c r="G269" s="116" t="s">
        <v>217</v>
      </c>
      <c r="H269" s="116" t="s">
        <v>218</v>
      </c>
      <c r="I269" s="116" t="s">
        <v>218</v>
      </c>
    </row>
    <row r="270" spans="1:9" s="116" customFormat="1">
      <c r="A270" s="113" t="s">
        <v>151</v>
      </c>
      <c r="C270" s="117" t="s">
        <v>219</v>
      </c>
      <c r="D270" s="117" t="s">
        <v>220</v>
      </c>
      <c r="E270" s="117" t="s">
        <v>221</v>
      </c>
      <c r="F270" s="117" t="s">
        <v>220</v>
      </c>
      <c r="G270" s="117" t="s">
        <v>221</v>
      </c>
      <c r="H270" s="117" t="s">
        <v>220</v>
      </c>
      <c r="I270" s="117" t="s">
        <v>221</v>
      </c>
    </row>
    <row r="272" spans="1:9">
      <c r="B272" s="175" t="s">
        <v>222</v>
      </c>
    </row>
    <row r="273" spans="2:9">
      <c r="B273" s="133" t="s">
        <v>231</v>
      </c>
    </row>
    <row r="274" spans="2:9">
      <c r="B274" s="147" t="s">
        <v>232</v>
      </c>
      <c r="C274" s="144">
        <f>F62</f>
        <v>6.8780000000000001</v>
      </c>
      <c r="D274" s="123">
        <f>F8</f>
        <v>1265934692.5857337</v>
      </c>
      <c r="E274" s="126">
        <f>C274*D274/100</f>
        <v>87070988.156046748</v>
      </c>
      <c r="F274" s="123">
        <f>MIN(D274,F277)</f>
        <v>864645135</v>
      </c>
      <c r="G274" s="126">
        <f>F274*C274/100</f>
        <v>59470292.385299996</v>
      </c>
      <c r="H274" s="123">
        <f>D274-F274</f>
        <v>401289557.58573365</v>
      </c>
      <c r="I274" s="126">
        <f>H274*C274/100</f>
        <v>27600695.77074676</v>
      </c>
    </row>
    <row r="275" spans="2:9">
      <c r="B275" s="147" t="s">
        <v>233</v>
      </c>
      <c r="C275" s="144">
        <f>F63</f>
        <v>6.15</v>
      </c>
      <c r="D275" s="123">
        <f>F9</f>
        <v>164689049.41426659</v>
      </c>
      <c r="E275" s="126">
        <f>C275*D275/100</f>
        <v>10128376.538977396</v>
      </c>
      <c r="F275" s="123">
        <f>MIN(F277-F274,D275)</f>
        <v>0</v>
      </c>
      <c r="G275" s="126">
        <f>F275*C275/100</f>
        <v>0</v>
      </c>
      <c r="H275" s="123">
        <f>D275-F275</f>
        <v>164689049.41426659</v>
      </c>
      <c r="I275" s="126">
        <f>H275*C275/100</f>
        <v>10128376.538977396</v>
      </c>
    </row>
    <row r="276" spans="2:9">
      <c r="D276" s="129"/>
      <c r="E276" s="176"/>
      <c r="F276" s="129"/>
      <c r="G276" s="176"/>
      <c r="H276" s="129"/>
      <c r="I276" s="176"/>
    </row>
    <row r="277" spans="2:9">
      <c r="B277" s="115" t="s">
        <v>87</v>
      </c>
      <c r="D277" s="123">
        <f>D274+D275</f>
        <v>1430623742.0000002</v>
      </c>
      <c r="E277" s="123">
        <f>E274+E275</f>
        <v>97199364.695024148</v>
      </c>
      <c r="F277" s="149">
        <f>34005*F25</f>
        <v>864645135</v>
      </c>
      <c r="G277" s="123">
        <f>G274+G275</f>
        <v>59470292.385299996</v>
      </c>
      <c r="H277" s="123">
        <f>H274+H275</f>
        <v>565978607.00000024</v>
      </c>
      <c r="I277" s="123">
        <f>I274+I275</f>
        <v>37729072.309724152</v>
      </c>
    </row>
    <row r="278" spans="2:9">
      <c r="B278" s="115" t="s">
        <v>226</v>
      </c>
      <c r="D278" s="123"/>
      <c r="E278" s="144">
        <f t="shared" ref="E278" si="44">E277/D277*100</f>
        <v>6.7941948565134416</v>
      </c>
      <c r="F278" s="123"/>
      <c r="G278" s="144">
        <f>G277/F277*100</f>
        <v>6.8779999999999992</v>
      </c>
      <c r="H278" s="123"/>
      <c r="I278" s="144">
        <f>I277/H277*100</f>
        <v>6.6661657955075562</v>
      </c>
    </row>
    <row r="279" spans="2:9">
      <c r="D279" s="123"/>
      <c r="F279" s="123"/>
      <c r="H279" s="123"/>
    </row>
    <row r="280" spans="2:9" hidden="1">
      <c r="B280" s="175" t="s">
        <v>227</v>
      </c>
      <c r="D280" s="123"/>
      <c r="F280" s="123"/>
      <c r="H280" s="123"/>
    </row>
    <row r="281" spans="2:9" hidden="1">
      <c r="B281" s="133" t="s">
        <v>231</v>
      </c>
      <c r="D281" s="123"/>
      <c r="F281" s="123"/>
      <c r="H281" s="123"/>
    </row>
    <row r="282" spans="2:9" hidden="1">
      <c r="B282" s="147" t="s">
        <v>232</v>
      </c>
      <c r="C282" s="144">
        <f>F79</f>
        <v>6.8780000000000001</v>
      </c>
      <c r="D282" s="123">
        <f>D274</f>
        <v>1265934692.5857337</v>
      </c>
      <c r="E282" s="126">
        <f>C282*D282/100</f>
        <v>87070988.156046748</v>
      </c>
      <c r="F282" s="123">
        <f>MIN(D282,F285)</f>
        <v>864645135</v>
      </c>
      <c r="G282" s="126">
        <f>F282*C282/100</f>
        <v>59470292.385299996</v>
      </c>
      <c r="H282" s="123">
        <f>H274</f>
        <v>401289557.58573365</v>
      </c>
      <c r="I282" s="126">
        <f>H282*C282/100</f>
        <v>27600695.77074676</v>
      </c>
    </row>
    <row r="283" spans="2:9" hidden="1">
      <c r="B283" s="147" t="s">
        <v>233</v>
      </c>
      <c r="C283" s="144">
        <f>F80</f>
        <v>6.15</v>
      </c>
      <c r="D283" s="123">
        <f>D275</f>
        <v>164689049.41426659</v>
      </c>
      <c r="E283" s="126">
        <f>C283*D283/100</f>
        <v>10128376.538977396</v>
      </c>
      <c r="F283" s="123">
        <f>MIN(F285-F282,D283)</f>
        <v>0</v>
      </c>
      <c r="G283" s="126">
        <f>F283*C283/100</f>
        <v>0</v>
      </c>
      <c r="H283" s="123">
        <f>H275</f>
        <v>164689049.41426659</v>
      </c>
      <c r="I283" s="126">
        <f>H283*C283/100</f>
        <v>10128376.538977396</v>
      </c>
    </row>
    <row r="284" spans="2:9" hidden="1">
      <c r="D284" s="129"/>
      <c r="E284" s="176"/>
      <c r="F284" s="129"/>
      <c r="G284" s="176"/>
      <c r="H284" s="129"/>
      <c r="I284" s="176"/>
    </row>
    <row r="285" spans="2:9" hidden="1">
      <c r="B285" s="115" t="s">
        <v>87</v>
      </c>
      <c r="D285" s="123">
        <f>D282+D283</f>
        <v>1430623742.0000002</v>
      </c>
      <c r="E285" s="123">
        <f>E282+E283</f>
        <v>97199364.695024148</v>
      </c>
      <c r="F285" s="123">
        <f>F277</f>
        <v>864645135</v>
      </c>
      <c r="G285" s="123">
        <f>G282+G283</f>
        <v>59470292.385299996</v>
      </c>
      <c r="H285" s="123">
        <f>H282+H283</f>
        <v>565978607.00000024</v>
      </c>
      <c r="I285" s="123">
        <f>I282+I283</f>
        <v>37729072.309724152</v>
      </c>
    </row>
    <row r="286" spans="2:9" hidden="1">
      <c r="B286" s="115" t="s">
        <v>226</v>
      </c>
      <c r="D286" s="123"/>
      <c r="F286" s="123"/>
      <c r="G286" s="144">
        <f>G285/F285*100</f>
        <v>6.8779999999999992</v>
      </c>
      <c r="H286" s="123"/>
      <c r="I286" s="144">
        <f>I285/H285*100</f>
        <v>6.6661657955075562</v>
      </c>
    </row>
    <row r="287" spans="2:9" hidden="1"/>
    <row r="288" spans="2:9" hidden="1"/>
    <row r="289" spans="2:9" hidden="1"/>
    <row r="290" spans="2:9" hidden="1"/>
    <row r="294" spans="2:9">
      <c r="B294" s="177" t="s">
        <v>397</v>
      </c>
      <c r="C294" s="177"/>
      <c r="D294" s="177"/>
      <c r="E294" s="177"/>
      <c r="F294" s="177"/>
    </row>
    <row r="295" spans="2:9">
      <c r="B295" s="115" t="str">
        <f>"34,005 X "&amp;TEXT(F25,"#,##0")&amp;" = "&amp;TEXT(F277,"#,##0")</f>
        <v>34,005 X 25,427 = 864,645,135</v>
      </c>
    </row>
    <row r="299" spans="2:9">
      <c r="D299" s="142">
        <f>D207/D48</f>
        <v>0</v>
      </c>
      <c r="E299" s="142">
        <f>E207/E48</f>
        <v>0</v>
      </c>
      <c r="F299" s="142">
        <f>F207/F48</f>
        <v>1.787647072234746E-7</v>
      </c>
      <c r="G299" s="142">
        <f>G207/G48</f>
        <v>0</v>
      </c>
      <c r="H299" s="142">
        <f>H207/H48</f>
        <v>0</v>
      </c>
      <c r="I299" s="142"/>
    </row>
    <row r="300" spans="2:9">
      <c r="D300" s="128">
        <f>D23/D25</f>
        <v>965.09387213638104</v>
      </c>
    </row>
  </sheetData>
  <mergeCells count="2">
    <mergeCell ref="P6:R11"/>
    <mergeCell ref="B95:H96"/>
  </mergeCells>
  <conditionalFormatting sqref="L55">
    <cfRule type="cellIs" dxfId="0" priority="1" stopIfTrue="1" operator="greaterThan">
      <formula>0</formula>
    </cfRule>
  </conditionalFormatting>
  <pageMargins left="0.75" right="0.75" top="0.5" bottom="0.5" header="0.25" footer="0.5"/>
  <pageSetup scale="90" orientation="landscape" horizontalDpi="360" r:id="rId1"/>
  <headerFooter alignWithMargins="0">
    <oddHeader>&amp;C&amp;"Arial,Bold"&amp;9AVISTA UTILITIES
WASHINGTON ELECTRIC
PRO FORMA REVENUE UNDER PRESENT AND PROPOSED BASE TARIFF RATES
12 MONTHS ENDED JUNE 30, 2013</oddHeader>
  </headerFooter>
  <rowBreaks count="4" manualBreakCount="4">
    <brk id="51" max="8" man="1"/>
    <brk id="100" max="8" man="1"/>
    <brk id="154" max="8" man="1"/>
    <brk id="209" max="8"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I53"/>
  <sheetViews>
    <sheetView topLeftCell="A28" workbookViewId="0">
      <selection activeCell="E20" sqref="E20"/>
    </sheetView>
  </sheetViews>
  <sheetFormatPr defaultColWidth="9.140625" defaultRowHeight="12.75"/>
  <cols>
    <col min="1" max="1" width="6.7109375" style="180" customWidth="1"/>
    <col min="2" max="2" width="3.42578125" style="180" customWidth="1"/>
    <col min="3" max="3" width="36.7109375" style="180" customWidth="1"/>
    <col min="4" max="4" width="9" style="180" bestFit="1" customWidth="1"/>
    <col min="5" max="5" width="11.140625" style="180" bestFit="1" customWidth="1"/>
    <col min="6" max="6" width="2.42578125" style="180" customWidth="1"/>
    <col min="7" max="7" width="9.140625" style="180"/>
    <col min="8" max="8" width="10.28515625" style="180" bestFit="1" customWidth="1"/>
    <col min="9" max="16384" width="9.140625" style="180"/>
  </cols>
  <sheetData>
    <row r="1" spans="1:9" ht="42" customHeight="1">
      <c r="A1" s="782" t="s">
        <v>252</v>
      </c>
      <c r="B1" s="782"/>
      <c r="C1" s="782"/>
      <c r="D1" s="782"/>
      <c r="E1" s="782"/>
      <c r="F1" s="782"/>
    </row>
    <row r="2" spans="1:9">
      <c r="A2" s="783" t="s">
        <v>93</v>
      </c>
      <c r="B2" s="783"/>
      <c r="C2" s="783"/>
      <c r="D2" s="783"/>
      <c r="E2" s="783"/>
      <c r="F2" s="783"/>
    </row>
    <row r="3" spans="1:9">
      <c r="A3" s="182"/>
      <c r="B3" s="182"/>
      <c r="C3" s="182"/>
      <c r="D3" s="182"/>
      <c r="E3" s="182"/>
      <c r="F3" s="182"/>
    </row>
    <row r="4" spans="1:9">
      <c r="E4" s="182" t="s">
        <v>48</v>
      </c>
    </row>
    <row r="5" spans="1:9">
      <c r="E5" s="191" t="s">
        <v>119</v>
      </c>
    </row>
    <row r="6" spans="1:9">
      <c r="A6" s="182" t="s">
        <v>3</v>
      </c>
      <c r="E6" s="182" t="s">
        <v>253</v>
      </c>
    </row>
    <row r="7" spans="1:9">
      <c r="A7" s="183" t="s">
        <v>90</v>
      </c>
      <c r="C7" s="184" t="s">
        <v>4</v>
      </c>
      <c r="D7" s="182" t="s">
        <v>237</v>
      </c>
      <c r="E7" s="183" t="s">
        <v>254</v>
      </c>
    </row>
    <row r="8" spans="1:9">
      <c r="A8" s="182"/>
      <c r="F8" s="233"/>
      <c r="G8" s="233"/>
      <c r="H8" s="233"/>
      <c r="I8" s="233"/>
    </row>
    <row r="9" spans="1:9">
      <c r="A9" s="182"/>
      <c r="B9" s="180" t="s">
        <v>86</v>
      </c>
      <c r="F9" s="233"/>
      <c r="G9" s="233"/>
      <c r="H9" s="233"/>
      <c r="I9" s="233"/>
    </row>
    <row r="10" spans="1:9">
      <c r="A10" s="182">
        <v>1</v>
      </c>
      <c r="B10" s="180" t="s">
        <v>85</v>
      </c>
      <c r="D10" s="185"/>
      <c r="E10" s="186">
        <f>'Attrition 12.2013 to 2015'!Q7</f>
        <v>9679.145255802865</v>
      </c>
      <c r="F10" s="233"/>
      <c r="G10" s="233"/>
      <c r="H10" s="234"/>
      <c r="I10" s="233"/>
    </row>
    <row r="11" spans="1:9">
      <c r="A11" s="182">
        <v>2</v>
      </c>
      <c r="B11" s="180" t="s">
        <v>84</v>
      </c>
      <c r="E11" s="186"/>
      <c r="F11" s="233"/>
      <c r="G11" s="233"/>
      <c r="H11" s="233"/>
      <c r="I11" s="233"/>
    </row>
    <row r="12" spans="1:9">
      <c r="A12" s="182">
        <v>3</v>
      </c>
      <c r="B12" s="180" t="s">
        <v>83</v>
      </c>
      <c r="E12" s="187"/>
      <c r="F12" s="233"/>
      <c r="G12" s="233"/>
      <c r="H12" s="233"/>
      <c r="I12" s="233"/>
    </row>
    <row r="13" spans="1:9">
      <c r="A13" s="182">
        <v>4</v>
      </c>
      <c r="B13" s="180" t="s">
        <v>82</v>
      </c>
      <c r="E13" s="186">
        <f>SUM(E10:E12)</f>
        <v>9679.145255802865</v>
      </c>
      <c r="F13" s="233"/>
      <c r="G13" s="233"/>
      <c r="H13" s="233"/>
      <c r="I13" s="233"/>
    </row>
    <row r="14" spans="1:9">
      <c r="A14" s="182">
        <v>5</v>
      </c>
      <c r="B14" s="180" t="s">
        <v>81</v>
      </c>
      <c r="E14" s="187"/>
      <c r="F14" s="233"/>
      <c r="G14" s="233"/>
      <c r="H14" s="233"/>
      <c r="I14" s="233"/>
    </row>
    <row r="15" spans="1:9">
      <c r="A15" s="182">
        <v>6</v>
      </c>
      <c r="B15" s="180" t="s">
        <v>80</v>
      </c>
      <c r="E15" s="186">
        <f>E13+E14</f>
        <v>9679.145255802865</v>
      </c>
      <c r="F15" s="233"/>
      <c r="G15" s="233"/>
      <c r="H15" s="233"/>
      <c r="I15" s="233"/>
    </row>
    <row r="16" spans="1:9">
      <c r="A16" s="182"/>
      <c r="E16" s="186"/>
      <c r="F16" s="233"/>
      <c r="G16" s="233"/>
      <c r="H16" s="233"/>
      <c r="I16" s="233"/>
    </row>
    <row r="17" spans="1:9">
      <c r="A17" s="182"/>
      <c r="B17" s="180" t="s">
        <v>79</v>
      </c>
      <c r="E17" s="186"/>
      <c r="F17" s="233"/>
      <c r="G17" s="233"/>
      <c r="H17" s="233"/>
      <c r="I17" s="233"/>
    </row>
    <row r="18" spans="1:9">
      <c r="A18" s="182"/>
      <c r="B18" s="180" t="s">
        <v>78</v>
      </c>
      <c r="E18" s="186"/>
      <c r="F18" s="233"/>
      <c r="G18" s="233"/>
      <c r="H18" s="233"/>
      <c r="I18" s="233"/>
    </row>
    <row r="19" spans="1:9">
      <c r="A19" s="182">
        <v>7</v>
      </c>
      <c r="C19" s="180" t="s">
        <v>70</v>
      </c>
      <c r="E19" s="186"/>
      <c r="F19" s="233"/>
      <c r="G19" s="233"/>
      <c r="H19" s="233"/>
      <c r="I19" s="233"/>
    </row>
    <row r="20" spans="1:9">
      <c r="A20" s="182">
        <v>8</v>
      </c>
      <c r="C20" s="180" t="s">
        <v>77</v>
      </c>
      <c r="E20" s="186">
        <f>'Attrition 12.2013 to 2015'!Q17</f>
        <v>0</v>
      </c>
      <c r="F20" s="233"/>
      <c r="G20" s="233"/>
      <c r="H20" s="234"/>
      <c r="I20" s="233"/>
    </row>
    <row r="21" spans="1:9">
      <c r="A21" s="182">
        <v>9</v>
      </c>
      <c r="C21" s="180" t="s">
        <v>139</v>
      </c>
      <c r="E21" s="186"/>
      <c r="F21" s="233"/>
      <c r="G21" s="233"/>
      <c r="H21" s="233"/>
      <c r="I21" s="233"/>
    </row>
    <row r="22" spans="1:9">
      <c r="A22" s="182">
        <v>10</v>
      </c>
      <c r="C22" s="180" t="s">
        <v>140</v>
      </c>
      <c r="E22" s="186">
        <v>0</v>
      </c>
      <c r="F22" s="233"/>
      <c r="G22" s="233"/>
      <c r="H22" s="233"/>
      <c r="I22" s="233"/>
    </row>
    <row r="23" spans="1:9">
      <c r="A23" s="182">
        <v>11</v>
      </c>
      <c r="C23" s="180" t="s">
        <v>69</v>
      </c>
      <c r="E23" s="187"/>
      <c r="F23" s="233"/>
      <c r="G23" s="233"/>
      <c r="H23" s="233"/>
      <c r="I23" s="233"/>
    </row>
    <row r="24" spans="1:9">
      <c r="A24" s="182">
        <v>12</v>
      </c>
      <c r="B24" s="180" t="s">
        <v>76</v>
      </c>
      <c r="E24" s="186">
        <f>SUM(E19:E23)</f>
        <v>0</v>
      </c>
      <c r="F24" s="233"/>
      <c r="G24" s="233"/>
      <c r="H24" s="233"/>
      <c r="I24" s="233"/>
    </row>
    <row r="25" spans="1:9">
      <c r="A25" s="182"/>
      <c r="E25" s="186"/>
      <c r="F25" s="233"/>
      <c r="G25" s="233"/>
      <c r="H25" s="233"/>
      <c r="I25" s="233"/>
    </row>
    <row r="26" spans="1:9">
      <c r="A26" s="182"/>
      <c r="B26" s="180" t="s">
        <v>56</v>
      </c>
      <c r="E26" s="186"/>
    </row>
    <row r="27" spans="1:9">
      <c r="A27" s="182">
        <v>13</v>
      </c>
      <c r="C27" s="180" t="s">
        <v>70</v>
      </c>
      <c r="E27" s="186"/>
    </row>
    <row r="28" spans="1:9">
      <c r="A28" s="182">
        <v>14</v>
      </c>
      <c r="C28" s="180" t="s">
        <v>141</v>
      </c>
      <c r="E28" s="186"/>
    </row>
    <row r="29" spans="1:9">
      <c r="A29" s="182">
        <v>15</v>
      </c>
      <c r="C29" s="180" t="s">
        <v>69</v>
      </c>
      <c r="D29" s="497">
        <f>ROR!L16</f>
        <v>3.8545999999999997E-2</v>
      </c>
      <c r="E29" s="187">
        <f>E10*$D29</f>
        <v>373.0923330301772</v>
      </c>
    </row>
    <row r="30" spans="1:9">
      <c r="A30" s="182">
        <v>16</v>
      </c>
      <c r="B30" s="180" t="s">
        <v>75</v>
      </c>
      <c r="E30" s="186">
        <f>SUM(E27:E29)</f>
        <v>373.0923330301772</v>
      </c>
    </row>
    <row r="31" spans="1:9">
      <c r="A31" s="182"/>
      <c r="E31" s="186"/>
    </row>
    <row r="32" spans="1:9">
      <c r="A32" s="182">
        <v>17</v>
      </c>
      <c r="B32" s="180" t="s">
        <v>74</v>
      </c>
      <c r="D32" s="497">
        <f>ROR!L12</f>
        <v>4.849E-3</v>
      </c>
      <c r="E32" s="186">
        <f>E10*$D32</f>
        <v>46.934175345388091</v>
      </c>
    </row>
    <row r="33" spans="1:5">
      <c r="A33" s="182">
        <v>18</v>
      </c>
      <c r="B33" s="180" t="s">
        <v>73</v>
      </c>
      <c r="E33" s="186"/>
    </row>
    <row r="34" spans="1:5">
      <c r="A34" s="182">
        <v>19</v>
      </c>
      <c r="B34" s="180" t="s">
        <v>72</v>
      </c>
      <c r="E34" s="186"/>
    </row>
    <row r="35" spans="1:5">
      <c r="A35" s="182"/>
      <c r="E35" s="186"/>
    </row>
    <row r="36" spans="1:5">
      <c r="A36" s="182"/>
      <c r="B36" s="180" t="s">
        <v>71</v>
      </c>
      <c r="E36" s="186"/>
    </row>
    <row r="37" spans="1:5">
      <c r="A37" s="182">
        <v>20</v>
      </c>
      <c r="C37" s="180" t="s">
        <v>70</v>
      </c>
      <c r="D37" s="497">
        <f>ROR!L14</f>
        <v>2E-3</v>
      </c>
      <c r="E37" s="186">
        <f>E10*$D37</f>
        <v>19.35829051160573</v>
      </c>
    </row>
    <row r="38" spans="1:5">
      <c r="A38" s="182">
        <v>21</v>
      </c>
      <c r="C38" s="180" t="s">
        <v>141</v>
      </c>
      <c r="E38" s="186"/>
    </row>
    <row r="39" spans="1:5">
      <c r="A39" s="182">
        <v>22</v>
      </c>
      <c r="C39" s="180" t="s">
        <v>69</v>
      </c>
      <c r="E39" s="187"/>
    </row>
    <row r="40" spans="1:5">
      <c r="A40" s="182">
        <v>23</v>
      </c>
      <c r="B40" s="180" t="s">
        <v>68</v>
      </c>
      <c r="E40" s="188">
        <f>SUM(E37:E39)</f>
        <v>19.35829051160573</v>
      </c>
    </row>
    <row r="41" spans="1:5">
      <c r="A41" s="182">
        <v>24</v>
      </c>
      <c r="B41" s="180" t="s">
        <v>67</v>
      </c>
      <c r="E41" s="188">
        <f>E24+E30+E32+E33+E34+E40</f>
        <v>439.38479888717103</v>
      </c>
    </row>
    <row r="42" spans="1:5">
      <c r="A42" s="182"/>
      <c r="E42" s="186"/>
    </row>
    <row r="43" spans="1:5">
      <c r="A43" s="182">
        <v>25</v>
      </c>
      <c r="B43" s="180" t="s">
        <v>66</v>
      </c>
      <c r="E43" s="186">
        <f>E15-E41</f>
        <v>9239.7604569156938</v>
      </c>
    </row>
    <row r="44" spans="1:5">
      <c r="A44" s="182"/>
      <c r="E44" s="186"/>
    </row>
    <row r="45" spans="1:5">
      <c r="A45" s="182"/>
      <c r="B45" s="180" t="s">
        <v>65</v>
      </c>
      <c r="E45" s="186"/>
    </row>
    <row r="46" spans="1:5">
      <c r="A46" s="182">
        <v>26</v>
      </c>
      <c r="B46" s="180" t="s">
        <v>142</v>
      </c>
      <c r="E46" s="186">
        <f>ROUND(0.35*E43,0)</f>
        <v>3234</v>
      </c>
    </row>
    <row r="47" spans="1:5">
      <c r="A47" s="182">
        <v>27</v>
      </c>
      <c r="B47" s="180" t="s">
        <v>143</v>
      </c>
      <c r="E47" s="186"/>
    </row>
    <row r="48" spans="1:5">
      <c r="A48" s="182">
        <v>28</v>
      </c>
      <c r="B48" s="180" t="s">
        <v>64</v>
      </c>
      <c r="E48" s="186"/>
    </row>
    <row r="49" spans="1:5">
      <c r="A49" s="182">
        <v>29</v>
      </c>
      <c r="B49" s="180" t="s">
        <v>63</v>
      </c>
      <c r="E49" s="187"/>
    </row>
    <row r="50" spans="1:5">
      <c r="A50" s="182"/>
      <c r="E50" s="186"/>
    </row>
    <row r="51" spans="1:5">
      <c r="A51" s="182">
        <v>30</v>
      </c>
      <c r="B51" s="180" t="s">
        <v>62</v>
      </c>
      <c r="E51" s="186">
        <f>E43-E46-E47-E48-E49</f>
        <v>6005.7604569156938</v>
      </c>
    </row>
    <row r="52" spans="1:5">
      <c r="A52" s="182"/>
    </row>
    <row r="53" spans="1:5">
      <c r="B53" s="180" t="s">
        <v>415</v>
      </c>
    </row>
  </sheetData>
  <sheetProtection selectLockedCells="1"/>
  <mergeCells count="2">
    <mergeCell ref="A1:F1"/>
    <mergeCell ref="A2:F2"/>
  </mergeCells>
  <phoneticPr fontId="54" type="noConversion"/>
  <pageMargins left="0.7" right="0.7" top="0.33" bottom="0.82" header="0.17" footer="0.59"/>
  <pageSetup orientation="portrait" r:id="rId1"/>
  <headerFooter>
    <oddFooter>&amp;C&amp;F /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5"/>
  <sheetViews>
    <sheetView zoomScaleNormal="100" workbookViewId="0">
      <selection activeCell="D10" sqref="D10"/>
    </sheetView>
  </sheetViews>
  <sheetFormatPr defaultColWidth="12.42578125" defaultRowHeight="11.1" customHeight="1"/>
  <cols>
    <col min="1" max="1" width="5.5703125" style="49" customWidth="1"/>
    <col min="2" max="2" width="35.42578125" style="49" customWidth="1"/>
    <col min="3" max="3" width="11.42578125" style="50" customWidth="1"/>
    <col min="4" max="4" width="14.140625" style="45" customWidth="1"/>
    <col min="5" max="5" width="12.140625" style="51" customWidth="1"/>
    <col min="6" max="6" width="17.140625" style="51" customWidth="1"/>
    <col min="7" max="7" width="13.7109375" style="51" customWidth="1"/>
    <col min="8" max="8" width="14.28515625" style="48" customWidth="1"/>
    <col min="9" max="9" width="2.42578125" style="49" customWidth="1"/>
    <col min="10" max="10" width="31.85546875" style="49" customWidth="1"/>
    <col min="11" max="11" width="11.5703125" style="49" customWidth="1"/>
    <col min="12" max="12" width="12" style="49" customWidth="1"/>
    <col min="13" max="14" width="9.140625" style="49" customWidth="1"/>
    <col min="15" max="15" width="2.28515625" style="50" customWidth="1"/>
    <col min="16" max="24" width="9.140625" style="49" customWidth="1"/>
    <col min="25" max="16384" width="12.42578125" style="49"/>
  </cols>
  <sheetData>
    <row r="1" spans="1:15" ht="15.75" customHeight="1">
      <c r="A1" s="52"/>
      <c r="B1" s="78"/>
      <c r="C1" s="60"/>
      <c r="D1" s="86"/>
      <c r="E1" s="80"/>
      <c r="F1" s="80"/>
      <c r="G1" s="80"/>
      <c r="H1" s="81"/>
      <c r="I1" s="57"/>
      <c r="J1" s="57"/>
    </row>
    <row r="2" spans="1:15" ht="45" customHeight="1">
      <c r="A2" s="52"/>
      <c r="B2" s="784" t="s">
        <v>295</v>
      </c>
      <c r="C2" s="784"/>
      <c r="D2" s="784"/>
      <c r="E2" s="80"/>
      <c r="F2" s="80"/>
      <c r="G2" s="80"/>
      <c r="H2" s="81"/>
      <c r="I2" s="57"/>
      <c r="J2" s="57"/>
    </row>
    <row r="3" spans="1:15" ht="15.75" customHeight="1">
      <c r="A3" s="52"/>
      <c r="B3" s="78"/>
      <c r="C3" s="43"/>
      <c r="E3" s="55"/>
      <c r="F3" s="55"/>
      <c r="G3" s="55"/>
      <c r="H3" s="61"/>
      <c r="I3" s="57"/>
      <c r="J3" s="57"/>
    </row>
    <row r="4" spans="1:15" ht="15.75" customHeight="1">
      <c r="A4" s="52"/>
      <c r="B4" s="58"/>
      <c r="C4" s="110"/>
      <c r="D4" s="59"/>
      <c r="E4" s="76"/>
      <c r="F4" s="76"/>
      <c r="G4" s="55"/>
      <c r="H4" s="79"/>
      <c r="I4" s="57"/>
      <c r="J4" s="62"/>
    </row>
    <row r="5" spans="1:15" ht="15.75" customHeight="1">
      <c r="A5" s="52"/>
      <c r="B5" s="58" t="s">
        <v>133</v>
      </c>
      <c r="C5" s="523" t="s">
        <v>364</v>
      </c>
      <c r="D5" s="105">
        <f>'Weighted Revenue Growth'!E28/1000</f>
        <v>5571472.367333333</v>
      </c>
      <c r="E5" s="178"/>
      <c r="F5" s="179"/>
      <c r="G5" s="178"/>
      <c r="H5" s="54"/>
      <c r="I5" s="57"/>
    </row>
    <row r="6" spans="1:15" ht="15.75" customHeight="1">
      <c r="A6" s="52"/>
      <c r="B6" s="58" t="s">
        <v>133</v>
      </c>
      <c r="C6" s="523">
        <v>2015</v>
      </c>
      <c r="D6" s="105">
        <f>'Weighted Revenue Growth'!F28/1000</f>
        <v>5689806.2325453358</v>
      </c>
      <c r="E6" s="89"/>
      <c r="F6" s="87"/>
      <c r="G6" s="55"/>
      <c r="H6" s="49"/>
      <c r="I6" s="57"/>
    </row>
    <row r="7" spans="1:15" ht="15.75" customHeight="1">
      <c r="A7" s="52"/>
      <c r="B7" s="58" t="s">
        <v>134</v>
      </c>
      <c r="C7" s="110"/>
      <c r="D7" s="105">
        <f>D6-D5</f>
        <v>118333.86521200277</v>
      </c>
      <c r="E7" s="89"/>
      <c r="F7" s="87"/>
      <c r="G7" s="55"/>
      <c r="H7" s="49"/>
      <c r="I7" s="57"/>
      <c r="J7" s="62"/>
    </row>
    <row r="8" spans="1:15" ht="15.75" customHeight="1">
      <c r="A8" s="52"/>
      <c r="B8" s="58" t="s">
        <v>149</v>
      </c>
      <c r="C8" s="60"/>
      <c r="D8" s="525">
        <v>32.76</v>
      </c>
      <c r="E8" s="409" t="s">
        <v>365</v>
      </c>
      <c r="F8" s="76"/>
      <c r="G8" s="55"/>
      <c r="H8" s="79"/>
      <c r="I8" s="57"/>
      <c r="J8" s="62"/>
    </row>
    <row r="9" spans="1:15" ht="15.75" customHeight="1">
      <c r="A9" s="52"/>
      <c r="B9" s="58" t="s">
        <v>135</v>
      </c>
      <c r="C9" s="60"/>
      <c r="D9" s="524">
        <f>D7*D8/1000</f>
        <v>3876.6174243452106</v>
      </c>
      <c r="E9" s="76"/>
      <c r="F9" s="76"/>
      <c r="G9" s="55"/>
      <c r="H9" s="79"/>
      <c r="I9" s="57"/>
      <c r="J9" s="62"/>
    </row>
    <row r="10" spans="1:15" ht="15.75" customHeight="1">
      <c r="A10" s="52"/>
      <c r="B10" s="58"/>
      <c r="C10" s="60"/>
      <c r="D10" s="49"/>
      <c r="E10" s="76"/>
      <c r="F10" s="76"/>
      <c r="G10" s="55"/>
      <c r="H10" s="79"/>
      <c r="I10" s="57"/>
      <c r="J10" s="62"/>
    </row>
    <row r="11" spans="1:15" ht="11.1" customHeight="1">
      <c r="D11" s="49"/>
      <c r="E11" s="77"/>
      <c r="F11" s="77"/>
      <c r="G11" s="77"/>
      <c r="H11" s="50"/>
      <c r="O11" s="49"/>
    </row>
    <row r="12" spans="1:15" ht="11.1" customHeight="1">
      <c r="D12" s="49"/>
      <c r="E12" s="77"/>
      <c r="F12" s="77"/>
      <c r="G12" s="77"/>
      <c r="H12" s="50"/>
      <c r="O12" s="49"/>
    </row>
    <row r="13" spans="1:15" ht="11.1" customHeight="1">
      <c r="D13" s="49"/>
      <c r="E13" s="77"/>
      <c r="F13" s="77"/>
      <c r="G13" s="77"/>
      <c r="H13" s="50"/>
      <c r="O13" s="49"/>
    </row>
    <row r="14" spans="1:15" ht="11.1" customHeight="1">
      <c r="D14" s="49"/>
      <c r="E14" s="77"/>
      <c r="F14" s="77"/>
      <c r="G14" s="77"/>
      <c r="H14" s="50"/>
      <c r="O14" s="49"/>
    </row>
    <row r="15" spans="1:15" ht="11.1" customHeight="1">
      <c r="D15" s="49"/>
      <c r="E15" s="77"/>
      <c r="F15" s="77"/>
      <c r="G15" s="77"/>
      <c r="H15" s="50"/>
      <c r="O15" s="49"/>
    </row>
  </sheetData>
  <mergeCells count="1">
    <mergeCell ref="B2:D2"/>
  </mergeCells>
  <phoneticPr fontId="52" type="noConversion"/>
  <pageMargins left="1" right="1" top="1" bottom="1" header="0.25" footer="0.62"/>
  <pageSetup scale="94" orientation="landscape" r:id="rId1"/>
  <headerFooter alignWithMargins="0">
    <oddFooter>&amp;C&amp;F / &amp;A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R111"/>
  <sheetViews>
    <sheetView topLeftCell="A13" zoomScaleNormal="100" workbookViewId="0">
      <selection activeCell="K36" sqref="K36"/>
    </sheetView>
  </sheetViews>
  <sheetFormatPr defaultRowHeight="12.75"/>
  <cols>
    <col min="1" max="1" width="4.85546875" customWidth="1"/>
    <col min="2" max="2" width="4.7109375" customWidth="1"/>
    <col min="3" max="3" width="23" customWidth="1"/>
    <col min="4" max="4" width="4.5703125" customWidth="1"/>
    <col min="5" max="5" width="9.42578125" customWidth="1"/>
    <col min="6" max="14" width="9.7109375" bestFit="1" customWidth="1"/>
    <col min="15" max="15" width="10.7109375" bestFit="1" customWidth="1"/>
    <col min="16" max="16" width="10.5703125" customWidth="1"/>
    <col min="17" max="17" width="9.85546875" bestFit="1" customWidth="1"/>
    <col min="18" max="18" width="9.140625" customWidth="1"/>
  </cols>
  <sheetData>
    <row r="2" spans="1:18">
      <c r="A2" s="180" t="s">
        <v>94</v>
      </c>
      <c r="B2" s="180"/>
      <c r="C2" s="180"/>
      <c r="D2" s="180"/>
      <c r="E2" s="180"/>
      <c r="F2" s="180"/>
      <c r="G2" s="180"/>
      <c r="H2" s="180"/>
      <c r="I2" s="180"/>
      <c r="J2" s="180"/>
      <c r="K2" s="180"/>
      <c r="L2" s="180"/>
      <c r="M2" s="180"/>
      <c r="N2" s="180"/>
      <c r="O2" s="180"/>
      <c r="P2" s="180"/>
      <c r="Q2" s="180"/>
    </row>
    <row r="3" spans="1:18">
      <c r="A3" s="180" t="s">
        <v>136</v>
      </c>
      <c r="B3" s="180"/>
      <c r="C3" s="180"/>
      <c r="D3" s="180"/>
      <c r="E3" s="180"/>
      <c r="F3" s="180"/>
      <c r="G3" s="180"/>
      <c r="H3" s="180"/>
      <c r="I3" s="180"/>
      <c r="J3" s="180"/>
      <c r="K3" s="180"/>
      <c r="L3" s="180"/>
      <c r="M3" s="180"/>
      <c r="N3" s="180"/>
      <c r="O3" s="180"/>
      <c r="P3" s="180"/>
      <c r="Q3" s="180"/>
    </row>
    <row r="4" spans="1:18">
      <c r="A4" s="180" t="s">
        <v>558</v>
      </c>
      <c r="B4" s="180"/>
      <c r="C4" s="180"/>
      <c r="D4" s="180"/>
      <c r="E4" s="180"/>
      <c r="F4" s="180"/>
      <c r="G4" s="180"/>
      <c r="H4" s="180"/>
      <c r="I4" s="180"/>
      <c r="J4" s="180"/>
      <c r="K4" s="180"/>
      <c r="L4" s="180"/>
      <c r="M4" s="180"/>
      <c r="N4" s="180"/>
      <c r="O4" s="180"/>
      <c r="P4" s="180"/>
      <c r="Q4" s="180"/>
    </row>
    <row r="5" spans="1:18">
      <c r="A5" s="180" t="s">
        <v>93</v>
      </c>
      <c r="B5" s="180"/>
      <c r="C5" s="180"/>
      <c r="D5" s="180"/>
      <c r="E5" s="180"/>
      <c r="F5" s="180"/>
      <c r="G5" s="180"/>
      <c r="H5" s="180"/>
      <c r="I5" s="180"/>
      <c r="J5" s="180"/>
      <c r="K5" s="180"/>
      <c r="L5" s="180"/>
      <c r="M5" s="180"/>
      <c r="N5" s="180"/>
      <c r="O5" s="180"/>
      <c r="P5" s="180"/>
      <c r="Q5" s="180"/>
    </row>
    <row r="6" spans="1:18">
      <c r="A6" s="180"/>
      <c r="B6" s="180"/>
      <c r="C6" s="180"/>
      <c r="D6" s="180"/>
      <c r="E6" s="180"/>
      <c r="F6" s="180"/>
      <c r="G6" s="180"/>
      <c r="H6" s="180"/>
      <c r="I6" s="180"/>
      <c r="J6" s="180"/>
      <c r="K6" s="180"/>
      <c r="L6" s="180"/>
      <c r="M6" s="180"/>
      <c r="N6" s="180"/>
      <c r="O6" s="180"/>
      <c r="P6" s="180"/>
      <c r="Q6" s="180"/>
    </row>
    <row r="7" spans="1:18">
      <c r="A7" s="180"/>
      <c r="B7" s="180"/>
      <c r="C7" s="180"/>
      <c r="D7" s="180"/>
      <c r="E7" s="189">
        <v>2000</v>
      </c>
      <c r="F7" s="189">
        <v>2001</v>
      </c>
      <c r="G7" s="189">
        <v>2002</v>
      </c>
      <c r="H7" s="189">
        <v>2003</v>
      </c>
      <c r="I7" s="189">
        <v>2004</v>
      </c>
      <c r="J7" s="189">
        <v>2005</v>
      </c>
      <c r="K7" s="189">
        <v>2006</v>
      </c>
      <c r="L7" s="189">
        <v>2007</v>
      </c>
      <c r="M7" s="189">
        <v>2008</v>
      </c>
      <c r="N7" s="189">
        <v>2009</v>
      </c>
      <c r="O7" s="189">
        <v>2010</v>
      </c>
      <c r="P7" s="189">
        <v>2011</v>
      </c>
      <c r="Q7" s="189">
        <v>2012</v>
      </c>
      <c r="R7" s="189">
        <v>2013</v>
      </c>
    </row>
    <row r="11" spans="1:18">
      <c r="A11" s="13" t="s">
        <v>306</v>
      </c>
      <c r="E11" s="377">
        <f>'CBR Hist'!F24</f>
        <v>-3114</v>
      </c>
      <c r="F11" s="377">
        <f>'CBR Hist'!G24</f>
        <v>9152</v>
      </c>
      <c r="G11" s="377">
        <f>'CBR Hist'!H24</f>
        <v>13808</v>
      </c>
      <c r="H11" s="377">
        <f>'CBR Hist'!I24</f>
        <v>14915</v>
      </c>
      <c r="I11" s="377">
        <f>'CBR Hist'!J24</f>
        <v>22879</v>
      </c>
      <c r="J11" s="377">
        <f>'CBR Hist'!K24</f>
        <v>13812</v>
      </c>
      <c r="K11" s="377">
        <f>'CBR Hist'!L24</f>
        <v>25745</v>
      </c>
      <c r="L11" s="377">
        <f>'CBR Hist'!M24</f>
        <v>21795</v>
      </c>
      <c r="M11" s="377">
        <f>'CBR Hist'!N24</f>
        <v>22000</v>
      </c>
      <c r="N11" s="377">
        <f>'CBR Hist'!O24</f>
        <v>22266</v>
      </c>
      <c r="O11" s="377">
        <f>'CBR Hist'!P24</f>
        <v>22129</v>
      </c>
      <c r="P11" s="377">
        <f>'CBR Hist'!Q24</f>
        <v>25158</v>
      </c>
      <c r="Q11" s="377">
        <f>'CBR Hist'!R24+Q19</f>
        <v>25680</v>
      </c>
      <c r="R11" s="377">
        <f>'CBR Hist'!S24+R19</f>
        <v>23140</v>
      </c>
    </row>
    <row r="12" spans="1:18">
      <c r="A12" s="13" t="s">
        <v>307</v>
      </c>
      <c r="P12" s="377">
        <f>'CBR Hist'!Q25</f>
        <v>403</v>
      </c>
      <c r="Q12" s="377">
        <f>'CBR Hist'!R25-Q19</f>
        <v>-7744</v>
      </c>
      <c r="R12" s="377">
        <f>'CBR Hist'!S25-R19</f>
        <v>8773</v>
      </c>
    </row>
    <row r="13" spans="1:18">
      <c r="A13" s="13"/>
    </row>
    <row r="14" spans="1:18">
      <c r="A14" s="13"/>
      <c r="B14" s="13"/>
      <c r="E14" s="379"/>
      <c r="F14" s="379"/>
      <c r="G14" s="379"/>
      <c r="H14" s="379"/>
      <c r="I14" s="379"/>
      <c r="J14" s="379"/>
      <c r="K14" s="379"/>
      <c r="L14" s="379"/>
      <c r="M14" s="379"/>
      <c r="N14" s="379"/>
      <c r="O14" s="379"/>
      <c r="P14" s="379"/>
      <c r="Q14" s="379"/>
    </row>
    <row r="15" spans="1:18">
      <c r="A15" s="13"/>
      <c r="B15" s="13"/>
      <c r="E15" s="379"/>
      <c r="F15" s="379"/>
      <c r="G15" s="379"/>
      <c r="H15" s="379"/>
      <c r="I15" s="379"/>
      <c r="J15" s="379"/>
      <c r="K15" s="379"/>
      <c r="L15" s="379"/>
      <c r="M15" s="379"/>
      <c r="N15" s="379"/>
      <c r="O15" s="379"/>
      <c r="P15" s="379"/>
      <c r="Q15" s="379"/>
    </row>
    <row r="16" spans="1:18">
      <c r="A16" s="13" t="s">
        <v>308</v>
      </c>
      <c r="E16" s="378">
        <f>10346-213</f>
        <v>10133</v>
      </c>
      <c r="F16" s="378">
        <f>10784-205</f>
        <v>10579</v>
      </c>
      <c r="G16" s="378">
        <f>12359+3035-228</f>
        <v>15166</v>
      </c>
      <c r="H16" s="378">
        <f>14152+1470-219</f>
        <v>15403</v>
      </c>
      <c r="I16" s="378">
        <f>15379+1705-113-221</f>
        <v>16750</v>
      </c>
      <c r="J16" s="378">
        <f>17205-154-219</f>
        <v>16832</v>
      </c>
      <c r="K16" s="378">
        <f>18582-216</f>
        <v>18366</v>
      </c>
      <c r="L16" s="378">
        <f>18487-225</f>
        <v>18262</v>
      </c>
      <c r="M16" s="378">
        <f>17022-195</f>
        <v>16827</v>
      </c>
      <c r="N16" s="378">
        <f>17556-193</f>
        <v>17363</v>
      </c>
      <c r="O16" s="378">
        <f>18188-191</f>
        <v>17997</v>
      </c>
      <c r="P16" s="378">
        <f>18013-191</f>
        <v>17822</v>
      </c>
      <c r="Q16" s="378">
        <f>18237</f>
        <v>18237</v>
      </c>
      <c r="R16" s="378">
        <v>16250</v>
      </c>
    </row>
    <row r="17" spans="1:18">
      <c r="A17" s="13" t="s">
        <v>309</v>
      </c>
      <c r="E17" s="378">
        <f>4492</f>
        <v>4492</v>
      </c>
      <c r="F17" s="378">
        <f>4393</f>
        <v>4393</v>
      </c>
      <c r="G17" s="378">
        <f>4780</f>
        <v>4780</v>
      </c>
      <c r="H17" s="378">
        <f>4891</f>
        <v>4891</v>
      </c>
      <c r="I17" s="378">
        <f>5220</f>
        <v>5220</v>
      </c>
      <c r="J17" s="378">
        <v>5531</v>
      </c>
      <c r="K17" s="378">
        <f>5957</f>
        <v>5957</v>
      </c>
      <c r="L17" s="378">
        <f>6352+1</f>
        <v>6353</v>
      </c>
      <c r="M17" s="378">
        <v>5969</v>
      </c>
      <c r="N17" s="378">
        <v>6116</v>
      </c>
      <c r="O17" s="378">
        <v>6354</v>
      </c>
      <c r="P17" s="378">
        <v>6681</v>
      </c>
      <c r="Q17" s="378">
        <v>6976</v>
      </c>
      <c r="R17" s="378">
        <v>6529</v>
      </c>
    </row>
    <row r="18" spans="1:18">
      <c r="A18" s="13" t="s">
        <v>310</v>
      </c>
      <c r="E18" s="378">
        <f>9+216</f>
        <v>225</v>
      </c>
      <c r="F18" s="378">
        <f>9+221</f>
        <v>230</v>
      </c>
      <c r="G18" s="378">
        <f>1+210</f>
        <v>211</v>
      </c>
      <c r="H18" s="378">
        <f>17+212</f>
        <v>229</v>
      </c>
      <c r="I18" s="378">
        <f>9+212+8+11+102</f>
        <v>342</v>
      </c>
      <c r="J18" s="378">
        <f>10+221+31+4</f>
        <v>266</v>
      </c>
      <c r="K18" s="378">
        <f>32+222</f>
        <v>254</v>
      </c>
      <c r="L18" s="378">
        <f>44+218</f>
        <v>262</v>
      </c>
      <c r="M18" s="378">
        <f>62+218</f>
        <v>280</v>
      </c>
      <c r="N18" s="378">
        <f>63+427</f>
        <v>490</v>
      </c>
      <c r="O18" s="378">
        <f>595+62</f>
        <v>657</v>
      </c>
      <c r="P18" s="378">
        <f>655</f>
        <v>655</v>
      </c>
      <c r="Q18" s="378">
        <v>659</v>
      </c>
      <c r="R18" s="378">
        <v>652</v>
      </c>
    </row>
    <row r="19" spans="1:18">
      <c r="A19" s="13"/>
      <c r="E19" s="380" t="s">
        <v>332</v>
      </c>
      <c r="F19" s="378"/>
      <c r="G19" s="378"/>
      <c r="H19" s="378"/>
      <c r="I19" s="378"/>
      <c r="J19" s="378"/>
      <c r="K19" s="378"/>
      <c r="L19" s="378"/>
      <c r="M19" s="378"/>
      <c r="N19" s="378"/>
      <c r="O19" s="378"/>
      <c r="P19" s="378"/>
      <c r="Q19" s="378">
        <v>-192</v>
      </c>
      <c r="R19" s="378">
        <v>-144</v>
      </c>
    </row>
    <row r="20" spans="1:18">
      <c r="A20" s="13"/>
      <c r="B20" s="13" t="s">
        <v>330</v>
      </c>
      <c r="E20" s="381">
        <f>SUM(E16:E18)</f>
        <v>14850</v>
      </c>
      <c r="F20" s="381">
        <f t="shared" ref="F20:P20" si="0">SUM(F16:F18)</f>
        <v>15202</v>
      </c>
      <c r="G20" s="381">
        <f t="shared" si="0"/>
        <v>20157</v>
      </c>
      <c r="H20" s="381">
        <f t="shared" si="0"/>
        <v>20523</v>
      </c>
      <c r="I20" s="381">
        <f t="shared" si="0"/>
        <v>22312</v>
      </c>
      <c r="J20" s="381">
        <f t="shared" si="0"/>
        <v>22629</v>
      </c>
      <c r="K20" s="381">
        <f t="shared" si="0"/>
        <v>24577</v>
      </c>
      <c r="L20" s="381">
        <f t="shared" si="0"/>
        <v>24877</v>
      </c>
      <c r="M20" s="381">
        <f t="shared" si="0"/>
        <v>23076</v>
      </c>
      <c r="N20" s="381">
        <f t="shared" si="0"/>
        <v>23969</v>
      </c>
      <c r="O20" s="381">
        <f t="shared" si="0"/>
        <v>25008</v>
      </c>
      <c r="P20" s="381">
        <f t="shared" si="0"/>
        <v>25158</v>
      </c>
      <c r="Q20" s="381">
        <f>SUM(Q16:Q19)</f>
        <v>25680</v>
      </c>
      <c r="R20" s="381">
        <f>SUM(R16:R19)</f>
        <v>23287</v>
      </c>
    </row>
    <row r="21" spans="1:18">
      <c r="A21" s="13"/>
      <c r="E21" s="378"/>
      <c r="F21" s="378"/>
      <c r="G21" s="378"/>
      <c r="H21" s="378"/>
      <c r="I21" s="378"/>
      <c r="J21" s="378"/>
      <c r="K21" s="378"/>
      <c r="L21" s="378"/>
      <c r="M21" s="378"/>
      <c r="N21" s="378"/>
      <c r="O21" s="378"/>
      <c r="P21" s="378"/>
      <c r="Q21" s="378"/>
    </row>
    <row r="22" spans="1:18">
      <c r="A22" s="13" t="s">
        <v>311</v>
      </c>
      <c r="E22" s="378">
        <f>2448-2448</f>
        <v>0</v>
      </c>
      <c r="F22" s="378">
        <f>2448-2448</f>
        <v>0</v>
      </c>
      <c r="G22" s="378">
        <f>2481-31</f>
        <v>2450</v>
      </c>
      <c r="H22" s="378">
        <f>2450</f>
        <v>2450</v>
      </c>
      <c r="I22" s="378">
        <f>2450</f>
        <v>2450</v>
      </c>
      <c r="J22" s="378">
        <v>2450</v>
      </c>
      <c r="K22" s="378">
        <v>2450</v>
      </c>
      <c r="L22" s="378">
        <v>2450</v>
      </c>
      <c r="M22" s="378">
        <v>2450</v>
      </c>
      <c r="N22" s="378">
        <v>2450</v>
      </c>
      <c r="O22" s="378">
        <v>2450</v>
      </c>
      <c r="P22" s="378">
        <v>2450</v>
      </c>
      <c r="Q22" s="378">
        <v>2450</v>
      </c>
      <c r="R22" s="616">
        <v>2450</v>
      </c>
    </row>
    <row r="23" spans="1:18">
      <c r="A23" s="13" t="s">
        <v>312</v>
      </c>
      <c r="E23" s="378">
        <f>32</f>
        <v>32</v>
      </c>
      <c r="F23" s="378">
        <f>32</f>
        <v>32</v>
      </c>
      <c r="G23" s="378">
        <f>32</f>
        <v>32</v>
      </c>
      <c r="H23" s="378">
        <f>32</f>
        <v>32</v>
      </c>
      <c r="I23" s="378">
        <f>32</f>
        <v>32</v>
      </c>
      <c r="J23" s="378">
        <f>32</f>
        <v>32</v>
      </c>
      <c r="K23" s="378">
        <f>32</f>
        <v>32</v>
      </c>
      <c r="L23" s="378">
        <f>32</f>
        <v>32</v>
      </c>
      <c r="M23" s="378">
        <f>32</f>
        <v>32</v>
      </c>
      <c r="N23" s="378">
        <f>32</f>
        <v>32</v>
      </c>
      <c r="O23" s="378">
        <f>32</f>
        <v>32</v>
      </c>
      <c r="P23" s="263">
        <f>32</f>
        <v>32</v>
      </c>
      <c r="Q23" s="378">
        <f>32</f>
        <v>32</v>
      </c>
      <c r="R23" s="616">
        <v>32</v>
      </c>
    </row>
    <row r="24" spans="1:18">
      <c r="A24" s="13" t="s">
        <v>313</v>
      </c>
      <c r="E24" s="378">
        <f>-15</f>
        <v>-15</v>
      </c>
      <c r="F24" s="378">
        <v>-3</v>
      </c>
      <c r="G24" s="378">
        <v>-3</v>
      </c>
      <c r="H24" s="378">
        <v>-2</v>
      </c>
      <c r="I24" s="378">
        <v>-4</v>
      </c>
      <c r="J24" s="378"/>
      <c r="K24" s="378"/>
      <c r="L24" s="378"/>
      <c r="M24" s="378"/>
      <c r="N24" s="378"/>
      <c r="O24" s="378"/>
      <c r="P24" s="378"/>
      <c r="Q24" s="378"/>
    </row>
    <row r="25" spans="1:18">
      <c r="A25" s="13" t="s">
        <v>314</v>
      </c>
      <c r="D25" s="384" t="s">
        <v>320</v>
      </c>
      <c r="E25" s="386">
        <f>-16644</f>
        <v>-16644</v>
      </c>
      <c r="F25" s="378">
        <f>-16636+16636</f>
        <v>0</v>
      </c>
      <c r="G25" s="378">
        <v>2</v>
      </c>
      <c r="H25" s="378"/>
      <c r="I25" s="378"/>
      <c r="J25" s="378"/>
      <c r="K25" s="378"/>
      <c r="L25" s="378"/>
      <c r="M25" s="378"/>
      <c r="N25" s="378"/>
      <c r="O25" s="378"/>
      <c r="P25" s="378"/>
      <c r="Q25" s="378"/>
    </row>
    <row r="26" spans="1:18">
      <c r="A26" s="13" t="s">
        <v>315</v>
      </c>
      <c r="E26" s="378">
        <f>-729-444</f>
        <v>-1173</v>
      </c>
      <c r="F26" s="378">
        <f>-2915-1776</f>
        <v>-4691</v>
      </c>
      <c r="G26" s="378">
        <f>-2915+1139</f>
        <v>-1776</v>
      </c>
      <c r="H26" s="378">
        <v>-1776</v>
      </c>
      <c r="I26" s="378">
        <v>-1776</v>
      </c>
      <c r="J26" s="378">
        <v>-1776</v>
      </c>
      <c r="K26" s="378">
        <v>-1332</v>
      </c>
      <c r="L26" s="378"/>
      <c r="M26" s="378"/>
      <c r="N26" s="378"/>
      <c r="O26" s="378"/>
      <c r="P26" s="378"/>
      <c r="Q26" s="378"/>
    </row>
    <row r="27" spans="1:18">
      <c r="A27" s="13" t="s">
        <v>316</v>
      </c>
      <c r="F27" s="378">
        <f>193-1</f>
        <v>192</v>
      </c>
      <c r="G27" s="378">
        <v>191</v>
      </c>
      <c r="H27" s="378">
        <v>191</v>
      </c>
      <c r="I27" s="378"/>
      <c r="J27" s="378"/>
      <c r="K27" s="378"/>
      <c r="L27" s="378"/>
      <c r="M27" s="378"/>
      <c r="N27" s="378"/>
      <c r="O27" s="378"/>
      <c r="P27" s="378"/>
      <c r="Q27" s="378"/>
    </row>
    <row r="28" spans="1:18">
      <c r="A28" s="13" t="s">
        <v>317</v>
      </c>
      <c r="D28" s="384" t="s">
        <v>320</v>
      </c>
      <c r="E28" s="385"/>
      <c r="F28" s="386">
        <v>-1416</v>
      </c>
      <c r="G28" s="386">
        <v>-7512</v>
      </c>
      <c r="H28" s="386">
        <v>-6339</v>
      </c>
      <c r="I28" s="386">
        <f>-7160+7160</f>
        <v>0</v>
      </c>
      <c r="J28" s="386">
        <v>-9388</v>
      </c>
      <c r="K28" s="386">
        <f>-10285+10285</f>
        <v>0</v>
      </c>
      <c r="L28" s="386">
        <v>-5582</v>
      </c>
      <c r="M28" s="386">
        <v>-3576</v>
      </c>
      <c r="N28" s="386">
        <v>-4005</v>
      </c>
      <c r="O28" s="386">
        <v>-6244</v>
      </c>
      <c r="P28" s="386">
        <v>-4794</v>
      </c>
      <c r="Q28" s="386">
        <v>-8505</v>
      </c>
      <c r="R28" s="737"/>
    </row>
    <row r="29" spans="1:18">
      <c r="A29" s="13" t="s">
        <v>318</v>
      </c>
      <c r="F29" s="378"/>
      <c r="G29" s="378">
        <v>431</v>
      </c>
      <c r="H29" s="378"/>
      <c r="I29" s="378"/>
      <c r="J29" s="378"/>
      <c r="K29" s="378">
        <v>153</v>
      </c>
      <c r="L29" s="378">
        <v>153</v>
      </c>
      <c r="M29" s="378">
        <v>153</v>
      </c>
      <c r="N29" s="378">
        <v>153</v>
      </c>
      <c r="O29" s="378">
        <v>153</v>
      </c>
      <c r="P29" s="378">
        <v>153</v>
      </c>
      <c r="Q29" s="378">
        <v>153</v>
      </c>
      <c r="R29" s="378">
        <v>153</v>
      </c>
    </row>
    <row r="30" spans="1:18">
      <c r="A30" s="13" t="s">
        <v>319</v>
      </c>
      <c r="E30" s="263">
        <v>-164</v>
      </c>
      <c r="F30" s="263">
        <v>-164</v>
      </c>
      <c r="G30" s="263">
        <v>-164</v>
      </c>
      <c r="H30" s="263">
        <v>-164</v>
      </c>
      <c r="I30" s="263">
        <v>-135</v>
      </c>
      <c r="J30" s="263">
        <v>-135</v>
      </c>
      <c r="K30" s="378">
        <v>-135</v>
      </c>
      <c r="L30" s="378">
        <v>-135</v>
      </c>
      <c r="M30" s="378">
        <v>-135</v>
      </c>
      <c r="N30" s="378">
        <v>-135</v>
      </c>
      <c r="O30" s="378">
        <v>-134</v>
      </c>
      <c r="P30" s="378">
        <v>-135</v>
      </c>
      <c r="Q30" s="378">
        <v>-135</v>
      </c>
      <c r="R30" s="378">
        <v>-135</v>
      </c>
    </row>
    <row r="31" spans="1:18">
      <c r="A31" s="13" t="s">
        <v>321</v>
      </c>
      <c r="F31" s="378"/>
      <c r="G31" s="378"/>
      <c r="H31" s="378"/>
      <c r="I31" s="378"/>
      <c r="J31" s="378"/>
      <c r="K31" s="378"/>
      <c r="L31" s="378"/>
      <c r="M31" s="378"/>
      <c r="N31" s="378">
        <f>-201+32-32+390-387</f>
        <v>-198</v>
      </c>
      <c r="O31" s="378">
        <f>20+133+553+45</f>
        <v>751</v>
      </c>
      <c r="P31" s="378">
        <f>73+142+608+152</f>
        <v>975</v>
      </c>
      <c r="Q31" s="378">
        <f>73+141+30+574+152</f>
        <v>970</v>
      </c>
      <c r="R31">
        <f>73+141+21+576+149</f>
        <v>960</v>
      </c>
    </row>
    <row r="32" spans="1:18">
      <c r="A32" s="13" t="s">
        <v>322</v>
      </c>
      <c r="F32" s="378"/>
      <c r="G32" s="378"/>
      <c r="H32" s="378"/>
      <c r="I32" s="378"/>
      <c r="J32" s="378"/>
      <c r="K32" s="378"/>
      <c r="L32" s="378"/>
      <c r="M32" s="378"/>
      <c r="N32" s="378"/>
      <c r="O32" s="378">
        <v>113</v>
      </c>
      <c r="P32" s="378">
        <v>1360</v>
      </c>
      <c r="Q32" s="378">
        <v>1360</v>
      </c>
      <c r="R32" s="378">
        <v>1360</v>
      </c>
    </row>
    <row r="33" spans="1:18">
      <c r="A33" s="13" t="s">
        <v>323</v>
      </c>
      <c r="D33" s="388" t="s">
        <v>320</v>
      </c>
      <c r="E33" s="385"/>
      <c r="F33" s="386"/>
      <c r="G33" s="386"/>
      <c r="H33" s="386"/>
      <c r="I33" s="386"/>
      <c r="J33" s="386"/>
      <c r="K33" s="386"/>
      <c r="L33" s="386"/>
      <c r="M33" s="386"/>
      <c r="N33" s="386"/>
      <c r="O33" s="386">
        <f>86-86</f>
        <v>0</v>
      </c>
      <c r="P33" s="386">
        <v>184</v>
      </c>
      <c r="Q33" s="386">
        <v>178</v>
      </c>
      <c r="R33" s="737"/>
    </row>
    <row r="34" spans="1:18">
      <c r="A34" s="13" t="s">
        <v>324</v>
      </c>
      <c r="F34" s="378"/>
      <c r="G34" s="378"/>
      <c r="H34" s="378"/>
      <c r="I34" s="378"/>
      <c r="J34" s="378"/>
      <c r="K34" s="378"/>
      <c r="L34" s="378"/>
      <c r="M34" s="378"/>
      <c r="N34" s="378"/>
      <c r="O34" s="378"/>
      <c r="P34" s="378">
        <v>516</v>
      </c>
      <c r="Q34" s="378">
        <f>-129-4411</f>
        <v>-4540</v>
      </c>
      <c r="R34" s="378">
        <f>974</f>
        <v>974</v>
      </c>
    </row>
    <row r="35" spans="1:18">
      <c r="A35" s="13" t="s">
        <v>325</v>
      </c>
      <c r="F35" s="378"/>
      <c r="G35" s="378"/>
      <c r="H35" s="378"/>
      <c r="I35" s="378"/>
      <c r="J35" s="378"/>
      <c r="K35" s="378"/>
      <c r="L35" s="378"/>
      <c r="M35" s="378"/>
      <c r="N35" s="378"/>
      <c r="O35" s="378"/>
      <c r="P35" s="378">
        <v>-338</v>
      </c>
      <c r="Q35" s="378">
        <f>640-889</f>
        <v>-249</v>
      </c>
      <c r="R35" s="378">
        <f>726-206</f>
        <v>520</v>
      </c>
    </row>
    <row r="36" spans="1:18">
      <c r="A36" s="13" t="s">
        <v>327</v>
      </c>
      <c r="F36" s="378"/>
      <c r="G36" s="378"/>
      <c r="H36" s="378"/>
      <c r="I36" s="378"/>
      <c r="J36" s="378"/>
      <c r="K36" s="378"/>
      <c r="L36" s="378"/>
      <c r="M36" s="378"/>
      <c r="N36" s="378"/>
      <c r="O36" s="378"/>
      <c r="P36" s="378"/>
      <c r="Q36" s="378">
        <v>472</v>
      </c>
      <c r="R36" s="378">
        <v>0</v>
      </c>
    </row>
    <row r="37" spans="1:18">
      <c r="A37" s="13" t="s">
        <v>326</v>
      </c>
      <c r="Q37">
        <v>165</v>
      </c>
      <c r="R37" s="378">
        <v>165</v>
      </c>
    </row>
    <row r="38" spans="1:18">
      <c r="A38" s="13" t="s">
        <v>535</v>
      </c>
      <c r="R38" s="378">
        <v>2082</v>
      </c>
    </row>
    <row r="39" spans="1:18">
      <c r="A39" s="13" t="s">
        <v>536</v>
      </c>
      <c r="R39" s="378">
        <v>70</v>
      </c>
    </row>
    <row r="40" spans="1:18">
      <c r="A40" s="13" t="s">
        <v>328</v>
      </c>
      <c r="Q40" s="378">
        <v>-4</v>
      </c>
      <c r="R40" s="378">
        <v>-5</v>
      </c>
    </row>
    <row r="41" spans="1:18">
      <c r="A41" s="13" t="s">
        <v>329</v>
      </c>
      <c r="Q41" s="378">
        <v>-91</v>
      </c>
      <c r="R41" s="378">
        <v>0</v>
      </c>
    </row>
    <row r="42" spans="1:18">
      <c r="B42" s="383" t="s">
        <v>331</v>
      </c>
      <c r="E42" s="382">
        <f>SUM(E22:E41)</f>
        <v>-17964</v>
      </c>
      <c r="F42" s="382">
        <f t="shared" ref="F42:P42" si="1">SUM(F22:F41)</f>
        <v>-6050</v>
      </c>
      <c r="G42" s="382">
        <f t="shared" si="1"/>
        <v>-6349</v>
      </c>
      <c r="H42" s="382">
        <f t="shared" si="1"/>
        <v>-5608</v>
      </c>
      <c r="I42" s="382">
        <f t="shared" si="1"/>
        <v>567</v>
      </c>
      <c r="J42" s="382">
        <f t="shared" si="1"/>
        <v>-8817</v>
      </c>
      <c r="K42" s="382">
        <f t="shared" si="1"/>
        <v>1168</v>
      </c>
      <c r="L42" s="382">
        <f t="shared" si="1"/>
        <v>-3082</v>
      </c>
      <c r="M42" s="382">
        <f t="shared" si="1"/>
        <v>-1076</v>
      </c>
      <c r="N42" s="382">
        <f t="shared" si="1"/>
        <v>-1703</v>
      </c>
      <c r="O42" s="382">
        <f t="shared" si="1"/>
        <v>-2879</v>
      </c>
      <c r="P42" s="382">
        <f t="shared" si="1"/>
        <v>403</v>
      </c>
      <c r="Q42" s="382">
        <f>SUM(Q22:Q41)</f>
        <v>-7744</v>
      </c>
      <c r="R42" s="382">
        <f>SUM(R22:R41)</f>
        <v>8626</v>
      </c>
    </row>
    <row r="44" spans="1:18">
      <c r="B44" s="13" t="s">
        <v>333</v>
      </c>
      <c r="E44" s="379">
        <f t="shared" ref="E44:P44" si="2">E20+E42</f>
        <v>-3114</v>
      </c>
      <c r="F44" s="379">
        <f t="shared" si="2"/>
        <v>9152</v>
      </c>
      <c r="G44" s="379">
        <f t="shared" si="2"/>
        <v>13808</v>
      </c>
      <c r="H44" s="379">
        <f t="shared" si="2"/>
        <v>14915</v>
      </c>
      <c r="I44" s="379">
        <f t="shared" si="2"/>
        <v>22879</v>
      </c>
      <c r="J44" s="379">
        <f t="shared" si="2"/>
        <v>13812</v>
      </c>
      <c r="K44" s="379">
        <f t="shared" si="2"/>
        <v>25745</v>
      </c>
      <c r="L44" s="379">
        <f t="shared" si="2"/>
        <v>21795</v>
      </c>
      <c r="M44" s="379">
        <f t="shared" si="2"/>
        <v>22000</v>
      </c>
      <c r="N44" s="379">
        <f t="shared" si="2"/>
        <v>22266</v>
      </c>
      <c r="O44" s="379">
        <f t="shared" si="2"/>
        <v>22129</v>
      </c>
      <c r="P44" s="379">
        <f t="shared" si="2"/>
        <v>25561</v>
      </c>
      <c r="Q44" s="379">
        <f>Q20+Q42</f>
        <v>17936</v>
      </c>
      <c r="R44" s="379">
        <f>R20+R42</f>
        <v>31913</v>
      </c>
    </row>
    <row r="45" spans="1:18">
      <c r="E45" t="str">
        <f t="shared" ref="E45:Q45" si="3">IF(E44=E11+E12,"","check")</f>
        <v/>
      </c>
      <c r="F45" t="str">
        <f t="shared" si="3"/>
        <v/>
      </c>
      <c r="G45" t="str">
        <f t="shared" si="3"/>
        <v/>
      </c>
      <c r="H45" t="str">
        <f t="shared" si="3"/>
        <v/>
      </c>
      <c r="I45" t="str">
        <f t="shared" si="3"/>
        <v/>
      </c>
      <c r="J45" t="str">
        <f t="shared" si="3"/>
        <v/>
      </c>
      <c r="K45" t="str">
        <f t="shared" si="3"/>
        <v/>
      </c>
      <c r="L45" t="str">
        <f t="shared" si="3"/>
        <v/>
      </c>
      <c r="M45" t="str">
        <f t="shared" si="3"/>
        <v/>
      </c>
      <c r="N45" t="str">
        <f t="shared" si="3"/>
        <v/>
      </c>
      <c r="O45" t="str">
        <f t="shared" si="3"/>
        <v/>
      </c>
      <c r="P45" t="str">
        <f t="shared" si="3"/>
        <v/>
      </c>
      <c r="Q45" t="str">
        <f t="shared" si="3"/>
        <v/>
      </c>
    </row>
    <row r="46" spans="1:18">
      <c r="B46" t="s">
        <v>334</v>
      </c>
    </row>
    <row r="47" spans="1:18">
      <c r="E47" s="379">
        <f>E42-E25</f>
        <v>-1320</v>
      </c>
      <c r="F47" s="379">
        <f>F42-F28</f>
        <v>-4634</v>
      </c>
      <c r="G47" s="379">
        <f t="shared" ref="G47:P47" si="4">G42-G28</f>
        <v>1163</v>
      </c>
      <c r="H47" s="379">
        <f t="shared" si="4"/>
        <v>731</v>
      </c>
      <c r="I47" s="379">
        <f t="shared" si="4"/>
        <v>567</v>
      </c>
      <c r="J47" s="379">
        <f t="shared" si="4"/>
        <v>571</v>
      </c>
      <c r="K47" s="379">
        <f>K42-K28</f>
        <v>1168</v>
      </c>
      <c r="L47" s="379">
        <f t="shared" si="4"/>
        <v>2500</v>
      </c>
      <c r="M47" s="379">
        <f t="shared" si="4"/>
        <v>2500</v>
      </c>
      <c r="N47" s="379">
        <f t="shared" si="4"/>
        <v>2302</v>
      </c>
      <c r="O47" s="379">
        <f t="shared" si="4"/>
        <v>3365</v>
      </c>
      <c r="P47" s="379">
        <f t="shared" si="4"/>
        <v>5197</v>
      </c>
      <c r="Q47" s="379">
        <f>Q42-Q28</f>
        <v>761</v>
      </c>
      <c r="R47" s="379">
        <f>R42-R28</f>
        <v>8626</v>
      </c>
    </row>
    <row r="48" spans="1:18">
      <c r="E48" s="379"/>
      <c r="F48" s="379"/>
      <c r="G48" s="379"/>
      <c r="H48" s="379"/>
      <c r="I48" s="379"/>
      <c r="J48" s="379"/>
      <c r="K48" s="379"/>
      <c r="L48" s="379"/>
      <c r="M48" s="379"/>
      <c r="N48" s="379"/>
      <c r="O48" s="379"/>
      <c r="P48" s="379"/>
      <c r="Q48" s="379"/>
    </row>
    <row r="49" spans="1:18">
      <c r="E49" s="189">
        <v>2000</v>
      </c>
      <c r="F49" s="189">
        <v>2001</v>
      </c>
      <c r="G49" s="189">
        <v>2002</v>
      </c>
      <c r="H49" s="189">
        <v>2003</v>
      </c>
      <c r="I49" s="189">
        <v>2004</v>
      </c>
      <c r="J49" s="189">
        <v>2005</v>
      </c>
      <c r="K49" s="189">
        <v>2006</v>
      </c>
      <c r="L49" s="189">
        <v>2007</v>
      </c>
      <c r="M49" s="189">
        <v>2008</v>
      </c>
      <c r="N49" s="189">
        <v>2009</v>
      </c>
      <c r="O49" s="189">
        <v>2010</v>
      </c>
      <c r="P49" s="189">
        <v>2011</v>
      </c>
      <c r="Q49" s="189">
        <v>2012</v>
      </c>
      <c r="R49" s="189">
        <v>2013</v>
      </c>
    </row>
    <row r="50" spans="1:18">
      <c r="A50" s="63"/>
      <c r="B50" s="40" t="s">
        <v>61</v>
      </c>
      <c r="C50" s="40"/>
      <c r="D50" s="40"/>
      <c r="E50" s="40"/>
      <c r="F50" s="41"/>
      <c r="G50" s="41"/>
      <c r="H50" s="41"/>
      <c r="I50" s="41"/>
      <c r="J50" s="41"/>
      <c r="K50" s="41"/>
      <c r="L50" s="41"/>
      <c r="M50" s="41"/>
      <c r="N50" s="41"/>
      <c r="O50" s="41"/>
      <c r="P50" s="41"/>
      <c r="Q50" s="41"/>
      <c r="R50" s="41"/>
    </row>
    <row r="51" spans="1:18">
      <c r="A51" s="63"/>
      <c r="B51" s="40" t="s">
        <v>60</v>
      </c>
      <c r="C51" s="40"/>
      <c r="D51" s="40"/>
      <c r="E51" s="40"/>
      <c r="F51" s="41"/>
      <c r="G51" s="41"/>
      <c r="H51" s="41"/>
      <c r="I51" s="41"/>
      <c r="J51" s="41"/>
      <c r="K51" s="41"/>
      <c r="L51" s="41"/>
      <c r="M51" s="41"/>
      <c r="N51" s="41"/>
      <c r="O51" s="41"/>
      <c r="P51" s="41"/>
      <c r="Q51" s="41"/>
      <c r="R51" s="41"/>
    </row>
    <row r="52" spans="1:18">
      <c r="A52" s="63">
        <v>31</v>
      </c>
      <c r="B52" s="40"/>
      <c r="C52" s="40" t="s">
        <v>59</v>
      </c>
      <c r="D52" s="40"/>
      <c r="E52" s="448">
        <f>'CBR Hist'!F58</f>
        <v>15127</v>
      </c>
      <c r="F52" s="448">
        <f>'CBR Hist'!G58</f>
        <v>16340</v>
      </c>
      <c r="G52" s="448">
        <f>'CBR Hist'!H58</f>
        <v>20910</v>
      </c>
      <c r="H52" s="448">
        <f>'CBR Hist'!I58</f>
        <v>21299</v>
      </c>
      <c r="I52" s="448">
        <f>'CBR Hist'!J58</f>
        <v>21374</v>
      </c>
      <c r="J52" s="448">
        <f>'CBR Hist'!K58</f>
        <v>22459</v>
      </c>
      <c r="K52" s="448">
        <f>'CBR Hist'!L58</f>
        <v>23458</v>
      </c>
      <c r="L52" s="448">
        <f>'CBR Hist'!M58</f>
        <v>20632</v>
      </c>
      <c r="M52" s="448">
        <f>'CBR Hist'!N58</f>
        <v>23321</v>
      </c>
      <c r="N52" s="448">
        <f>'CBR Hist'!O58</f>
        <v>57116</v>
      </c>
      <c r="O52" s="448">
        <f>'CBR Hist'!P58</f>
        <v>81955</v>
      </c>
      <c r="P52" s="448">
        <f>'CBR Hist'!Q58</f>
        <v>84081</v>
      </c>
      <c r="Q52" s="448">
        <f>'CBR Hist'!R58</f>
        <v>85247</v>
      </c>
      <c r="R52" s="448">
        <f>'CBR Hist'!S58</f>
        <v>91466</v>
      </c>
    </row>
    <row r="53" spans="1:18">
      <c r="A53" s="63">
        <v>32</v>
      </c>
      <c r="B53" s="40"/>
      <c r="C53" s="40" t="s">
        <v>58</v>
      </c>
      <c r="D53" s="40"/>
      <c r="E53" s="219">
        <f>'CBR Hist'!F59</f>
        <v>369323</v>
      </c>
      <c r="F53" s="219">
        <f>'CBR Hist'!G59</f>
        <v>382522</v>
      </c>
      <c r="G53" s="219">
        <f>'CBR Hist'!H59</f>
        <v>598523</v>
      </c>
      <c r="H53" s="219">
        <f>'CBR Hist'!I59</f>
        <v>609668</v>
      </c>
      <c r="I53" s="219">
        <f>'CBR Hist'!J59</f>
        <v>651608</v>
      </c>
      <c r="J53" s="219">
        <f>'CBR Hist'!K59</f>
        <v>669043</v>
      </c>
      <c r="K53" s="219">
        <f>'CBR Hist'!L59</f>
        <v>703455</v>
      </c>
      <c r="L53" s="219">
        <f>'CBR Hist'!M59</f>
        <v>712962</v>
      </c>
      <c r="M53" s="219">
        <f>'CBR Hist'!N59</f>
        <v>724416</v>
      </c>
      <c r="N53" s="219">
        <f>'CBR Hist'!O59</f>
        <v>751055</v>
      </c>
      <c r="O53" s="219">
        <f>'CBR Hist'!P59</f>
        <v>767632</v>
      </c>
      <c r="P53" s="219">
        <f>'CBR Hist'!Q59</f>
        <v>706894</v>
      </c>
      <c r="Q53" s="219">
        <f>'CBR Hist'!R59</f>
        <v>717448</v>
      </c>
      <c r="R53" s="219">
        <f>'CBR Hist'!S59</f>
        <v>738315</v>
      </c>
    </row>
    <row r="54" spans="1:18">
      <c r="A54" s="63">
        <v>33</v>
      </c>
      <c r="B54" s="40"/>
      <c r="C54" s="40" t="s">
        <v>57</v>
      </c>
      <c r="D54" s="40"/>
      <c r="E54" s="219">
        <f>'CBR Hist'!F60</f>
        <v>181627</v>
      </c>
      <c r="F54" s="219">
        <f>'CBR Hist'!G60</f>
        <v>191517</v>
      </c>
      <c r="G54" s="219">
        <f>'CBR Hist'!H60</f>
        <v>186550</v>
      </c>
      <c r="H54" s="219">
        <f>'CBR Hist'!I60</f>
        <v>196937</v>
      </c>
      <c r="I54" s="219">
        <f>'CBR Hist'!J60</f>
        <v>213539</v>
      </c>
      <c r="J54" s="219">
        <f>'CBR Hist'!K60</f>
        <v>224696</v>
      </c>
      <c r="K54" s="219">
        <f>'CBR Hist'!L60</f>
        <v>244435</v>
      </c>
      <c r="L54" s="219">
        <f>'CBR Hist'!M60</f>
        <v>259532</v>
      </c>
      <c r="M54" s="219">
        <f>'CBR Hist'!N60</f>
        <v>289302</v>
      </c>
      <c r="N54" s="219">
        <f>'CBR Hist'!O60</f>
        <v>301090</v>
      </c>
      <c r="O54" s="219">
        <f>'CBR Hist'!P60</f>
        <v>312505</v>
      </c>
      <c r="P54" s="219">
        <f>'CBR Hist'!Q60</f>
        <v>328012</v>
      </c>
      <c r="Q54" s="219">
        <f>'CBR Hist'!R60</f>
        <v>342382</v>
      </c>
      <c r="R54" s="219">
        <f>'CBR Hist'!S60</f>
        <v>359941</v>
      </c>
    </row>
    <row r="55" spans="1:18">
      <c r="A55" s="63">
        <v>34</v>
      </c>
      <c r="B55" s="40"/>
      <c r="C55" s="40" t="s">
        <v>56</v>
      </c>
      <c r="D55" s="40"/>
      <c r="E55" s="219">
        <f>'CBR Hist'!F61</f>
        <v>398104</v>
      </c>
      <c r="F55" s="219">
        <f>'CBR Hist'!G61</f>
        <v>416427</v>
      </c>
      <c r="G55" s="219">
        <f>'CBR Hist'!H61</f>
        <v>429742</v>
      </c>
      <c r="H55" s="219">
        <f>'CBR Hist'!I61</f>
        <v>443424</v>
      </c>
      <c r="I55" s="219">
        <f>'CBR Hist'!J61</f>
        <v>459516</v>
      </c>
      <c r="J55" s="219">
        <f>'CBR Hist'!K61</f>
        <v>480638</v>
      </c>
      <c r="K55" s="219">
        <f>'CBR Hist'!L61</f>
        <v>502571</v>
      </c>
      <c r="L55" s="219">
        <f>'CBR Hist'!M61</f>
        <v>528809</v>
      </c>
      <c r="M55" s="219">
        <f>'CBR Hist'!N61</f>
        <v>561016</v>
      </c>
      <c r="N55" s="219">
        <f>'CBR Hist'!O61</f>
        <v>598884</v>
      </c>
      <c r="O55" s="219">
        <f>'CBR Hist'!P61</f>
        <v>638445</v>
      </c>
      <c r="P55" s="219">
        <f>'CBR Hist'!Q61</f>
        <v>696082</v>
      </c>
      <c r="Q55" s="219">
        <f>'CBR Hist'!R61</f>
        <v>743732</v>
      </c>
      <c r="R55" s="219">
        <f>'CBR Hist'!S61</f>
        <v>796640</v>
      </c>
    </row>
    <row r="56" spans="1:18">
      <c r="A56" s="63">
        <v>35</v>
      </c>
      <c r="B56" s="40"/>
      <c r="C56" s="40" t="s">
        <v>55</v>
      </c>
      <c r="D56" s="40"/>
      <c r="E56" s="219">
        <f>'CBR Hist'!F62</f>
        <v>58402</v>
      </c>
      <c r="F56" s="219">
        <f>'CBR Hist'!G62</f>
        <v>59846</v>
      </c>
      <c r="G56" s="219">
        <f>'CBR Hist'!H62</f>
        <v>59771</v>
      </c>
      <c r="H56" s="219">
        <f>'CBR Hist'!I62</f>
        <v>60444</v>
      </c>
      <c r="I56" s="219">
        <f>'CBR Hist'!J62</f>
        <v>63155</v>
      </c>
      <c r="J56" s="219">
        <f>'CBR Hist'!K62</f>
        <v>65299</v>
      </c>
      <c r="K56" s="219">
        <f>'CBR Hist'!L62</f>
        <v>80110</v>
      </c>
      <c r="L56" s="219">
        <f>'CBR Hist'!M62</f>
        <v>81368</v>
      </c>
      <c r="M56" s="219">
        <f>'CBR Hist'!N62</f>
        <v>91205</v>
      </c>
      <c r="N56" s="219">
        <f>'CBR Hist'!O62</f>
        <v>98727</v>
      </c>
      <c r="O56" s="219">
        <f>'CBR Hist'!P62</f>
        <v>120996</v>
      </c>
      <c r="P56" s="219">
        <f>'CBR Hist'!Q62</f>
        <v>140218</v>
      </c>
      <c r="Q56" s="219">
        <f>'CBR Hist'!R62</f>
        <v>155104</v>
      </c>
      <c r="R56" s="219">
        <f>'CBR Hist'!S62</f>
        <v>179134</v>
      </c>
    </row>
    <row r="57" spans="1:18">
      <c r="A57" s="63">
        <v>36</v>
      </c>
      <c r="B57" s="40" t="s">
        <v>54</v>
      </c>
      <c r="C57" s="40"/>
      <c r="D57" s="40"/>
      <c r="E57" s="461">
        <f>SUM(E52:E56)</f>
        <v>1022583</v>
      </c>
      <c r="F57" s="461">
        <f t="shared" ref="F57:O57" si="5">SUM(F52:F56)</f>
        <v>1066652</v>
      </c>
      <c r="G57" s="461">
        <f t="shared" si="5"/>
        <v>1295496</v>
      </c>
      <c r="H57" s="461">
        <f t="shared" si="5"/>
        <v>1331772</v>
      </c>
      <c r="I57" s="461">
        <f t="shared" si="5"/>
        <v>1409192</v>
      </c>
      <c r="J57" s="461">
        <f t="shared" si="5"/>
        <v>1462135</v>
      </c>
      <c r="K57" s="461">
        <f t="shared" si="5"/>
        <v>1554029</v>
      </c>
      <c r="L57" s="461">
        <f t="shared" si="5"/>
        <v>1603303</v>
      </c>
      <c r="M57" s="461">
        <f t="shared" si="5"/>
        <v>1689260</v>
      </c>
      <c r="N57" s="461">
        <f t="shared" si="5"/>
        <v>1806872</v>
      </c>
      <c r="O57" s="461">
        <f t="shared" si="5"/>
        <v>1921533</v>
      </c>
      <c r="P57" s="461">
        <f t="shared" ref="P57" si="6">SUM(P52:P56)</f>
        <v>1955287</v>
      </c>
      <c r="Q57" s="461">
        <f t="shared" ref="Q57:R57" si="7">SUM(Q52:Q56)</f>
        <v>2043913</v>
      </c>
      <c r="R57" s="461">
        <f t="shared" si="7"/>
        <v>2165496</v>
      </c>
    </row>
    <row r="58" spans="1:18">
      <c r="A58" s="63"/>
      <c r="B58" s="40" t="s">
        <v>144</v>
      </c>
      <c r="C58" s="40"/>
      <c r="D58" s="40"/>
      <c r="E58" s="41"/>
      <c r="F58" s="41"/>
      <c r="G58" s="41"/>
      <c r="H58" s="41"/>
      <c r="I58" s="41"/>
      <c r="J58" s="41"/>
      <c r="K58" s="41"/>
      <c r="L58" s="41"/>
      <c r="M58" s="41"/>
      <c r="N58" s="41"/>
      <c r="O58" s="41"/>
      <c r="P58" s="41"/>
      <c r="Q58" s="41"/>
      <c r="R58" s="41"/>
    </row>
    <row r="59" spans="1:18">
      <c r="A59" s="63">
        <v>37</v>
      </c>
      <c r="B59" s="40"/>
      <c r="C59" s="40" t="s">
        <v>59</v>
      </c>
      <c r="D59" s="40"/>
      <c r="E59" s="221" t="s">
        <v>284</v>
      </c>
      <c r="F59" s="221" t="s">
        <v>284</v>
      </c>
      <c r="G59" s="221" t="s">
        <v>284</v>
      </c>
      <c r="H59" s="221" t="s">
        <v>284</v>
      </c>
      <c r="I59" s="221" t="s">
        <v>284</v>
      </c>
      <c r="J59" s="221" t="s">
        <v>284</v>
      </c>
      <c r="K59" s="221" t="s">
        <v>284</v>
      </c>
      <c r="L59" s="221" t="s">
        <v>284</v>
      </c>
      <c r="M59" s="221" t="s">
        <v>284</v>
      </c>
      <c r="N59" s="221" t="s">
        <v>284</v>
      </c>
      <c r="O59" s="221" t="s">
        <v>284</v>
      </c>
      <c r="P59" s="219">
        <f>'CBR Hist'!Q65</f>
        <v>3744</v>
      </c>
      <c r="Q59" s="219">
        <f>'CBR Hist'!R65</f>
        <v>4369</v>
      </c>
      <c r="R59" s="219">
        <f>'CBR Hist'!S65</f>
        <v>17667</v>
      </c>
    </row>
    <row r="60" spans="1:18">
      <c r="A60" s="63">
        <v>38</v>
      </c>
      <c r="B60" s="40"/>
      <c r="C60" s="40" t="s">
        <v>58</v>
      </c>
      <c r="D60" s="40"/>
      <c r="E60" s="221" t="s">
        <v>284</v>
      </c>
      <c r="F60" s="221" t="s">
        <v>284</v>
      </c>
      <c r="G60" s="221" t="s">
        <v>284</v>
      </c>
      <c r="H60" s="221" t="s">
        <v>284</v>
      </c>
      <c r="I60" s="221" t="s">
        <v>284</v>
      </c>
      <c r="J60" s="221" t="s">
        <v>284</v>
      </c>
      <c r="K60" s="221" t="s">
        <v>284</v>
      </c>
      <c r="L60" s="221" t="s">
        <v>284</v>
      </c>
      <c r="M60" s="221" t="s">
        <v>284</v>
      </c>
      <c r="N60" s="221" t="s">
        <v>284</v>
      </c>
      <c r="O60" s="221" t="s">
        <v>284</v>
      </c>
      <c r="P60" s="219">
        <f>'CBR Hist'!Q66</f>
        <v>286300</v>
      </c>
      <c r="Q60" s="219">
        <f>'CBR Hist'!R66</f>
        <v>300170</v>
      </c>
      <c r="R60" s="219">
        <f>'CBR Hist'!S66</f>
        <v>314599</v>
      </c>
    </row>
    <row r="61" spans="1:18">
      <c r="A61" s="63">
        <v>39</v>
      </c>
      <c r="B61" s="40"/>
      <c r="C61" s="40" t="s">
        <v>57</v>
      </c>
      <c r="D61" s="40"/>
      <c r="E61" s="221" t="s">
        <v>284</v>
      </c>
      <c r="F61" s="221" t="s">
        <v>284</v>
      </c>
      <c r="G61" s="221" t="s">
        <v>284</v>
      </c>
      <c r="H61" s="221" t="s">
        <v>284</v>
      </c>
      <c r="I61" s="221" t="s">
        <v>284</v>
      </c>
      <c r="J61" s="221" t="s">
        <v>284</v>
      </c>
      <c r="K61" s="221" t="s">
        <v>284</v>
      </c>
      <c r="L61" s="221" t="s">
        <v>284</v>
      </c>
      <c r="M61" s="221" t="s">
        <v>284</v>
      </c>
      <c r="N61" s="221" t="s">
        <v>284</v>
      </c>
      <c r="O61" s="221" t="s">
        <v>284</v>
      </c>
      <c r="P61" s="219">
        <f>'CBR Hist'!Q67</f>
        <v>111144</v>
      </c>
      <c r="Q61" s="219">
        <f>'CBR Hist'!R67</f>
        <v>116316</v>
      </c>
      <c r="R61" s="219">
        <f>'CBR Hist'!S67</f>
        <v>122308</v>
      </c>
    </row>
    <row r="62" spans="1:18">
      <c r="A62" s="63">
        <v>40</v>
      </c>
      <c r="B62" s="40"/>
      <c r="C62" s="40" t="s">
        <v>56</v>
      </c>
      <c r="D62" s="40"/>
      <c r="E62" s="221" t="s">
        <v>284</v>
      </c>
      <c r="F62" s="221" t="s">
        <v>284</v>
      </c>
      <c r="G62" s="221" t="s">
        <v>284</v>
      </c>
      <c r="H62" s="221" t="s">
        <v>284</v>
      </c>
      <c r="I62" s="221" t="s">
        <v>284</v>
      </c>
      <c r="J62" s="221" t="s">
        <v>284</v>
      </c>
      <c r="K62" s="221" t="s">
        <v>284</v>
      </c>
      <c r="L62" s="221" t="s">
        <v>284</v>
      </c>
      <c r="M62" s="221" t="s">
        <v>284</v>
      </c>
      <c r="N62" s="221" t="s">
        <v>284</v>
      </c>
      <c r="O62" s="221" t="s">
        <v>284</v>
      </c>
      <c r="P62" s="219">
        <f>'CBR Hist'!Q68</f>
        <v>209101</v>
      </c>
      <c r="Q62" s="219">
        <f>'CBR Hist'!R68</f>
        <v>221408</v>
      </c>
      <c r="R62" s="219">
        <f>'CBR Hist'!S68</f>
        <v>236201</v>
      </c>
    </row>
    <row r="63" spans="1:18">
      <c r="A63" s="63">
        <v>41</v>
      </c>
      <c r="B63" s="40"/>
      <c r="C63" s="40" t="s">
        <v>55</v>
      </c>
      <c r="D63" s="40"/>
      <c r="E63" s="221" t="s">
        <v>284</v>
      </c>
      <c r="F63" s="221" t="s">
        <v>284</v>
      </c>
      <c r="G63" s="221" t="s">
        <v>284</v>
      </c>
      <c r="H63" s="221" t="s">
        <v>284</v>
      </c>
      <c r="I63" s="221" t="s">
        <v>284</v>
      </c>
      <c r="J63" s="221" t="s">
        <v>284</v>
      </c>
      <c r="K63" s="221" t="s">
        <v>284</v>
      </c>
      <c r="L63" s="221" t="s">
        <v>284</v>
      </c>
      <c r="M63" s="221" t="s">
        <v>284</v>
      </c>
      <c r="N63" s="221" t="s">
        <v>284</v>
      </c>
      <c r="O63" s="221" t="s">
        <v>284</v>
      </c>
      <c r="P63" s="219">
        <f>'CBR Hist'!Q69</f>
        <v>56694</v>
      </c>
      <c r="Q63" s="219">
        <f>'CBR Hist'!R69</f>
        <v>61871</v>
      </c>
      <c r="R63" s="219">
        <f>'CBR Hist'!S69</f>
        <v>58357</v>
      </c>
    </row>
    <row r="64" spans="1:18">
      <c r="A64" s="63">
        <v>42</v>
      </c>
      <c r="B64" s="40" t="s">
        <v>145</v>
      </c>
      <c r="C64" s="40"/>
      <c r="D64" s="40"/>
      <c r="E64" s="219">
        <f>'CBR Hist'!F70</f>
        <v>348345</v>
      </c>
      <c r="F64" s="219">
        <f>'CBR Hist'!G70</f>
        <v>359654</v>
      </c>
      <c r="G64" s="219">
        <f>'CBR Hist'!H70</f>
        <v>418593</v>
      </c>
      <c r="H64" s="219">
        <f>'CBR Hist'!I70</f>
        <v>450096</v>
      </c>
      <c r="I64" s="219">
        <f>'CBR Hist'!J70</f>
        <v>475935</v>
      </c>
      <c r="J64" s="219">
        <f>'CBR Hist'!K70</f>
        <v>503194</v>
      </c>
      <c r="K64" s="219">
        <f>'CBR Hist'!L70</f>
        <v>536682</v>
      </c>
      <c r="L64" s="219">
        <f>'CBR Hist'!M70</f>
        <v>567320</v>
      </c>
      <c r="M64" s="219">
        <f>'CBR Hist'!N70</f>
        <v>600292</v>
      </c>
      <c r="N64" s="219">
        <f>'CBR Hist'!O70</f>
        <v>632110</v>
      </c>
      <c r="O64" s="219">
        <f>'CBR Hist'!P70</f>
        <v>676635</v>
      </c>
      <c r="P64" s="465">
        <f>SUM(P59:P63)</f>
        <v>666983</v>
      </c>
      <c r="Q64" s="465">
        <f>SUM(Q59:Q63)</f>
        <v>704134</v>
      </c>
      <c r="R64" s="465">
        <f>SUM(R59:R63)</f>
        <v>749132</v>
      </c>
    </row>
    <row r="65" spans="1:18">
      <c r="A65" s="63">
        <v>43</v>
      </c>
      <c r="B65" s="40" t="s">
        <v>146</v>
      </c>
      <c r="C65" s="40"/>
      <c r="D65" s="40"/>
      <c r="E65" s="464">
        <f t="shared" ref="E65" si="8">E57-E64</f>
        <v>674238</v>
      </c>
      <c r="F65" s="464">
        <f t="shared" ref="F65:O65" si="9">F57-F64</f>
        <v>706998</v>
      </c>
      <c r="G65" s="464">
        <f t="shared" si="9"/>
        <v>876903</v>
      </c>
      <c r="H65" s="464">
        <f t="shared" si="9"/>
        <v>881676</v>
      </c>
      <c r="I65" s="464">
        <f t="shared" si="9"/>
        <v>933257</v>
      </c>
      <c r="J65" s="464">
        <f t="shared" si="9"/>
        <v>958941</v>
      </c>
      <c r="K65" s="464">
        <f t="shared" si="9"/>
        <v>1017347</v>
      </c>
      <c r="L65" s="464">
        <f t="shared" si="9"/>
        <v>1035983</v>
      </c>
      <c r="M65" s="464">
        <f t="shared" si="9"/>
        <v>1088968</v>
      </c>
      <c r="N65" s="464">
        <f t="shared" si="9"/>
        <v>1174762</v>
      </c>
      <c r="O65" s="464">
        <f t="shared" si="9"/>
        <v>1244898</v>
      </c>
      <c r="P65" s="464">
        <f t="shared" ref="P65:Q65" si="10">P57-P64</f>
        <v>1288304</v>
      </c>
      <c r="Q65" s="464">
        <f t="shared" si="10"/>
        <v>1339779</v>
      </c>
      <c r="R65" s="464">
        <f t="shared" ref="R65" si="11">R57-R64</f>
        <v>1416364</v>
      </c>
    </row>
    <row r="66" spans="1:18">
      <c r="A66" s="63"/>
      <c r="B66" s="40"/>
      <c r="C66" s="40"/>
      <c r="D66" s="40"/>
      <c r="E66" s="219"/>
      <c r="F66" s="219"/>
      <c r="G66" s="219"/>
      <c r="H66" s="219"/>
      <c r="I66" s="219"/>
      <c r="J66" s="219"/>
      <c r="K66" s="219"/>
      <c r="L66" s="219"/>
      <c r="M66" s="219"/>
      <c r="N66" s="219"/>
      <c r="O66" s="219"/>
      <c r="P66" s="219"/>
      <c r="Q66" s="219"/>
      <c r="R66" s="219"/>
    </row>
    <row r="67" spans="1:18">
      <c r="A67" s="63">
        <v>44</v>
      </c>
      <c r="B67" s="40" t="s">
        <v>52</v>
      </c>
      <c r="C67" s="40"/>
      <c r="D67" s="40"/>
      <c r="E67" s="44">
        <f>'CBR Hist'!F73</f>
        <v>-104246</v>
      </c>
      <c r="F67" s="44">
        <f>'CBR Hist'!G73</f>
        <v>-108113</v>
      </c>
      <c r="G67" s="44">
        <f>'CBR Hist'!H73</f>
        <v>-113807</v>
      </c>
      <c r="H67" s="44">
        <f>'CBR Hist'!I73</f>
        <v>-138127</v>
      </c>
      <c r="I67" s="44">
        <f>'CBR Hist'!J73</f>
        <v>-154531</v>
      </c>
      <c r="J67" s="44">
        <f>'CBR Hist'!K73</f>
        <v>-138256</v>
      </c>
      <c r="K67" s="44">
        <f>'CBR Hist'!L73</f>
        <v>-142383</v>
      </c>
      <c r="L67" s="44">
        <f>'CBR Hist'!M73</f>
        <v>-143546</v>
      </c>
      <c r="M67" s="44">
        <f>'CBR Hist'!N73</f>
        <v>-151677</v>
      </c>
      <c r="N67" s="44">
        <f>'CBR Hist'!O73</f>
        <v>-169421</v>
      </c>
      <c r="O67" s="44">
        <f>'CBR Hist'!P73</f>
        <v>-190931</v>
      </c>
      <c r="P67" s="44">
        <f>'CBR Hist'!Q73</f>
        <v>-201163</v>
      </c>
      <c r="Q67" s="44">
        <f>'CBR Hist'!R73</f>
        <v>-208209</v>
      </c>
      <c r="R67" s="44">
        <f>'CBR Hist'!S73</f>
        <v>-221354</v>
      </c>
    </row>
    <row r="68" spans="1:18">
      <c r="A68" s="63">
        <v>45</v>
      </c>
      <c r="B68" s="40"/>
      <c r="C68" s="40" t="s">
        <v>299</v>
      </c>
      <c r="D68" s="40"/>
      <c r="E68" s="461">
        <f>E65+E67</f>
        <v>569992</v>
      </c>
      <c r="F68" s="461">
        <f t="shared" ref="F68:O68" si="12">F65+F67</f>
        <v>598885</v>
      </c>
      <c r="G68" s="461">
        <f t="shared" si="12"/>
        <v>763096</v>
      </c>
      <c r="H68" s="461">
        <f t="shared" si="12"/>
        <v>743549</v>
      </c>
      <c r="I68" s="461">
        <f t="shared" si="12"/>
        <v>778726</v>
      </c>
      <c r="J68" s="461">
        <f t="shared" si="12"/>
        <v>820685</v>
      </c>
      <c r="K68" s="461">
        <f t="shared" si="12"/>
        <v>874964</v>
      </c>
      <c r="L68" s="461">
        <f t="shared" si="12"/>
        <v>892437</v>
      </c>
      <c r="M68" s="461">
        <f t="shared" si="12"/>
        <v>937291</v>
      </c>
      <c r="N68" s="461">
        <f t="shared" si="12"/>
        <v>1005341</v>
      </c>
      <c r="O68" s="461">
        <f t="shared" si="12"/>
        <v>1053967</v>
      </c>
      <c r="P68" s="461">
        <f t="shared" ref="P68" si="13">P65+P67</f>
        <v>1087141</v>
      </c>
      <c r="Q68" s="461">
        <f t="shared" ref="Q68:R68" si="14">Q65+Q67</f>
        <v>1131570</v>
      </c>
      <c r="R68" s="461">
        <f t="shared" si="14"/>
        <v>1195010</v>
      </c>
    </row>
    <row r="69" spans="1:18">
      <c r="A69" s="63">
        <v>46</v>
      </c>
      <c r="B69" s="40" t="s">
        <v>148</v>
      </c>
      <c r="C69" s="40"/>
      <c r="D69" s="40"/>
      <c r="E69" s="219">
        <f>'CBR Hist'!F75</f>
        <v>-1500</v>
      </c>
      <c r="F69" s="219">
        <f>'CBR Hist'!G75</f>
        <v>-1370</v>
      </c>
      <c r="G69" s="219">
        <f>'CBR Hist'!H75</f>
        <v>-1238</v>
      </c>
      <c r="H69" s="219">
        <f>'CBR Hist'!I75</f>
        <v>-1106</v>
      </c>
      <c r="I69" s="219">
        <f>'CBR Hist'!J75</f>
        <v>-715</v>
      </c>
      <c r="J69" s="219">
        <f>'CBR Hist'!K75</f>
        <v>-843</v>
      </c>
      <c r="K69" s="219">
        <f>'CBR Hist'!L75</f>
        <v>-453</v>
      </c>
      <c r="L69" s="219">
        <f>'CBR Hist'!M75</f>
        <v>-582</v>
      </c>
      <c r="M69" s="219">
        <f>'CBR Hist'!N75</f>
        <v>-451</v>
      </c>
      <c r="N69" s="219">
        <f>'CBR Hist'!O75</f>
        <v>-322</v>
      </c>
      <c r="O69" s="219">
        <f>'CBR Hist'!P75</f>
        <v>-127</v>
      </c>
      <c r="P69" s="219">
        <f>'CBR Hist'!Q75</f>
        <v>32534</v>
      </c>
      <c r="Q69" s="219">
        <f>'CBR Hist'!R75</f>
        <v>16438</v>
      </c>
      <c r="R69" s="219">
        <f>'CBR Hist'!S75</f>
        <v>14761</v>
      </c>
    </row>
    <row r="70" spans="1:18">
      <c r="A70" s="63">
        <v>47</v>
      </c>
      <c r="B70" s="40" t="s">
        <v>53</v>
      </c>
      <c r="C70" s="40"/>
      <c r="D70" s="40"/>
      <c r="E70" s="219">
        <f>'CBR Hist'!F76</f>
        <v>0</v>
      </c>
      <c r="F70" s="219">
        <f>'CBR Hist'!G76</f>
        <v>0</v>
      </c>
      <c r="G70" s="219">
        <f>'CBR Hist'!H76</f>
        <v>0</v>
      </c>
      <c r="H70" s="219">
        <f>'CBR Hist'!I76</f>
        <v>0</v>
      </c>
      <c r="I70" s="219">
        <f>'CBR Hist'!J76</f>
        <v>0</v>
      </c>
      <c r="J70" s="219">
        <f>'CBR Hist'!K76</f>
        <v>0</v>
      </c>
      <c r="K70" s="219">
        <f>'CBR Hist'!L76</f>
        <v>0</v>
      </c>
      <c r="L70" s="219">
        <f>'CBR Hist'!M76</f>
        <v>0</v>
      </c>
      <c r="M70" s="219">
        <f>'CBR Hist'!N76</f>
        <v>0</v>
      </c>
      <c r="N70" s="219">
        <f>'CBR Hist'!O76</f>
        <v>0</v>
      </c>
      <c r="O70" s="219">
        <f>'CBR Hist'!P76</f>
        <v>18188</v>
      </c>
      <c r="P70" s="219">
        <f>'CBR Hist'!Q76</f>
        <v>18188</v>
      </c>
      <c r="Q70" s="219">
        <f>'CBR Hist'!R76</f>
        <v>10967</v>
      </c>
      <c r="R70" s="219">
        <f>'CBR Hist'!S76</f>
        <v>16281</v>
      </c>
    </row>
    <row r="71" spans="1:18">
      <c r="A71" s="63"/>
      <c r="B71" s="40"/>
      <c r="C71" s="40"/>
      <c r="D71" s="40"/>
      <c r="E71" s="41"/>
      <c r="F71" s="41"/>
      <c r="G71" s="41"/>
      <c r="H71" s="41"/>
      <c r="I71" s="41"/>
      <c r="J71" s="41"/>
      <c r="K71" s="41"/>
      <c r="L71" s="41"/>
      <c r="M71" s="41"/>
      <c r="N71" s="41"/>
      <c r="O71" s="41"/>
      <c r="P71" s="41"/>
      <c r="Q71" s="41"/>
      <c r="R71" s="41"/>
    </row>
    <row r="72" spans="1:18" ht="13.5" thickBot="1">
      <c r="A72" s="63">
        <v>48</v>
      </c>
      <c r="B72" s="40" t="s">
        <v>51</v>
      </c>
      <c r="C72" s="40"/>
      <c r="D72" s="40"/>
      <c r="E72" s="463">
        <f>SUM(E68:E71)</f>
        <v>568492</v>
      </c>
      <c r="F72" s="463">
        <f t="shared" ref="F72:O72" si="15">SUM(F68:F71)</f>
        <v>597515</v>
      </c>
      <c r="G72" s="463">
        <f t="shared" si="15"/>
        <v>761858</v>
      </c>
      <c r="H72" s="463">
        <f t="shared" si="15"/>
        <v>742443</v>
      </c>
      <c r="I72" s="463">
        <f t="shared" si="15"/>
        <v>778011</v>
      </c>
      <c r="J72" s="463">
        <f t="shared" si="15"/>
        <v>819842</v>
      </c>
      <c r="K72" s="463">
        <f t="shared" si="15"/>
        <v>874511</v>
      </c>
      <c r="L72" s="463">
        <f t="shared" si="15"/>
        <v>891855</v>
      </c>
      <c r="M72" s="463">
        <f t="shared" si="15"/>
        <v>936840</v>
      </c>
      <c r="N72" s="463">
        <f t="shared" si="15"/>
        <v>1005019</v>
      </c>
      <c r="O72" s="463">
        <f t="shared" si="15"/>
        <v>1072028</v>
      </c>
      <c r="P72" s="463">
        <f t="shared" ref="P72" si="16">SUM(P68:P71)</f>
        <v>1137863</v>
      </c>
      <c r="Q72" s="463">
        <f t="shared" ref="Q72:R72" si="17">SUM(Q68:Q71)</f>
        <v>1158975</v>
      </c>
      <c r="R72" s="463">
        <f t="shared" si="17"/>
        <v>1226052</v>
      </c>
    </row>
    <row r="73" spans="1:18" ht="13.5" thickTop="1">
      <c r="E73" t="str">
        <f>IF(E65+E67+E69+E70=E72,"","check total")</f>
        <v/>
      </c>
      <c r="F73" t="str">
        <f t="shared" ref="F73:Q73" si="18">IF(F65+F67+F69+F70=F72,"","check total")</f>
        <v/>
      </c>
      <c r="G73" t="str">
        <f t="shared" si="18"/>
        <v/>
      </c>
      <c r="H73" t="str">
        <f t="shared" si="18"/>
        <v/>
      </c>
      <c r="I73" t="str">
        <f t="shared" si="18"/>
        <v/>
      </c>
      <c r="J73" t="str">
        <f t="shared" si="18"/>
        <v/>
      </c>
      <c r="K73" t="str">
        <f t="shared" si="18"/>
        <v/>
      </c>
      <c r="L73" t="str">
        <f t="shared" si="18"/>
        <v/>
      </c>
      <c r="M73" t="str">
        <f t="shared" si="18"/>
        <v/>
      </c>
      <c r="N73" t="str">
        <f t="shared" si="18"/>
        <v/>
      </c>
      <c r="O73" t="str">
        <f t="shared" si="18"/>
        <v/>
      </c>
      <c r="P73" t="str">
        <f t="shared" si="18"/>
        <v/>
      </c>
      <c r="Q73" t="str">
        <f t="shared" si="18"/>
        <v/>
      </c>
    </row>
    <row r="74" spans="1:18">
      <c r="E74" s="530">
        <f>E49</f>
        <v>2000</v>
      </c>
      <c r="F74" s="530">
        <f t="shared" ref="F74:R74" si="19">F49</f>
        <v>2001</v>
      </c>
      <c r="G74" s="530">
        <f t="shared" si="19"/>
        <v>2002</v>
      </c>
      <c r="H74" s="530">
        <f t="shared" si="19"/>
        <v>2003</v>
      </c>
      <c r="I74" s="530">
        <f t="shared" si="19"/>
        <v>2004</v>
      </c>
      <c r="J74" s="530">
        <f t="shared" si="19"/>
        <v>2005</v>
      </c>
      <c r="K74" s="530">
        <f t="shared" si="19"/>
        <v>2006</v>
      </c>
      <c r="L74" s="530">
        <f t="shared" si="19"/>
        <v>2007</v>
      </c>
      <c r="M74" s="530">
        <f t="shared" si="19"/>
        <v>2008</v>
      </c>
      <c r="N74" s="530">
        <f t="shared" si="19"/>
        <v>2009</v>
      </c>
      <c r="O74" s="530">
        <f t="shared" si="19"/>
        <v>2010</v>
      </c>
      <c r="P74" s="530">
        <f t="shared" si="19"/>
        <v>2011</v>
      </c>
      <c r="Q74" s="530">
        <f t="shared" si="19"/>
        <v>2012</v>
      </c>
      <c r="R74" s="530">
        <f t="shared" si="19"/>
        <v>2013</v>
      </c>
    </row>
    <row r="75" spans="1:18">
      <c r="B75" s="47" t="s">
        <v>249</v>
      </c>
    </row>
    <row r="76" spans="1:18">
      <c r="A76" s="13" t="s">
        <v>337</v>
      </c>
      <c r="D76" s="389" t="s">
        <v>242</v>
      </c>
      <c r="E76" s="378">
        <v>-1500</v>
      </c>
      <c r="F76" s="378">
        <v>-1370</v>
      </c>
      <c r="G76" s="378">
        <v>-1238</v>
      </c>
      <c r="H76" s="378">
        <v>-1106</v>
      </c>
      <c r="I76" s="378">
        <v>-715</v>
      </c>
      <c r="J76" s="378">
        <v>-843</v>
      </c>
      <c r="K76" s="378">
        <v>-453</v>
      </c>
      <c r="L76" s="378">
        <v>-582</v>
      </c>
      <c r="M76" s="378">
        <v>-451</v>
      </c>
      <c r="N76" s="378">
        <v>-322</v>
      </c>
      <c r="O76" s="378">
        <v>-127</v>
      </c>
      <c r="P76" s="378">
        <v>-66</v>
      </c>
      <c r="Q76" s="378">
        <v>0</v>
      </c>
      <c r="R76" s="378">
        <v>0</v>
      </c>
    </row>
    <row r="77" spans="1:18">
      <c r="A77" s="13" t="s">
        <v>355</v>
      </c>
      <c r="D77" s="389" t="s">
        <v>342</v>
      </c>
      <c r="E77" s="378">
        <v>525</v>
      </c>
      <c r="F77" s="378">
        <v>480</v>
      </c>
      <c r="G77" s="378">
        <v>433</v>
      </c>
      <c r="H77" s="378">
        <v>387</v>
      </c>
      <c r="I77" s="378">
        <v>250</v>
      </c>
      <c r="J77" s="378">
        <v>295</v>
      </c>
      <c r="K77" s="378">
        <v>158</v>
      </c>
      <c r="L77" s="378">
        <v>204</v>
      </c>
      <c r="M77" s="378">
        <v>158</v>
      </c>
      <c r="N77" s="378">
        <v>113</v>
      </c>
      <c r="O77" s="378"/>
      <c r="P77" s="378">
        <v>23</v>
      </c>
      <c r="Q77" s="378">
        <v>0</v>
      </c>
      <c r="R77" s="378">
        <v>0</v>
      </c>
    </row>
    <row r="78" spans="1:18">
      <c r="A78" s="13" t="s">
        <v>338</v>
      </c>
      <c r="D78" s="389" t="s">
        <v>353</v>
      </c>
      <c r="E78" s="378">
        <v>-7073</v>
      </c>
      <c r="F78" s="378">
        <v>-6807</v>
      </c>
      <c r="G78" s="378">
        <v>-7557</v>
      </c>
      <c r="H78" s="378">
        <v>-7254</v>
      </c>
      <c r="I78" s="378">
        <v>-7325</v>
      </c>
      <c r="J78" s="378">
        <v>-7278</v>
      </c>
      <c r="K78" s="378">
        <v>-7175</v>
      </c>
      <c r="L78" s="378">
        <v>-7452</v>
      </c>
      <c r="M78" s="378">
        <v>-7490</v>
      </c>
      <c r="N78" s="378">
        <v>-7390</v>
      </c>
      <c r="O78" s="378">
        <v>-7325</v>
      </c>
      <c r="P78" s="378">
        <v>-7307</v>
      </c>
      <c r="Q78" s="378">
        <v>-7359</v>
      </c>
      <c r="R78" s="378">
        <v>-7318</v>
      </c>
    </row>
    <row r="79" spans="1:18">
      <c r="A79" s="13" t="s">
        <v>338</v>
      </c>
      <c r="D79" s="389" t="s">
        <v>340</v>
      </c>
      <c r="E79" s="378">
        <v>3571</v>
      </c>
      <c r="F79" s="378">
        <v>3642</v>
      </c>
      <c r="G79" s="378">
        <v>4272</v>
      </c>
      <c r="H79" s="378">
        <v>4318</v>
      </c>
      <c r="I79" s="378">
        <v>5023</v>
      </c>
      <c r="J79" s="378">
        <v>4772</v>
      </c>
      <c r="K79" s="378">
        <v>4920</v>
      </c>
      <c r="L79" s="378">
        <v>5110</v>
      </c>
      <c r="M79" s="378">
        <v>5572</v>
      </c>
      <c r="N79" s="378">
        <v>5690</v>
      </c>
      <c r="O79" s="378">
        <v>5832</v>
      </c>
      <c r="P79" s="378">
        <v>6008</v>
      </c>
      <c r="Q79" s="378">
        <v>6242</v>
      </c>
      <c r="R79" s="378">
        <v>6375</v>
      </c>
    </row>
    <row r="80" spans="1:18">
      <c r="A80" s="13" t="s">
        <v>339</v>
      </c>
      <c r="D80" s="389" t="s">
        <v>353</v>
      </c>
      <c r="E80" s="378">
        <v>682</v>
      </c>
      <c r="F80" s="378">
        <v>651</v>
      </c>
      <c r="G80" s="378">
        <v>619</v>
      </c>
      <c r="H80" s="378">
        <v>587</v>
      </c>
      <c r="I80" s="378">
        <v>492</v>
      </c>
      <c r="J80" s="378">
        <v>524</v>
      </c>
      <c r="K80" s="378">
        <v>492</v>
      </c>
      <c r="L80" s="378">
        <v>460</v>
      </c>
      <c r="M80" s="378">
        <v>429</v>
      </c>
      <c r="N80" s="378">
        <v>426</v>
      </c>
      <c r="O80" s="378">
        <v>365</v>
      </c>
      <c r="P80" s="378">
        <v>1111</v>
      </c>
      <c r="Q80" s="378">
        <v>1111</v>
      </c>
      <c r="R80" s="378">
        <v>1111</v>
      </c>
    </row>
    <row r="81" spans="1:18">
      <c r="A81" s="13" t="s">
        <v>339</v>
      </c>
      <c r="D81" s="389" t="s">
        <v>340</v>
      </c>
      <c r="E81" s="378"/>
      <c r="F81" s="378"/>
      <c r="G81" s="378"/>
      <c r="H81" s="378"/>
      <c r="I81" s="378"/>
      <c r="J81" s="378"/>
      <c r="K81" s="378"/>
      <c r="L81" s="378"/>
      <c r="M81" s="378"/>
      <c r="N81" s="378"/>
      <c r="O81" s="378"/>
      <c r="P81" s="378">
        <v>-778</v>
      </c>
      <c r="Q81" s="378">
        <v>-809</v>
      </c>
      <c r="R81" s="378">
        <v>-841</v>
      </c>
    </row>
    <row r="82" spans="1:18">
      <c r="A82" s="13" t="s">
        <v>341</v>
      </c>
      <c r="D82" s="389" t="s">
        <v>353</v>
      </c>
      <c r="E82" s="378">
        <v>-5248</v>
      </c>
      <c r="F82" s="378">
        <v>-5248</v>
      </c>
      <c r="G82" s="378">
        <v>-5248</v>
      </c>
      <c r="H82" s="378">
        <v>-5248</v>
      </c>
      <c r="I82" s="378">
        <v>-5248</v>
      </c>
      <c r="J82" s="378">
        <v>-5248</v>
      </c>
      <c r="K82" s="378">
        <v>-5248</v>
      </c>
      <c r="L82" s="378">
        <v>-5248</v>
      </c>
      <c r="M82" s="378">
        <v>-5248</v>
      </c>
      <c r="N82" s="378">
        <v>-5248</v>
      </c>
      <c r="O82" s="378">
        <v>-5248</v>
      </c>
      <c r="P82" s="378">
        <v>-5248</v>
      </c>
      <c r="Q82" s="378">
        <v>-5248</v>
      </c>
      <c r="R82" s="378">
        <v>-5248</v>
      </c>
    </row>
    <row r="83" spans="1:18">
      <c r="A83" s="13" t="s">
        <v>341</v>
      </c>
      <c r="D83" s="389" t="s">
        <v>340</v>
      </c>
      <c r="E83" s="378">
        <v>2619</v>
      </c>
      <c r="F83" s="378">
        <v>2783</v>
      </c>
      <c r="G83" s="378">
        <v>2947</v>
      </c>
      <c r="H83" s="378">
        <v>3111</v>
      </c>
      <c r="I83" s="378">
        <v>3559</v>
      </c>
      <c r="J83" s="378">
        <v>3424</v>
      </c>
      <c r="K83" s="378">
        <v>3559</v>
      </c>
      <c r="L83" s="378">
        <v>3695</v>
      </c>
      <c r="M83" s="378">
        <v>3830</v>
      </c>
      <c r="N83" s="378">
        <v>3964</v>
      </c>
      <c r="O83" s="378">
        <v>4100</v>
      </c>
      <c r="P83" s="378">
        <v>4235</v>
      </c>
      <c r="Q83" s="378">
        <v>4370</v>
      </c>
      <c r="R83" s="378">
        <v>4505</v>
      </c>
    </row>
    <row r="84" spans="1:18">
      <c r="A84" s="13" t="s">
        <v>341</v>
      </c>
      <c r="D84" s="389" t="s">
        <v>342</v>
      </c>
      <c r="E84" s="378">
        <v>1004</v>
      </c>
      <c r="F84" s="378">
        <v>948</v>
      </c>
      <c r="G84" s="378">
        <v>892</v>
      </c>
      <c r="H84" s="378">
        <v>836</v>
      </c>
      <c r="I84" s="378">
        <v>668</v>
      </c>
      <c r="J84" s="378">
        <v>724</v>
      </c>
      <c r="K84" s="378">
        <v>696</v>
      </c>
      <c r="L84" s="378">
        <v>640</v>
      </c>
      <c r="M84" s="378">
        <v>584</v>
      </c>
      <c r="N84" s="378">
        <v>528</v>
      </c>
      <c r="O84" s="378">
        <v>472</v>
      </c>
      <c r="P84" s="378">
        <v>416</v>
      </c>
      <c r="Q84" s="378">
        <v>360</v>
      </c>
      <c r="R84" s="378">
        <v>303</v>
      </c>
    </row>
    <row r="85" spans="1:18">
      <c r="A85" s="13" t="s">
        <v>343</v>
      </c>
      <c r="D85" s="389" t="s">
        <v>353</v>
      </c>
      <c r="E85" s="378"/>
      <c r="F85" s="378"/>
      <c r="G85" s="378">
        <v>79626</v>
      </c>
      <c r="H85" s="378">
        <v>79626</v>
      </c>
      <c r="I85" s="378">
        <v>79626</v>
      </c>
      <c r="J85" s="378">
        <v>79626</v>
      </c>
      <c r="K85" s="378">
        <v>79626</v>
      </c>
      <c r="L85" s="378">
        <v>79626</v>
      </c>
      <c r="M85" s="378">
        <v>79626</v>
      </c>
      <c r="N85" s="378">
        <v>79626</v>
      </c>
      <c r="O85" s="378">
        <v>79626</v>
      </c>
      <c r="P85" s="378">
        <v>79626</v>
      </c>
      <c r="Q85" s="378">
        <v>79626</v>
      </c>
      <c r="R85" s="378">
        <v>79626</v>
      </c>
    </row>
    <row r="86" spans="1:18">
      <c r="A86" s="13" t="s">
        <v>343</v>
      </c>
      <c r="D86" s="389" t="s">
        <v>340</v>
      </c>
      <c r="E86" s="378"/>
      <c r="F86" s="378"/>
      <c r="G86" s="378">
        <v>-37568</v>
      </c>
      <c r="H86" s="378">
        <v>-40018</v>
      </c>
      <c r="I86" s="378">
        <v>-47368</v>
      </c>
      <c r="J86" s="378">
        <v>-44918</v>
      </c>
      <c r="K86" s="378">
        <v>-52268</v>
      </c>
      <c r="L86" s="378">
        <v>-49818</v>
      </c>
      <c r="M86" s="378">
        <v>-52268</v>
      </c>
      <c r="N86" s="378">
        <v>-55943</v>
      </c>
      <c r="O86" s="378">
        <v>-57168</v>
      </c>
      <c r="P86" s="378">
        <v>-59618</v>
      </c>
      <c r="Q86" s="378">
        <v>-62068</v>
      </c>
      <c r="R86" s="378">
        <v>-64518</v>
      </c>
    </row>
    <row r="87" spans="1:18">
      <c r="A87" s="13" t="s">
        <v>343</v>
      </c>
      <c r="D87" s="389" t="s">
        <v>342</v>
      </c>
      <c r="E87" s="378"/>
      <c r="F87" s="378"/>
      <c r="G87" s="378">
        <v>-7339</v>
      </c>
      <c r="H87" s="378">
        <v>-6898</v>
      </c>
      <c r="I87" s="378">
        <v>-5577</v>
      </c>
      <c r="J87" s="378">
        <v>-6017</v>
      </c>
      <c r="K87" s="378">
        <v>-4917</v>
      </c>
      <c r="L87" s="378">
        <v>-5357</v>
      </c>
      <c r="M87" s="378">
        <v>-4917</v>
      </c>
      <c r="N87" s="378">
        <v>-4256</v>
      </c>
      <c r="O87" s="378">
        <v>-4036</v>
      </c>
      <c r="P87" s="378">
        <v>-3596</v>
      </c>
      <c r="Q87" s="378">
        <v>-3155</v>
      </c>
      <c r="R87" s="378">
        <v>-2715</v>
      </c>
    </row>
    <row r="88" spans="1:18">
      <c r="A88" s="13" t="s">
        <v>349</v>
      </c>
      <c r="D88" s="389" t="s">
        <v>353</v>
      </c>
      <c r="E88" s="378">
        <v>-74560</v>
      </c>
      <c r="F88" s="378">
        <v>-66845</v>
      </c>
      <c r="G88" s="378">
        <v>-14205</v>
      </c>
      <c r="H88" s="378">
        <v>-14205</v>
      </c>
      <c r="I88" s="378">
        <v>-14205</v>
      </c>
      <c r="J88" s="378">
        <v>-14205</v>
      </c>
      <c r="K88" s="378">
        <v>-14205</v>
      </c>
      <c r="L88" s="378"/>
      <c r="M88" s="378"/>
      <c r="N88" s="378"/>
      <c r="O88" s="378"/>
      <c r="P88" s="378"/>
      <c r="Q88" s="378"/>
    </row>
    <row r="89" spans="1:18">
      <c r="A89" s="13" t="s">
        <v>349</v>
      </c>
      <c r="D89" s="389" t="s">
        <v>340</v>
      </c>
      <c r="E89" s="378">
        <v>147</v>
      </c>
      <c r="F89" s="378">
        <v>7011</v>
      </c>
      <c r="G89" s="378">
        <v>3107</v>
      </c>
      <c r="H89" s="378">
        <v>4883</v>
      </c>
      <c r="I89" s="378">
        <v>10210</v>
      </c>
      <c r="J89" s="378">
        <v>8434</v>
      </c>
      <c r="K89" s="378">
        <v>13706</v>
      </c>
      <c r="L89" s="378"/>
      <c r="M89" s="378"/>
      <c r="N89" s="378"/>
      <c r="O89" s="378"/>
      <c r="P89" s="378"/>
      <c r="Q89" s="378"/>
    </row>
    <row r="90" spans="1:18">
      <c r="A90" s="13" t="s">
        <v>349</v>
      </c>
      <c r="D90" s="389" t="s">
        <v>342</v>
      </c>
      <c r="E90" s="378"/>
      <c r="F90" s="378"/>
      <c r="G90" s="378">
        <v>3574</v>
      </c>
      <c r="H90" s="378">
        <v>2952</v>
      </c>
      <c r="I90" s="378">
        <v>1088</v>
      </c>
      <c r="J90" s="378">
        <v>1709</v>
      </c>
      <c r="K90" s="378">
        <v>175</v>
      </c>
      <c r="L90" s="378"/>
      <c r="M90" s="378"/>
      <c r="N90" s="378"/>
      <c r="O90" s="378"/>
      <c r="P90" s="378"/>
      <c r="Q90" s="378"/>
    </row>
    <row r="91" spans="1:18">
      <c r="A91" s="13" t="s">
        <v>344</v>
      </c>
      <c r="D91" s="389" t="s">
        <v>353</v>
      </c>
      <c r="E91" s="378"/>
      <c r="F91" s="378"/>
      <c r="G91" s="378"/>
      <c r="H91" s="378"/>
      <c r="I91" s="378"/>
      <c r="J91" s="378"/>
      <c r="K91" s="378"/>
      <c r="L91" s="378"/>
      <c r="M91" s="378"/>
      <c r="N91" s="378">
        <f>673+247</f>
        <v>920</v>
      </c>
      <c r="O91" s="378">
        <f>1647+1201</f>
        <v>2848</v>
      </c>
      <c r="P91" s="378">
        <f>1432+104+687+436</f>
        <v>2659</v>
      </c>
      <c r="Q91" s="378">
        <f>1554+113+743+472</f>
        <v>2882</v>
      </c>
      <c r="R91" s="378">
        <f>1554+113+743+472</f>
        <v>2882</v>
      </c>
    </row>
    <row r="92" spans="1:18">
      <c r="A92" s="13" t="s">
        <v>344</v>
      </c>
      <c r="D92" s="389" t="s">
        <v>340</v>
      </c>
      <c r="E92" s="378"/>
      <c r="F92" s="378"/>
      <c r="G92" s="378"/>
      <c r="H92" s="378"/>
      <c r="I92" s="378"/>
      <c r="J92" s="378"/>
      <c r="K92" s="378"/>
      <c r="L92" s="378"/>
      <c r="M92" s="378"/>
      <c r="N92" s="378"/>
      <c r="O92" s="378"/>
      <c r="P92" s="378"/>
      <c r="Q92" s="378">
        <f>-273-20-129-82</f>
        <v>-504</v>
      </c>
      <c r="R92" s="378">
        <f>-425-31-202-129</f>
        <v>-787</v>
      </c>
    </row>
    <row r="93" spans="1:18">
      <c r="A93" s="13" t="s">
        <v>344</v>
      </c>
      <c r="D93" s="389" t="s">
        <v>342</v>
      </c>
      <c r="E93" s="378"/>
      <c r="F93" s="378"/>
      <c r="G93" s="378"/>
      <c r="H93" s="378"/>
      <c r="I93" s="378"/>
      <c r="J93" s="378"/>
      <c r="K93" s="378"/>
      <c r="L93" s="378"/>
      <c r="M93" s="378"/>
      <c r="N93" s="378">
        <f>-236-78</f>
        <v>-314</v>
      </c>
      <c r="O93" s="378">
        <f>-476-429</f>
        <v>-905</v>
      </c>
      <c r="P93" s="378">
        <f>-501-36-240-153</f>
        <v>-930</v>
      </c>
      <c r="Q93" s="378">
        <f>-448-33-215-136</f>
        <v>-832</v>
      </c>
      <c r="R93" s="378">
        <f>-395-189-121</f>
        <v>-705</v>
      </c>
    </row>
    <row r="94" spans="1:18">
      <c r="A94" s="13" t="s">
        <v>345</v>
      </c>
      <c r="D94" s="389" t="s">
        <v>353</v>
      </c>
      <c r="E94" s="378"/>
      <c r="F94" s="378"/>
      <c r="G94" s="378"/>
      <c r="H94" s="378"/>
      <c r="I94" s="378"/>
      <c r="J94" s="378"/>
      <c r="K94" s="378"/>
      <c r="L94" s="378"/>
      <c r="M94" s="378"/>
      <c r="N94" s="378">
        <v>5075</v>
      </c>
      <c r="O94" s="378">
        <v>4398</v>
      </c>
      <c r="P94" s="378">
        <v>3721</v>
      </c>
      <c r="Q94" s="378">
        <v>3045</v>
      </c>
      <c r="R94" s="378">
        <v>2368</v>
      </c>
    </row>
    <row r="95" spans="1:18">
      <c r="A95" s="13" t="s">
        <v>345</v>
      </c>
      <c r="D95" s="389" t="s">
        <v>342</v>
      </c>
      <c r="E95" s="378"/>
      <c r="F95" s="378"/>
      <c r="G95" s="378"/>
      <c r="H95" s="378"/>
      <c r="I95" s="378"/>
      <c r="J95" s="378"/>
      <c r="K95" s="378"/>
      <c r="L95" s="378"/>
      <c r="M95" s="378"/>
      <c r="N95" s="378">
        <v>-1776</v>
      </c>
      <c r="O95" s="378">
        <v>-1539</v>
      </c>
      <c r="P95" s="378">
        <v>-1303</v>
      </c>
      <c r="Q95" s="378">
        <v>-1066</v>
      </c>
      <c r="R95" s="378">
        <v>-829</v>
      </c>
    </row>
    <row r="96" spans="1:18">
      <c r="A96" s="13" t="s">
        <v>346</v>
      </c>
      <c r="D96" s="389" t="s">
        <v>353</v>
      </c>
      <c r="E96" s="378"/>
      <c r="F96" s="378"/>
      <c r="G96" s="378"/>
      <c r="H96" s="378"/>
      <c r="I96" s="378"/>
      <c r="J96" s="378"/>
      <c r="K96" s="378"/>
      <c r="L96" s="378"/>
      <c r="M96" s="378"/>
      <c r="N96" s="378"/>
      <c r="O96" s="378">
        <v>279</v>
      </c>
      <c r="P96" s="378">
        <v>6007</v>
      </c>
      <c r="Q96" s="378">
        <v>4647</v>
      </c>
      <c r="R96" s="378">
        <v>3287</v>
      </c>
    </row>
    <row r="97" spans="1:18">
      <c r="A97" s="13" t="s">
        <v>346</v>
      </c>
      <c r="D97" s="389" t="s">
        <v>342</v>
      </c>
      <c r="E97" s="378"/>
      <c r="F97" s="378"/>
      <c r="G97" s="378"/>
      <c r="H97" s="378"/>
      <c r="I97" s="378"/>
      <c r="J97" s="378"/>
      <c r="K97" s="378"/>
      <c r="L97" s="378"/>
      <c r="M97" s="378"/>
      <c r="N97" s="378"/>
      <c r="O97" s="378">
        <v>-98</v>
      </c>
      <c r="P97" s="378">
        <v>-2102</v>
      </c>
      <c r="Q97" s="378">
        <v>-1626</v>
      </c>
      <c r="R97" s="378">
        <v>-1150</v>
      </c>
    </row>
    <row r="98" spans="1:18">
      <c r="A98" s="13" t="s">
        <v>350</v>
      </c>
      <c r="D98" s="389" t="s">
        <v>353</v>
      </c>
      <c r="E98" s="378">
        <v>24</v>
      </c>
      <c r="F98" s="378">
        <v>479</v>
      </c>
      <c r="G98" s="378">
        <v>286</v>
      </c>
      <c r="H98" s="378">
        <v>95</v>
      </c>
      <c r="I98" s="378"/>
      <c r="J98" s="378"/>
      <c r="K98" s="378"/>
      <c r="L98" s="378"/>
      <c r="M98" s="378"/>
      <c r="N98" s="378"/>
      <c r="O98" s="378"/>
      <c r="P98" s="378"/>
      <c r="Q98" s="378"/>
      <c r="R98" s="378"/>
    </row>
    <row r="99" spans="1:18">
      <c r="A99" s="13" t="s">
        <v>347</v>
      </c>
      <c r="D99" s="389" t="s">
        <v>354</v>
      </c>
      <c r="E99" s="378">
        <v>-848</v>
      </c>
      <c r="F99" s="378">
        <v>-487</v>
      </c>
      <c r="G99" s="378">
        <v>-245</v>
      </c>
      <c r="H99" s="378">
        <v>-225</v>
      </c>
      <c r="I99" s="378">
        <v>-223</v>
      </c>
      <c r="J99" s="378">
        <v>-248</v>
      </c>
      <c r="K99" s="378">
        <v>-267</v>
      </c>
      <c r="L99" s="378">
        <v>-258</v>
      </c>
      <c r="M99" s="378">
        <v>-232</v>
      </c>
      <c r="N99" s="378">
        <v>-257</v>
      </c>
      <c r="O99" s="378">
        <v>-279</v>
      </c>
      <c r="P99" s="378">
        <f>-248-22</f>
        <v>-270</v>
      </c>
      <c r="Q99" s="378">
        <v>-236</v>
      </c>
      <c r="R99" s="378">
        <v>-363</v>
      </c>
    </row>
    <row r="100" spans="1:18">
      <c r="A100" s="13" t="s">
        <v>348</v>
      </c>
      <c r="D100" s="389" t="s">
        <v>354</v>
      </c>
      <c r="E100" s="378"/>
      <c r="F100" s="378"/>
      <c r="G100" s="378"/>
      <c r="H100" s="378"/>
      <c r="I100" s="378"/>
      <c r="J100" s="378"/>
      <c r="K100" s="378"/>
      <c r="L100" s="378"/>
      <c r="M100" s="378"/>
      <c r="N100" s="378">
        <v>-3060</v>
      </c>
      <c r="O100" s="378">
        <v>-3419</v>
      </c>
      <c r="P100" s="378">
        <v>-3743</v>
      </c>
      <c r="Q100" s="378">
        <v>-2942</v>
      </c>
      <c r="R100" s="378">
        <v>-1222</v>
      </c>
    </row>
    <row r="101" spans="1:18">
      <c r="A101" s="13"/>
    </row>
    <row r="102" spans="1:18">
      <c r="A102" s="13" t="s">
        <v>8</v>
      </c>
      <c r="E102" s="379">
        <f t="shared" ref="E102:M102" si="20">SUM(E76:E100)</f>
        <v>-80657</v>
      </c>
      <c r="F102" s="379">
        <f t="shared" si="20"/>
        <v>-64763</v>
      </c>
      <c r="G102" s="379">
        <f t="shared" si="20"/>
        <v>22356</v>
      </c>
      <c r="H102" s="379">
        <f t="shared" si="20"/>
        <v>21841</v>
      </c>
      <c r="I102" s="379">
        <f t="shared" si="20"/>
        <v>20255</v>
      </c>
      <c r="J102" s="379">
        <f t="shared" si="20"/>
        <v>20751</v>
      </c>
      <c r="K102" s="379">
        <f t="shared" si="20"/>
        <v>18799</v>
      </c>
      <c r="L102" s="379">
        <f t="shared" si="20"/>
        <v>21020</v>
      </c>
      <c r="M102" s="379">
        <f t="shared" si="20"/>
        <v>19593</v>
      </c>
      <c r="N102" s="379">
        <f>SUM(N76:N100)</f>
        <v>17776</v>
      </c>
      <c r="O102" s="379">
        <f>SUM(O76:O100)</f>
        <v>17776</v>
      </c>
      <c r="P102" s="379">
        <f>SUM(P76:P100)</f>
        <v>18845</v>
      </c>
      <c r="Q102" s="379">
        <f>SUM(Q76:Q100)</f>
        <v>16438</v>
      </c>
      <c r="R102" s="379">
        <f>SUM(R76:R100)</f>
        <v>14761</v>
      </c>
    </row>
    <row r="103" spans="1:18">
      <c r="A103" s="13" t="s">
        <v>351</v>
      </c>
      <c r="E103" s="379">
        <f>E78+E80+E82+E85+E88+E91+E94+E96+E98</f>
        <v>-86175</v>
      </c>
      <c r="F103" s="379">
        <f t="shared" ref="F103:O103" si="21">F78+F80+F82+F85+F88+F91+F94+F96+F98</f>
        <v>-77770</v>
      </c>
      <c r="G103" s="379">
        <f t="shared" si="21"/>
        <v>53521</v>
      </c>
      <c r="H103" s="379">
        <f t="shared" si="21"/>
        <v>53601</v>
      </c>
      <c r="I103" s="379">
        <f t="shared" si="21"/>
        <v>53340</v>
      </c>
      <c r="J103" s="379">
        <f t="shared" si="21"/>
        <v>53419</v>
      </c>
      <c r="K103" s="379">
        <f t="shared" si="21"/>
        <v>53490</v>
      </c>
      <c r="L103" s="379">
        <f t="shared" si="21"/>
        <v>67386</v>
      </c>
      <c r="M103" s="379">
        <f t="shared" si="21"/>
        <v>67317</v>
      </c>
      <c r="N103" s="379">
        <f t="shared" si="21"/>
        <v>73409</v>
      </c>
      <c r="O103" s="379">
        <f t="shared" si="21"/>
        <v>74943</v>
      </c>
      <c r="P103" s="379"/>
      <c r="Q103" s="379"/>
      <c r="R103" s="379"/>
    </row>
    <row r="104" spans="1:18">
      <c r="A104" s="13" t="s">
        <v>352</v>
      </c>
      <c r="E104" s="379">
        <f>E99+E100</f>
        <v>-848</v>
      </c>
      <c r="F104" s="379">
        <f t="shared" ref="F104:O104" si="22">F99+F100</f>
        <v>-487</v>
      </c>
      <c r="G104" s="379">
        <f t="shared" si="22"/>
        <v>-245</v>
      </c>
      <c r="H104" s="379">
        <f t="shared" si="22"/>
        <v>-225</v>
      </c>
      <c r="I104" s="379">
        <f t="shared" si="22"/>
        <v>-223</v>
      </c>
      <c r="J104" s="379">
        <f t="shared" si="22"/>
        <v>-248</v>
      </c>
      <c r="K104" s="379">
        <f t="shared" si="22"/>
        <v>-267</v>
      </c>
      <c r="L104" s="379">
        <f t="shared" si="22"/>
        <v>-258</v>
      </c>
      <c r="M104" s="379">
        <f t="shared" si="22"/>
        <v>-232</v>
      </c>
      <c r="N104" s="379">
        <f t="shared" si="22"/>
        <v>-3317</v>
      </c>
      <c r="O104" s="379">
        <f t="shared" si="22"/>
        <v>-3698</v>
      </c>
      <c r="P104" s="379"/>
      <c r="Q104" s="379"/>
      <c r="R104" s="379"/>
    </row>
    <row r="105" spans="1:18">
      <c r="A105" s="13" t="s">
        <v>340</v>
      </c>
      <c r="E105" s="379">
        <f>E79+E81+E83+E86+E89+E92</f>
        <v>6337</v>
      </c>
      <c r="F105" s="379">
        <f t="shared" ref="F105:O105" si="23">F79+F81+F83+F86+F89+F92</f>
        <v>13436</v>
      </c>
      <c r="G105" s="379">
        <f t="shared" si="23"/>
        <v>-27242</v>
      </c>
      <c r="H105" s="379">
        <f t="shared" si="23"/>
        <v>-27706</v>
      </c>
      <c r="I105" s="379">
        <f t="shared" si="23"/>
        <v>-28576</v>
      </c>
      <c r="J105" s="379">
        <f t="shared" si="23"/>
        <v>-28288</v>
      </c>
      <c r="K105" s="379">
        <f t="shared" si="23"/>
        <v>-30083</v>
      </c>
      <c r="L105" s="379">
        <f t="shared" si="23"/>
        <v>-41013</v>
      </c>
      <c r="M105" s="379">
        <f t="shared" si="23"/>
        <v>-42866</v>
      </c>
      <c r="N105" s="379">
        <f t="shared" si="23"/>
        <v>-46289</v>
      </c>
      <c r="O105" s="379">
        <f t="shared" si="23"/>
        <v>-47236</v>
      </c>
      <c r="P105" s="379"/>
      <c r="Q105" s="379"/>
      <c r="R105" s="379"/>
    </row>
    <row r="106" spans="1:18">
      <c r="A106" s="13" t="s">
        <v>342</v>
      </c>
      <c r="E106" s="379">
        <f>E77+E84+E87+E90+E93+E95+E97</f>
        <v>1529</v>
      </c>
      <c r="F106" s="379">
        <f t="shared" ref="F106:O106" si="24">F77+F84+F87+F90+F93+F95+F97</f>
        <v>1428</v>
      </c>
      <c r="G106" s="379">
        <f t="shared" si="24"/>
        <v>-2440</v>
      </c>
      <c r="H106" s="379">
        <f t="shared" si="24"/>
        <v>-2723</v>
      </c>
      <c r="I106" s="379">
        <f t="shared" si="24"/>
        <v>-3571</v>
      </c>
      <c r="J106" s="379">
        <f t="shared" si="24"/>
        <v>-3289</v>
      </c>
      <c r="K106" s="379">
        <f t="shared" si="24"/>
        <v>-3888</v>
      </c>
      <c r="L106" s="379">
        <f t="shared" si="24"/>
        <v>-4513</v>
      </c>
      <c r="M106" s="379">
        <f t="shared" si="24"/>
        <v>-4175</v>
      </c>
      <c r="N106" s="379">
        <f t="shared" si="24"/>
        <v>-5705</v>
      </c>
      <c r="O106" s="379">
        <f t="shared" si="24"/>
        <v>-6106</v>
      </c>
      <c r="P106" s="379"/>
      <c r="Q106" s="379"/>
      <c r="R106" s="379"/>
    </row>
    <row r="107" spans="1:18">
      <c r="A107" s="13" t="s">
        <v>242</v>
      </c>
      <c r="E107" s="379">
        <f t="shared" ref="E107" si="25">E76</f>
        <v>-1500</v>
      </c>
      <c r="F107" s="379">
        <f t="shared" ref="F107:O107" si="26">F76</f>
        <v>-1370</v>
      </c>
      <c r="G107" s="379">
        <f t="shared" si="26"/>
        <v>-1238</v>
      </c>
      <c r="H107" s="379">
        <f t="shared" si="26"/>
        <v>-1106</v>
      </c>
      <c r="I107" s="379">
        <f t="shared" si="26"/>
        <v>-715</v>
      </c>
      <c r="J107" s="379">
        <f t="shared" si="26"/>
        <v>-843</v>
      </c>
      <c r="K107" s="379">
        <f t="shared" si="26"/>
        <v>-453</v>
      </c>
      <c r="L107" s="379">
        <f t="shared" si="26"/>
        <v>-582</v>
      </c>
      <c r="M107" s="379">
        <f t="shared" si="26"/>
        <v>-451</v>
      </c>
      <c r="N107" s="379">
        <f t="shared" si="26"/>
        <v>-322</v>
      </c>
      <c r="O107" s="379">
        <f t="shared" si="26"/>
        <v>-127</v>
      </c>
      <c r="P107" s="379">
        <f>P69</f>
        <v>32534</v>
      </c>
      <c r="Q107" s="379">
        <f t="shared" ref="Q107" si="27">Q69</f>
        <v>16438</v>
      </c>
      <c r="R107" s="379">
        <f>R69</f>
        <v>14761</v>
      </c>
    </row>
    <row r="109" spans="1:18">
      <c r="O109" s="389" t="s">
        <v>560</v>
      </c>
      <c r="P109" s="379">
        <f>P102-P107</f>
        <v>-13689</v>
      </c>
    </row>
    <row r="110" spans="1:18">
      <c r="O110" s="389" t="s">
        <v>561</v>
      </c>
      <c r="P110" s="379">
        <f>-P109</f>
        <v>13689</v>
      </c>
    </row>
    <row r="111" spans="1:18">
      <c r="P111" s="379"/>
      <c r="Q111" s="379"/>
      <c r="R111" s="379"/>
    </row>
  </sheetData>
  <printOptions horizontalCentered="1"/>
  <pageMargins left="0.23" right="0.2" top="0.75" bottom="0.75" header="0.3" footer="0.54"/>
  <pageSetup scale="80" orientation="landscape" r:id="rId1"/>
  <headerFooter>
    <oddFooter>&amp;C&amp;F /&amp;A&amp;RPage &amp;P</oddFooter>
  </headerFooter>
  <rowBreaks count="2" manualBreakCount="2">
    <brk id="48" max="16383" man="1"/>
    <brk id="73"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W57"/>
  <sheetViews>
    <sheetView topLeftCell="E1" workbookViewId="0">
      <selection activeCell="V8" sqref="V8"/>
    </sheetView>
  </sheetViews>
  <sheetFormatPr defaultColWidth="9.140625" defaultRowHeight="12.75"/>
  <cols>
    <col min="1" max="1" width="6.7109375" style="180" hidden="1" customWidth="1"/>
    <col min="2" max="2" width="3.42578125" style="180" hidden="1" customWidth="1"/>
    <col min="3" max="3" width="26.140625" style="180" hidden="1" customWidth="1"/>
    <col min="4" max="4" width="9" style="180" hidden="1" customWidth="1"/>
    <col min="5" max="5" width="6.7109375" style="180" customWidth="1"/>
    <col min="6" max="6" width="3.42578125" style="180" customWidth="1"/>
    <col min="7" max="7" width="26.140625" style="180" customWidth="1"/>
    <col min="8" max="8" width="9" style="180" bestFit="1" customWidth="1"/>
    <col min="9" max="20" width="7.5703125" style="180" bestFit="1" customWidth="1"/>
    <col min="21" max="22" width="9.140625" style="180"/>
    <col min="23" max="23" width="10.42578125" style="180" customWidth="1"/>
    <col min="24" max="16384" width="9.140625" style="180"/>
  </cols>
  <sheetData>
    <row r="2" spans="1:23">
      <c r="A2" s="180" t="s">
        <v>94</v>
      </c>
      <c r="E2" s="180" t="s">
        <v>94</v>
      </c>
    </row>
    <row r="3" spans="1:23">
      <c r="A3" s="180" t="s">
        <v>136</v>
      </c>
      <c r="E3" s="180" t="s">
        <v>136</v>
      </c>
    </row>
    <row r="4" spans="1:23">
      <c r="A4" s="180" t="s">
        <v>236</v>
      </c>
      <c r="E4" s="180" t="s">
        <v>301</v>
      </c>
    </row>
    <row r="5" spans="1:23">
      <c r="A5" s="180" t="s">
        <v>93</v>
      </c>
      <c r="E5" s="180" t="s">
        <v>93</v>
      </c>
    </row>
    <row r="7" spans="1:23">
      <c r="I7" s="189">
        <v>2000</v>
      </c>
      <c r="J7" s="189">
        <v>2001</v>
      </c>
      <c r="K7" s="189">
        <v>2002</v>
      </c>
      <c r="L7" s="189">
        <v>2003</v>
      </c>
      <c r="M7" s="189">
        <v>2004</v>
      </c>
      <c r="N7" s="189">
        <v>2005</v>
      </c>
      <c r="O7" s="189">
        <v>2006</v>
      </c>
      <c r="P7" s="189">
        <v>2007</v>
      </c>
      <c r="Q7" s="189">
        <v>2008</v>
      </c>
      <c r="R7" s="189">
        <v>2009</v>
      </c>
      <c r="S7" s="189">
        <v>2010</v>
      </c>
      <c r="T7" s="189">
        <v>2011</v>
      </c>
      <c r="U7" s="189">
        <v>2012</v>
      </c>
      <c r="V7" s="623" t="s">
        <v>557</v>
      </c>
      <c r="W7" s="623"/>
    </row>
    <row r="8" spans="1:23">
      <c r="A8" s="182" t="s">
        <v>3</v>
      </c>
      <c r="E8" s="182" t="s">
        <v>3</v>
      </c>
      <c r="I8" s="182" t="s">
        <v>92</v>
      </c>
      <c r="J8" s="182" t="s">
        <v>92</v>
      </c>
      <c r="K8" s="182" t="s">
        <v>92</v>
      </c>
      <c r="L8" s="182" t="s">
        <v>92</v>
      </c>
      <c r="M8" s="182" t="s">
        <v>92</v>
      </c>
      <c r="N8" s="182" t="s">
        <v>92</v>
      </c>
      <c r="O8" s="182" t="s">
        <v>92</v>
      </c>
      <c r="P8" s="182" t="s">
        <v>92</v>
      </c>
      <c r="Q8" s="182" t="s">
        <v>92</v>
      </c>
      <c r="R8" s="182" t="s">
        <v>92</v>
      </c>
      <c r="S8" s="182" t="s">
        <v>92</v>
      </c>
      <c r="T8" s="182" t="s">
        <v>92</v>
      </c>
      <c r="U8" s="370" t="s">
        <v>92</v>
      </c>
      <c r="V8" s="632" t="s">
        <v>567</v>
      </c>
    </row>
    <row r="9" spans="1:23">
      <c r="A9" s="183" t="s">
        <v>90</v>
      </c>
      <c r="C9" s="184" t="s">
        <v>4</v>
      </c>
      <c r="D9" s="182" t="s">
        <v>237</v>
      </c>
      <c r="E9" s="183" t="s">
        <v>90</v>
      </c>
      <c r="G9" s="184" t="s">
        <v>4</v>
      </c>
      <c r="H9" s="182" t="s">
        <v>237</v>
      </c>
      <c r="I9" s="183" t="s">
        <v>239</v>
      </c>
      <c r="J9" s="183" t="s">
        <v>239</v>
      </c>
      <c r="K9" s="183" t="s">
        <v>239</v>
      </c>
      <c r="L9" s="183" t="s">
        <v>239</v>
      </c>
      <c r="M9" s="183" t="s">
        <v>239</v>
      </c>
      <c r="N9" s="183" t="s">
        <v>239</v>
      </c>
      <c r="O9" s="183" t="s">
        <v>239</v>
      </c>
      <c r="P9" s="183" t="s">
        <v>239</v>
      </c>
      <c r="Q9" s="183" t="s">
        <v>239</v>
      </c>
      <c r="R9" s="183" t="s">
        <v>239</v>
      </c>
      <c r="S9" s="183" t="s">
        <v>239</v>
      </c>
      <c r="T9" s="183" t="s">
        <v>239</v>
      </c>
      <c r="U9" s="183" t="s">
        <v>239</v>
      </c>
    </row>
    <row r="10" spans="1:23">
      <c r="A10" s="182"/>
      <c r="E10" s="182"/>
    </row>
    <row r="11" spans="1:23">
      <c r="A11" s="182"/>
      <c r="B11" s="180" t="s">
        <v>86</v>
      </c>
      <c r="E11" s="182"/>
      <c r="F11" s="180" t="s">
        <v>86</v>
      </c>
    </row>
    <row r="12" spans="1:23">
      <c r="A12" s="182">
        <v>1</v>
      </c>
      <c r="B12" s="180" t="s">
        <v>85</v>
      </c>
      <c r="D12" s="185">
        <v>0.95509999999999995</v>
      </c>
      <c r="E12" s="182">
        <v>1</v>
      </c>
      <c r="F12" s="180" t="s">
        <v>85</v>
      </c>
      <c r="H12" s="185">
        <f>ROR!L20</f>
        <v>0.95460500000000004</v>
      </c>
      <c r="I12" s="186">
        <f>I35/$H12</f>
        <v>-3606.7273898628227</v>
      </c>
      <c r="J12" s="186">
        <f>J35/$H12</f>
        <v>-5315.2874749241828</v>
      </c>
      <c r="K12" s="186">
        <f>K35/$H12</f>
        <v>-6352.3656381435248</v>
      </c>
      <c r="L12" s="186">
        <f>L35/$H12</f>
        <v>-6421.5041823581478</v>
      </c>
      <c r="M12" s="186">
        <f>M35/$H12</f>
        <v>-7067.8448153948493</v>
      </c>
      <c r="N12" s="186">
        <f t="shared" ref="N12:U12" si="0">N35/$D12</f>
        <v>-6918.6472620668001</v>
      </c>
      <c r="O12" s="186">
        <f t="shared" si="0"/>
        <v>-6889.3309601088895</v>
      </c>
      <c r="P12" s="186">
        <f t="shared" si="0"/>
        <v>-6980.4208983352528</v>
      </c>
      <c r="Q12" s="186">
        <f t="shared" si="0"/>
        <v>-12660.454402680349</v>
      </c>
      <c r="R12" s="186">
        <f t="shared" si="0"/>
        <v>-19767.563605905143</v>
      </c>
      <c r="S12" s="186">
        <f t="shared" si="0"/>
        <v>-20398.911108784421</v>
      </c>
      <c r="T12" s="186">
        <f t="shared" si="0"/>
        <v>-21047.010784211077</v>
      </c>
      <c r="U12" s="186">
        <f t="shared" si="0"/>
        <v>-17700.764317872476</v>
      </c>
    </row>
    <row r="13" spans="1:23">
      <c r="A13" s="182">
        <v>2</v>
      </c>
      <c r="B13" s="180" t="s">
        <v>84</v>
      </c>
      <c r="E13" s="182">
        <v>2</v>
      </c>
      <c r="F13" s="180" t="s">
        <v>84</v>
      </c>
      <c r="I13" s="186"/>
      <c r="J13" s="186"/>
      <c r="K13" s="186"/>
      <c r="L13" s="186"/>
      <c r="M13" s="186"/>
      <c r="N13" s="186"/>
      <c r="O13" s="186"/>
      <c r="P13" s="186"/>
      <c r="Q13" s="186"/>
      <c r="R13" s="186"/>
      <c r="S13" s="186"/>
      <c r="T13" s="186"/>
      <c r="U13" s="186"/>
    </row>
    <row r="14" spans="1:23">
      <c r="A14" s="182">
        <v>3</v>
      </c>
      <c r="B14" s="180" t="s">
        <v>83</v>
      </c>
      <c r="E14" s="182">
        <v>3</v>
      </c>
      <c r="F14" s="180" t="s">
        <v>83</v>
      </c>
      <c r="I14" s="187"/>
      <c r="J14" s="187"/>
      <c r="K14" s="187"/>
      <c r="L14" s="187"/>
      <c r="M14" s="187"/>
      <c r="N14" s="187"/>
      <c r="O14" s="187"/>
      <c r="P14" s="187"/>
      <c r="Q14" s="187"/>
      <c r="R14" s="187"/>
      <c r="S14" s="187"/>
      <c r="T14" s="187"/>
      <c r="U14" s="187"/>
    </row>
    <row r="15" spans="1:23">
      <c r="A15" s="182">
        <v>4</v>
      </c>
      <c r="B15" s="180" t="s">
        <v>82</v>
      </c>
      <c r="E15" s="182">
        <v>4</v>
      </c>
      <c r="F15" s="180" t="s">
        <v>82</v>
      </c>
      <c r="I15" s="186">
        <f>SUM(I12:I14)</f>
        <v>-3606.7273898628227</v>
      </c>
      <c r="J15" s="186">
        <f>SUM(J12:J14)</f>
        <v>-5315.2874749241828</v>
      </c>
      <c r="K15" s="186">
        <f>SUM(K12:K14)</f>
        <v>-6352.3656381435248</v>
      </c>
      <c r="L15" s="186">
        <f>SUM(L12:L14)</f>
        <v>-6421.5041823581478</v>
      </c>
      <c r="M15" s="186">
        <f>SUM(M12:M14)</f>
        <v>-7067.8448153948493</v>
      </c>
      <c r="N15" s="186">
        <f t="shared" ref="N15:T15" si="1">SUM(N12:N14)</f>
        <v>-6918.6472620668001</v>
      </c>
      <c r="O15" s="186">
        <f t="shared" si="1"/>
        <v>-6889.3309601088895</v>
      </c>
      <c r="P15" s="186">
        <f t="shared" si="1"/>
        <v>-6980.4208983352528</v>
      </c>
      <c r="Q15" s="186">
        <f t="shared" si="1"/>
        <v>-12660.454402680349</v>
      </c>
      <c r="R15" s="186">
        <f t="shared" si="1"/>
        <v>-19767.563605905143</v>
      </c>
      <c r="S15" s="186">
        <f t="shared" si="1"/>
        <v>-20398.911108784421</v>
      </c>
      <c r="T15" s="186">
        <f t="shared" si="1"/>
        <v>-21047.010784211077</v>
      </c>
      <c r="U15" s="186">
        <f t="shared" ref="U15" si="2">SUM(U12:U14)</f>
        <v>-17700.764317872476</v>
      </c>
    </row>
    <row r="16" spans="1:23">
      <c r="A16" s="182">
        <v>5</v>
      </c>
      <c r="B16" s="180" t="s">
        <v>81</v>
      </c>
      <c r="E16" s="182">
        <v>5</v>
      </c>
      <c r="F16" s="180" t="s">
        <v>81</v>
      </c>
      <c r="I16" s="187"/>
      <c r="J16" s="187"/>
      <c r="K16" s="187"/>
      <c r="L16" s="187"/>
      <c r="M16" s="187"/>
      <c r="N16" s="187"/>
      <c r="O16" s="187"/>
      <c r="P16" s="187"/>
      <c r="Q16" s="187"/>
      <c r="R16" s="187"/>
      <c r="S16" s="187"/>
      <c r="T16" s="187"/>
      <c r="U16" s="187"/>
    </row>
    <row r="17" spans="1:21">
      <c r="A17" s="182">
        <v>6</v>
      </c>
      <c r="B17" s="180" t="s">
        <v>80</v>
      </c>
      <c r="E17" s="182">
        <v>6</v>
      </c>
      <c r="F17" s="180" t="s">
        <v>80</v>
      </c>
      <c r="I17" s="186">
        <f>I15+I16</f>
        <v>-3606.7273898628227</v>
      </c>
      <c r="J17" s="186">
        <f>J15+J16</f>
        <v>-5315.2874749241828</v>
      </c>
      <c r="K17" s="186">
        <f>K15+K16</f>
        <v>-6352.3656381435248</v>
      </c>
      <c r="L17" s="186">
        <f>L15+L16</f>
        <v>-6421.5041823581478</v>
      </c>
      <c r="M17" s="186">
        <f>M15+M16</f>
        <v>-7067.8448153948493</v>
      </c>
      <c r="N17" s="186">
        <f t="shared" ref="N17:T17" si="3">N15+N16</f>
        <v>-6918.6472620668001</v>
      </c>
      <c r="O17" s="186">
        <f t="shared" si="3"/>
        <v>-6889.3309601088895</v>
      </c>
      <c r="P17" s="186">
        <f t="shared" si="3"/>
        <v>-6980.4208983352528</v>
      </c>
      <c r="Q17" s="186">
        <f t="shared" si="3"/>
        <v>-12660.454402680349</v>
      </c>
      <c r="R17" s="186">
        <f t="shared" si="3"/>
        <v>-19767.563605905143</v>
      </c>
      <c r="S17" s="186">
        <f t="shared" si="3"/>
        <v>-20398.911108784421</v>
      </c>
      <c r="T17" s="186">
        <f t="shared" si="3"/>
        <v>-21047.010784211077</v>
      </c>
      <c r="U17" s="186">
        <f t="shared" ref="U17" si="4">U15+U16</f>
        <v>-17700.764317872476</v>
      </c>
    </row>
    <row r="18" spans="1:21">
      <c r="A18" s="182"/>
      <c r="E18" s="182"/>
      <c r="I18" s="186"/>
      <c r="J18" s="186"/>
      <c r="K18" s="186"/>
      <c r="L18" s="186"/>
      <c r="M18" s="186"/>
      <c r="N18" s="186"/>
      <c r="O18" s="186"/>
      <c r="P18" s="186"/>
      <c r="Q18" s="186"/>
      <c r="R18" s="186"/>
      <c r="S18" s="186"/>
      <c r="T18" s="186"/>
      <c r="U18" s="186"/>
    </row>
    <row r="19" spans="1:21">
      <c r="A19" s="182"/>
      <c r="B19" s="180" t="s">
        <v>79</v>
      </c>
      <c r="E19" s="182"/>
      <c r="F19" s="180" t="s">
        <v>79</v>
      </c>
      <c r="I19" s="186"/>
      <c r="J19" s="186"/>
      <c r="K19" s="186"/>
      <c r="L19" s="186"/>
      <c r="M19" s="186"/>
      <c r="N19" s="186"/>
      <c r="O19" s="186"/>
      <c r="P19" s="186"/>
      <c r="Q19" s="186"/>
      <c r="R19" s="186"/>
      <c r="S19" s="186"/>
      <c r="T19" s="186"/>
      <c r="U19" s="186"/>
    </row>
    <row r="20" spans="1:21">
      <c r="A20" s="182"/>
      <c r="B20" s="180" t="s">
        <v>78</v>
      </c>
      <c r="E20" s="182"/>
      <c r="F20" s="180" t="s">
        <v>78</v>
      </c>
      <c r="I20" s="186"/>
      <c r="J20" s="186"/>
      <c r="K20" s="186"/>
      <c r="L20" s="186"/>
      <c r="M20" s="186"/>
      <c r="N20" s="186"/>
      <c r="O20" s="186"/>
      <c r="P20" s="186"/>
      <c r="Q20" s="186"/>
      <c r="R20" s="186"/>
      <c r="S20" s="186"/>
      <c r="T20" s="186"/>
      <c r="U20" s="186"/>
    </row>
    <row r="21" spans="1:21">
      <c r="A21" s="182">
        <v>7</v>
      </c>
      <c r="C21" s="180" t="s">
        <v>70</v>
      </c>
      <c r="E21" s="182">
        <v>7</v>
      </c>
      <c r="G21" s="180" t="s">
        <v>70</v>
      </c>
      <c r="I21" s="186"/>
      <c r="J21" s="186"/>
      <c r="K21" s="186"/>
      <c r="L21" s="186"/>
      <c r="M21" s="186"/>
      <c r="N21" s="186"/>
      <c r="O21" s="186"/>
      <c r="P21" s="186"/>
      <c r="Q21" s="186"/>
      <c r="R21" s="186"/>
      <c r="S21" s="186"/>
      <c r="T21" s="186"/>
      <c r="U21" s="186"/>
    </row>
    <row r="22" spans="1:21">
      <c r="A22" s="182">
        <v>8</v>
      </c>
      <c r="C22" s="180" t="s">
        <v>77</v>
      </c>
      <c r="E22" s="182">
        <v>8</v>
      </c>
      <c r="G22" s="180" t="s">
        <v>77</v>
      </c>
      <c r="I22" s="186"/>
      <c r="J22" s="186"/>
      <c r="K22" s="186"/>
      <c r="L22" s="186"/>
      <c r="M22" s="186"/>
      <c r="N22" s="186"/>
      <c r="O22" s="186"/>
      <c r="P22" s="186"/>
      <c r="Q22" s="186"/>
      <c r="R22" s="186"/>
      <c r="S22" s="186"/>
      <c r="T22" s="186"/>
      <c r="U22" s="186"/>
    </row>
    <row r="23" spans="1:21">
      <c r="A23" s="182">
        <v>9</v>
      </c>
      <c r="C23" s="180" t="s">
        <v>139</v>
      </c>
      <c r="E23" s="182">
        <v>9</v>
      </c>
      <c r="G23" s="180" t="s">
        <v>139</v>
      </c>
      <c r="I23" s="186"/>
      <c r="J23" s="186"/>
      <c r="K23" s="186"/>
      <c r="L23" s="186"/>
      <c r="M23" s="186"/>
      <c r="N23" s="186"/>
      <c r="O23" s="186"/>
      <c r="P23" s="186"/>
      <c r="Q23" s="186"/>
      <c r="R23" s="186"/>
      <c r="S23" s="186"/>
      <c r="T23" s="186"/>
      <c r="U23" s="186"/>
    </row>
    <row r="24" spans="1:21">
      <c r="A24" s="182">
        <v>10</v>
      </c>
      <c r="C24" s="180" t="s">
        <v>140</v>
      </c>
      <c r="E24" s="182">
        <v>10</v>
      </c>
      <c r="G24" s="180" t="s">
        <v>140</v>
      </c>
      <c r="I24" s="186"/>
      <c r="J24" s="186"/>
      <c r="K24" s="186"/>
      <c r="L24" s="186"/>
      <c r="M24" s="186"/>
      <c r="N24" s="186"/>
      <c r="O24" s="186"/>
      <c r="P24" s="186"/>
      <c r="Q24" s="186"/>
      <c r="R24" s="186"/>
      <c r="S24" s="186"/>
      <c r="T24" s="186"/>
      <c r="U24" s="186"/>
    </row>
    <row r="25" spans="1:21">
      <c r="A25" s="182">
        <v>11</v>
      </c>
      <c r="C25" s="180" t="s">
        <v>69</v>
      </c>
      <c r="E25" s="182">
        <v>11</v>
      </c>
      <c r="G25" s="180" t="s">
        <v>69</v>
      </c>
      <c r="I25" s="187"/>
      <c r="J25" s="187"/>
      <c r="K25" s="187"/>
      <c r="L25" s="187"/>
      <c r="M25" s="187"/>
      <c r="N25" s="187"/>
      <c r="O25" s="187"/>
      <c r="P25" s="187"/>
      <c r="Q25" s="187"/>
      <c r="R25" s="187"/>
      <c r="S25" s="187"/>
      <c r="T25" s="187"/>
      <c r="U25" s="187"/>
    </row>
    <row r="26" spans="1:21">
      <c r="A26" s="182">
        <v>12</v>
      </c>
      <c r="B26" s="180" t="s">
        <v>76</v>
      </c>
      <c r="E26" s="182">
        <v>12</v>
      </c>
      <c r="F26" s="180" t="s">
        <v>76</v>
      </c>
      <c r="I26" s="186">
        <f>SUM(I21:I25)</f>
        <v>0</v>
      </c>
      <c r="J26" s="186">
        <f>SUM(J21:J25)</f>
        <v>0</v>
      </c>
      <c r="K26" s="186">
        <f>SUM(K21:K25)</f>
        <v>0</v>
      </c>
      <c r="L26" s="186">
        <f>SUM(L21:L25)</f>
        <v>0</v>
      </c>
      <c r="M26" s="186">
        <f>SUM(M21:M25)</f>
        <v>0</v>
      </c>
      <c r="N26" s="186">
        <f t="shared" ref="N26:T26" si="5">SUM(N21:N25)</f>
        <v>0</v>
      </c>
      <c r="O26" s="186">
        <f t="shared" si="5"/>
        <v>0</v>
      </c>
      <c r="P26" s="186">
        <f t="shared" si="5"/>
        <v>0</v>
      </c>
      <c r="Q26" s="186">
        <f t="shared" si="5"/>
        <v>0</v>
      </c>
      <c r="R26" s="186">
        <f t="shared" si="5"/>
        <v>0</v>
      </c>
      <c r="S26" s="186">
        <f t="shared" si="5"/>
        <v>0</v>
      </c>
      <c r="T26" s="186">
        <f t="shared" si="5"/>
        <v>0</v>
      </c>
      <c r="U26" s="186">
        <f t="shared" ref="U26" si="6">SUM(U21:U25)</f>
        <v>0</v>
      </c>
    </row>
    <row r="27" spans="1:21">
      <c r="A27" s="182"/>
      <c r="E27" s="182"/>
      <c r="I27" s="186"/>
      <c r="J27" s="186"/>
      <c r="K27" s="186"/>
      <c r="L27" s="186"/>
      <c r="M27" s="186"/>
      <c r="N27" s="186"/>
      <c r="O27" s="186"/>
      <c r="P27" s="186"/>
      <c r="Q27" s="186"/>
      <c r="R27" s="186"/>
      <c r="S27" s="186"/>
      <c r="T27" s="186"/>
      <c r="U27" s="186"/>
    </row>
    <row r="28" spans="1:21">
      <c r="A28" s="182"/>
      <c r="B28" s="180" t="s">
        <v>56</v>
      </c>
      <c r="E28" s="182"/>
      <c r="F28" s="180" t="s">
        <v>56</v>
      </c>
      <c r="I28" s="186"/>
      <c r="J28" s="186"/>
      <c r="K28" s="186"/>
      <c r="L28" s="186"/>
      <c r="M28" s="186"/>
      <c r="N28" s="186"/>
      <c r="O28" s="186"/>
      <c r="P28" s="186"/>
      <c r="Q28" s="186"/>
      <c r="R28" s="186"/>
      <c r="S28" s="186"/>
      <c r="T28" s="186"/>
      <c r="U28" s="186"/>
    </row>
    <row r="29" spans="1:21">
      <c r="A29" s="182">
        <v>13</v>
      </c>
      <c r="C29" s="180" t="s">
        <v>70</v>
      </c>
      <c r="E29" s="182">
        <v>13</v>
      </c>
      <c r="G29" s="180" t="s">
        <v>70</v>
      </c>
      <c r="I29" s="186"/>
      <c r="J29" s="186"/>
      <c r="K29" s="186"/>
      <c r="L29" s="186"/>
      <c r="M29" s="186"/>
      <c r="N29" s="186"/>
      <c r="O29" s="186"/>
      <c r="P29" s="186"/>
      <c r="Q29" s="186"/>
      <c r="R29" s="186"/>
      <c r="S29" s="186"/>
      <c r="T29" s="186"/>
      <c r="U29" s="186"/>
    </row>
    <row r="30" spans="1:21">
      <c r="A30" s="182">
        <v>14</v>
      </c>
      <c r="C30" s="180" t="s">
        <v>141</v>
      </c>
      <c r="E30" s="182">
        <v>14</v>
      </c>
      <c r="G30" s="180" t="s">
        <v>141</v>
      </c>
      <c r="I30" s="186"/>
      <c r="J30" s="186"/>
      <c r="K30" s="186"/>
      <c r="L30" s="186"/>
      <c r="M30" s="186"/>
      <c r="N30" s="186"/>
      <c r="O30" s="186"/>
      <c r="P30" s="186"/>
      <c r="Q30" s="186"/>
      <c r="R30" s="186"/>
      <c r="S30" s="186"/>
      <c r="T30" s="186"/>
      <c r="U30" s="186"/>
    </row>
    <row r="31" spans="1:21">
      <c r="A31" s="182">
        <v>15</v>
      </c>
      <c r="C31" s="180" t="s">
        <v>69</v>
      </c>
      <c r="D31" s="185">
        <v>3.8561999999999999E-2</v>
      </c>
      <c r="E31" s="182">
        <v>15</v>
      </c>
      <c r="G31" s="180" t="s">
        <v>69</v>
      </c>
      <c r="H31" s="497">
        <f>ROR!L16</f>
        <v>3.8545999999999997E-2</v>
      </c>
      <c r="I31" s="187">
        <f>I12*$H31</f>
        <v>-139.02491396965235</v>
      </c>
      <c r="J31" s="187">
        <f>J12*$H31</f>
        <v>-204.88307100842752</v>
      </c>
      <c r="K31" s="187">
        <f>K12*$H31</f>
        <v>-244.8582858878803</v>
      </c>
      <c r="L31" s="187">
        <f>L12*$H31</f>
        <v>-247.52330021317715</v>
      </c>
      <c r="M31" s="187">
        <f>M12*$H31</f>
        <v>-272.43714625420984</v>
      </c>
      <c r="N31" s="187">
        <f>N12*$D31</f>
        <v>-266.79687571981992</v>
      </c>
      <c r="O31" s="187">
        <f>O12*$D31</f>
        <v>-265.66638048371897</v>
      </c>
      <c r="P31" s="187">
        <f t="shared" ref="P31:U31" si="7">P12*$D31</f>
        <v>-269.17899068160403</v>
      </c>
      <c r="Q31" s="187">
        <f t="shared" si="7"/>
        <v>-488.21244267615958</v>
      </c>
      <c r="R31" s="187">
        <f t="shared" si="7"/>
        <v>-762.2767877709141</v>
      </c>
      <c r="S31" s="187">
        <f t="shared" si="7"/>
        <v>-786.62281017694488</v>
      </c>
      <c r="T31" s="187">
        <f t="shared" si="7"/>
        <v>-811.61482986074759</v>
      </c>
      <c r="U31" s="187">
        <f t="shared" si="7"/>
        <v>-682.57687362579838</v>
      </c>
    </row>
    <row r="32" spans="1:21">
      <c r="A32" s="182">
        <v>16</v>
      </c>
      <c r="B32" s="180" t="s">
        <v>75</v>
      </c>
      <c r="E32" s="182">
        <v>16</v>
      </c>
      <c r="F32" s="180" t="s">
        <v>75</v>
      </c>
      <c r="H32" s="233"/>
      <c r="I32" s="186">
        <f>SUM(I29:I31)</f>
        <v>-139.02491396965235</v>
      </c>
      <c r="J32" s="186">
        <f>SUM(J29:J31)</f>
        <v>-204.88307100842752</v>
      </c>
      <c r="K32" s="186">
        <f>SUM(K29:K31)</f>
        <v>-244.8582858878803</v>
      </c>
      <c r="L32" s="186">
        <f>SUM(L29:L31)</f>
        <v>-247.52330021317715</v>
      </c>
      <c r="M32" s="186">
        <f>SUM(M29:M31)</f>
        <v>-272.43714625420984</v>
      </c>
      <c r="N32" s="186">
        <f t="shared" ref="N32:T32" si="8">SUM(N29:N31)</f>
        <v>-266.79687571981992</v>
      </c>
      <c r="O32" s="186">
        <f t="shared" si="8"/>
        <v>-265.66638048371897</v>
      </c>
      <c r="P32" s="186">
        <f t="shared" si="8"/>
        <v>-269.17899068160403</v>
      </c>
      <c r="Q32" s="186">
        <f t="shared" si="8"/>
        <v>-488.21244267615958</v>
      </c>
      <c r="R32" s="186">
        <f t="shared" si="8"/>
        <v>-762.2767877709141</v>
      </c>
      <c r="S32" s="186">
        <f t="shared" si="8"/>
        <v>-786.62281017694488</v>
      </c>
      <c r="T32" s="186">
        <f t="shared" si="8"/>
        <v>-811.61482986074759</v>
      </c>
      <c r="U32" s="186">
        <f t="shared" ref="U32" si="9">SUM(U29:U31)</f>
        <v>-682.57687362579838</v>
      </c>
    </row>
    <row r="33" spans="1:21">
      <c r="A33" s="182"/>
      <c r="E33" s="182"/>
      <c r="H33" s="233"/>
      <c r="I33" s="186"/>
      <c r="J33" s="186"/>
      <c r="K33" s="186"/>
      <c r="L33" s="186"/>
      <c r="M33" s="186"/>
      <c r="N33" s="186"/>
      <c r="O33" s="186"/>
      <c r="P33" s="186"/>
      <c r="Q33" s="186"/>
      <c r="R33" s="186"/>
      <c r="S33" s="186"/>
      <c r="T33" s="186"/>
      <c r="U33" s="186"/>
    </row>
    <row r="34" spans="1:21">
      <c r="A34" s="182">
        <v>17</v>
      </c>
      <c r="B34" s="180" t="s">
        <v>74</v>
      </c>
      <c r="D34" s="185">
        <v>4.3379999999999998E-3</v>
      </c>
      <c r="E34" s="182">
        <v>17</v>
      </c>
      <c r="F34" s="180" t="s">
        <v>74</v>
      </c>
      <c r="H34" s="497">
        <f>ROR!L12</f>
        <v>4.849E-3</v>
      </c>
      <c r="I34" s="186">
        <f>I12*$H34</f>
        <v>-17.489021113444828</v>
      </c>
      <c r="J34" s="186">
        <f>J12*$H34</f>
        <v>-25.773828965907363</v>
      </c>
      <c r="K34" s="186">
        <f>K12*$H34</f>
        <v>-30.80262097935795</v>
      </c>
      <c r="L34" s="186">
        <f>L12*$H34</f>
        <v>-31.137873780254658</v>
      </c>
      <c r="M34" s="186">
        <f>M12*$H34</f>
        <v>-34.271979509849622</v>
      </c>
      <c r="N34" s="186">
        <f t="shared" ref="N34:T34" si="10">N12*$D34</f>
        <v>-30.013091822845777</v>
      </c>
      <c r="O34" s="186">
        <f t="shared" si="10"/>
        <v>-29.885917704952362</v>
      </c>
      <c r="P34" s="186">
        <f t="shared" si="10"/>
        <v>-30.281065856978326</v>
      </c>
      <c r="Q34" s="186">
        <f t="shared" si="10"/>
        <v>-54.92105119882735</v>
      </c>
      <c r="R34" s="186">
        <f t="shared" si="10"/>
        <v>-85.7516909224165</v>
      </c>
      <c r="S34" s="186">
        <f t="shared" si="10"/>
        <v>-88.490476389906817</v>
      </c>
      <c r="T34" s="186">
        <f t="shared" si="10"/>
        <v>-91.301932781907652</v>
      </c>
      <c r="U34" s="186">
        <f t="shared" ref="U34" si="11">U12*$D34</f>
        <v>-76.7859156109308</v>
      </c>
    </row>
    <row r="35" spans="1:21">
      <c r="A35" s="182">
        <v>18</v>
      </c>
      <c r="B35" s="180" t="s">
        <v>73</v>
      </c>
      <c r="E35" s="182">
        <v>18</v>
      </c>
      <c r="F35" s="180" t="s">
        <v>73</v>
      </c>
      <c r="H35" s="233"/>
      <c r="I35" s="186">
        <v>-3443</v>
      </c>
      <c r="J35" s="186">
        <v>-5074</v>
      </c>
      <c r="K35" s="186">
        <v>-6064</v>
      </c>
      <c r="L35" s="186">
        <v>-6130</v>
      </c>
      <c r="M35" s="186">
        <f>-6330-417</f>
        <v>-6747</v>
      </c>
      <c r="N35" s="186">
        <v>-6608</v>
      </c>
      <c r="O35" s="186">
        <v>-6580</v>
      </c>
      <c r="P35" s="186">
        <v>-6667</v>
      </c>
      <c r="Q35" s="186">
        <v>-12092</v>
      </c>
      <c r="R35" s="186">
        <v>-18880</v>
      </c>
      <c r="S35" s="186">
        <v>-19483</v>
      </c>
      <c r="T35" s="186">
        <v>-20102</v>
      </c>
      <c r="U35" s="186">
        <f>-17498+592</f>
        <v>-16906</v>
      </c>
    </row>
    <row r="36" spans="1:21">
      <c r="A36" s="182">
        <v>19</v>
      </c>
      <c r="B36" s="180" t="s">
        <v>72</v>
      </c>
      <c r="E36" s="182">
        <v>19</v>
      </c>
      <c r="F36" s="180" t="s">
        <v>72</v>
      </c>
      <c r="H36" s="233"/>
      <c r="I36" s="186"/>
      <c r="J36" s="186"/>
      <c r="K36" s="186"/>
      <c r="L36" s="186"/>
      <c r="M36" s="186"/>
      <c r="N36" s="186"/>
      <c r="O36" s="186"/>
      <c r="P36" s="186"/>
      <c r="Q36" s="186"/>
      <c r="R36" s="186"/>
      <c r="S36" s="186"/>
      <c r="T36" s="186"/>
      <c r="U36" s="186"/>
    </row>
    <row r="37" spans="1:21">
      <c r="A37" s="182"/>
      <c r="E37" s="182"/>
      <c r="H37" s="233"/>
      <c r="I37" s="186"/>
      <c r="J37" s="186"/>
      <c r="K37" s="186"/>
      <c r="L37" s="186"/>
      <c r="M37" s="186"/>
      <c r="N37" s="186"/>
      <c r="O37" s="186"/>
      <c r="P37" s="186"/>
      <c r="Q37" s="186"/>
      <c r="R37" s="186"/>
      <c r="S37" s="186"/>
      <c r="T37" s="186"/>
      <c r="U37" s="186"/>
    </row>
    <row r="38" spans="1:21">
      <c r="A38" s="182"/>
      <c r="B38" s="180" t="s">
        <v>71</v>
      </c>
      <c r="E38" s="182"/>
      <c r="F38" s="180" t="s">
        <v>71</v>
      </c>
      <c r="H38" s="233"/>
      <c r="I38" s="186"/>
      <c r="J38" s="186"/>
      <c r="K38" s="186"/>
      <c r="L38" s="186"/>
      <c r="M38" s="186"/>
      <c r="N38" s="186"/>
      <c r="O38" s="186"/>
      <c r="P38" s="186"/>
      <c r="Q38" s="186"/>
      <c r="R38" s="186"/>
      <c r="S38" s="186"/>
      <c r="T38" s="186"/>
      <c r="U38" s="186"/>
    </row>
    <row r="39" spans="1:21">
      <c r="A39" s="182">
        <v>20</v>
      </c>
      <c r="C39" s="180" t="s">
        <v>70</v>
      </c>
      <c r="D39" s="185">
        <v>2E-3</v>
      </c>
      <c r="E39" s="182">
        <v>20</v>
      </c>
      <c r="G39" s="180" t="s">
        <v>70</v>
      </c>
      <c r="H39" s="497">
        <f>ROR!L14</f>
        <v>2E-3</v>
      </c>
      <c r="I39" s="186">
        <f>I12*$H39</f>
        <v>-7.2134547797256454</v>
      </c>
      <c r="J39" s="186">
        <f>J12*$H39</f>
        <v>-10.630574949848366</v>
      </c>
      <c r="K39" s="186">
        <f>K12*$H39</f>
        <v>-12.704731276287051</v>
      </c>
      <c r="L39" s="186">
        <f>L12*$H39</f>
        <v>-12.843008364716296</v>
      </c>
      <c r="M39" s="186">
        <f>M12*$H39</f>
        <v>-14.135689630789699</v>
      </c>
      <c r="N39" s="186">
        <f t="shared" ref="N39:T39" si="12">N12*$D39</f>
        <v>-13.837294524133601</v>
      </c>
      <c r="O39" s="186">
        <f t="shared" si="12"/>
        <v>-13.778661920217779</v>
      </c>
      <c r="P39" s="186">
        <f t="shared" si="12"/>
        <v>-13.960841796670506</v>
      </c>
      <c r="Q39" s="186">
        <f t="shared" si="12"/>
        <v>-25.320908805360698</v>
      </c>
      <c r="R39" s="186">
        <f t="shared" si="12"/>
        <v>-39.535127211810284</v>
      </c>
      <c r="S39" s="186">
        <f t="shared" si="12"/>
        <v>-40.797822217568843</v>
      </c>
      <c r="T39" s="186">
        <f t="shared" si="12"/>
        <v>-42.094021568422157</v>
      </c>
      <c r="U39" s="186">
        <f t="shared" ref="U39" si="13">U12*$D39</f>
        <v>-35.401528635744953</v>
      </c>
    </row>
    <row r="40" spans="1:21">
      <c r="A40" s="182">
        <v>21</v>
      </c>
      <c r="C40" s="180" t="s">
        <v>141</v>
      </c>
      <c r="E40" s="182">
        <v>21</v>
      </c>
      <c r="G40" s="180" t="s">
        <v>141</v>
      </c>
      <c r="I40" s="186"/>
      <c r="J40" s="186"/>
      <c r="K40" s="186"/>
      <c r="L40" s="186"/>
      <c r="M40" s="186"/>
      <c r="N40" s="186"/>
      <c r="O40" s="186"/>
      <c r="P40" s="186"/>
      <c r="Q40" s="186"/>
      <c r="R40" s="186"/>
      <c r="S40" s="186"/>
      <c r="T40" s="186"/>
      <c r="U40" s="186"/>
    </row>
    <row r="41" spans="1:21">
      <c r="A41" s="182">
        <v>22</v>
      </c>
      <c r="C41" s="180" t="s">
        <v>69</v>
      </c>
      <c r="E41" s="182">
        <v>22</v>
      </c>
      <c r="G41" s="180" t="s">
        <v>69</v>
      </c>
      <c r="I41" s="187"/>
      <c r="J41" s="187"/>
      <c r="K41" s="187"/>
      <c r="L41" s="187"/>
      <c r="M41" s="187"/>
      <c r="N41" s="187"/>
      <c r="O41" s="187"/>
      <c r="P41" s="187"/>
      <c r="Q41" s="187"/>
      <c r="R41" s="187"/>
      <c r="S41" s="187"/>
      <c r="T41" s="187"/>
      <c r="U41" s="187"/>
    </row>
    <row r="42" spans="1:21">
      <c r="A42" s="182">
        <v>23</v>
      </c>
      <c r="B42" s="180" t="s">
        <v>68</v>
      </c>
      <c r="E42" s="182">
        <v>23</v>
      </c>
      <c r="F42" s="180" t="s">
        <v>68</v>
      </c>
      <c r="I42" s="188">
        <f>SUM(I39:I41)</f>
        <v>-7.2134547797256454</v>
      </c>
      <c r="J42" s="188">
        <f>SUM(J39:J41)</f>
        <v>-10.630574949848366</v>
      </c>
      <c r="K42" s="188">
        <f>SUM(K39:K41)</f>
        <v>-12.704731276287051</v>
      </c>
      <c r="L42" s="188">
        <f>SUM(L39:L41)</f>
        <v>-12.843008364716296</v>
      </c>
      <c r="M42" s="188">
        <f>SUM(M39:M41)</f>
        <v>-14.135689630789699</v>
      </c>
      <c r="N42" s="188">
        <f t="shared" ref="N42:T42" si="14">SUM(N39:N41)</f>
        <v>-13.837294524133601</v>
      </c>
      <c r="O42" s="188">
        <f t="shared" si="14"/>
        <v>-13.778661920217779</v>
      </c>
      <c r="P42" s="188">
        <f t="shared" si="14"/>
        <v>-13.960841796670506</v>
      </c>
      <c r="Q42" s="188">
        <f t="shared" si="14"/>
        <v>-25.320908805360698</v>
      </c>
      <c r="R42" s="188">
        <f t="shared" si="14"/>
        <v>-39.535127211810284</v>
      </c>
      <c r="S42" s="188">
        <f t="shared" si="14"/>
        <v>-40.797822217568843</v>
      </c>
      <c r="T42" s="188">
        <f t="shared" si="14"/>
        <v>-42.094021568422157</v>
      </c>
      <c r="U42" s="188">
        <f t="shared" ref="U42" si="15">SUM(U39:U41)</f>
        <v>-35.401528635744953</v>
      </c>
    </row>
    <row r="43" spans="1:21">
      <c r="A43" s="182">
        <v>24</v>
      </c>
      <c r="B43" s="180" t="s">
        <v>67</v>
      </c>
      <c r="E43" s="182">
        <v>24</v>
      </c>
      <c r="F43" s="180" t="s">
        <v>67</v>
      </c>
      <c r="I43" s="188">
        <f>I26+I32+I34+I35+I36+I42</f>
        <v>-3606.7273898628227</v>
      </c>
      <c r="J43" s="188">
        <f>J26+J32+J34+J35+J36+J42</f>
        <v>-5315.2874749241837</v>
      </c>
      <c r="K43" s="188">
        <f>K26+K32+K34+K35+K36+K42</f>
        <v>-6352.3656381435248</v>
      </c>
      <c r="L43" s="188">
        <f>L26+L32+L34+L35+L36+L42</f>
        <v>-6421.5041823581478</v>
      </c>
      <c r="M43" s="188">
        <f>M26+M32+M34+M35+M36+M42</f>
        <v>-7067.8448153948493</v>
      </c>
      <c r="N43" s="188">
        <f t="shared" ref="N43:T43" si="16">N26+N32+N34+N35+N36+N42</f>
        <v>-6918.6472620667992</v>
      </c>
      <c r="O43" s="188">
        <f t="shared" si="16"/>
        <v>-6889.3309601088895</v>
      </c>
      <c r="P43" s="188">
        <f t="shared" si="16"/>
        <v>-6980.4208983352528</v>
      </c>
      <c r="Q43" s="188">
        <f t="shared" si="16"/>
        <v>-12660.454402680347</v>
      </c>
      <c r="R43" s="188">
        <f t="shared" si="16"/>
        <v>-19767.563605905139</v>
      </c>
      <c r="S43" s="188">
        <f t="shared" si="16"/>
        <v>-20398.911108784421</v>
      </c>
      <c r="T43" s="188">
        <f t="shared" si="16"/>
        <v>-21047.010784211077</v>
      </c>
      <c r="U43" s="188">
        <f t="shared" ref="U43" si="17">U26+U32+U34+U35+U36+U42</f>
        <v>-17700.764317872476</v>
      </c>
    </row>
    <row r="44" spans="1:21">
      <c r="A44" s="182"/>
      <c r="E44" s="182"/>
      <c r="I44" s="186"/>
      <c r="J44" s="186"/>
      <c r="K44" s="186"/>
      <c r="L44" s="186"/>
      <c r="M44" s="186"/>
      <c r="N44" s="186"/>
      <c r="O44" s="186"/>
      <c r="P44" s="186"/>
      <c r="Q44" s="186"/>
      <c r="R44" s="186"/>
      <c r="S44" s="186"/>
      <c r="T44" s="186"/>
      <c r="U44" s="186"/>
    </row>
    <row r="45" spans="1:21">
      <c r="A45" s="182">
        <v>25</v>
      </c>
      <c r="B45" s="180" t="s">
        <v>66</v>
      </c>
      <c r="E45" s="182">
        <v>25</v>
      </c>
      <c r="F45" s="180" t="s">
        <v>66</v>
      </c>
      <c r="I45" s="186">
        <f>I17-I43</f>
        <v>0</v>
      </c>
      <c r="J45" s="186">
        <f>J17-J43</f>
        <v>0</v>
      </c>
      <c r="K45" s="186">
        <f>K17-K43</f>
        <v>0</v>
      </c>
      <c r="L45" s="186">
        <f>L17-L43</f>
        <v>0</v>
      </c>
      <c r="M45" s="186">
        <f>M17-M43</f>
        <v>0</v>
      </c>
      <c r="N45" s="186">
        <f t="shared" ref="N45:T45" si="18">N17-N43</f>
        <v>0</v>
      </c>
      <c r="O45" s="186">
        <f t="shared" si="18"/>
        <v>0</v>
      </c>
      <c r="P45" s="186">
        <f t="shared" si="18"/>
        <v>0</v>
      </c>
      <c r="Q45" s="186">
        <f t="shared" si="18"/>
        <v>0</v>
      </c>
      <c r="R45" s="186">
        <f t="shared" si="18"/>
        <v>0</v>
      </c>
      <c r="S45" s="186">
        <f t="shared" si="18"/>
        <v>0</v>
      </c>
      <c r="T45" s="186">
        <f t="shared" si="18"/>
        <v>0</v>
      </c>
      <c r="U45" s="186">
        <f t="shared" ref="U45" si="19">U17-U43</f>
        <v>0</v>
      </c>
    </row>
    <row r="46" spans="1:21">
      <c r="A46" s="182"/>
      <c r="E46" s="182"/>
      <c r="I46" s="186"/>
      <c r="J46" s="186"/>
      <c r="K46" s="186"/>
      <c r="L46" s="186"/>
      <c r="M46" s="186"/>
      <c r="N46" s="186"/>
      <c r="O46" s="186"/>
      <c r="P46" s="186"/>
      <c r="Q46" s="186"/>
      <c r="R46" s="186"/>
      <c r="S46" s="186"/>
      <c r="T46" s="186"/>
      <c r="U46" s="186"/>
    </row>
    <row r="47" spans="1:21">
      <c r="A47" s="182"/>
      <c r="B47" s="180" t="s">
        <v>65</v>
      </c>
      <c r="E47" s="182"/>
      <c r="F47" s="180" t="s">
        <v>65</v>
      </c>
      <c r="I47" s="186"/>
      <c r="J47" s="186"/>
      <c r="K47" s="186"/>
      <c r="L47" s="186"/>
      <c r="M47" s="186"/>
      <c r="N47" s="186"/>
      <c r="O47" s="186"/>
      <c r="P47" s="186"/>
      <c r="Q47" s="186"/>
      <c r="R47" s="186"/>
      <c r="S47" s="186"/>
      <c r="T47" s="186"/>
      <c r="U47" s="186"/>
    </row>
    <row r="48" spans="1:21">
      <c r="A48" s="182">
        <v>26</v>
      </c>
      <c r="B48" s="180" t="s">
        <v>142</v>
      </c>
      <c r="E48" s="182">
        <v>26</v>
      </c>
      <c r="F48" s="180" t="s">
        <v>142</v>
      </c>
      <c r="I48" s="186">
        <f>ROUND(0.35*I45,0)</f>
        <v>0</v>
      </c>
      <c r="J48" s="186">
        <f>ROUND(0.35*J45,0)</f>
        <v>0</v>
      </c>
      <c r="K48" s="186">
        <f>ROUND(0.35*K45,0)</f>
        <v>0</v>
      </c>
      <c r="L48" s="186">
        <f>ROUND(0.35*L45,0)</f>
        <v>0</v>
      </c>
      <c r="M48" s="186">
        <f>ROUND(0.35*M45,0)</f>
        <v>0</v>
      </c>
      <c r="N48" s="186">
        <f t="shared" ref="N48:T48" si="20">ROUND(0.35*N45,0)</f>
        <v>0</v>
      </c>
      <c r="O48" s="186">
        <f t="shared" si="20"/>
        <v>0</v>
      </c>
      <c r="P48" s="186">
        <f t="shared" si="20"/>
        <v>0</v>
      </c>
      <c r="Q48" s="186">
        <f t="shared" si="20"/>
        <v>0</v>
      </c>
      <c r="R48" s="186">
        <f t="shared" si="20"/>
        <v>0</v>
      </c>
      <c r="S48" s="186">
        <f t="shared" si="20"/>
        <v>0</v>
      </c>
      <c r="T48" s="186">
        <f t="shared" si="20"/>
        <v>0</v>
      </c>
      <c r="U48" s="186">
        <f t="shared" ref="U48" si="21">ROUND(0.35*U45,0)</f>
        <v>0</v>
      </c>
    </row>
    <row r="49" spans="1:21">
      <c r="A49" s="182">
        <v>27</v>
      </c>
      <c r="B49" s="180" t="s">
        <v>143</v>
      </c>
      <c r="E49" s="182">
        <v>27</v>
      </c>
      <c r="F49" s="180" t="s">
        <v>143</v>
      </c>
      <c r="I49" s="186"/>
      <c r="J49" s="186"/>
      <c r="K49" s="186"/>
      <c r="L49" s="186"/>
      <c r="M49" s="186"/>
      <c r="N49" s="186"/>
      <c r="O49" s="186"/>
      <c r="P49" s="186"/>
      <c r="Q49" s="186"/>
      <c r="R49" s="186"/>
      <c r="S49" s="186"/>
      <c r="T49" s="186"/>
      <c r="U49" s="186"/>
    </row>
    <row r="50" spans="1:21">
      <c r="A50" s="182">
        <v>28</v>
      </c>
      <c r="B50" s="180" t="s">
        <v>64</v>
      </c>
      <c r="E50" s="182">
        <v>28</v>
      </c>
      <c r="F50" s="180" t="s">
        <v>64</v>
      </c>
      <c r="I50" s="186"/>
      <c r="J50" s="186"/>
      <c r="K50" s="186"/>
      <c r="L50" s="186"/>
      <c r="M50" s="186"/>
      <c r="N50" s="186"/>
      <c r="O50" s="186"/>
      <c r="P50" s="186"/>
      <c r="Q50" s="186"/>
      <c r="R50" s="186"/>
      <c r="S50" s="186"/>
      <c r="T50" s="186"/>
      <c r="U50" s="186"/>
    </row>
    <row r="51" spans="1:21">
      <c r="A51" s="182">
        <v>29</v>
      </c>
      <c r="B51" s="180" t="s">
        <v>63</v>
      </c>
      <c r="E51" s="182">
        <v>29</v>
      </c>
      <c r="F51" s="180" t="s">
        <v>63</v>
      </c>
      <c r="I51" s="187"/>
      <c r="J51" s="187"/>
      <c r="K51" s="187"/>
      <c r="L51" s="187"/>
      <c r="M51" s="187"/>
      <c r="N51" s="187"/>
      <c r="O51" s="187"/>
      <c r="P51" s="187"/>
      <c r="Q51" s="187"/>
      <c r="R51" s="187"/>
      <c r="S51" s="187"/>
      <c r="T51" s="187"/>
      <c r="U51" s="187"/>
    </row>
    <row r="52" spans="1:21">
      <c r="A52" s="182"/>
      <c r="E52" s="182"/>
      <c r="I52" s="186"/>
      <c r="J52" s="186"/>
      <c r="K52" s="186"/>
      <c r="L52" s="186"/>
      <c r="M52" s="186"/>
      <c r="N52" s="186"/>
      <c r="O52" s="186"/>
      <c r="P52" s="186"/>
      <c r="Q52" s="186"/>
      <c r="R52" s="186"/>
      <c r="S52" s="186"/>
      <c r="T52" s="186"/>
      <c r="U52" s="186"/>
    </row>
    <row r="53" spans="1:21">
      <c r="A53" s="182">
        <v>30</v>
      </c>
      <c r="B53" s="180" t="s">
        <v>62</v>
      </c>
      <c r="E53" s="182">
        <v>30</v>
      </c>
      <c r="F53" s="180" t="s">
        <v>62</v>
      </c>
      <c r="I53" s="186">
        <f>I45-I48-I49-I50-I51</f>
        <v>0</v>
      </c>
      <c r="J53" s="186">
        <f>J45-J48-J49-J50-J51</f>
        <v>0</v>
      </c>
      <c r="K53" s="186">
        <f>K45-K48-K49-K50-K51</f>
        <v>0</v>
      </c>
      <c r="L53" s="186">
        <f>L45-L48-L49-L50-L51</f>
        <v>0</v>
      </c>
      <c r="M53" s="186">
        <f>M45-M48-M49-M50-M51</f>
        <v>0</v>
      </c>
      <c r="N53" s="186">
        <f t="shared" ref="N53:T53" si="22">N45-N48-N49-N50-N51</f>
        <v>0</v>
      </c>
      <c r="O53" s="186">
        <f t="shared" si="22"/>
        <v>0</v>
      </c>
      <c r="P53" s="186">
        <f t="shared" si="22"/>
        <v>0</v>
      </c>
      <c r="Q53" s="186">
        <f t="shared" si="22"/>
        <v>0</v>
      </c>
      <c r="R53" s="186">
        <f t="shared" si="22"/>
        <v>0</v>
      </c>
      <c r="S53" s="186">
        <f t="shared" si="22"/>
        <v>0</v>
      </c>
      <c r="T53" s="186">
        <f t="shared" si="22"/>
        <v>0</v>
      </c>
      <c r="U53" s="186">
        <f t="shared" ref="U53" si="23">U45-U48-U49-U50-U51</f>
        <v>0</v>
      </c>
    </row>
    <row r="54" spans="1:21">
      <c r="A54" s="182"/>
      <c r="E54" s="182"/>
    </row>
    <row r="55" spans="1:21">
      <c r="B55" s="180" t="s">
        <v>241</v>
      </c>
      <c r="F55" s="180" t="s">
        <v>415</v>
      </c>
    </row>
    <row r="56" spans="1:21">
      <c r="F56" s="180" t="s">
        <v>302</v>
      </c>
    </row>
    <row r="57" spans="1:21">
      <c r="F57" s="180" t="s">
        <v>566</v>
      </c>
    </row>
  </sheetData>
  <phoneticPr fontId="54" type="noConversion"/>
  <pageMargins left="0.7" right="0.7" top="0.33" bottom="0.5" header="0.17" footer="0.3"/>
  <pageSetup scale="75" orientation="landscape" r:id="rId1"/>
  <headerFooter>
    <oddFooter>&amp;C&amp;F/&amp;A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W58"/>
  <sheetViews>
    <sheetView topLeftCell="E4" workbookViewId="0">
      <selection activeCell="Y26" sqref="Y26"/>
    </sheetView>
  </sheetViews>
  <sheetFormatPr defaultColWidth="9.140625" defaultRowHeight="12.75"/>
  <cols>
    <col min="1" max="1" width="6.7109375" style="180" hidden="1" customWidth="1"/>
    <col min="2" max="2" width="3.42578125" style="180" hidden="1" customWidth="1"/>
    <col min="3" max="3" width="26.140625" style="180" hidden="1" customWidth="1"/>
    <col min="4" max="4" width="9" style="180" hidden="1" customWidth="1"/>
    <col min="5" max="5" width="6.7109375" style="180" customWidth="1"/>
    <col min="6" max="6" width="3.42578125" style="180" customWidth="1"/>
    <col min="7" max="7" width="26.140625" style="180" customWidth="1"/>
    <col min="8" max="8" width="9" style="180" bestFit="1" customWidth="1"/>
    <col min="9" max="12" width="7.5703125" style="180" bestFit="1" customWidth="1"/>
    <col min="13" max="15" width="7.5703125" style="233" bestFit="1" customWidth="1"/>
    <col min="16" max="20" width="7.5703125" style="180" bestFit="1" customWidth="1"/>
    <col min="21" max="22" width="9.140625" style="180"/>
    <col min="23" max="23" width="10.42578125" style="180" customWidth="1"/>
    <col min="24" max="16384" width="9.140625" style="180"/>
  </cols>
  <sheetData>
    <row r="2" spans="1:23">
      <c r="A2" s="180" t="s">
        <v>94</v>
      </c>
      <c r="E2" s="180" t="s">
        <v>94</v>
      </c>
    </row>
    <row r="3" spans="1:23">
      <c r="A3" s="180" t="s">
        <v>136</v>
      </c>
      <c r="E3" s="180" t="s">
        <v>136</v>
      </c>
    </row>
    <row r="4" spans="1:23">
      <c r="A4" s="180" t="s">
        <v>236</v>
      </c>
      <c r="E4" s="180" t="s">
        <v>301</v>
      </c>
    </row>
    <row r="5" spans="1:23">
      <c r="A5" s="180" t="s">
        <v>93</v>
      </c>
      <c r="E5" s="180" t="s">
        <v>93</v>
      </c>
    </row>
    <row r="7" spans="1:23">
      <c r="I7" s="181">
        <v>2000</v>
      </c>
      <c r="J7" s="181">
        <v>2001</v>
      </c>
      <c r="K7" s="181">
        <v>2002</v>
      </c>
      <c r="L7" s="181">
        <v>2003</v>
      </c>
      <c r="M7" s="625">
        <v>2004</v>
      </c>
      <c r="N7" s="636">
        <v>2005</v>
      </c>
      <c r="O7" s="625">
        <v>2006</v>
      </c>
      <c r="P7" s="181">
        <v>2007</v>
      </c>
      <c r="Q7" s="181">
        <v>2008</v>
      </c>
      <c r="R7" s="181">
        <v>2009</v>
      </c>
      <c r="S7" s="181">
        <v>2010</v>
      </c>
      <c r="T7" s="181">
        <v>2011</v>
      </c>
      <c r="U7" s="181">
        <v>2012</v>
      </c>
      <c r="V7" s="642" t="s">
        <v>557</v>
      </c>
      <c r="W7" s="642"/>
    </row>
    <row r="8" spans="1:23">
      <c r="A8" s="182" t="s">
        <v>3</v>
      </c>
      <c r="E8" s="182" t="s">
        <v>3</v>
      </c>
      <c r="I8" s="182" t="s">
        <v>92</v>
      </c>
      <c r="J8" s="182" t="s">
        <v>92</v>
      </c>
      <c r="K8" s="182" t="s">
        <v>92</v>
      </c>
      <c r="L8" s="182" t="s">
        <v>92</v>
      </c>
      <c r="M8" s="626" t="s">
        <v>92</v>
      </c>
      <c r="N8" s="637" t="s">
        <v>92</v>
      </c>
      <c r="O8" s="626" t="s">
        <v>92</v>
      </c>
      <c r="P8" s="182" t="s">
        <v>92</v>
      </c>
      <c r="Q8" s="182" t="s">
        <v>92</v>
      </c>
      <c r="R8" s="182" t="s">
        <v>92</v>
      </c>
      <c r="S8" s="182" t="s">
        <v>92</v>
      </c>
      <c r="T8" s="182" t="s">
        <v>92</v>
      </c>
      <c r="U8" s="370" t="s">
        <v>92</v>
      </c>
      <c r="V8" s="632" t="s">
        <v>564</v>
      </c>
    </row>
    <row r="9" spans="1:23">
      <c r="A9" s="183" t="s">
        <v>90</v>
      </c>
      <c r="C9" s="184" t="s">
        <v>4</v>
      </c>
      <c r="D9" s="182" t="s">
        <v>237</v>
      </c>
      <c r="E9" s="183" t="s">
        <v>90</v>
      </c>
      <c r="G9" s="184" t="s">
        <v>4</v>
      </c>
      <c r="H9" s="182" t="s">
        <v>237</v>
      </c>
      <c r="I9" s="183" t="s">
        <v>238</v>
      </c>
      <c r="J9" s="183" t="s">
        <v>238</v>
      </c>
      <c r="K9" s="183" t="s">
        <v>238</v>
      </c>
      <c r="L9" s="183" t="s">
        <v>238</v>
      </c>
      <c r="M9" s="627" t="s">
        <v>238</v>
      </c>
      <c r="N9" s="638" t="s">
        <v>238</v>
      </c>
      <c r="O9" s="627" t="s">
        <v>238</v>
      </c>
      <c r="P9" s="183" t="s">
        <v>238</v>
      </c>
      <c r="Q9" s="183" t="s">
        <v>238</v>
      </c>
      <c r="R9" s="183" t="s">
        <v>238</v>
      </c>
      <c r="S9" s="183" t="s">
        <v>238</v>
      </c>
      <c r="T9" s="183" t="s">
        <v>238</v>
      </c>
      <c r="U9" s="183" t="s">
        <v>238</v>
      </c>
    </row>
    <row r="10" spans="1:23">
      <c r="A10" s="182"/>
      <c r="E10" s="182"/>
      <c r="I10" s="180" t="s">
        <v>240</v>
      </c>
      <c r="M10" s="624"/>
      <c r="O10" s="624"/>
    </row>
    <row r="11" spans="1:23">
      <c r="A11" s="182"/>
      <c r="B11" s="180" t="s">
        <v>86</v>
      </c>
      <c r="E11" s="182"/>
      <c r="F11" s="180" t="s">
        <v>86</v>
      </c>
      <c r="M11" s="624"/>
      <c r="O11" s="624"/>
    </row>
    <row r="12" spans="1:23">
      <c r="A12" s="182">
        <v>1</v>
      </c>
      <c r="B12" s="180" t="s">
        <v>85</v>
      </c>
      <c r="D12" s="185">
        <v>0.95509999999999995</v>
      </c>
      <c r="E12" s="182">
        <v>1</v>
      </c>
      <c r="F12" s="180" t="s">
        <v>85</v>
      </c>
      <c r="H12" s="497">
        <f>ROR!L20</f>
        <v>0.95460500000000004</v>
      </c>
      <c r="I12" s="186">
        <f>I24/$H12</f>
        <v>17435.483786487603</v>
      </c>
      <c r="J12" s="186">
        <f>J24/$H12</f>
        <v>1483.3360395137256</v>
      </c>
      <c r="K12" s="186">
        <f>K24/$H12</f>
        <v>7869.2233960643407</v>
      </c>
      <c r="L12" s="186">
        <f>L24/$H12</f>
        <v>6640.4429057044536</v>
      </c>
      <c r="M12" s="628">
        <f>M24/$H12</f>
        <v>7500.4844935863521</v>
      </c>
      <c r="N12" s="639">
        <f t="shared" ref="N12:T12" si="0">N24/$D12</f>
        <v>9829.3372421735949</v>
      </c>
      <c r="O12" s="628">
        <f t="shared" si="0"/>
        <v>10768.505915610931</v>
      </c>
      <c r="P12" s="186">
        <f t="shared" si="0"/>
        <v>5844.4141974662343</v>
      </c>
      <c r="Q12" s="186">
        <f t="shared" si="0"/>
        <v>3744.1105643388128</v>
      </c>
      <c r="R12" s="186">
        <f t="shared" si="0"/>
        <v>4193.2781907653653</v>
      </c>
      <c r="S12" s="186">
        <f t="shared" si="0"/>
        <v>6537.535336613967</v>
      </c>
      <c r="T12" s="186">
        <f t="shared" si="0"/>
        <v>4826.7197152130666</v>
      </c>
      <c r="U12" s="186">
        <f t="shared" ref="U12" si="1">U24/$D12</f>
        <v>9091.1946393047856</v>
      </c>
    </row>
    <row r="13" spans="1:23">
      <c r="A13" s="182">
        <v>2</v>
      </c>
      <c r="B13" s="180" t="s">
        <v>84</v>
      </c>
      <c r="E13" s="182">
        <v>2</v>
      </c>
      <c r="F13" s="180" t="s">
        <v>84</v>
      </c>
      <c r="H13" s="233"/>
      <c r="I13" s="186"/>
      <c r="J13" s="186"/>
      <c r="K13" s="186"/>
      <c r="L13" s="186"/>
      <c r="M13" s="628"/>
      <c r="N13" s="639"/>
      <c r="O13" s="628"/>
      <c r="P13" s="186"/>
      <c r="Q13" s="186"/>
      <c r="R13" s="186"/>
      <c r="S13" s="186"/>
      <c r="T13" s="186"/>
      <c r="U13" s="186"/>
    </row>
    <row r="14" spans="1:23">
      <c r="A14" s="182">
        <v>3</v>
      </c>
      <c r="B14" s="180" t="s">
        <v>83</v>
      </c>
      <c r="E14" s="182">
        <v>3</v>
      </c>
      <c r="F14" s="180" t="s">
        <v>83</v>
      </c>
      <c r="H14" s="233"/>
      <c r="I14" s="187"/>
      <c r="J14" s="187"/>
      <c r="K14" s="187"/>
      <c r="L14" s="187"/>
      <c r="M14" s="629"/>
      <c r="N14" s="640"/>
      <c r="O14" s="629"/>
      <c r="P14" s="187"/>
      <c r="Q14" s="187"/>
      <c r="R14" s="187"/>
      <c r="S14" s="187"/>
      <c r="T14" s="187"/>
      <c r="U14" s="187"/>
    </row>
    <row r="15" spans="1:23">
      <c r="A15" s="182">
        <v>4</v>
      </c>
      <c r="B15" s="180" t="s">
        <v>82</v>
      </c>
      <c r="E15" s="182">
        <v>4</v>
      </c>
      <c r="F15" s="180" t="s">
        <v>82</v>
      </c>
      <c r="H15" s="233"/>
      <c r="I15" s="186">
        <f>SUM(I12:I14)</f>
        <v>17435.483786487603</v>
      </c>
      <c r="J15" s="186">
        <f>SUM(J12:J14)</f>
        <v>1483.3360395137256</v>
      </c>
      <c r="K15" s="186">
        <f>SUM(K12:K14)</f>
        <v>7869.2233960643407</v>
      </c>
      <c r="L15" s="186">
        <f>SUM(L12:L14)</f>
        <v>6640.4429057044536</v>
      </c>
      <c r="M15" s="628">
        <f>SUM(M12:M14)</f>
        <v>7500.4844935863521</v>
      </c>
      <c r="N15" s="639">
        <f t="shared" ref="N15:T15" si="2">SUM(N12:N14)</f>
        <v>9829.3372421735949</v>
      </c>
      <c r="O15" s="628">
        <f t="shared" si="2"/>
        <v>10768.505915610931</v>
      </c>
      <c r="P15" s="186">
        <f t="shared" si="2"/>
        <v>5844.4141974662343</v>
      </c>
      <c r="Q15" s="186">
        <f t="shared" si="2"/>
        <v>3744.1105643388128</v>
      </c>
      <c r="R15" s="186">
        <f t="shared" si="2"/>
        <v>4193.2781907653653</v>
      </c>
      <c r="S15" s="186">
        <f t="shared" si="2"/>
        <v>6537.535336613967</v>
      </c>
      <c r="T15" s="186">
        <f t="shared" si="2"/>
        <v>4826.7197152130666</v>
      </c>
      <c r="U15" s="186">
        <f t="shared" ref="U15" si="3">SUM(U12:U14)</f>
        <v>9091.1946393047856</v>
      </c>
    </row>
    <row r="16" spans="1:23">
      <c r="A16" s="182">
        <v>5</v>
      </c>
      <c r="B16" s="180" t="s">
        <v>81</v>
      </c>
      <c r="E16" s="182">
        <v>5</v>
      </c>
      <c r="F16" s="180" t="s">
        <v>81</v>
      </c>
      <c r="H16" s="233"/>
      <c r="I16" s="187"/>
      <c r="J16" s="187"/>
      <c r="K16" s="187"/>
      <c r="L16" s="187"/>
      <c r="M16" s="629"/>
      <c r="N16" s="640"/>
      <c r="O16" s="629"/>
      <c r="P16" s="187"/>
      <c r="Q16" s="187"/>
      <c r="R16" s="187"/>
      <c r="S16" s="187"/>
      <c r="T16" s="187"/>
      <c r="U16" s="187"/>
    </row>
    <row r="17" spans="1:21">
      <c r="A17" s="182">
        <v>6</v>
      </c>
      <c r="B17" s="180" t="s">
        <v>80</v>
      </c>
      <c r="E17" s="182">
        <v>6</v>
      </c>
      <c r="F17" s="180" t="s">
        <v>80</v>
      </c>
      <c r="H17" s="233"/>
      <c r="I17" s="186">
        <f>I15+I16</f>
        <v>17435.483786487603</v>
      </c>
      <c r="J17" s="186">
        <f>J15+J16</f>
        <v>1483.3360395137256</v>
      </c>
      <c r="K17" s="186">
        <f>K15+K16</f>
        <v>7869.2233960643407</v>
      </c>
      <c r="L17" s="186">
        <f>L15+L16</f>
        <v>6640.4429057044536</v>
      </c>
      <c r="M17" s="628">
        <f>M15+M16</f>
        <v>7500.4844935863521</v>
      </c>
      <c r="N17" s="639">
        <f t="shared" ref="N17:T17" si="4">N15+N16</f>
        <v>9829.3372421735949</v>
      </c>
      <c r="O17" s="628">
        <f t="shared" si="4"/>
        <v>10768.505915610931</v>
      </c>
      <c r="P17" s="186">
        <f t="shared" si="4"/>
        <v>5844.4141974662343</v>
      </c>
      <c r="Q17" s="186">
        <f t="shared" si="4"/>
        <v>3744.1105643388128</v>
      </c>
      <c r="R17" s="186">
        <f t="shared" si="4"/>
        <v>4193.2781907653653</v>
      </c>
      <c r="S17" s="186">
        <f t="shared" si="4"/>
        <v>6537.535336613967</v>
      </c>
      <c r="T17" s="186">
        <f t="shared" si="4"/>
        <v>4826.7197152130666</v>
      </c>
      <c r="U17" s="186">
        <f t="shared" ref="U17" si="5">U15+U16</f>
        <v>9091.1946393047856</v>
      </c>
    </row>
    <row r="18" spans="1:21">
      <c r="A18" s="182"/>
      <c r="E18" s="182"/>
      <c r="H18" s="233"/>
      <c r="I18" s="186"/>
      <c r="J18" s="186"/>
      <c r="K18" s="186"/>
      <c r="L18" s="186"/>
      <c r="M18" s="628"/>
      <c r="N18" s="639"/>
      <c r="O18" s="628"/>
      <c r="P18" s="186"/>
      <c r="Q18" s="186"/>
      <c r="R18" s="186"/>
      <c r="S18" s="186"/>
      <c r="T18" s="186"/>
      <c r="U18" s="186"/>
    </row>
    <row r="19" spans="1:21">
      <c r="A19" s="182"/>
      <c r="B19" s="180" t="s">
        <v>79</v>
      </c>
      <c r="E19" s="182"/>
      <c r="F19" s="180" t="s">
        <v>79</v>
      </c>
      <c r="H19" s="233"/>
      <c r="I19" s="186"/>
      <c r="J19" s="186"/>
      <c r="K19" s="186"/>
      <c r="L19" s="186"/>
      <c r="M19" s="628"/>
      <c r="N19" s="639"/>
      <c r="O19" s="628"/>
      <c r="P19" s="186"/>
      <c r="Q19" s="186"/>
      <c r="R19" s="186"/>
      <c r="S19" s="186"/>
      <c r="T19" s="186"/>
      <c r="U19" s="186"/>
    </row>
    <row r="20" spans="1:21">
      <c r="A20" s="182"/>
      <c r="B20" s="180" t="s">
        <v>78</v>
      </c>
      <c r="E20" s="182"/>
      <c r="F20" s="180" t="s">
        <v>78</v>
      </c>
      <c r="H20" s="233"/>
      <c r="I20" s="186"/>
      <c r="J20" s="186"/>
      <c r="K20" s="186"/>
      <c r="L20" s="186"/>
      <c r="M20" s="628"/>
      <c r="N20" s="639"/>
      <c r="O20" s="628"/>
      <c r="P20" s="186"/>
      <c r="Q20" s="186"/>
      <c r="R20" s="186"/>
      <c r="S20" s="186"/>
      <c r="T20" s="186"/>
      <c r="U20" s="186"/>
    </row>
    <row r="21" spans="1:21">
      <c r="A21" s="182">
        <v>7</v>
      </c>
      <c r="C21" s="180" t="s">
        <v>70</v>
      </c>
      <c r="E21" s="182">
        <v>7</v>
      </c>
      <c r="G21" s="180" t="s">
        <v>70</v>
      </c>
      <c r="H21" s="233"/>
      <c r="I21" s="186"/>
      <c r="J21" s="186"/>
      <c r="K21" s="186"/>
      <c r="L21" s="186"/>
      <c r="M21" s="628"/>
      <c r="N21" s="639"/>
      <c r="O21" s="628"/>
      <c r="P21" s="186"/>
      <c r="Q21" s="186"/>
      <c r="R21" s="186"/>
      <c r="S21" s="186"/>
      <c r="T21" s="186"/>
      <c r="U21" s="186"/>
    </row>
    <row r="22" spans="1:21">
      <c r="A22" s="182">
        <v>8</v>
      </c>
      <c r="C22" s="180" t="s">
        <v>77</v>
      </c>
      <c r="E22" s="182">
        <v>8</v>
      </c>
      <c r="G22" s="180" t="s">
        <v>77</v>
      </c>
      <c r="H22" s="233"/>
      <c r="I22" s="186"/>
      <c r="J22" s="186"/>
      <c r="K22" s="186"/>
      <c r="L22" s="186"/>
      <c r="M22" s="628"/>
      <c r="N22" s="639"/>
      <c r="O22" s="628"/>
      <c r="P22" s="186"/>
      <c r="Q22" s="186"/>
      <c r="R22" s="186"/>
      <c r="S22" s="186"/>
      <c r="T22" s="186"/>
      <c r="U22" s="186"/>
    </row>
    <row r="23" spans="1:21">
      <c r="A23" s="182">
        <v>9</v>
      </c>
      <c r="C23" s="180" t="s">
        <v>139</v>
      </c>
      <c r="E23" s="182">
        <v>9</v>
      </c>
      <c r="G23" s="180" t="s">
        <v>139</v>
      </c>
      <c r="H23" s="233"/>
      <c r="I23" s="186"/>
      <c r="J23" s="186"/>
      <c r="K23" s="186"/>
      <c r="L23" s="186"/>
      <c r="M23" s="628"/>
      <c r="N23" s="639"/>
      <c r="O23" s="628"/>
      <c r="P23" s="186"/>
      <c r="Q23" s="186"/>
      <c r="R23" s="186"/>
      <c r="S23" s="186"/>
      <c r="T23" s="186"/>
      <c r="U23" s="186"/>
    </row>
    <row r="24" spans="1:21">
      <c r="A24" s="182">
        <v>10</v>
      </c>
      <c r="C24" s="180" t="s">
        <v>140</v>
      </c>
      <c r="E24" s="182">
        <v>10</v>
      </c>
      <c r="G24" s="180" t="s">
        <v>140</v>
      </c>
      <c r="H24" s="233"/>
      <c r="I24" s="186">
        <v>16644</v>
      </c>
      <c r="J24" s="186">
        <v>1416</v>
      </c>
      <c r="K24" s="186">
        <v>7512</v>
      </c>
      <c r="L24" s="186">
        <v>6339</v>
      </c>
      <c r="M24" s="628">
        <v>7160</v>
      </c>
      <c r="N24" s="639">
        <v>9388</v>
      </c>
      <c r="O24" s="628">
        <v>10285</v>
      </c>
      <c r="P24" s="186">
        <v>5582</v>
      </c>
      <c r="Q24" s="186">
        <v>3576</v>
      </c>
      <c r="R24" s="186">
        <v>4005</v>
      </c>
      <c r="S24" s="186">
        <v>6244</v>
      </c>
      <c r="T24" s="186">
        <f>4794-184</f>
        <v>4610</v>
      </c>
      <c r="U24" s="186">
        <f>8505+178</f>
        <v>8683</v>
      </c>
    </row>
    <row r="25" spans="1:21">
      <c r="A25" s="182">
        <v>11</v>
      </c>
      <c r="C25" s="180" t="s">
        <v>69</v>
      </c>
      <c r="E25" s="182">
        <v>11</v>
      </c>
      <c r="G25" s="180" t="s">
        <v>69</v>
      </c>
      <c r="H25" s="233"/>
      <c r="I25" s="187"/>
      <c r="J25" s="187"/>
      <c r="K25" s="187"/>
      <c r="L25" s="187"/>
      <c r="M25" s="629"/>
      <c r="N25" s="640"/>
      <c r="O25" s="629"/>
      <c r="P25" s="187"/>
      <c r="Q25" s="187"/>
      <c r="R25" s="187"/>
      <c r="S25" s="187"/>
      <c r="T25" s="187"/>
      <c r="U25" s="187"/>
    </row>
    <row r="26" spans="1:21">
      <c r="A26" s="182">
        <v>12</v>
      </c>
      <c r="B26" s="180" t="s">
        <v>76</v>
      </c>
      <c r="E26" s="182">
        <v>12</v>
      </c>
      <c r="F26" s="180" t="s">
        <v>76</v>
      </c>
      <c r="H26" s="233"/>
      <c r="I26" s="186">
        <f>SUM(I21:I25)</f>
        <v>16644</v>
      </c>
      <c r="J26" s="186">
        <f>SUM(J21:J25)</f>
        <v>1416</v>
      </c>
      <c r="K26" s="186">
        <f>SUM(K21:K25)</f>
        <v>7512</v>
      </c>
      <c r="L26" s="186">
        <f>SUM(L21:L25)</f>
        <v>6339</v>
      </c>
      <c r="M26" s="628">
        <f>SUM(M21:M25)</f>
        <v>7160</v>
      </c>
      <c r="N26" s="639">
        <f t="shared" ref="N26:T26" si="6">SUM(N21:N25)</f>
        <v>9388</v>
      </c>
      <c r="O26" s="628">
        <f t="shared" si="6"/>
        <v>10285</v>
      </c>
      <c r="P26" s="186">
        <f t="shared" si="6"/>
        <v>5582</v>
      </c>
      <c r="Q26" s="186">
        <f t="shared" si="6"/>
        <v>3576</v>
      </c>
      <c r="R26" s="186">
        <f t="shared" si="6"/>
        <v>4005</v>
      </c>
      <c r="S26" s="186">
        <f t="shared" si="6"/>
        <v>6244</v>
      </c>
      <c r="T26" s="186">
        <f t="shared" si="6"/>
        <v>4610</v>
      </c>
      <c r="U26" s="186">
        <f t="shared" ref="U26" si="7">SUM(U21:U25)</f>
        <v>8683</v>
      </c>
    </row>
    <row r="27" spans="1:21">
      <c r="A27" s="182"/>
      <c r="E27" s="182"/>
      <c r="H27" s="233"/>
      <c r="I27" s="186"/>
      <c r="J27" s="186"/>
      <c r="K27" s="186"/>
      <c r="L27" s="186"/>
      <c r="M27" s="628"/>
      <c r="N27" s="639"/>
      <c r="O27" s="628"/>
      <c r="P27" s="186"/>
      <c r="Q27" s="186"/>
      <c r="R27" s="186"/>
      <c r="S27" s="186"/>
      <c r="T27" s="186"/>
      <c r="U27" s="186"/>
    </row>
    <row r="28" spans="1:21">
      <c r="A28" s="182"/>
      <c r="B28" s="180" t="s">
        <v>56</v>
      </c>
      <c r="E28" s="182"/>
      <c r="F28" s="180" t="s">
        <v>56</v>
      </c>
      <c r="H28" s="233"/>
      <c r="I28" s="186"/>
      <c r="J28" s="186"/>
      <c r="K28" s="186"/>
      <c r="L28" s="186"/>
      <c r="M28" s="628"/>
      <c r="N28" s="639"/>
      <c r="O28" s="628"/>
      <c r="P28" s="186"/>
      <c r="Q28" s="186"/>
      <c r="R28" s="186"/>
      <c r="S28" s="186"/>
      <c r="T28" s="186"/>
      <c r="U28" s="186"/>
    </row>
    <row r="29" spans="1:21">
      <c r="A29" s="182">
        <v>13</v>
      </c>
      <c r="C29" s="180" t="s">
        <v>70</v>
      </c>
      <c r="E29" s="182">
        <v>13</v>
      </c>
      <c r="G29" s="180" t="s">
        <v>70</v>
      </c>
      <c r="H29" s="233"/>
      <c r="I29" s="186"/>
      <c r="J29" s="186"/>
      <c r="K29" s="186"/>
      <c r="L29" s="186"/>
      <c r="M29" s="628"/>
      <c r="N29" s="639"/>
      <c r="O29" s="628"/>
      <c r="P29" s="186"/>
      <c r="Q29" s="186"/>
      <c r="R29" s="186"/>
      <c r="S29" s="186"/>
      <c r="T29" s="186"/>
      <c r="U29" s="186"/>
    </row>
    <row r="30" spans="1:21">
      <c r="A30" s="182">
        <v>14</v>
      </c>
      <c r="C30" s="180" t="s">
        <v>141</v>
      </c>
      <c r="E30" s="182">
        <v>14</v>
      </c>
      <c r="G30" s="180" t="s">
        <v>141</v>
      </c>
      <c r="H30" s="233"/>
      <c r="I30" s="186"/>
      <c r="J30" s="186"/>
      <c r="K30" s="186"/>
      <c r="L30" s="186"/>
      <c r="M30" s="628"/>
      <c r="N30" s="639"/>
      <c r="O30" s="628"/>
      <c r="P30" s="186"/>
      <c r="Q30" s="186"/>
      <c r="R30" s="186"/>
      <c r="S30" s="186"/>
      <c r="T30" s="186"/>
      <c r="U30" s="186"/>
    </row>
    <row r="31" spans="1:21">
      <c r="A31" s="182">
        <v>15</v>
      </c>
      <c r="C31" s="180" t="s">
        <v>69</v>
      </c>
      <c r="D31" s="185">
        <v>3.8561999999999999E-2</v>
      </c>
      <c r="E31" s="182">
        <v>15</v>
      </c>
      <c r="G31" s="180" t="s">
        <v>69</v>
      </c>
      <c r="H31" s="497">
        <f>ROR!L16</f>
        <v>3.8545999999999997E-2</v>
      </c>
      <c r="I31" s="187">
        <f>I12*$H31</f>
        <v>672.06815803395102</v>
      </c>
      <c r="J31" s="187">
        <f>J12*$H31</f>
        <v>57.176670979096066</v>
      </c>
      <c r="K31" s="187">
        <f>K12*$H31</f>
        <v>303.32708502469603</v>
      </c>
      <c r="L31" s="187">
        <f>L12*$H31</f>
        <v>255.96251224328384</v>
      </c>
      <c r="M31" s="629">
        <f>M12*$H31</f>
        <v>289.11367528977951</v>
      </c>
      <c r="N31" s="640">
        <f t="shared" ref="N31:U31" si="8">N12*$D31</f>
        <v>379.03890273269815</v>
      </c>
      <c r="O31" s="629">
        <f t="shared" si="8"/>
        <v>415.25512511778874</v>
      </c>
      <c r="P31" s="187">
        <f t="shared" si="8"/>
        <v>225.37230028269292</v>
      </c>
      <c r="Q31" s="187">
        <f t="shared" si="8"/>
        <v>144.3803915820333</v>
      </c>
      <c r="R31" s="187">
        <f t="shared" si="8"/>
        <v>161.701193592294</v>
      </c>
      <c r="S31" s="187">
        <f t="shared" si="8"/>
        <v>252.10043765050779</v>
      </c>
      <c r="T31" s="187">
        <f t="shared" si="8"/>
        <v>186.12796565804626</v>
      </c>
      <c r="U31" s="187">
        <f t="shared" si="8"/>
        <v>350.57464768087112</v>
      </c>
    </row>
    <row r="32" spans="1:21">
      <c r="A32" s="182">
        <v>16</v>
      </c>
      <c r="B32" s="180" t="s">
        <v>75</v>
      </c>
      <c r="E32" s="182">
        <v>16</v>
      </c>
      <c r="F32" s="180" t="s">
        <v>75</v>
      </c>
      <c r="H32" s="233"/>
      <c r="I32" s="186">
        <f>SUM(I29:I31)</f>
        <v>672.06815803395102</v>
      </c>
      <c r="J32" s="186">
        <f>SUM(J29:J31)</f>
        <v>57.176670979096066</v>
      </c>
      <c r="K32" s="186">
        <f>SUM(K29:K31)</f>
        <v>303.32708502469603</v>
      </c>
      <c r="L32" s="186">
        <f>SUM(L29:L31)</f>
        <v>255.96251224328384</v>
      </c>
      <c r="M32" s="628">
        <f>SUM(M29:M31)</f>
        <v>289.11367528977951</v>
      </c>
      <c r="N32" s="639">
        <f t="shared" ref="N32:T32" si="9">SUM(N29:N31)</f>
        <v>379.03890273269815</v>
      </c>
      <c r="O32" s="628">
        <f t="shared" si="9"/>
        <v>415.25512511778874</v>
      </c>
      <c r="P32" s="186">
        <f t="shared" si="9"/>
        <v>225.37230028269292</v>
      </c>
      <c r="Q32" s="186">
        <f t="shared" si="9"/>
        <v>144.3803915820333</v>
      </c>
      <c r="R32" s="186">
        <f t="shared" si="9"/>
        <v>161.701193592294</v>
      </c>
      <c r="S32" s="186">
        <f t="shared" si="9"/>
        <v>252.10043765050779</v>
      </c>
      <c r="T32" s="186">
        <f t="shared" si="9"/>
        <v>186.12796565804626</v>
      </c>
      <c r="U32" s="186">
        <f t="shared" ref="U32" si="10">SUM(U29:U31)</f>
        <v>350.57464768087112</v>
      </c>
    </row>
    <row r="33" spans="1:21">
      <c r="A33" s="182"/>
      <c r="E33" s="182"/>
      <c r="H33" s="233"/>
      <c r="I33" s="186"/>
      <c r="J33" s="186"/>
      <c r="K33" s="186"/>
      <c r="L33" s="186"/>
      <c r="M33" s="628"/>
      <c r="N33" s="639"/>
      <c r="O33" s="628"/>
      <c r="P33" s="186"/>
      <c r="Q33" s="186"/>
      <c r="R33" s="186"/>
      <c r="S33" s="186"/>
      <c r="T33" s="186"/>
      <c r="U33" s="186"/>
    </row>
    <row r="34" spans="1:21">
      <c r="A34" s="182">
        <v>17</v>
      </c>
      <c r="B34" s="180" t="s">
        <v>74</v>
      </c>
      <c r="D34" s="185">
        <v>4.3379999999999998E-3</v>
      </c>
      <c r="E34" s="182">
        <v>17</v>
      </c>
      <c r="F34" s="180" t="s">
        <v>74</v>
      </c>
      <c r="H34" s="497">
        <f>ROR!L12</f>
        <v>4.849E-3</v>
      </c>
      <c r="I34" s="186">
        <f>I12*$H34</f>
        <v>84.544660880678379</v>
      </c>
      <c r="J34" s="186">
        <f>J12*$H34</f>
        <v>7.1926964556020554</v>
      </c>
      <c r="K34" s="186">
        <f>K12*$H34</f>
        <v>38.157864247515988</v>
      </c>
      <c r="L34" s="186">
        <f>L12*$H34</f>
        <v>32.199507649760896</v>
      </c>
      <c r="M34" s="628">
        <f>M12*$H34</f>
        <v>36.369849309400223</v>
      </c>
      <c r="N34" s="639">
        <f t="shared" ref="N34:S34" si="11">N12*$D34</f>
        <v>42.639664956549055</v>
      </c>
      <c r="O34" s="628">
        <f t="shared" si="11"/>
        <v>46.713778661920216</v>
      </c>
      <c r="P34" s="186">
        <f t="shared" si="11"/>
        <v>25.353068788608525</v>
      </c>
      <c r="Q34" s="186">
        <f t="shared" si="11"/>
        <v>16.24195162810177</v>
      </c>
      <c r="R34" s="186">
        <f t="shared" si="11"/>
        <v>18.190440791540155</v>
      </c>
      <c r="S34" s="186">
        <f t="shared" si="11"/>
        <v>28.359828290231388</v>
      </c>
      <c r="T34" s="186">
        <f>T12*$D34</f>
        <v>20.938310124594281</v>
      </c>
      <c r="U34" s="186">
        <f>U12*$D34</f>
        <v>39.437602345304157</v>
      </c>
    </row>
    <row r="35" spans="1:21">
      <c r="A35" s="182">
        <v>18</v>
      </c>
      <c r="B35" s="180" t="s">
        <v>73</v>
      </c>
      <c r="E35" s="182">
        <v>18</v>
      </c>
      <c r="F35" s="180" t="s">
        <v>73</v>
      </c>
      <c r="H35" s="233"/>
      <c r="I35" s="186"/>
      <c r="J35" s="186"/>
      <c r="K35" s="186"/>
      <c r="L35" s="186"/>
      <c r="M35" s="628"/>
      <c r="N35" s="639"/>
      <c r="O35" s="628"/>
      <c r="P35" s="186"/>
      <c r="Q35" s="186"/>
      <c r="R35" s="186"/>
      <c r="S35" s="186"/>
      <c r="T35" s="186"/>
      <c r="U35" s="186"/>
    </row>
    <row r="36" spans="1:21">
      <c r="A36" s="182">
        <v>19</v>
      </c>
      <c r="B36" s="180" t="s">
        <v>72</v>
      </c>
      <c r="E36" s="182">
        <v>19</v>
      </c>
      <c r="F36" s="180" t="s">
        <v>72</v>
      </c>
      <c r="H36" s="233"/>
      <c r="I36" s="186"/>
      <c r="J36" s="186"/>
      <c r="K36" s="186"/>
      <c r="L36" s="186"/>
      <c r="M36" s="628"/>
      <c r="N36" s="639"/>
      <c r="O36" s="628"/>
      <c r="P36" s="186"/>
      <c r="Q36" s="186"/>
      <c r="R36" s="186"/>
      <c r="S36" s="186"/>
      <c r="T36" s="186"/>
      <c r="U36" s="186"/>
    </row>
    <row r="37" spans="1:21">
      <c r="A37" s="182"/>
      <c r="E37" s="182"/>
      <c r="H37" s="233"/>
      <c r="I37" s="186"/>
      <c r="J37" s="186"/>
      <c r="K37" s="186"/>
      <c r="L37" s="186"/>
      <c r="M37" s="628"/>
      <c r="N37" s="639"/>
      <c r="O37" s="628"/>
      <c r="P37" s="186"/>
      <c r="Q37" s="186"/>
      <c r="R37" s="186"/>
      <c r="S37" s="186"/>
      <c r="T37" s="186"/>
      <c r="U37" s="186"/>
    </row>
    <row r="38" spans="1:21">
      <c r="A38" s="182"/>
      <c r="B38" s="180" t="s">
        <v>71</v>
      </c>
      <c r="E38" s="182"/>
      <c r="F38" s="180" t="s">
        <v>71</v>
      </c>
      <c r="H38" s="233"/>
      <c r="I38" s="186"/>
      <c r="J38" s="186"/>
      <c r="K38" s="186"/>
      <c r="L38" s="186"/>
      <c r="M38" s="628"/>
      <c r="N38" s="639"/>
      <c r="O38" s="628"/>
      <c r="P38" s="186"/>
      <c r="Q38" s="186"/>
      <c r="R38" s="186"/>
      <c r="S38" s="186"/>
      <c r="T38" s="186"/>
      <c r="U38" s="186"/>
    </row>
    <row r="39" spans="1:21">
      <c r="A39" s="182">
        <v>20</v>
      </c>
      <c r="C39" s="180" t="s">
        <v>70</v>
      </c>
      <c r="D39" s="185">
        <v>2E-3</v>
      </c>
      <c r="E39" s="182">
        <v>20</v>
      </c>
      <c r="G39" s="180" t="s">
        <v>70</v>
      </c>
      <c r="H39" s="497">
        <f>ROR!L14</f>
        <v>2E-3</v>
      </c>
      <c r="I39" s="186">
        <f>I12*$H39</f>
        <v>34.870967572975204</v>
      </c>
      <c r="J39" s="186">
        <f>J12*$H39</f>
        <v>2.9666720790274512</v>
      </c>
      <c r="K39" s="186">
        <f>K12*$H39</f>
        <v>15.738446792128682</v>
      </c>
      <c r="L39" s="186">
        <f>L12*$H39</f>
        <v>13.280885811408908</v>
      </c>
      <c r="M39" s="628">
        <f>M12*$H39</f>
        <v>15.000968987172705</v>
      </c>
      <c r="N39" s="639">
        <f t="shared" ref="N39:T39" si="12">N12*$D39</f>
        <v>19.658674484347191</v>
      </c>
      <c r="O39" s="628">
        <f t="shared" si="12"/>
        <v>21.537011831221861</v>
      </c>
      <c r="P39" s="186">
        <f t="shared" si="12"/>
        <v>11.688828394932468</v>
      </c>
      <c r="Q39" s="186">
        <f t="shared" si="12"/>
        <v>7.4882211286776261</v>
      </c>
      <c r="R39" s="186">
        <f t="shared" si="12"/>
        <v>8.3865563815307311</v>
      </c>
      <c r="S39" s="186">
        <f t="shared" si="12"/>
        <v>13.075070673227934</v>
      </c>
      <c r="T39" s="186">
        <f t="shared" si="12"/>
        <v>9.6534394304261326</v>
      </c>
      <c r="U39" s="186">
        <f t="shared" ref="U39" si="13">U12*$D39</f>
        <v>18.182389278609573</v>
      </c>
    </row>
    <row r="40" spans="1:21">
      <c r="A40" s="182">
        <v>21</v>
      </c>
      <c r="C40" s="180" t="s">
        <v>141</v>
      </c>
      <c r="E40" s="182">
        <v>21</v>
      </c>
      <c r="G40" s="180" t="s">
        <v>141</v>
      </c>
      <c r="I40" s="186"/>
      <c r="J40" s="186"/>
      <c r="K40" s="186"/>
      <c r="L40" s="186"/>
      <c r="M40" s="628"/>
      <c r="N40" s="639"/>
      <c r="O40" s="628"/>
      <c r="P40" s="186"/>
      <c r="Q40" s="186"/>
      <c r="R40" s="186"/>
      <c r="S40" s="186"/>
      <c r="T40" s="186"/>
      <c r="U40" s="186"/>
    </row>
    <row r="41" spans="1:21">
      <c r="A41" s="182">
        <v>22</v>
      </c>
      <c r="C41" s="180" t="s">
        <v>69</v>
      </c>
      <c r="E41" s="182">
        <v>22</v>
      </c>
      <c r="G41" s="180" t="s">
        <v>69</v>
      </c>
      <c r="I41" s="187"/>
      <c r="J41" s="187"/>
      <c r="K41" s="187"/>
      <c r="L41" s="187"/>
      <c r="M41" s="629"/>
      <c r="N41" s="640"/>
      <c r="O41" s="629"/>
      <c r="P41" s="187"/>
      <c r="Q41" s="187"/>
      <c r="R41" s="187"/>
      <c r="S41" s="187"/>
      <c r="T41" s="187"/>
      <c r="U41" s="187"/>
    </row>
    <row r="42" spans="1:21">
      <c r="A42" s="182">
        <v>23</v>
      </c>
      <c r="B42" s="180" t="s">
        <v>68</v>
      </c>
      <c r="E42" s="182">
        <v>23</v>
      </c>
      <c r="F42" s="180" t="s">
        <v>68</v>
      </c>
      <c r="I42" s="188">
        <f>SUM(I39:I41)</f>
        <v>34.870967572975204</v>
      </c>
      <c r="J42" s="188">
        <f>SUM(J39:J41)</f>
        <v>2.9666720790274512</v>
      </c>
      <c r="K42" s="188">
        <f>SUM(K39:K41)</f>
        <v>15.738446792128682</v>
      </c>
      <c r="L42" s="188">
        <f>SUM(L39:L41)</f>
        <v>13.280885811408908</v>
      </c>
      <c r="M42" s="630">
        <f>SUM(M39:M41)</f>
        <v>15.000968987172705</v>
      </c>
      <c r="N42" s="641">
        <f t="shared" ref="N42:T42" si="14">SUM(N39:N41)</f>
        <v>19.658674484347191</v>
      </c>
      <c r="O42" s="630">
        <f t="shared" si="14"/>
        <v>21.537011831221861</v>
      </c>
      <c r="P42" s="188">
        <f t="shared" si="14"/>
        <v>11.688828394932468</v>
      </c>
      <c r="Q42" s="188">
        <f t="shared" si="14"/>
        <v>7.4882211286776261</v>
      </c>
      <c r="R42" s="188">
        <f t="shared" si="14"/>
        <v>8.3865563815307311</v>
      </c>
      <c r="S42" s="188">
        <f t="shared" si="14"/>
        <v>13.075070673227934</v>
      </c>
      <c r="T42" s="188">
        <f t="shared" si="14"/>
        <v>9.6534394304261326</v>
      </c>
      <c r="U42" s="188">
        <f t="shared" ref="U42" si="15">SUM(U39:U41)</f>
        <v>18.182389278609573</v>
      </c>
    </row>
    <row r="43" spans="1:21">
      <c r="A43" s="182">
        <v>24</v>
      </c>
      <c r="B43" s="180" t="s">
        <v>67</v>
      </c>
      <c r="E43" s="182">
        <v>24</v>
      </c>
      <c r="F43" s="180" t="s">
        <v>67</v>
      </c>
      <c r="I43" s="188">
        <f>I26+I32+I34+I35+I36+I42</f>
        <v>17435.483786487606</v>
      </c>
      <c r="J43" s="188">
        <f>J26+J32+J34+J35+J36+J42</f>
        <v>1483.3360395137256</v>
      </c>
      <c r="K43" s="188">
        <f>K26+K32+K34+K35+K36+K42</f>
        <v>7869.2233960643407</v>
      </c>
      <c r="L43" s="188">
        <f>L26+L32+L34+L35+L36+L42</f>
        <v>6640.4429057044526</v>
      </c>
      <c r="M43" s="630">
        <f>M26+M32+M34+M35+M36+M42</f>
        <v>7500.4844935863521</v>
      </c>
      <c r="N43" s="641">
        <f t="shared" ref="N43:S43" si="16">N26+N32+N34+N35+N36+N42</f>
        <v>9829.3372421735949</v>
      </c>
      <c r="O43" s="630">
        <f t="shared" si="16"/>
        <v>10768.505915610931</v>
      </c>
      <c r="P43" s="188">
        <f t="shared" si="16"/>
        <v>5844.4141974662343</v>
      </c>
      <c r="Q43" s="188">
        <f t="shared" si="16"/>
        <v>3744.1105643388123</v>
      </c>
      <c r="R43" s="188">
        <f t="shared" si="16"/>
        <v>4193.2781907653643</v>
      </c>
      <c r="S43" s="188">
        <f t="shared" si="16"/>
        <v>6537.535336613967</v>
      </c>
      <c r="T43" s="188">
        <f>T26+T32+T34+T35+T36+T42</f>
        <v>4826.7197152130666</v>
      </c>
      <c r="U43" s="188">
        <f>U26+U32+U34+U35+U36+U42</f>
        <v>9091.1946393047838</v>
      </c>
    </row>
    <row r="44" spans="1:21">
      <c r="A44" s="182"/>
      <c r="E44" s="182"/>
      <c r="I44" s="186"/>
      <c r="J44" s="186"/>
      <c r="K44" s="186"/>
      <c r="L44" s="186"/>
      <c r="M44" s="628"/>
      <c r="N44" s="639"/>
      <c r="O44" s="628"/>
      <c r="P44" s="186"/>
      <c r="Q44" s="186"/>
      <c r="R44" s="186"/>
      <c r="S44" s="186"/>
      <c r="T44" s="186"/>
      <c r="U44" s="186"/>
    </row>
    <row r="45" spans="1:21">
      <c r="A45" s="182">
        <v>25</v>
      </c>
      <c r="B45" s="180" t="s">
        <v>66</v>
      </c>
      <c r="E45" s="182">
        <v>25</v>
      </c>
      <c r="F45" s="180" t="s">
        <v>66</v>
      </c>
      <c r="I45" s="186">
        <f>I17-I43</f>
        <v>0</v>
      </c>
      <c r="J45" s="186">
        <f>J17-J43</f>
        <v>0</v>
      </c>
      <c r="K45" s="186">
        <f>K17-K43</f>
        <v>0</v>
      </c>
      <c r="L45" s="186">
        <f>L17-L43</f>
        <v>0</v>
      </c>
      <c r="M45" s="628">
        <f>M17-M43</f>
        <v>0</v>
      </c>
      <c r="N45" s="639">
        <f t="shared" ref="N45:T45" si="17">N17-N43</f>
        <v>0</v>
      </c>
      <c r="O45" s="628">
        <f t="shared" si="17"/>
        <v>0</v>
      </c>
      <c r="P45" s="186">
        <f t="shared" si="17"/>
        <v>0</v>
      </c>
      <c r="Q45" s="186">
        <f t="shared" si="17"/>
        <v>0</v>
      </c>
      <c r="R45" s="186">
        <f t="shared" si="17"/>
        <v>0</v>
      </c>
      <c r="S45" s="186">
        <f t="shared" si="17"/>
        <v>0</v>
      </c>
      <c r="T45" s="186">
        <f t="shared" si="17"/>
        <v>0</v>
      </c>
      <c r="U45" s="186">
        <f t="shared" ref="U45" si="18">U17-U43</f>
        <v>0</v>
      </c>
    </row>
    <row r="46" spans="1:21">
      <c r="A46" s="182"/>
      <c r="E46" s="182"/>
      <c r="I46" s="186"/>
      <c r="J46" s="186"/>
      <c r="K46" s="186"/>
      <c r="L46" s="186"/>
      <c r="M46" s="628"/>
      <c r="N46" s="639"/>
      <c r="O46" s="628"/>
      <c r="P46" s="186"/>
      <c r="Q46" s="186"/>
      <c r="R46" s="186"/>
      <c r="S46" s="186"/>
      <c r="T46" s="186"/>
      <c r="U46" s="186"/>
    </row>
    <row r="47" spans="1:21">
      <c r="A47" s="182"/>
      <c r="B47" s="180" t="s">
        <v>65</v>
      </c>
      <c r="E47" s="182"/>
      <c r="F47" s="180" t="s">
        <v>65</v>
      </c>
      <c r="I47" s="186"/>
      <c r="J47" s="186"/>
      <c r="K47" s="186"/>
      <c r="L47" s="186"/>
      <c r="M47" s="628"/>
      <c r="N47" s="639"/>
      <c r="O47" s="628"/>
      <c r="P47" s="186"/>
      <c r="Q47" s="186"/>
      <c r="R47" s="186"/>
      <c r="S47" s="186"/>
      <c r="T47" s="186"/>
      <c r="U47" s="186"/>
    </row>
    <row r="48" spans="1:21">
      <c r="A48" s="182">
        <v>26</v>
      </c>
      <c r="B48" s="180" t="s">
        <v>142</v>
      </c>
      <c r="E48" s="182">
        <v>26</v>
      </c>
      <c r="F48" s="180" t="s">
        <v>142</v>
      </c>
      <c r="I48" s="186">
        <f>ROUND(0.35*I45,0)</f>
        <v>0</v>
      </c>
      <c r="J48" s="186">
        <f>ROUND(0.35*J45,0)</f>
        <v>0</v>
      </c>
      <c r="K48" s="186">
        <f>ROUND(0.35*K45,0)</f>
        <v>0</v>
      </c>
      <c r="L48" s="186">
        <f>ROUND(0.35*L45,0)</f>
        <v>0</v>
      </c>
      <c r="M48" s="628">
        <f>ROUND(0.35*M45,0)</f>
        <v>0</v>
      </c>
      <c r="N48" s="639">
        <f t="shared" ref="N48:T48" si="19">ROUND(0.35*N45,0)</f>
        <v>0</v>
      </c>
      <c r="O48" s="628">
        <f t="shared" si="19"/>
        <v>0</v>
      </c>
      <c r="P48" s="186">
        <f t="shared" si="19"/>
        <v>0</v>
      </c>
      <c r="Q48" s="186">
        <f t="shared" si="19"/>
        <v>0</v>
      </c>
      <c r="R48" s="186">
        <f t="shared" si="19"/>
        <v>0</v>
      </c>
      <c r="S48" s="186">
        <f t="shared" si="19"/>
        <v>0</v>
      </c>
      <c r="T48" s="186">
        <f t="shared" si="19"/>
        <v>0</v>
      </c>
      <c r="U48" s="186">
        <f t="shared" ref="U48" si="20">ROUND(0.35*U45,0)</f>
        <v>0</v>
      </c>
    </row>
    <row r="49" spans="1:21">
      <c r="A49" s="182">
        <v>27</v>
      </c>
      <c r="B49" s="180" t="s">
        <v>143</v>
      </c>
      <c r="E49" s="182">
        <v>27</v>
      </c>
      <c r="F49" s="180" t="s">
        <v>143</v>
      </c>
      <c r="I49" s="186"/>
      <c r="J49" s="186"/>
      <c r="K49" s="186"/>
      <c r="L49" s="186"/>
      <c r="M49" s="628"/>
      <c r="N49" s="639"/>
      <c r="O49" s="628"/>
      <c r="P49" s="186"/>
      <c r="Q49" s="186"/>
      <c r="R49" s="186"/>
      <c r="S49" s="186"/>
      <c r="T49" s="186"/>
      <c r="U49" s="186"/>
    </row>
    <row r="50" spans="1:21">
      <c r="A50" s="182">
        <v>28</v>
      </c>
      <c r="B50" s="180" t="s">
        <v>64</v>
      </c>
      <c r="E50" s="182">
        <v>28</v>
      </c>
      <c r="F50" s="180" t="s">
        <v>64</v>
      </c>
      <c r="I50" s="186"/>
      <c r="J50" s="186"/>
      <c r="K50" s="186"/>
      <c r="L50" s="186"/>
      <c r="M50" s="628"/>
      <c r="N50" s="639"/>
      <c r="O50" s="628"/>
      <c r="P50" s="186"/>
      <c r="Q50" s="186"/>
      <c r="R50" s="186"/>
      <c r="S50" s="186"/>
      <c r="T50" s="186"/>
      <c r="U50" s="186"/>
    </row>
    <row r="51" spans="1:21">
      <c r="A51" s="182">
        <v>29</v>
      </c>
      <c r="B51" s="180" t="s">
        <v>63</v>
      </c>
      <c r="E51" s="182">
        <v>29</v>
      </c>
      <c r="F51" s="180" t="s">
        <v>63</v>
      </c>
      <c r="I51" s="187"/>
      <c r="J51" s="187"/>
      <c r="K51" s="187"/>
      <c r="L51" s="187"/>
      <c r="M51" s="629"/>
      <c r="N51" s="640"/>
      <c r="O51" s="629"/>
      <c r="P51" s="187"/>
      <c r="Q51" s="187"/>
      <c r="R51" s="187"/>
      <c r="S51" s="187"/>
      <c r="T51" s="187"/>
      <c r="U51" s="187"/>
    </row>
    <row r="52" spans="1:21">
      <c r="A52" s="182"/>
      <c r="E52" s="182"/>
      <c r="I52" s="186"/>
      <c r="J52" s="186"/>
      <c r="K52" s="186"/>
      <c r="L52" s="186"/>
      <c r="M52" s="628"/>
      <c r="N52" s="639"/>
      <c r="O52" s="628"/>
      <c r="P52" s="186"/>
      <c r="Q52" s="186"/>
      <c r="R52" s="186"/>
      <c r="S52" s="186"/>
      <c r="T52" s="186"/>
      <c r="U52" s="186"/>
    </row>
    <row r="53" spans="1:21">
      <c r="A53" s="182">
        <v>30</v>
      </c>
      <c r="B53" s="180" t="s">
        <v>62</v>
      </c>
      <c r="E53" s="182">
        <v>30</v>
      </c>
      <c r="F53" s="180" t="s">
        <v>62</v>
      </c>
      <c r="I53" s="186">
        <f>I45-I48-I49-I50-I51</f>
        <v>0</v>
      </c>
      <c r="J53" s="186">
        <f>J45-J48-J49-J50-J51</f>
        <v>0</v>
      </c>
      <c r="K53" s="186">
        <f>K45-K48-K49-K50-K51</f>
        <v>0</v>
      </c>
      <c r="L53" s="186">
        <f>L45-L48-L49-L50-L51</f>
        <v>0</v>
      </c>
      <c r="M53" s="628">
        <f>M45-M48-M49-M50-M51</f>
        <v>0</v>
      </c>
      <c r="N53" s="639">
        <f t="shared" ref="N53:T53" si="21">N45-N48-N49-N50-N51</f>
        <v>0</v>
      </c>
      <c r="O53" s="628">
        <f t="shared" si="21"/>
        <v>0</v>
      </c>
      <c r="P53" s="186">
        <f t="shared" si="21"/>
        <v>0</v>
      </c>
      <c r="Q53" s="186">
        <f t="shared" si="21"/>
        <v>0</v>
      </c>
      <c r="R53" s="186">
        <f t="shared" si="21"/>
        <v>0</v>
      </c>
      <c r="S53" s="186">
        <f t="shared" si="21"/>
        <v>0</v>
      </c>
      <c r="T53" s="186">
        <f t="shared" si="21"/>
        <v>0</v>
      </c>
      <c r="U53" s="186">
        <f t="shared" ref="U53" si="22">U45-U48-U49-U50-U51</f>
        <v>0</v>
      </c>
    </row>
    <row r="54" spans="1:21">
      <c r="A54" s="182"/>
      <c r="E54" s="182"/>
    </row>
    <row r="55" spans="1:21">
      <c r="B55" s="180" t="s">
        <v>241</v>
      </c>
      <c r="F55" s="180" t="s">
        <v>563</v>
      </c>
    </row>
    <row r="56" spans="1:21">
      <c r="F56" s="180" t="s">
        <v>305</v>
      </c>
    </row>
    <row r="57" spans="1:21">
      <c r="F57" s="180" t="s">
        <v>303</v>
      </c>
    </row>
    <row r="58" spans="1:21">
      <c r="F58" s="180" t="s">
        <v>565</v>
      </c>
    </row>
  </sheetData>
  <phoneticPr fontId="54" type="noConversion"/>
  <pageMargins left="0.7" right="0.7" top="0.19" bottom="0.5" header="0.17" footer="0.3"/>
  <pageSetup scale="75" orientation="landscape" cellComments="asDisplayed" r:id="rId1"/>
  <headerFooter>
    <oddFooter>&amp;C&amp;F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pageSetUpPr autoPageBreaks="0" fitToPage="1"/>
  </sheetPr>
  <dimension ref="A1:I103"/>
  <sheetViews>
    <sheetView view="pageBreakPreview" zoomScale="145" zoomScaleNormal="100" zoomScaleSheetLayoutView="145" workbookViewId="0">
      <selection activeCell="G108" sqref="G108"/>
    </sheetView>
  </sheetViews>
  <sheetFormatPr defaultColWidth="9.140625" defaultRowHeight="12.75"/>
  <cols>
    <col min="1" max="1" width="13.140625" style="5" customWidth="1"/>
    <col min="2" max="2" width="11.28515625" style="5" customWidth="1"/>
    <col min="3" max="3" width="4.28515625" style="5" customWidth="1"/>
    <col min="4" max="4" width="3.85546875" style="5" customWidth="1"/>
    <col min="5" max="5" width="4.42578125" style="5" customWidth="1"/>
    <col min="6" max="6" width="6.7109375" style="5" customWidth="1"/>
    <col min="7" max="7" width="13.5703125" style="351" customWidth="1"/>
    <col min="8" max="8" width="16.140625" style="351" customWidth="1"/>
    <col min="9" max="9" width="19.140625" style="5" bestFit="1" customWidth="1"/>
    <col min="10" max="16384" width="9.140625" style="5"/>
  </cols>
  <sheetData>
    <row r="1" spans="1:8">
      <c r="A1" s="13" t="s">
        <v>491</v>
      </c>
    </row>
    <row r="2" spans="1:8" ht="15">
      <c r="A2" s="4" t="s">
        <v>2</v>
      </c>
    </row>
    <row r="3" spans="1:8">
      <c r="G3" s="417" t="s">
        <v>31</v>
      </c>
      <c r="H3" s="417" t="s">
        <v>368</v>
      </c>
    </row>
    <row r="4" spans="1:8">
      <c r="G4" s="352">
        <v>2015</v>
      </c>
      <c r="H4" s="352">
        <v>2015</v>
      </c>
    </row>
    <row r="5" spans="1:8">
      <c r="A5" s="410" t="s">
        <v>43</v>
      </c>
      <c r="G5" s="352"/>
      <c r="H5" s="352"/>
    </row>
    <row r="6" spans="1:8">
      <c r="A6" s="411" t="s">
        <v>33</v>
      </c>
      <c r="B6" s="8"/>
      <c r="C6" s="8"/>
      <c r="D6" s="8"/>
      <c r="E6" s="8"/>
      <c r="F6" s="8"/>
      <c r="G6" s="546">
        <v>207849.75</v>
      </c>
      <c r="H6" s="353">
        <f>G6*12</f>
        <v>2494197</v>
      </c>
    </row>
    <row r="7" spans="1:8">
      <c r="A7" s="411" t="s">
        <v>37</v>
      </c>
      <c r="B7" s="8"/>
      <c r="C7" s="8"/>
      <c r="D7" s="8"/>
      <c r="E7" s="8"/>
      <c r="F7" s="8"/>
      <c r="G7" s="546">
        <v>21739.583333333332</v>
      </c>
      <c r="H7" s="353">
        <f t="shared" ref="H7:H25" si="0">G7*12</f>
        <v>260875</v>
      </c>
    </row>
    <row r="8" spans="1:8">
      <c r="A8" s="411" t="s">
        <v>34</v>
      </c>
      <c r="B8" s="8"/>
      <c r="C8" s="8"/>
      <c r="D8" s="8"/>
      <c r="E8" s="8"/>
      <c r="F8" s="8"/>
      <c r="G8" s="546">
        <v>9076.0833333333339</v>
      </c>
      <c r="H8" s="353">
        <f t="shared" si="0"/>
        <v>108913</v>
      </c>
    </row>
    <row r="9" spans="1:8">
      <c r="A9" s="411" t="s">
        <v>38</v>
      </c>
      <c r="B9" s="8"/>
      <c r="C9" s="8"/>
      <c r="D9" s="8"/>
      <c r="E9" s="8"/>
      <c r="F9" s="8"/>
      <c r="G9" s="546">
        <v>1947.5</v>
      </c>
      <c r="H9" s="353">
        <f t="shared" si="0"/>
        <v>23370</v>
      </c>
    </row>
    <row r="10" spans="1:8">
      <c r="A10" s="411" t="s">
        <v>35</v>
      </c>
      <c r="B10" s="8"/>
      <c r="C10" s="8"/>
      <c r="D10" s="8"/>
      <c r="E10" s="8"/>
      <c r="F10" s="8"/>
      <c r="G10" s="546">
        <v>58.689033333333327</v>
      </c>
      <c r="H10" s="353">
        <f t="shared" si="0"/>
        <v>704.26839999999993</v>
      </c>
    </row>
    <row r="11" spans="1:8">
      <c r="A11" s="411" t="s">
        <v>39</v>
      </c>
      <c r="B11" s="8"/>
      <c r="C11" s="8"/>
      <c r="D11" s="8"/>
      <c r="E11" s="8"/>
      <c r="F11" s="8"/>
      <c r="G11" s="546">
        <v>21.074468117794435</v>
      </c>
      <c r="H11" s="353">
        <f t="shared" si="0"/>
        <v>252.89361741353321</v>
      </c>
    </row>
    <row r="12" spans="1:8">
      <c r="A12" s="411" t="s">
        <v>41</v>
      </c>
      <c r="B12" s="8"/>
      <c r="C12" s="8"/>
      <c r="D12" s="8"/>
      <c r="E12" s="8"/>
      <c r="F12" s="8"/>
      <c r="G12" s="546">
        <v>0.5</v>
      </c>
      <c r="H12" s="353">
        <f t="shared" si="0"/>
        <v>6</v>
      </c>
    </row>
    <row r="13" spans="1:8">
      <c r="A13" s="411" t="s">
        <v>40</v>
      </c>
      <c r="B13" s="8"/>
      <c r="C13" s="8"/>
      <c r="D13" s="8"/>
      <c r="E13" s="8"/>
      <c r="F13" s="8"/>
      <c r="G13" s="546">
        <v>1238.0011308665917</v>
      </c>
      <c r="H13" s="353">
        <f t="shared" si="0"/>
        <v>14856.0135703991</v>
      </c>
    </row>
    <row r="14" spans="1:8">
      <c r="A14" s="411" t="s">
        <v>36</v>
      </c>
      <c r="B14" s="8"/>
      <c r="C14" s="8"/>
      <c r="D14" s="8"/>
      <c r="E14" s="8"/>
      <c r="F14" s="8"/>
      <c r="G14" s="546">
        <v>1217.1925083333333</v>
      </c>
      <c r="H14" s="353">
        <f t="shared" si="0"/>
        <v>14606.310099999999</v>
      </c>
    </row>
    <row r="15" spans="1:8">
      <c r="A15" s="411" t="s">
        <v>42</v>
      </c>
      <c r="B15" s="8"/>
      <c r="C15" s="8"/>
      <c r="D15" s="8"/>
      <c r="E15" s="8"/>
      <c r="F15" s="8"/>
      <c r="G15" s="546">
        <v>390.31705000000005</v>
      </c>
      <c r="H15" s="353">
        <f t="shared" si="0"/>
        <v>4683.8046000000004</v>
      </c>
    </row>
    <row r="16" spans="1:8">
      <c r="A16" s="411" t="s">
        <v>265</v>
      </c>
      <c r="B16" s="8"/>
      <c r="C16" s="8"/>
      <c r="D16" s="8"/>
      <c r="E16" s="8"/>
      <c r="F16" s="8"/>
      <c r="G16" s="546">
        <v>104653.4965861391</v>
      </c>
      <c r="H16" s="353">
        <f t="shared" si="0"/>
        <v>1255841.9590336692</v>
      </c>
    </row>
    <row r="17" spans="1:8">
      <c r="A17" s="411" t="s">
        <v>270</v>
      </c>
      <c r="B17" s="8"/>
      <c r="C17" s="8"/>
      <c r="D17" s="8"/>
      <c r="E17" s="8"/>
      <c r="F17" s="8"/>
      <c r="G17" s="546">
        <v>15804.298441666671</v>
      </c>
      <c r="H17" s="353">
        <f t="shared" si="0"/>
        <v>189651.58130000005</v>
      </c>
    </row>
    <row r="18" spans="1:8">
      <c r="A18" s="411" t="s">
        <v>266</v>
      </c>
      <c r="B18" s="8"/>
      <c r="C18" s="8"/>
      <c r="D18" s="8"/>
      <c r="E18" s="8"/>
      <c r="F18" s="8"/>
      <c r="G18" s="546">
        <v>5138.5</v>
      </c>
      <c r="H18" s="353">
        <f t="shared" si="0"/>
        <v>61662</v>
      </c>
    </row>
    <row r="19" spans="1:8">
      <c r="A19" s="411" t="s">
        <v>271</v>
      </c>
      <c r="B19" s="8"/>
      <c r="C19" s="9"/>
      <c r="D19" s="8"/>
      <c r="E19" s="8"/>
      <c r="F19" s="8"/>
      <c r="G19" s="546">
        <v>1139.3655369372323</v>
      </c>
      <c r="H19" s="353">
        <f t="shared" si="0"/>
        <v>13672.386443246787</v>
      </c>
    </row>
    <row r="20" spans="1:8">
      <c r="A20" s="411" t="s">
        <v>267</v>
      </c>
      <c r="B20" s="8"/>
      <c r="C20" s="8"/>
      <c r="D20" s="8"/>
      <c r="E20" s="8"/>
      <c r="F20" s="8"/>
      <c r="G20" s="546">
        <v>23.847367625893344</v>
      </c>
      <c r="H20" s="353">
        <f t="shared" si="0"/>
        <v>286.16841151072015</v>
      </c>
    </row>
    <row r="21" spans="1:8">
      <c r="A21" s="411" t="s">
        <v>272</v>
      </c>
      <c r="B21" s="8"/>
      <c r="C21" s="8"/>
      <c r="D21" s="8"/>
      <c r="E21" s="8"/>
      <c r="F21" s="8"/>
      <c r="G21" s="546">
        <v>9.0377798499889952</v>
      </c>
      <c r="H21" s="353">
        <f t="shared" si="0"/>
        <v>108.45335819986795</v>
      </c>
    </row>
    <row r="22" spans="1:8">
      <c r="A22" s="411" t="s">
        <v>274</v>
      </c>
      <c r="B22" s="8"/>
      <c r="C22" s="8"/>
      <c r="D22" s="8"/>
      <c r="E22" s="8"/>
      <c r="F22" s="8"/>
      <c r="G22" s="546">
        <v>1</v>
      </c>
      <c r="H22" s="353">
        <f t="shared" si="0"/>
        <v>12</v>
      </c>
    </row>
    <row r="23" spans="1:8">
      <c r="A23" s="411" t="s">
        <v>273</v>
      </c>
      <c r="G23" s="546">
        <v>733.62406666666664</v>
      </c>
      <c r="H23" s="353">
        <f t="shared" si="0"/>
        <v>8803.4887999999992</v>
      </c>
    </row>
    <row r="24" spans="1:8">
      <c r="A24" s="411" t="s">
        <v>268</v>
      </c>
      <c r="G24" s="546">
        <v>686.06807500000002</v>
      </c>
      <c r="H24" s="353">
        <f t="shared" si="0"/>
        <v>8232.8168999999998</v>
      </c>
    </row>
    <row r="25" spans="1:8">
      <c r="A25" s="411" t="s">
        <v>269</v>
      </c>
      <c r="B25" s="8"/>
      <c r="C25" s="8"/>
      <c r="G25" s="546">
        <v>146.64127845153902</v>
      </c>
      <c r="H25" s="353">
        <f t="shared" si="0"/>
        <v>1759.6953414184682</v>
      </c>
    </row>
    <row r="26" spans="1:8">
      <c r="A26" s="412"/>
      <c r="B26" s="8"/>
      <c r="C26" s="8"/>
      <c r="G26" s="353"/>
      <c r="H26" s="353"/>
    </row>
    <row r="27" spans="1:8">
      <c r="A27" s="410" t="s">
        <v>367</v>
      </c>
      <c r="B27" s="8"/>
      <c r="C27" s="8"/>
      <c r="G27" s="353"/>
      <c r="H27" s="353"/>
    </row>
    <row r="28" spans="1:8" s="10" customFormat="1">
      <c r="A28" s="413" t="s">
        <v>32</v>
      </c>
      <c r="B28" s="11"/>
      <c r="C28" s="11"/>
      <c r="G28" s="547">
        <v>243538.69085731768</v>
      </c>
      <c r="H28" s="354">
        <f>SUM(H6:H15)</f>
        <v>2922464.2902878122</v>
      </c>
    </row>
    <row r="29" spans="1:8" s="10" customFormat="1">
      <c r="A29" s="414" t="s">
        <v>264</v>
      </c>
      <c r="B29" s="11"/>
      <c r="C29" s="11"/>
      <c r="G29" s="547">
        <v>128335.8791323371</v>
      </c>
      <c r="H29" s="354">
        <f>SUM(H16:H25)</f>
        <v>1540030.5495880451</v>
      </c>
    </row>
    <row r="30" spans="1:8" s="10" customFormat="1">
      <c r="A30" s="415"/>
      <c r="B30" s="11"/>
      <c r="C30" s="11"/>
      <c r="G30" s="548"/>
      <c r="H30" s="354"/>
    </row>
    <row r="31" spans="1:8">
      <c r="A31" s="416" t="s">
        <v>366</v>
      </c>
      <c r="B31" s="6"/>
      <c r="C31" s="8"/>
      <c r="G31" s="547">
        <v>371874.5699896547</v>
      </c>
      <c r="H31" s="353">
        <f>SUM(H6:H25)</f>
        <v>4462494.8398758573</v>
      </c>
    </row>
    <row r="32" spans="1:8">
      <c r="A32"/>
      <c r="B32"/>
      <c r="C32"/>
      <c r="D32"/>
      <c r="E32"/>
      <c r="F32"/>
      <c r="G32"/>
      <c r="H32"/>
    </row>
    <row r="33" spans="1:8">
      <c r="A33"/>
      <c r="B33"/>
      <c r="C33"/>
      <c r="D33"/>
      <c r="E33"/>
      <c r="F33"/>
      <c r="G33"/>
      <c r="H33"/>
    </row>
    <row r="34" spans="1:8">
      <c r="A34"/>
      <c r="B34"/>
      <c r="C34"/>
      <c r="D34"/>
      <c r="E34"/>
      <c r="F34"/>
      <c r="G34"/>
      <c r="H34"/>
    </row>
    <row r="35" spans="1:8" hidden="1">
      <c r="A35"/>
      <c r="B35"/>
      <c r="C35"/>
      <c r="D35"/>
      <c r="E35"/>
      <c r="F35"/>
      <c r="G35"/>
      <c r="H35"/>
    </row>
    <row r="36" spans="1:8" hidden="1">
      <c r="A36"/>
      <c r="B36"/>
      <c r="C36"/>
      <c r="D36"/>
      <c r="E36"/>
      <c r="F36"/>
      <c r="G36"/>
      <c r="H36"/>
    </row>
    <row r="37" spans="1:8" hidden="1">
      <c r="A37"/>
      <c r="B37"/>
      <c r="C37"/>
      <c r="D37"/>
      <c r="E37"/>
      <c r="F37"/>
      <c r="G37"/>
      <c r="H37"/>
    </row>
    <row r="38" spans="1:8" hidden="1">
      <c r="A38"/>
      <c r="B38"/>
      <c r="C38"/>
      <c r="D38"/>
      <c r="E38"/>
      <c r="F38"/>
      <c r="G38"/>
      <c r="H38"/>
    </row>
    <row r="39" spans="1:8" hidden="1">
      <c r="A39"/>
      <c r="B39"/>
      <c r="C39"/>
      <c r="D39"/>
      <c r="E39"/>
      <c r="F39"/>
      <c r="G39"/>
      <c r="H39"/>
    </row>
    <row r="40" spans="1:8" hidden="1">
      <c r="A40"/>
      <c r="B40"/>
      <c r="C40"/>
      <c r="D40"/>
      <c r="E40"/>
      <c r="F40"/>
      <c r="G40"/>
      <c r="H40"/>
    </row>
    <row r="41" spans="1:8" hidden="1">
      <c r="A41"/>
      <c r="B41"/>
      <c r="C41"/>
      <c r="D41"/>
      <c r="E41"/>
      <c r="F41"/>
      <c r="G41"/>
      <c r="H41"/>
    </row>
    <row r="42" spans="1:8" hidden="1">
      <c r="A42"/>
      <c r="B42"/>
      <c r="C42"/>
      <c r="D42"/>
      <c r="E42"/>
      <c r="F42"/>
      <c r="G42"/>
      <c r="H42"/>
    </row>
    <row r="43" spans="1:8" hidden="1">
      <c r="A43"/>
      <c r="B43"/>
      <c r="C43"/>
      <c r="D43"/>
      <c r="E43"/>
      <c r="F43"/>
      <c r="G43"/>
      <c r="H43"/>
    </row>
    <row r="44" spans="1:8" hidden="1">
      <c r="A44"/>
      <c r="B44"/>
      <c r="C44"/>
      <c r="D44"/>
      <c r="E44"/>
      <c r="F44"/>
      <c r="G44"/>
      <c r="H44"/>
    </row>
    <row r="45" spans="1:8" hidden="1">
      <c r="A45"/>
      <c r="B45"/>
      <c r="C45"/>
      <c r="D45"/>
      <c r="E45"/>
      <c r="F45"/>
      <c r="G45"/>
      <c r="H45"/>
    </row>
    <row r="46" spans="1:8" hidden="1">
      <c r="A46"/>
      <c r="B46"/>
      <c r="C46"/>
      <c r="D46"/>
      <c r="E46"/>
      <c r="F46"/>
      <c r="G46"/>
      <c r="H46"/>
    </row>
    <row r="47" spans="1:8" hidden="1">
      <c r="A47"/>
      <c r="B47"/>
      <c r="C47"/>
      <c r="D47"/>
      <c r="E47"/>
      <c r="F47"/>
      <c r="G47"/>
      <c r="H47"/>
    </row>
    <row r="48" spans="1:8" hidden="1">
      <c r="A48"/>
      <c r="B48"/>
      <c r="C48"/>
      <c r="D48"/>
      <c r="E48"/>
      <c r="F48"/>
      <c r="G48"/>
      <c r="H48"/>
    </row>
    <row r="49" spans="1:8" hidden="1">
      <c r="A49"/>
      <c r="B49"/>
      <c r="C49"/>
      <c r="D49"/>
      <c r="E49"/>
      <c r="F49"/>
      <c r="G49"/>
      <c r="H49"/>
    </row>
    <row r="50" spans="1:8" hidden="1">
      <c r="A50"/>
      <c r="B50"/>
      <c r="C50"/>
      <c r="D50"/>
      <c r="E50"/>
      <c r="F50"/>
      <c r="G50"/>
      <c r="H50"/>
    </row>
    <row r="51" spans="1:8" hidden="1">
      <c r="A51"/>
      <c r="B51"/>
      <c r="C51"/>
      <c r="D51"/>
      <c r="E51"/>
      <c r="F51"/>
      <c r="G51"/>
      <c r="H51"/>
    </row>
    <row r="52" spans="1:8" hidden="1">
      <c r="A52"/>
      <c r="B52"/>
      <c r="C52"/>
      <c r="D52"/>
      <c r="E52"/>
      <c r="F52"/>
      <c r="G52"/>
      <c r="H52"/>
    </row>
    <row r="53" spans="1:8" hidden="1">
      <c r="A53"/>
      <c r="B53"/>
      <c r="C53"/>
      <c r="D53"/>
      <c r="E53"/>
      <c r="F53"/>
      <c r="G53"/>
      <c r="H53"/>
    </row>
    <row r="54" spans="1:8" hidden="1">
      <c r="A54"/>
      <c r="B54"/>
      <c r="C54"/>
      <c r="D54"/>
      <c r="E54"/>
      <c r="F54"/>
      <c r="G54"/>
      <c r="H54"/>
    </row>
    <row r="55" spans="1:8" hidden="1">
      <c r="A55"/>
      <c r="B55"/>
      <c r="C55"/>
      <c r="D55"/>
      <c r="E55"/>
      <c r="F55"/>
      <c r="G55"/>
      <c r="H55"/>
    </row>
    <row r="56" spans="1:8" hidden="1">
      <c r="A56"/>
      <c r="B56"/>
      <c r="C56"/>
      <c r="D56"/>
      <c r="E56"/>
      <c r="F56"/>
      <c r="G56"/>
      <c r="H56"/>
    </row>
    <row r="57" spans="1:8" hidden="1">
      <c r="A57"/>
      <c r="B57"/>
      <c r="C57"/>
      <c r="D57"/>
      <c r="E57"/>
      <c r="F57"/>
      <c r="G57"/>
      <c r="H57"/>
    </row>
    <row r="58" spans="1:8" hidden="1">
      <c r="A58"/>
      <c r="B58"/>
      <c r="C58"/>
      <c r="D58"/>
      <c r="E58"/>
      <c r="F58"/>
      <c r="G58"/>
      <c r="H58"/>
    </row>
    <row r="59" spans="1:8" hidden="1">
      <c r="A59"/>
      <c r="B59"/>
      <c r="C59"/>
      <c r="D59"/>
      <c r="E59"/>
      <c r="F59"/>
      <c r="G59"/>
      <c r="H59"/>
    </row>
    <row r="60" spans="1:8" hidden="1">
      <c r="A60"/>
      <c r="B60"/>
      <c r="C60"/>
      <c r="D60"/>
      <c r="E60"/>
      <c r="F60"/>
      <c r="G60"/>
      <c r="H60"/>
    </row>
    <row r="61" spans="1:8" hidden="1">
      <c r="A61"/>
      <c r="B61"/>
      <c r="C61"/>
      <c r="D61"/>
      <c r="E61"/>
      <c r="F61"/>
      <c r="G61"/>
      <c r="H61"/>
    </row>
    <row r="62" spans="1:8" hidden="1">
      <c r="A62"/>
      <c r="B62"/>
      <c r="C62"/>
      <c r="D62"/>
      <c r="E62"/>
      <c r="F62"/>
      <c r="G62"/>
      <c r="H62"/>
    </row>
    <row r="63" spans="1:8" hidden="1">
      <c r="A63"/>
      <c r="B63"/>
      <c r="C63"/>
      <c r="D63"/>
      <c r="E63"/>
      <c r="F63"/>
      <c r="G63"/>
      <c r="H63"/>
    </row>
    <row r="64" spans="1:8" s="10" customFormat="1" hidden="1">
      <c r="A64"/>
      <c r="B64"/>
      <c r="C64"/>
      <c r="D64"/>
      <c r="E64"/>
      <c r="F64"/>
      <c r="G64"/>
      <c r="H64"/>
    </row>
    <row r="65" spans="1:9" hidden="1">
      <c r="A65"/>
      <c r="B65"/>
      <c r="C65"/>
      <c r="D65"/>
      <c r="E65"/>
      <c r="F65"/>
      <c r="G65"/>
      <c r="H65"/>
    </row>
    <row r="66" spans="1:9" hidden="1">
      <c r="A66"/>
      <c r="B66"/>
      <c r="C66"/>
      <c r="D66"/>
      <c r="E66"/>
      <c r="F66"/>
      <c r="G66"/>
      <c r="H66"/>
    </row>
    <row r="67" spans="1:9" hidden="1">
      <c r="A67"/>
      <c r="B67"/>
      <c r="C67"/>
      <c r="D67"/>
      <c r="E67"/>
      <c r="F67"/>
      <c r="G67"/>
      <c r="H67"/>
    </row>
    <row r="68" spans="1:9" hidden="1">
      <c r="A68"/>
      <c r="B68"/>
      <c r="C68"/>
      <c r="D68"/>
      <c r="E68"/>
      <c r="F68"/>
      <c r="G68"/>
      <c r="H68"/>
      <c r="I68" s="75"/>
    </row>
    <row r="69" spans="1:9" hidden="1">
      <c r="A69"/>
      <c r="B69"/>
      <c r="C69"/>
      <c r="D69"/>
      <c r="E69"/>
      <c r="F69"/>
      <c r="G69"/>
      <c r="H69"/>
    </row>
    <row r="70" spans="1:9" hidden="1">
      <c r="A70"/>
      <c r="B70"/>
      <c r="C70"/>
      <c r="D70"/>
      <c r="E70"/>
      <c r="F70"/>
      <c r="G70"/>
      <c r="H70"/>
    </row>
    <row r="71" spans="1:9" hidden="1">
      <c r="A71"/>
      <c r="B71"/>
      <c r="C71"/>
      <c r="D71"/>
      <c r="E71"/>
      <c r="F71"/>
      <c r="G71"/>
      <c r="H71"/>
    </row>
    <row r="72" spans="1:9" hidden="1">
      <c r="A72"/>
      <c r="B72"/>
      <c r="C72"/>
      <c r="D72"/>
      <c r="E72"/>
      <c r="F72"/>
      <c r="G72"/>
      <c r="H72"/>
    </row>
    <row r="73" spans="1:9" hidden="1">
      <c r="A73"/>
      <c r="B73"/>
      <c r="C73"/>
      <c r="D73"/>
      <c r="E73"/>
      <c r="F73"/>
      <c r="G73"/>
      <c r="H73"/>
    </row>
    <row r="74" spans="1:9" hidden="1">
      <c r="A74"/>
      <c r="B74"/>
      <c r="C74"/>
      <c r="D74"/>
      <c r="E74"/>
      <c r="F74"/>
      <c r="G74"/>
      <c r="H74"/>
    </row>
    <row r="75" spans="1:9" hidden="1">
      <c r="A75"/>
      <c r="B75"/>
      <c r="C75"/>
      <c r="D75"/>
      <c r="E75"/>
      <c r="F75"/>
      <c r="G75"/>
      <c r="H75"/>
    </row>
    <row r="76" spans="1:9" hidden="1">
      <c r="A76"/>
      <c r="B76"/>
      <c r="C76"/>
      <c r="D76"/>
      <c r="E76"/>
      <c r="F76"/>
      <c r="G76"/>
      <c r="H76"/>
    </row>
    <row r="77" spans="1:9" s="10" customFormat="1" hidden="1">
      <c r="A77"/>
      <c r="B77"/>
      <c r="C77"/>
      <c r="D77"/>
      <c r="E77"/>
      <c r="F77"/>
      <c r="G77"/>
      <c r="H77"/>
    </row>
    <row r="78" spans="1:9">
      <c r="A78"/>
      <c r="B78"/>
      <c r="C78"/>
      <c r="D78"/>
      <c r="E78"/>
      <c r="F78"/>
      <c r="G78" s="418" t="s">
        <v>8</v>
      </c>
      <c r="H78"/>
    </row>
    <row r="79" spans="1:9">
      <c r="B79" s="11"/>
      <c r="C79" s="11"/>
      <c r="D79" s="12"/>
      <c r="E79" s="10"/>
      <c r="F79" s="10"/>
      <c r="G79" s="531">
        <v>2015</v>
      </c>
      <c r="H79" s="353"/>
    </row>
    <row r="80" spans="1:9" hidden="1">
      <c r="A80" s="7" t="s">
        <v>44</v>
      </c>
      <c r="G80" s="355"/>
      <c r="H80" s="353"/>
    </row>
    <row r="81" spans="1:8" hidden="1">
      <c r="B81" s="8" t="s">
        <v>32</v>
      </c>
      <c r="G81" s="355">
        <v>5752629623.1252184</v>
      </c>
      <c r="H81" s="353"/>
    </row>
    <row r="82" spans="1:8" hidden="1">
      <c r="G82" s="356"/>
      <c r="H82" s="353"/>
    </row>
    <row r="83" spans="1:8">
      <c r="H83" s="353"/>
    </row>
    <row r="84" spans="1:8" ht="15">
      <c r="A84" s="419" t="s">
        <v>45</v>
      </c>
      <c r="B84" s="415"/>
      <c r="C84"/>
      <c r="D84"/>
      <c r="E84"/>
      <c r="F84"/>
      <c r="G84" s="352"/>
      <c r="H84" s="353"/>
    </row>
    <row r="85" spans="1:8">
      <c r="A85" s="410" t="s">
        <v>46</v>
      </c>
      <c r="B85" s="415"/>
      <c r="C85"/>
      <c r="D85"/>
      <c r="E85"/>
      <c r="F85"/>
      <c r="G85" s="353"/>
      <c r="H85" s="353"/>
    </row>
    <row r="86" spans="1:8">
      <c r="A86" s="420" t="s">
        <v>37</v>
      </c>
      <c r="B86" s="415" t="s">
        <v>369</v>
      </c>
      <c r="C86"/>
      <c r="D86"/>
      <c r="E86"/>
      <c r="F86"/>
      <c r="G86" s="549">
        <v>356508.5</v>
      </c>
      <c r="H86" s="353"/>
    </row>
    <row r="87" spans="1:8">
      <c r="A87" s="420" t="s">
        <v>34</v>
      </c>
      <c r="B87" s="415" t="s">
        <v>369</v>
      </c>
      <c r="C87"/>
      <c r="D87"/>
      <c r="E87"/>
      <c r="F87"/>
      <c r="G87" s="549">
        <v>8132.5</v>
      </c>
      <c r="H87" s="353"/>
    </row>
    <row r="88" spans="1:8">
      <c r="A88" s="420" t="s">
        <v>38</v>
      </c>
      <c r="B88" s="415" t="s">
        <v>370</v>
      </c>
      <c r="C88"/>
      <c r="D88"/>
      <c r="E88"/>
      <c r="F88"/>
      <c r="G88" s="549">
        <v>2643570.541666667</v>
      </c>
      <c r="H88" s="353"/>
    </row>
    <row r="89" spans="1:8">
      <c r="A89" s="420" t="s">
        <v>35</v>
      </c>
      <c r="B89" s="415" t="s">
        <v>370</v>
      </c>
      <c r="C89"/>
      <c r="D89"/>
      <c r="E89"/>
      <c r="F89"/>
      <c r="G89" s="549">
        <v>53982.5</v>
      </c>
      <c r="H89" s="353"/>
    </row>
    <row r="90" spans="1:8">
      <c r="A90" s="420" t="s">
        <v>39</v>
      </c>
      <c r="B90" s="415" t="s">
        <v>371</v>
      </c>
      <c r="C90"/>
      <c r="D90"/>
      <c r="E90"/>
      <c r="F90"/>
      <c r="G90" s="549">
        <v>1168073</v>
      </c>
      <c r="H90" s="353"/>
    </row>
    <row r="91" spans="1:8">
      <c r="A91" s="420" t="s">
        <v>270</v>
      </c>
      <c r="B91" s="415" t="s">
        <v>369</v>
      </c>
      <c r="C91"/>
      <c r="D91"/>
      <c r="E91"/>
      <c r="F91"/>
      <c r="G91" s="549">
        <v>227091.75</v>
      </c>
      <c r="H91" s="353"/>
    </row>
    <row r="92" spans="1:8">
      <c r="A92" s="420" t="s">
        <v>266</v>
      </c>
      <c r="B92" s="415" t="s">
        <v>369</v>
      </c>
      <c r="C92"/>
      <c r="D92"/>
      <c r="E92"/>
      <c r="F92"/>
      <c r="G92" s="549">
        <v>8132.5</v>
      </c>
      <c r="H92" s="353"/>
    </row>
    <row r="93" spans="1:8">
      <c r="A93" s="420" t="s">
        <v>271</v>
      </c>
      <c r="B93" s="415" t="s">
        <v>370</v>
      </c>
      <c r="C93"/>
      <c r="D93"/>
      <c r="E93"/>
      <c r="F93"/>
      <c r="G93" s="549">
        <v>1286037.25</v>
      </c>
      <c r="H93" s="353"/>
    </row>
    <row r="94" spans="1:8">
      <c r="A94" s="420" t="s">
        <v>267</v>
      </c>
      <c r="B94" s="415" t="s">
        <v>370</v>
      </c>
      <c r="C94"/>
      <c r="D94"/>
      <c r="E94"/>
      <c r="F94"/>
      <c r="G94" s="549">
        <v>15704.958333333334</v>
      </c>
      <c r="H94" s="353"/>
    </row>
    <row r="95" spans="1:8">
      <c r="A95" s="420" t="s">
        <v>272</v>
      </c>
      <c r="B95" s="415" t="s">
        <v>371</v>
      </c>
      <c r="C95"/>
      <c r="D95"/>
      <c r="E95"/>
      <c r="F95"/>
      <c r="G95" s="549">
        <v>270260.5</v>
      </c>
      <c r="H95" s="353"/>
    </row>
    <row r="96" spans="1:8">
      <c r="A96" s="420" t="s">
        <v>274</v>
      </c>
      <c r="B96" s="415" t="s">
        <v>371</v>
      </c>
      <c r="C96"/>
      <c r="D96"/>
      <c r="E96"/>
      <c r="F96"/>
      <c r="G96" s="549">
        <v>649540</v>
      </c>
      <c r="H96" s="353"/>
    </row>
    <row r="97" spans="1:8">
      <c r="A97" s="351"/>
      <c r="B97" s="421"/>
      <c r="C97" s="261"/>
      <c r="D97" s="261"/>
      <c r="E97" s="261"/>
      <c r="F97" s="261"/>
      <c r="G97" s="353"/>
      <c r="H97" s="353"/>
    </row>
    <row r="98" spans="1:8">
      <c r="A98"/>
      <c r="B98"/>
      <c r="C98"/>
      <c r="D98"/>
      <c r="E98"/>
      <c r="F98"/>
      <c r="G98"/>
      <c r="H98" s="353"/>
    </row>
    <row r="99" spans="1:8">
      <c r="A99" s="410" t="s">
        <v>47</v>
      </c>
      <c r="B99"/>
      <c r="C99"/>
      <c r="D99"/>
      <c r="E99"/>
      <c r="F99"/>
      <c r="G99"/>
      <c r="H99" s="353"/>
    </row>
    <row r="100" spans="1:8" s="10" customFormat="1">
      <c r="A100" s="413" t="s">
        <v>32</v>
      </c>
      <c r="B100"/>
      <c r="C100"/>
      <c r="D100"/>
      <c r="E100"/>
      <c r="F100"/>
      <c r="G100" s="3">
        <f>SUM(G86:G90)</f>
        <v>4230267.041666667</v>
      </c>
      <c r="H100" s="353"/>
    </row>
    <row r="101" spans="1:8" s="10" customFormat="1">
      <c r="A101" s="414" t="s">
        <v>264</v>
      </c>
      <c r="B101"/>
      <c r="C101"/>
      <c r="D101"/>
      <c r="E101"/>
      <c r="F101"/>
      <c r="G101" s="3">
        <f>SUM(G91:G96)</f>
        <v>2456766.958333333</v>
      </c>
      <c r="H101" s="353"/>
    </row>
    <row r="102" spans="1:8">
      <c r="A102" s="415"/>
      <c r="B102"/>
      <c r="C102"/>
      <c r="D102"/>
      <c r="E102"/>
      <c r="F102"/>
      <c r="G102"/>
      <c r="H102" s="353"/>
    </row>
    <row r="103" spans="1:8">
      <c r="A103" s="416" t="s">
        <v>366</v>
      </c>
      <c r="B103"/>
      <c r="C103"/>
      <c r="D103"/>
      <c r="E103"/>
      <c r="F103"/>
      <c r="G103" s="3">
        <f>SUM(G86:G96)</f>
        <v>6687034</v>
      </c>
      <c r="H103" s="353"/>
    </row>
  </sheetData>
  <phoneticPr fontId="52" type="noConversion"/>
  <pageMargins left="0.99" right="0.25" top="0.5" bottom="0.5" header="0.5" footer="0.3"/>
  <pageSetup fitToHeight="2" orientation="portrait" r:id="rId1"/>
  <headerFooter alignWithMargins="0">
    <oddFooter>&amp;C&amp;F / &amp;A</oddFooter>
  </headerFooter>
  <rowBreaks count="1" manualBreakCount="1">
    <brk id="35" max="16383"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30"/>
  <sheetViews>
    <sheetView workbookViewId="0">
      <selection activeCell="F29" sqref="F29"/>
    </sheetView>
  </sheetViews>
  <sheetFormatPr defaultRowHeight="12.75"/>
  <cols>
    <col min="2" max="2" width="21.42578125" customWidth="1"/>
    <col min="4" max="4" width="16.7109375" bestFit="1" customWidth="1"/>
  </cols>
  <sheetData>
    <row r="1" spans="1:4">
      <c r="A1" s="13" t="s">
        <v>490</v>
      </c>
    </row>
    <row r="4" spans="1:4">
      <c r="A4" t="s">
        <v>275</v>
      </c>
      <c r="D4">
        <v>2015</v>
      </c>
    </row>
    <row r="5" spans="1:4">
      <c r="A5" t="s">
        <v>33</v>
      </c>
      <c r="D5" s="378">
        <v>2437508066.7071114</v>
      </c>
    </row>
    <row r="6" spans="1:4">
      <c r="A6" t="s">
        <v>37</v>
      </c>
      <c r="D6" s="378">
        <v>529440018.41325283</v>
      </c>
    </row>
    <row r="7" spans="1:4">
      <c r="A7" t="s">
        <v>34</v>
      </c>
      <c r="D7" s="378">
        <v>56669413.825102404</v>
      </c>
    </row>
    <row r="8" spans="1:4">
      <c r="A8" t="s">
        <v>38</v>
      </c>
      <c r="D8" s="378">
        <v>1399535145.89645</v>
      </c>
    </row>
    <row r="9" spans="1:4">
      <c r="A9" t="s">
        <v>35</v>
      </c>
      <c r="D9" s="378">
        <v>36993835.221868366</v>
      </c>
    </row>
    <row r="10" spans="1:4">
      <c r="A10" t="s">
        <v>39</v>
      </c>
      <c r="D10" s="378">
        <v>1076126634.9415967</v>
      </c>
    </row>
    <row r="11" spans="1:4">
      <c r="A11" t="s">
        <v>41</v>
      </c>
      <c r="D11" s="378">
        <v>277500</v>
      </c>
    </row>
    <row r="12" spans="1:4">
      <c r="A12" t="s">
        <v>40</v>
      </c>
      <c r="D12" s="378">
        <v>118157256.0560769</v>
      </c>
    </row>
    <row r="13" spans="1:4">
      <c r="A13" t="s">
        <v>36</v>
      </c>
      <c r="D13" s="378">
        <v>9770317.8564115502</v>
      </c>
    </row>
    <row r="14" spans="1:4">
      <c r="A14" t="s">
        <v>42</v>
      </c>
      <c r="D14" s="378">
        <v>25328043.627466295</v>
      </c>
    </row>
    <row r="15" spans="1:4">
      <c r="A15" t="s">
        <v>265</v>
      </c>
      <c r="D15" s="378">
        <v>1195236597.242986</v>
      </c>
    </row>
    <row r="16" spans="1:4">
      <c r="A16" t="s">
        <v>270</v>
      </c>
      <c r="D16" s="378">
        <v>327552545.52897155</v>
      </c>
    </row>
    <row r="17" spans="1:4">
      <c r="A17" t="s">
        <v>266</v>
      </c>
      <c r="D17" s="378">
        <v>23861668.029866312</v>
      </c>
    </row>
    <row r="18" spans="1:4">
      <c r="A18" t="s">
        <v>271</v>
      </c>
      <c r="D18" s="378">
        <v>666805169.29959273</v>
      </c>
    </row>
    <row r="19" spans="1:4">
      <c r="A19" t="s">
        <v>267</v>
      </c>
      <c r="D19" s="378">
        <v>11541437.747468738</v>
      </c>
    </row>
    <row r="20" spans="1:4">
      <c r="A20" t="s">
        <v>272</v>
      </c>
      <c r="D20" s="378">
        <v>322606254.65413141</v>
      </c>
    </row>
    <row r="21" spans="1:4">
      <c r="A21" t="s">
        <v>274</v>
      </c>
      <c r="D21" s="378">
        <v>456560572</v>
      </c>
    </row>
    <row r="22" spans="1:4">
      <c r="A22" t="s">
        <v>273</v>
      </c>
      <c r="D22" s="378">
        <v>49737314.08630392</v>
      </c>
    </row>
    <row r="23" spans="1:4">
      <c r="A23" t="s">
        <v>268</v>
      </c>
      <c r="D23" s="378">
        <v>5561260.8614757024</v>
      </c>
    </row>
    <row r="24" spans="1:4">
      <c r="A24" t="s">
        <v>269</v>
      </c>
      <c r="D24" s="378">
        <v>13859428</v>
      </c>
    </row>
    <row r="25" spans="1:4">
      <c r="D25" s="378"/>
    </row>
    <row r="26" spans="1:4">
      <c r="A26" t="s">
        <v>276</v>
      </c>
      <c r="D26" s="378"/>
    </row>
    <row r="27" spans="1:4">
      <c r="A27" t="s">
        <v>32</v>
      </c>
      <c r="D27" s="378">
        <f>SUM(D5:D14)</f>
        <v>5689806232.5453377</v>
      </c>
    </row>
    <row r="28" spans="1:4">
      <c r="A28" t="s">
        <v>264</v>
      </c>
      <c r="D28" s="378">
        <f>SUM(D15:D24)</f>
        <v>3073322247.4507961</v>
      </c>
    </row>
    <row r="29" spans="1:4">
      <c r="D29" s="378"/>
    </row>
    <row r="30" spans="1:4">
      <c r="A30" t="s">
        <v>366</v>
      </c>
      <c r="D30" s="378">
        <f>D27+D28</f>
        <v>8763128479.9961338</v>
      </c>
    </row>
  </sheetData>
  <pageMargins left="0.7" right="0.7" top="0.75" bottom="0.75" header="0.3" footer="0.55000000000000004"/>
  <pageSetup orientation="portrait" r:id="rId1"/>
  <headerFooter>
    <oddFooter>&amp;C&amp;F /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84"/>
  <sheetViews>
    <sheetView topLeftCell="A61" workbookViewId="0">
      <selection activeCell="S76" sqref="S76"/>
    </sheetView>
  </sheetViews>
  <sheetFormatPr defaultColWidth="10.7109375" defaultRowHeight="12.75"/>
  <cols>
    <col min="1" max="1" width="4.7109375" style="17" customWidth="1"/>
    <col min="2" max="3" width="1.7109375" style="14" customWidth="1"/>
    <col min="4" max="4" width="21.85546875" style="14" customWidth="1"/>
    <col min="5" max="5" width="3" style="446" customWidth="1"/>
    <col min="6" max="6" width="10.7109375" style="15" customWidth="1"/>
    <col min="7" max="7" width="10.7109375" style="16" customWidth="1"/>
    <col min="8" max="10" width="10.7109375" style="14" customWidth="1"/>
    <col min="11" max="11" width="10.7109375" style="15" customWidth="1"/>
    <col min="12" max="13" width="10.7109375" style="14" customWidth="1"/>
    <col min="14" max="14" width="10.7109375" style="446" customWidth="1"/>
    <col min="15" max="15" width="10.7109375" style="15" customWidth="1"/>
    <col min="16" max="16" width="10.7109375" style="14" customWidth="1"/>
    <col min="17" max="16384" width="10.7109375" style="14"/>
  </cols>
  <sheetData>
    <row r="1" spans="1:19">
      <c r="A1" s="39" t="s">
        <v>94</v>
      </c>
      <c r="D1" s="17"/>
    </row>
    <row r="2" spans="1:19">
      <c r="A2" s="39" t="s">
        <v>136</v>
      </c>
      <c r="D2" s="17"/>
    </row>
    <row r="3" spans="1:19">
      <c r="A3" s="39" t="s">
        <v>398</v>
      </c>
      <c r="D3" s="17"/>
      <c r="H3" s="15" t="s">
        <v>399</v>
      </c>
    </row>
    <row r="4" spans="1:19">
      <c r="A4" s="39" t="s">
        <v>93</v>
      </c>
      <c r="D4" s="17"/>
      <c r="K4" s="26"/>
    </row>
    <row r="5" spans="1:19" s="25" customFormat="1">
      <c r="A5" s="28"/>
      <c r="D5" s="28"/>
      <c r="E5" s="446"/>
      <c r="F5" s="26"/>
      <c r="G5" s="27"/>
      <c r="K5" s="26"/>
      <c r="O5" s="26"/>
    </row>
    <row r="6" spans="1:19" s="25" customFormat="1" ht="12" customHeight="1">
      <c r="A6" s="37"/>
      <c r="B6" s="36"/>
      <c r="C6" s="35"/>
      <c r="D6" s="35"/>
      <c r="E6" s="446"/>
      <c r="F6" s="34"/>
      <c r="G6" s="27"/>
      <c r="K6" s="34"/>
      <c r="O6" s="34"/>
    </row>
    <row r="7" spans="1:19" s="25" customFormat="1">
      <c r="A7" s="33" t="s">
        <v>3</v>
      </c>
      <c r="B7" s="32"/>
      <c r="C7" s="27"/>
      <c r="D7" s="27"/>
      <c r="E7" s="446"/>
      <c r="F7" s="26"/>
      <c r="G7" s="27"/>
      <c r="K7" s="26"/>
      <c r="O7" s="26"/>
    </row>
    <row r="8" spans="1:19" s="25" customFormat="1">
      <c r="A8" s="31" t="s">
        <v>90</v>
      </c>
      <c r="B8" s="30"/>
      <c r="C8" s="29"/>
      <c r="D8" s="29" t="s">
        <v>4</v>
      </c>
      <c r="E8" s="446"/>
      <c r="F8" s="447" t="s">
        <v>400</v>
      </c>
      <c r="G8" s="447" t="s">
        <v>401</v>
      </c>
      <c r="H8" s="447" t="s">
        <v>402</v>
      </c>
      <c r="I8" s="447" t="s">
        <v>403</v>
      </c>
      <c r="J8" s="447" t="s">
        <v>404</v>
      </c>
      <c r="K8" s="447" t="s">
        <v>405</v>
      </c>
      <c r="L8" s="447" t="s">
        <v>406</v>
      </c>
      <c r="M8" s="447" t="s">
        <v>407</v>
      </c>
      <c r="N8" s="447" t="s">
        <v>408</v>
      </c>
      <c r="O8" s="447" t="s">
        <v>409</v>
      </c>
      <c r="P8" s="447" t="s">
        <v>410</v>
      </c>
      <c r="Q8" s="447" t="s">
        <v>411</v>
      </c>
      <c r="R8" s="447" t="s">
        <v>412</v>
      </c>
      <c r="S8" s="447" t="s">
        <v>534</v>
      </c>
    </row>
    <row r="9" spans="1:19" s="94" customFormat="1">
      <c r="B9" s="95" t="s">
        <v>137</v>
      </c>
      <c r="E9" s="446"/>
      <c r="F9" s="97"/>
      <c r="G9" s="98"/>
      <c r="K9" s="96"/>
      <c r="O9" s="97"/>
    </row>
    <row r="10" spans="1:19" s="94" customFormat="1">
      <c r="B10" s="95" t="s">
        <v>138</v>
      </c>
      <c r="E10" s="446"/>
      <c r="F10" s="97"/>
      <c r="G10" s="98"/>
      <c r="K10" s="96"/>
      <c r="O10" s="97"/>
    </row>
    <row r="11" spans="1:19" s="94" customFormat="1">
      <c r="B11" s="95"/>
      <c r="E11" s="446"/>
      <c r="F11" s="97"/>
      <c r="G11" s="98"/>
      <c r="K11" s="96"/>
      <c r="O11" s="97"/>
    </row>
    <row r="12" spans="1:19">
      <c r="B12" s="14" t="s">
        <v>86</v>
      </c>
    </row>
    <row r="13" spans="1:19" s="20" customFormat="1">
      <c r="A13" s="19">
        <v>1</v>
      </c>
      <c r="B13" s="20" t="s">
        <v>85</v>
      </c>
      <c r="E13" s="446"/>
      <c r="F13" s="448">
        <v>242529</v>
      </c>
      <c r="G13" s="448">
        <v>258201</v>
      </c>
      <c r="H13" s="448">
        <v>273318</v>
      </c>
      <c r="I13" s="448">
        <v>283356</v>
      </c>
      <c r="J13" s="448">
        <v>285399</v>
      </c>
      <c r="K13" s="448">
        <v>289216</v>
      </c>
      <c r="L13" s="448">
        <v>321929</v>
      </c>
      <c r="M13" s="448">
        <v>326335</v>
      </c>
      <c r="N13" s="448">
        <v>365425</v>
      </c>
      <c r="O13" s="448">
        <v>402618</v>
      </c>
      <c r="P13" s="448">
        <v>415739.9703632</v>
      </c>
      <c r="Q13" s="448">
        <v>451837</v>
      </c>
      <c r="R13" s="448">
        <v>460195</v>
      </c>
      <c r="S13" s="448">
        <v>468006</v>
      </c>
    </row>
    <row r="14" spans="1:19" s="22" customFormat="1">
      <c r="A14" s="19">
        <v>2</v>
      </c>
      <c r="B14" s="22" t="s">
        <v>84</v>
      </c>
      <c r="E14" s="446"/>
      <c r="F14" s="449">
        <v>546</v>
      </c>
      <c r="G14" s="449">
        <v>528</v>
      </c>
      <c r="H14" s="449">
        <v>791</v>
      </c>
      <c r="I14" s="449">
        <v>752</v>
      </c>
      <c r="J14" s="449">
        <v>752</v>
      </c>
      <c r="K14" s="449">
        <v>713</v>
      </c>
      <c r="L14" s="449">
        <v>733</v>
      </c>
      <c r="M14" s="449">
        <v>739</v>
      </c>
      <c r="N14" s="449">
        <v>820</v>
      </c>
      <c r="O14" s="449">
        <v>871.54909999999995</v>
      </c>
      <c r="P14" s="449">
        <v>790</v>
      </c>
      <c r="Q14" s="449">
        <v>820</v>
      </c>
      <c r="R14" s="449">
        <v>-113</v>
      </c>
      <c r="S14" s="449">
        <v>884</v>
      </c>
    </row>
    <row r="15" spans="1:19" s="22" customFormat="1">
      <c r="A15" s="19">
        <v>3</v>
      </c>
      <c r="B15" s="22" t="s">
        <v>83</v>
      </c>
      <c r="E15" s="446"/>
      <c r="F15" s="450">
        <v>137117</v>
      </c>
      <c r="G15" s="450">
        <v>91388</v>
      </c>
      <c r="H15" s="450">
        <v>29918</v>
      </c>
      <c r="I15" s="450">
        <v>35252</v>
      </c>
      <c r="J15" s="450">
        <v>40460</v>
      </c>
      <c r="K15" s="450">
        <v>44718</v>
      </c>
      <c r="L15" s="450">
        <v>35380</v>
      </c>
      <c r="M15" s="450">
        <v>34954</v>
      </c>
      <c r="N15" s="450">
        <v>46848</v>
      </c>
      <c r="O15" s="450">
        <v>31491</v>
      </c>
      <c r="P15" s="450">
        <v>133479</v>
      </c>
      <c r="Q15" s="450">
        <v>52604</v>
      </c>
      <c r="R15" s="450">
        <v>54549</v>
      </c>
      <c r="S15" s="450">
        <v>75349</v>
      </c>
    </row>
    <row r="16" spans="1:19" s="22" customFormat="1">
      <c r="A16" s="19">
        <v>4</v>
      </c>
      <c r="B16" s="22" t="s">
        <v>82</v>
      </c>
      <c r="E16" s="446"/>
      <c r="F16" s="451">
        <v>380192</v>
      </c>
      <c r="G16" s="451">
        <v>350117</v>
      </c>
      <c r="H16" s="451">
        <v>304027</v>
      </c>
      <c r="I16" s="451">
        <v>319360</v>
      </c>
      <c r="J16" s="451">
        <v>326611</v>
      </c>
      <c r="K16" s="451">
        <v>334647</v>
      </c>
      <c r="L16" s="451">
        <v>358042</v>
      </c>
      <c r="M16" s="451">
        <v>362028</v>
      </c>
      <c r="N16" s="451">
        <v>413093</v>
      </c>
      <c r="O16" s="451">
        <v>434980.5491</v>
      </c>
      <c r="P16" s="451">
        <v>550008.97036319994</v>
      </c>
      <c r="Q16" s="451">
        <v>505261</v>
      </c>
      <c r="R16" s="451">
        <v>514631</v>
      </c>
      <c r="S16" s="451">
        <f>SUM(S13:S15)</f>
        <v>544239</v>
      </c>
    </row>
    <row r="17" spans="1:19" s="22" customFormat="1">
      <c r="A17" s="19">
        <v>5</v>
      </c>
      <c r="B17" s="22" t="s">
        <v>81</v>
      </c>
      <c r="E17" s="446"/>
      <c r="F17" s="450">
        <v>13062</v>
      </c>
      <c r="G17" s="450">
        <v>14305</v>
      </c>
      <c r="H17" s="450">
        <v>34274</v>
      </c>
      <c r="I17" s="450">
        <v>57244</v>
      </c>
      <c r="J17" s="450">
        <v>8587</v>
      </c>
      <c r="K17" s="450">
        <v>10259</v>
      </c>
      <c r="L17" s="450">
        <v>10178</v>
      </c>
      <c r="M17" s="450">
        <v>10170</v>
      </c>
      <c r="N17" s="450">
        <v>10927</v>
      </c>
      <c r="O17" s="450">
        <v>9395</v>
      </c>
      <c r="P17" s="450">
        <v>11786</v>
      </c>
      <c r="Q17" s="450">
        <v>13666</v>
      </c>
      <c r="R17" s="450">
        <v>13089</v>
      </c>
      <c r="S17" s="450">
        <v>13408</v>
      </c>
    </row>
    <row r="18" spans="1:19" s="22" customFormat="1">
      <c r="A18" s="19">
        <v>6</v>
      </c>
      <c r="B18" s="22" t="s">
        <v>80</v>
      </c>
      <c r="E18" s="446"/>
      <c r="F18" s="451">
        <v>393254</v>
      </c>
      <c r="G18" s="451">
        <v>364422</v>
      </c>
      <c r="H18" s="451">
        <v>338301</v>
      </c>
      <c r="I18" s="451">
        <v>376604</v>
      </c>
      <c r="J18" s="451">
        <v>335198</v>
      </c>
      <c r="K18" s="451">
        <v>344906</v>
      </c>
      <c r="L18" s="451">
        <v>368220</v>
      </c>
      <c r="M18" s="451">
        <v>372198</v>
      </c>
      <c r="N18" s="451">
        <v>424020</v>
      </c>
      <c r="O18" s="451">
        <v>444375.5491</v>
      </c>
      <c r="P18" s="451">
        <v>561794.97036319994</v>
      </c>
      <c r="Q18" s="451">
        <v>518927</v>
      </c>
      <c r="R18" s="451">
        <v>527720</v>
      </c>
      <c r="S18" s="451">
        <f>SUM(S16:S17)</f>
        <v>557647</v>
      </c>
    </row>
    <row r="19" spans="1:19" s="22" customFormat="1">
      <c r="A19" s="19"/>
      <c r="E19" s="446"/>
      <c r="F19" s="452"/>
      <c r="G19" s="452"/>
      <c r="H19" s="452"/>
      <c r="I19" s="452"/>
      <c r="J19" s="452"/>
      <c r="K19" s="452"/>
      <c r="L19" s="452"/>
      <c r="M19" s="451"/>
      <c r="N19" s="451"/>
      <c r="O19" s="451"/>
      <c r="P19" s="451"/>
      <c r="Q19" s="451"/>
      <c r="R19" s="451"/>
      <c r="S19" s="451"/>
    </row>
    <row r="20" spans="1:19" s="22" customFormat="1">
      <c r="A20" s="19"/>
      <c r="B20" s="22" t="s">
        <v>79</v>
      </c>
      <c r="E20" s="446"/>
      <c r="F20" s="452"/>
      <c r="G20" s="452"/>
      <c r="H20" s="452"/>
      <c r="I20" s="452"/>
      <c r="J20" s="452"/>
      <c r="K20" s="452"/>
      <c r="L20" s="452"/>
      <c r="M20" s="451"/>
      <c r="N20" s="451"/>
      <c r="O20" s="451"/>
      <c r="P20" s="451"/>
      <c r="Q20" s="451"/>
      <c r="R20" s="451"/>
      <c r="S20" s="451"/>
    </row>
    <row r="21" spans="1:19" s="22" customFormat="1">
      <c r="A21" s="19"/>
      <c r="B21" s="22" t="s">
        <v>78</v>
      </c>
      <c r="E21" s="446"/>
      <c r="F21" s="452"/>
      <c r="G21" s="452"/>
      <c r="H21" s="452"/>
      <c r="I21" s="452"/>
      <c r="J21" s="452"/>
      <c r="K21" s="452"/>
      <c r="L21" s="452"/>
      <c r="M21" s="451"/>
      <c r="N21" s="451"/>
      <c r="O21" s="451"/>
      <c r="P21" s="451"/>
      <c r="Q21" s="451"/>
      <c r="R21" s="451"/>
      <c r="S21" s="451"/>
    </row>
    <row r="22" spans="1:19" s="22" customFormat="1">
      <c r="A22" s="19">
        <v>7</v>
      </c>
      <c r="C22" s="22" t="s">
        <v>70</v>
      </c>
      <c r="E22" s="446"/>
      <c r="F22" s="449">
        <v>78721</v>
      </c>
      <c r="G22" s="449">
        <v>47157</v>
      </c>
      <c r="H22" s="449">
        <v>101475</v>
      </c>
      <c r="I22" s="449">
        <v>132098</v>
      </c>
      <c r="J22" s="449">
        <v>101545</v>
      </c>
      <c r="K22" s="449">
        <v>105374</v>
      </c>
      <c r="L22" s="449">
        <v>104260</v>
      </c>
      <c r="M22" s="449">
        <v>102890</v>
      </c>
      <c r="N22" s="449">
        <v>117123</v>
      </c>
      <c r="O22" s="449">
        <v>87599</v>
      </c>
      <c r="P22" s="449">
        <v>147107</v>
      </c>
      <c r="Q22" s="449">
        <v>145634</v>
      </c>
      <c r="R22" s="449">
        <v>131795</v>
      </c>
      <c r="S22" s="449">
        <v>143904</v>
      </c>
    </row>
    <row r="23" spans="1:19" s="22" customFormat="1">
      <c r="A23" s="19">
        <v>8</v>
      </c>
      <c r="C23" s="22" t="s">
        <v>77</v>
      </c>
      <c r="E23" s="446"/>
      <c r="F23" s="449">
        <v>181189</v>
      </c>
      <c r="G23" s="449">
        <v>132159</v>
      </c>
      <c r="H23" s="449">
        <v>50769</v>
      </c>
      <c r="I23" s="449">
        <v>46591</v>
      </c>
      <c r="J23" s="449">
        <v>51042</v>
      </c>
      <c r="K23" s="449">
        <v>55046</v>
      </c>
      <c r="L23" s="449">
        <v>79146</v>
      </c>
      <c r="M23" s="449">
        <v>65640</v>
      </c>
      <c r="N23" s="449">
        <v>72508</v>
      </c>
      <c r="O23" s="449">
        <v>104869</v>
      </c>
      <c r="P23" s="449">
        <v>142197</v>
      </c>
      <c r="Q23" s="449">
        <v>91142</v>
      </c>
      <c r="R23" s="449">
        <v>101283</v>
      </c>
      <c r="S23" s="449">
        <v>109034</v>
      </c>
    </row>
    <row r="24" spans="1:19" s="22" customFormat="1">
      <c r="A24" s="19">
        <v>9</v>
      </c>
      <c r="C24" s="22" t="s">
        <v>139</v>
      </c>
      <c r="E24" s="446"/>
      <c r="F24" s="449">
        <v>-3114</v>
      </c>
      <c r="G24" s="449">
        <v>9152</v>
      </c>
      <c r="H24" s="449">
        <v>13808</v>
      </c>
      <c r="I24" s="449">
        <v>14915</v>
      </c>
      <c r="J24" s="449">
        <v>22879</v>
      </c>
      <c r="K24" s="449">
        <v>13812</v>
      </c>
      <c r="L24" s="449">
        <v>25745</v>
      </c>
      <c r="M24" s="449">
        <v>21795</v>
      </c>
      <c r="N24" s="449">
        <v>22000</v>
      </c>
      <c r="O24" s="449">
        <v>22266</v>
      </c>
      <c r="P24" s="449">
        <v>22129</v>
      </c>
      <c r="Q24" s="449">
        <v>25158</v>
      </c>
      <c r="R24" s="449">
        <v>25872</v>
      </c>
      <c r="S24" s="449">
        <v>23284</v>
      </c>
    </row>
    <row r="25" spans="1:19" s="22" customFormat="1">
      <c r="A25" s="19">
        <v>10</v>
      </c>
      <c r="C25" s="23" t="s">
        <v>140</v>
      </c>
      <c r="D25" s="23"/>
      <c r="E25" s="446"/>
      <c r="Q25" s="22">
        <v>403</v>
      </c>
      <c r="R25" s="22">
        <v>-7936</v>
      </c>
      <c r="S25" s="22">
        <v>8629</v>
      </c>
    </row>
    <row r="26" spans="1:19" s="22" customFormat="1">
      <c r="A26" s="19">
        <v>11</v>
      </c>
      <c r="C26" s="22" t="s">
        <v>69</v>
      </c>
      <c r="E26" s="446"/>
      <c r="F26" s="450">
        <v>9346</v>
      </c>
      <c r="G26" s="450">
        <v>5139</v>
      </c>
      <c r="H26" s="450">
        <v>7164</v>
      </c>
      <c r="I26" s="450">
        <v>6722</v>
      </c>
      <c r="J26" s="450">
        <v>7283</v>
      </c>
      <c r="K26" s="450">
        <v>9900</v>
      </c>
      <c r="L26" s="450">
        <v>9115</v>
      </c>
      <c r="M26" s="450">
        <v>8319</v>
      </c>
      <c r="N26" s="450">
        <v>8146</v>
      </c>
      <c r="O26" s="450">
        <v>9014</v>
      </c>
      <c r="P26" s="450">
        <v>9955</v>
      </c>
      <c r="Q26" s="450">
        <v>10846</v>
      </c>
      <c r="R26" s="450">
        <v>11456</v>
      </c>
      <c r="S26" s="450">
        <v>12913</v>
      </c>
    </row>
    <row r="27" spans="1:19" s="22" customFormat="1">
      <c r="A27" s="19">
        <v>12</v>
      </c>
      <c r="B27" s="22" t="s">
        <v>76</v>
      </c>
      <c r="E27" s="446"/>
      <c r="F27" s="451">
        <v>266142</v>
      </c>
      <c r="G27" s="451">
        <v>193607</v>
      </c>
      <c r="H27" s="451">
        <v>173216</v>
      </c>
      <c r="I27" s="451">
        <v>200326</v>
      </c>
      <c r="J27" s="451">
        <v>182749</v>
      </c>
      <c r="K27" s="451">
        <v>184132</v>
      </c>
      <c r="L27" s="451">
        <v>218266</v>
      </c>
      <c r="M27" s="451">
        <v>198644</v>
      </c>
      <c r="N27" s="451">
        <v>219777</v>
      </c>
      <c r="O27" s="451">
        <v>223748</v>
      </c>
      <c r="P27" s="451">
        <v>321388</v>
      </c>
      <c r="Q27" s="451">
        <v>273183</v>
      </c>
      <c r="R27" s="451">
        <v>262470</v>
      </c>
      <c r="S27" s="451">
        <f>SUM(S22:S26)</f>
        <v>297764</v>
      </c>
    </row>
    <row r="28" spans="1:19" s="22" customFormat="1">
      <c r="A28" s="19"/>
      <c r="E28" s="446"/>
      <c r="F28" s="451"/>
      <c r="G28" s="451"/>
      <c r="H28" s="451"/>
      <c r="I28" s="451"/>
      <c r="J28" s="451"/>
      <c r="K28" s="451"/>
      <c r="L28" s="451"/>
      <c r="M28" s="451"/>
      <c r="N28" s="451"/>
      <c r="O28" s="451"/>
      <c r="P28" s="451"/>
      <c r="Q28" s="451"/>
      <c r="R28" s="451"/>
      <c r="S28" s="451"/>
    </row>
    <row r="29" spans="1:19" s="22" customFormat="1">
      <c r="A29" s="19"/>
      <c r="B29" s="22" t="s">
        <v>56</v>
      </c>
      <c r="E29" s="446"/>
      <c r="F29" s="451"/>
      <c r="G29" s="451"/>
      <c r="H29" s="451"/>
      <c r="I29" s="451"/>
      <c r="J29" s="451"/>
      <c r="K29" s="451"/>
      <c r="L29" s="451"/>
      <c r="M29" s="451"/>
      <c r="N29" s="451"/>
      <c r="O29" s="451"/>
      <c r="P29" s="451"/>
      <c r="Q29" s="451"/>
      <c r="R29" s="451"/>
      <c r="S29" s="451"/>
    </row>
    <row r="30" spans="1:19" s="22" customFormat="1">
      <c r="A30" s="19">
        <v>13</v>
      </c>
      <c r="C30" s="22" t="s">
        <v>70</v>
      </c>
      <c r="E30" s="446"/>
      <c r="F30" s="449">
        <v>9418</v>
      </c>
      <c r="G30" s="449">
        <v>10560</v>
      </c>
      <c r="H30" s="449">
        <v>9631</v>
      </c>
      <c r="I30" s="449">
        <v>10171</v>
      </c>
      <c r="J30" s="449">
        <v>12016</v>
      </c>
      <c r="K30" s="449">
        <v>14263</v>
      </c>
      <c r="L30" s="449">
        <v>15485</v>
      </c>
      <c r="M30" s="449">
        <v>14563</v>
      </c>
      <c r="N30" s="449">
        <v>17329</v>
      </c>
      <c r="O30" s="449">
        <v>17267</v>
      </c>
      <c r="P30" s="449">
        <v>18354</v>
      </c>
      <c r="Q30" s="449">
        <v>19081</v>
      </c>
      <c r="R30" s="449">
        <v>21152</v>
      </c>
      <c r="S30" s="449">
        <v>20878</v>
      </c>
    </row>
    <row r="31" spans="1:19" s="22" customFormat="1">
      <c r="A31" s="19">
        <v>14</v>
      </c>
      <c r="C31" s="22" t="s">
        <v>141</v>
      </c>
      <c r="E31" s="446"/>
      <c r="F31" s="449">
        <v>9056</v>
      </c>
      <c r="G31" s="449">
        <v>9178</v>
      </c>
      <c r="H31" s="449">
        <v>9427</v>
      </c>
      <c r="I31" s="449">
        <v>9752</v>
      </c>
      <c r="J31" s="449">
        <v>10067</v>
      </c>
      <c r="K31" s="449">
        <v>10399</v>
      </c>
      <c r="L31" s="449">
        <v>10776</v>
      </c>
      <c r="M31" s="449">
        <v>11333</v>
      </c>
      <c r="N31" s="449">
        <v>15611</v>
      </c>
      <c r="O31" s="449">
        <v>16809</v>
      </c>
      <c r="P31" s="449">
        <v>17985</v>
      </c>
      <c r="Q31" s="449">
        <v>19240</v>
      </c>
      <c r="R31" s="449">
        <v>20749</v>
      </c>
      <c r="S31" s="449">
        <v>22303</v>
      </c>
    </row>
    <row r="32" spans="1:19" s="22" customFormat="1">
      <c r="A32" s="19">
        <v>15</v>
      </c>
      <c r="C32" s="22" t="s">
        <v>69</v>
      </c>
      <c r="E32" s="446"/>
      <c r="F32" s="450">
        <v>11693</v>
      </c>
      <c r="G32" s="450">
        <v>15462</v>
      </c>
      <c r="H32" s="450">
        <v>16996</v>
      </c>
      <c r="I32" s="450">
        <v>17286</v>
      </c>
      <c r="J32" s="450">
        <v>17401</v>
      </c>
      <c r="K32" s="450">
        <v>14988</v>
      </c>
      <c r="L32" s="450">
        <v>16307</v>
      </c>
      <c r="M32" s="450">
        <v>16156</v>
      </c>
      <c r="N32" s="450">
        <v>17416</v>
      </c>
      <c r="O32" s="450">
        <v>18207</v>
      </c>
      <c r="P32" s="450">
        <v>19990</v>
      </c>
      <c r="Q32" s="450">
        <v>22393.453812</v>
      </c>
      <c r="R32" s="450">
        <v>22594.925350000001</v>
      </c>
      <c r="S32" s="450">
        <v>23288</v>
      </c>
    </row>
    <row r="33" spans="1:19" s="22" customFormat="1">
      <c r="A33" s="19">
        <v>16</v>
      </c>
      <c r="B33" s="22" t="s">
        <v>75</v>
      </c>
      <c r="E33" s="446"/>
      <c r="F33" s="451">
        <v>30167</v>
      </c>
      <c r="G33" s="451">
        <v>35200</v>
      </c>
      <c r="H33" s="451">
        <v>36054</v>
      </c>
      <c r="I33" s="451">
        <v>37209</v>
      </c>
      <c r="J33" s="451">
        <v>39484</v>
      </c>
      <c r="K33" s="451">
        <v>39650</v>
      </c>
      <c r="L33" s="451">
        <v>42568</v>
      </c>
      <c r="M33" s="451">
        <v>42052</v>
      </c>
      <c r="N33" s="451">
        <v>50356</v>
      </c>
      <c r="O33" s="451">
        <v>52283</v>
      </c>
      <c r="P33" s="451">
        <v>56329</v>
      </c>
      <c r="Q33" s="451">
        <v>60714.453812</v>
      </c>
      <c r="R33" s="451">
        <v>64495.925350000005</v>
      </c>
      <c r="S33" s="451">
        <f>SUM(S30:S32)</f>
        <v>66469</v>
      </c>
    </row>
    <row r="34" spans="1:19" s="22" customFormat="1">
      <c r="E34" s="446"/>
      <c r="F34" s="451"/>
      <c r="G34" s="451"/>
      <c r="H34" s="451"/>
      <c r="I34" s="451"/>
      <c r="J34" s="451"/>
      <c r="K34" s="451"/>
      <c r="L34" s="451"/>
      <c r="M34" s="451"/>
      <c r="N34" s="451"/>
      <c r="O34" s="451"/>
      <c r="P34" s="451"/>
      <c r="Q34" s="451"/>
      <c r="R34" s="451"/>
      <c r="S34" s="451"/>
    </row>
    <row r="35" spans="1:19" s="22" customFormat="1">
      <c r="A35" s="19">
        <v>17</v>
      </c>
      <c r="B35" s="22" t="s">
        <v>74</v>
      </c>
      <c r="E35" s="446"/>
      <c r="F35" s="449">
        <v>5768</v>
      </c>
      <c r="G35" s="449">
        <v>6196</v>
      </c>
      <c r="H35" s="449">
        <v>7113</v>
      </c>
      <c r="I35" s="449">
        <v>7129</v>
      </c>
      <c r="J35" s="449">
        <v>7352</v>
      </c>
      <c r="K35" s="449">
        <v>7156</v>
      </c>
      <c r="L35" s="449">
        <v>7097</v>
      </c>
      <c r="M35" s="449">
        <v>7514</v>
      </c>
      <c r="N35" s="449">
        <v>7919</v>
      </c>
      <c r="O35" s="449">
        <v>9646</v>
      </c>
      <c r="P35" s="449">
        <v>9261</v>
      </c>
      <c r="Q35" s="449">
        <v>10274.701588</v>
      </c>
      <c r="R35" s="449">
        <v>10335.791302</v>
      </c>
      <c r="S35" s="449">
        <v>11334</v>
      </c>
    </row>
    <row r="36" spans="1:19" s="22" customFormat="1">
      <c r="A36" s="19">
        <v>18</v>
      </c>
      <c r="B36" s="22" t="s">
        <v>73</v>
      </c>
      <c r="E36" s="446"/>
      <c r="F36" s="449">
        <v>5704</v>
      </c>
      <c r="G36" s="449">
        <v>5381</v>
      </c>
      <c r="H36" s="449">
        <v>6261</v>
      </c>
      <c r="I36" s="449">
        <v>6620</v>
      </c>
      <c r="J36" s="449">
        <v>266</v>
      </c>
      <c r="K36" s="449">
        <v>7127</v>
      </c>
      <c r="L36" s="449">
        <v>1159</v>
      </c>
      <c r="M36" s="449">
        <v>7472</v>
      </c>
      <c r="N36" s="449">
        <v>12847</v>
      </c>
      <c r="O36" s="449">
        <v>19736</v>
      </c>
      <c r="P36" s="449">
        <v>20832</v>
      </c>
      <c r="Q36" s="449">
        <v>21292</v>
      </c>
      <c r="R36" s="449">
        <v>18487</v>
      </c>
      <c r="S36" s="449">
        <v>1516</v>
      </c>
    </row>
    <row r="37" spans="1:19" s="22" customFormat="1">
      <c r="A37" s="19">
        <v>19</v>
      </c>
      <c r="B37" s="22" t="s">
        <v>72</v>
      </c>
      <c r="E37" s="446"/>
      <c r="F37" s="449">
        <v>1071</v>
      </c>
      <c r="G37" s="449">
        <v>734</v>
      </c>
      <c r="H37" s="449">
        <v>628</v>
      </c>
      <c r="I37" s="449">
        <v>734</v>
      </c>
      <c r="J37" s="449">
        <v>686</v>
      </c>
      <c r="K37" s="449">
        <v>430</v>
      </c>
      <c r="L37" s="449">
        <v>657</v>
      </c>
      <c r="M37" s="449">
        <v>682</v>
      </c>
      <c r="N37" s="449">
        <v>571</v>
      </c>
      <c r="O37" s="449">
        <v>660</v>
      </c>
      <c r="P37" s="449">
        <v>176</v>
      </c>
      <c r="Q37" s="449">
        <v>4</v>
      </c>
      <c r="R37" s="449">
        <v>5</v>
      </c>
      <c r="S37" s="449">
        <v>5</v>
      </c>
    </row>
    <row r="38" spans="1:19" s="22" customFormat="1">
      <c r="A38" s="19"/>
      <c r="E38" s="446"/>
      <c r="F38" s="451"/>
      <c r="G38" s="451"/>
      <c r="H38" s="451"/>
      <c r="I38" s="451"/>
      <c r="J38" s="451"/>
      <c r="K38" s="451"/>
      <c r="L38" s="451"/>
      <c r="M38" s="451"/>
      <c r="N38" s="451"/>
      <c r="O38" s="451"/>
      <c r="P38" s="451"/>
      <c r="Q38" s="451"/>
      <c r="R38" s="451"/>
      <c r="S38" s="451"/>
    </row>
    <row r="39" spans="1:19" s="22" customFormat="1">
      <c r="B39" s="22" t="s">
        <v>71</v>
      </c>
      <c r="E39" s="446"/>
      <c r="F39" s="451"/>
      <c r="G39" s="451"/>
      <c r="H39" s="451"/>
      <c r="I39" s="451"/>
      <c r="J39" s="451"/>
      <c r="K39" s="451"/>
      <c r="L39" s="451"/>
      <c r="M39" s="451"/>
      <c r="N39" s="451"/>
      <c r="O39" s="451"/>
      <c r="P39" s="451"/>
      <c r="Q39" s="451"/>
      <c r="R39" s="451"/>
      <c r="S39" s="451"/>
    </row>
    <row r="40" spans="1:19" s="22" customFormat="1">
      <c r="A40" s="19">
        <v>20</v>
      </c>
      <c r="C40" s="22" t="s">
        <v>70</v>
      </c>
      <c r="E40" s="446"/>
      <c r="F40" s="449">
        <v>30350</v>
      </c>
      <c r="G40" s="449">
        <v>25102</v>
      </c>
      <c r="H40" s="449">
        <v>30304</v>
      </c>
      <c r="I40" s="449">
        <v>30153</v>
      </c>
      <c r="J40" s="449">
        <v>31927</v>
      </c>
      <c r="K40" s="449">
        <v>33143</v>
      </c>
      <c r="L40" s="449">
        <v>33148</v>
      </c>
      <c r="M40" s="449">
        <v>35844</v>
      </c>
      <c r="N40" s="449">
        <v>35982</v>
      </c>
      <c r="O40" s="449">
        <v>38461</v>
      </c>
      <c r="P40" s="449">
        <v>44662</v>
      </c>
      <c r="Q40" s="449">
        <v>44779.252</v>
      </c>
      <c r="R40" s="449">
        <v>49333.396000000001</v>
      </c>
      <c r="S40" s="449">
        <v>43310</v>
      </c>
    </row>
    <row r="41" spans="1:19" s="22" customFormat="1">
      <c r="A41" s="19">
        <v>21</v>
      </c>
      <c r="C41" s="22" t="s">
        <v>141</v>
      </c>
      <c r="E41" s="446"/>
      <c r="F41" s="449">
        <v>3998</v>
      </c>
      <c r="G41" s="449">
        <v>4414</v>
      </c>
      <c r="H41" s="449">
        <v>6606</v>
      </c>
      <c r="I41" s="449">
        <v>6659</v>
      </c>
      <c r="J41" s="449">
        <v>6072</v>
      </c>
      <c r="K41" s="449">
        <v>6537</v>
      </c>
      <c r="L41" s="449">
        <v>6459</v>
      </c>
      <c r="M41" s="449">
        <v>6739</v>
      </c>
      <c r="N41" s="449">
        <v>7187</v>
      </c>
      <c r="O41" s="449">
        <v>7688</v>
      </c>
      <c r="P41" s="449">
        <v>9277</v>
      </c>
      <c r="Q41" s="449">
        <v>10906</v>
      </c>
      <c r="R41" s="449">
        <v>12517</v>
      </c>
      <c r="S41" s="449">
        <v>14721</v>
      </c>
    </row>
    <row r="42" spans="1:19" s="22" customFormat="1">
      <c r="A42" s="99">
        <v>22</v>
      </c>
      <c r="C42" s="22" t="s">
        <v>69</v>
      </c>
      <c r="E42" s="446"/>
      <c r="F42" s="450">
        <v>5</v>
      </c>
      <c r="G42" s="450">
        <v>2</v>
      </c>
      <c r="H42" s="450">
        <v>1</v>
      </c>
      <c r="I42" s="450">
        <v>2</v>
      </c>
      <c r="J42" s="450">
        <v>3</v>
      </c>
      <c r="K42" s="450">
        <v>-4</v>
      </c>
      <c r="L42" s="450">
        <v>0</v>
      </c>
      <c r="M42" s="450">
        <v>-9</v>
      </c>
      <c r="N42" s="450">
        <v>-3</v>
      </c>
      <c r="O42" s="450">
        <v>-3</v>
      </c>
      <c r="P42" s="450">
        <v>2</v>
      </c>
      <c r="Q42" s="450">
        <v>0</v>
      </c>
      <c r="R42" s="450">
        <v>-4</v>
      </c>
      <c r="S42" s="450">
        <v>0</v>
      </c>
    </row>
    <row r="43" spans="1:19" s="22" customFormat="1">
      <c r="A43" s="19">
        <v>23</v>
      </c>
      <c r="B43" s="22" t="s">
        <v>68</v>
      </c>
      <c r="E43" s="446"/>
      <c r="F43" s="453">
        <v>34353</v>
      </c>
      <c r="G43" s="453">
        <v>29518</v>
      </c>
      <c r="H43" s="453">
        <v>36911</v>
      </c>
      <c r="I43" s="453">
        <v>36814</v>
      </c>
      <c r="J43" s="453">
        <v>38002</v>
      </c>
      <c r="K43" s="453">
        <v>39676</v>
      </c>
      <c r="L43" s="453">
        <v>39607</v>
      </c>
      <c r="M43" s="453">
        <v>42574</v>
      </c>
      <c r="N43" s="453">
        <v>43166</v>
      </c>
      <c r="O43" s="453">
        <v>46146</v>
      </c>
      <c r="P43" s="453">
        <v>53941</v>
      </c>
      <c r="Q43" s="453">
        <v>55685.252</v>
      </c>
      <c r="R43" s="453">
        <v>61846.396000000001</v>
      </c>
      <c r="S43" s="453">
        <f>SUM(S40:S42)</f>
        <v>58031</v>
      </c>
    </row>
    <row r="44" spans="1:19" s="22" customFormat="1" ht="18" customHeight="1">
      <c r="A44" s="19">
        <v>24</v>
      </c>
      <c r="B44" s="22" t="s">
        <v>67</v>
      </c>
      <c r="E44" s="446"/>
      <c r="F44" s="453">
        <v>343205</v>
      </c>
      <c r="G44" s="453">
        <v>270636</v>
      </c>
      <c r="H44" s="453">
        <v>260183</v>
      </c>
      <c r="I44" s="453">
        <v>288832</v>
      </c>
      <c r="J44" s="453">
        <v>268539</v>
      </c>
      <c r="K44" s="453">
        <v>278171</v>
      </c>
      <c r="L44" s="453">
        <v>309354</v>
      </c>
      <c r="M44" s="453">
        <v>298938</v>
      </c>
      <c r="N44" s="453">
        <v>334636</v>
      </c>
      <c r="O44" s="453">
        <v>352219</v>
      </c>
      <c r="P44" s="453">
        <v>461927</v>
      </c>
      <c r="Q44" s="453">
        <v>421153.40740000003</v>
      </c>
      <c r="R44" s="453">
        <v>417640.11265200004</v>
      </c>
      <c r="S44" s="453">
        <f>S27+S33+S35+S36+S37+S43</f>
        <v>435119</v>
      </c>
    </row>
    <row r="45" spans="1:19" s="22" customFormat="1">
      <c r="E45" s="446"/>
      <c r="F45" s="451"/>
      <c r="G45" s="451"/>
      <c r="H45" s="451"/>
      <c r="I45" s="451"/>
      <c r="J45" s="451"/>
      <c r="K45" s="451"/>
      <c r="L45" s="451"/>
      <c r="M45" s="451"/>
      <c r="N45" s="451"/>
      <c r="O45" s="451"/>
      <c r="P45" s="451"/>
      <c r="Q45" s="451"/>
      <c r="R45" s="451"/>
      <c r="S45" s="451"/>
    </row>
    <row r="46" spans="1:19" s="22" customFormat="1">
      <c r="A46" s="19">
        <v>25</v>
      </c>
      <c r="B46" s="22" t="s">
        <v>66</v>
      </c>
      <c r="E46" s="446"/>
      <c r="F46" s="448">
        <v>50049</v>
      </c>
      <c r="G46" s="448">
        <v>93786</v>
      </c>
      <c r="H46" s="448">
        <v>78118</v>
      </c>
      <c r="I46" s="448">
        <v>87772</v>
      </c>
      <c r="J46" s="448">
        <v>66659</v>
      </c>
      <c r="K46" s="448">
        <v>66735</v>
      </c>
      <c r="L46" s="448">
        <v>58866</v>
      </c>
      <c r="M46" s="448">
        <v>73260</v>
      </c>
      <c r="N46" s="448">
        <v>89384</v>
      </c>
      <c r="O46" s="448">
        <v>92156.549100000004</v>
      </c>
      <c r="P46" s="448">
        <v>99867.970363199944</v>
      </c>
      <c r="Q46" s="448">
        <v>97773.592599999974</v>
      </c>
      <c r="R46" s="448">
        <v>110079.88734799996</v>
      </c>
      <c r="S46" s="448">
        <f>S18-S44</f>
        <v>122528</v>
      </c>
    </row>
    <row r="47" spans="1:19" s="22" customFormat="1">
      <c r="A47" s="19"/>
      <c r="E47" s="446"/>
      <c r="F47" s="454"/>
      <c r="G47" s="454"/>
      <c r="H47" s="454"/>
      <c r="I47" s="454"/>
      <c r="J47" s="454"/>
      <c r="K47" s="454"/>
      <c r="L47" s="454"/>
      <c r="M47" s="454"/>
      <c r="N47" s="454"/>
      <c r="O47" s="454"/>
      <c r="P47" s="454"/>
      <c r="Q47" s="454"/>
      <c r="R47" s="454"/>
      <c r="S47" s="454"/>
    </row>
    <row r="48" spans="1:19" s="22" customFormat="1">
      <c r="A48" s="21"/>
      <c r="B48" s="22" t="s">
        <v>65</v>
      </c>
      <c r="E48" s="446"/>
      <c r="F48" s="454"/>
      <c r="G48" s="454"/>
      <c r="H48" s="454"/>
      <c r="I48" s="454"/>
      <c r="J48" s="454"/>
      <c r="K48" s="454"/>
      <c r="L48" s="454"/>
      <c r="M48" s="454"/>
      <c r="N48" s="454"/>
      <c r="O48" s="454"/>
      <c r="P48" s="454"/>
      <c r="Q48" s="454"/>
      <c r="R48" s="454"/>
      <c r="S48" s="454"/>
    </row>
    <row r="49" spans="1:19" s="22" customFormat="1">
      <c r="A49" s="99">
        <v>26</v>
      </c>
      <c r="B49" s="22" t="s">
        <v>142</v>
      </c>
      <c r="D49" s="88"/>
      <c r="E49" s="446"/>
      <c r="F49" s="454">
        <v>13500</v>
      </c>
      <c r="G49" s="454">
        <v>7802.6454399910144</v>
      </c>
      <c r="H49" s="454">
        <v>12532.4934614427</v>
      </c>
      <c r="I49" s="454">
        <v>18199.38094551977</v>
      </c>
      <c r="J49" s="454">
        <v>10602.745932108257</v>
      </c>
      <c r="K49" s="454">
        <v>6760.4768703774607</v>
      </c>
      <c r="L49" s="454">
        <v>3583.5198936206907</v>
      </c>
      <c r="M49" s="454">
        <v>5069.5165750000015</v>
      </c>
      <c r="N49" s="454">
        <v>-6217.1202000000012</v>
      </c>
      <c r="O49" s="454">
        <v>-1846</v>
      </c>
      <c r="P49" s="454">
        <v>9263</v>
      </c>
      <c r="Q49" s="454">
        <v>6568.9074099999998</v>
      </c>
      <c r="R49" s="454">
        <v>11499.260571799998</v>
      </c>
      <c r="S49" s="454">
        <v>19267</v>
      </c>
    </row>
    <row r="50" spans="1:19" s="23" customFormat="1">
      <c r="A50" s="19">
        <v>27</v>
      </c>
      <c r="B50" s="23" t="s">
        <v>143</v>
      </c>
      <c r="E50" s="446"/>
      <c r="F50" s="454"/>
      <c r="G50" s="454"/>
      <c r="H50" s="454"/>
      <c r="I50" s="454"/>
      <c r="J50" s="454"/>
      <c r="K50" s="454"/>
      <c r="L50" s="454"/>
      <c r="M50" s="454"/>
      <c r="N50" s="454"/>
      <c r="O50" s="454"/>
      <c r="P50" s="454"/>
      <c r="Q50" s="454">
        <v>206.8288</v>
      </c>
      <c r="R50" s="454">
        <v>70.410550000000001</v>
      </c>
      <c r="S50" s="454">
        <v>1</v>
      </c>
    </row>
    <row r="51" spans="1:19" s="22" customFormat="1">
      <c r="A51" s="19">
        <v>28</v>
      </c>
      <c r="B51" s="22" t="s">
        <v>64</v>
      </c>
      <c r="E51" s="446"/>
      <c r="F51" s="454">
        <v>3549</v>
      </c>
      <c r="G51" s="454">
        <v>16107</v>
      </c>
      <c r="H51" s="454">
        <v>3470</v>
      </c>
      <c r="I51" s="454">
        <v>1284</v>
      </c>
      <c r="J51" s="454">
        <v>608</v>
      </c>
      <c r="K51" s="454">
        <v>3867</v>
      </c>
      <c r="L51" s="454">
        <v>3975</v>
      </c>
      <c r="M51" s="454">
        <v>6497</v>
      </c>
      <c r="N51" s="454">
        <v>26634</v>
      </c>
      <c r="O51" s="454">
        <v>23983</v>
      </c>
      <c r="P51" s="454">
        <v>13823</v>
      </c>
      <c r="Q51" s="454">
        <v>16402</v>
      </c>
      <c r="R51" s="454">
        <v>15684</v>
      </c>
      <c r="S51" s="454">
        <v>10613</v>
      </c>
    </row>
    <row r="52" spans="1:19" s="22" customFormat="1">
      <c r="A52" s="21">
        <v>29</v>
      </c>
      <c r="B52" s="22" t="s">
        <v>63</v>
      </c>
      <c r="E52" s="446"/>
      <c r="F52" s="454"/>
      <c r="G52" s="454"/>
      <c r="H52" s="454"/>
      <c r="I52" s="454"/>
      <c r="J52" s="454"/>
      <c r="K52" s="454"/>
      <c r="L52" s="454"/>
      <c r="M52" s="454"/>
      <c r="N52" s="454"/>
      <c r="O52" s="454">
        <v>-58</v>
      </c>
      <c r="P52" s="454">
        <v>-83</v>
      </c>
      <c r="Q52" s="454">
        <v>-99</v>
      </c>
      <c r="R52" s="454">
        <v>-128</v>
      </c>
      <c r="S52" s="454">
        <v>-130</v>
      </c>
    </row>
    <row r="53" spans="1:19">
      <c r="B53" s="455" t="s">
        <v>304</v>
      </c>
      <c r="F53" s="454">
        <v>5683</v>
      </c>
      <c r="G53" s="454">
        <v>5369</v>
      </c>
      <c r="H53" s="454"/>
      <c r="I53" s="454"/>
      <c r="J53" s="454"/>
      <c r="K53" s="454"/>
      <c r="L53" s="454"/>
      <c r="M53" s="454"/>
      <c r="N53" s="454"/>
      <c r="O53" s="454"/>
      <c r="P53" s="454"/>
      <c r="Q53" s="454"/>
      <c r="R53" s="454"/>
      <c r="S53" s="454"/>
    </row>
    <row r="54" spans="1:19" s="20" customFormat="1" ht="13.5" thickBot="1">
      <c r="A54" s="24">
        <v>30</v>
      </c>
      <c r="B54" s="20" t="s">
        <v>62</v>
      </c>
      <c r="E54" s="446"/>
      <c r="F54" s="456">
        <v>27317</v>
      </c>
      <c r="G54" s="456">
        <v>64507.354560008986</v>
      </c>
      <c r="H54" s="456">
        <v>62115.506538557296</v>
      </c>
      <c r="I54" s="456">
        <v>68288.619054480223</v>
      </c>
      <c r="J54" s="456">
        <v>55448.254067891743</v>
      </c>
      <c r="K54" s="456">
        <v>56107.523129622539</v>
      </c>
      <c r="L54" s="456">
        <v>51307.480106379313</v>
      </c>
      <c r="M54" s="456">
        <v>61693.483424999999</v>
      </c>
      <c r="N54" s="456">
        <v>68967.120200000005</v>
      </c>
      <c r="O54" s="456">
        <v>70077.549100000004</v>
      </c>
      <c r="P54" s="456">
        <v>76864.970363199944</v>
      </c>
      <c r="Q54" s="456">
        <v>74694.856389999972</v>
      </c>
      <c r="R54" s="456">
        <v>82954.216226199962</v>
      </c>
      <c r="S54" s="456">
        <f>S46-S49-S50-S51-S52</f>
        <v>92777</v>
      </c>
    </row>
    <row r="55" spans="1:19" ht="13.5" thickTop="1">
      <c r="A55" s="24"/>
      <c r="F55" s="454"/>
      <c r="G55" s="454"/>
      <c r="H55" s="454"/>
      <c r="I55" s="454"/>
      <c r="J55" s="454"/>
      <c r="K55" s="454"/>
      <c r="L55" s="454"/>
      <c r="M55" s="454"/>
      <c r="N55" s="454"/>
      <c r="O55" s="454"/>
      <c r="P55" s="454"/>
      <c r="Q55" s="454"/>
      <c r="R55" s="454"/>
      <c r="S55" s="454"/>
    </row>
    <row r="56" spans="1:19">
      <c r="A56" s="24"/>
      <c r="B56" s="14" t="s">
        <v>61</v>
      </c>
      <c r="F56" s="454"/>
      <c r="G56" s="454"/>
      <c r="H56" s="454"/>
      <c r="I56" s="454"/>
      <c r="J56" s="454"/>
      <c r="K56" s="454"/>
      <c r="L56" s="454"/>
      <c r="M56" s="454"/>
      <c r="N56" s="454"/>
      <c r="O56" s="454"/>
      <c r="P56" s="454"/>
      <c r="Q56" s="454"/>
      <c r="R56" s="454"/>
      <c r="S56" s="454"/>
    </row>
    <row r="57" spans="1:19">
      <c r="B57" s="14" t="s">
        <v>60</v>
      </c>
      <c r="F57" s="454"/>
      <c r="G57" s="454"/>
      <c r="H57" s="454"/>
      <c r="I57" s="454"/>
      <c r="J57" s="454"/>
      <c r="K57" s="454"/>
      <c r="L57" s="454"/>
      <c r="M57" s="454"/>
      <c r="N57" s="454"/>
      <c r="O57" s="454"/>
      <c r="P57" s="454"/>
      <c r="Q57" s="454"/>
      <c r="R57" s="454"/>
      <c r="S57" s="454"/>
    </row>
    <row r="58" spans="1:19" s="20" customFormat="1">
      <c r="A58" s="100">
        <v>31</v>
      </c>
      <c r="C58" s="20" t="s">
        <v>59</v>
      </c>
      <c r="E58" s="446"/>
      <c r="F58" s="448">
        <v>15127</v>
      </c>
      <c r="G58" s="448">
        <v>16340</v>
      </c>
      <c r="H58" s="448">
        <v>20910</v>
      </c>
      <c r="I58" s="448">
        <v>21299</v>
      </c>
      <c r="J58" s="448">
        <v>21374</v>
      </c>
      <c r="K58" s="448">
        <v>22459</v>
      </c>
      <c r="L58" s="448">
        <v>23458</v>
      </c>
      <c r="M58" s="448">
        <v>20632</v>
      </c>
      <c r="N58" s="448">
        <v>23321</v>
      </c>
      <c r="O58" s="448">
        <v>57116</v>
      </c>
      <c r="P58" s="448">
        <v>81955</v>
      </c>
      <c r="Q58" s="448">
        <v>84081</v>
      </c>
      <c r="R58" s="448">
        <v>85247</v>
      </c>
      <c r="S58" s="448">
        <v>91466</v>
      </c>
    </row>
    <row r="59" spans="1:19" s="22" customFormat="1">
      <c r="A59" s="24">
        <v>32</v>
      </c>
      <c r="C59" s="22" t="s">
        <v>58</v>
      </c>
      <c r="E59" s="446"/>
      <c r="F59" s="454">
        <v>369323</v>
      </c>
      <c r="G59" s="454">
        <v>382522</v>
      </c>
      <c r="H59" s="454">
        <v>598523</v>
      </c>
      <c r="I59" s="454">
        <v>609668</v>
      </c>
      <c r="J59" s="454">
        <v>651608</v>
      </c>
      <c r="K59" s="454">
        <v>669043</v>
      </c>
      <c r="L59" s="454">
        <v>703455</v>
      </c>
      <c r="M59" s="454">
        <v>712962</v>
      </c>
      <c r="N59" s="454">
        <v>724416</v>
      </c>
      <c r="O59" s="454">
        <v>751055</v>
      </c>
      <c r="P59" s="454">
        <v>767632</v>
      </c>
      <c r="Q59" s="454">
        <v>706894</v>
      </c>
      <c r="R59" s="454">
        <v>717448</v>
      </c>
      <c r="S59" s="454">
        <v>738315</v>
      </c>
    </row>
    <row r="60" spans="1:19" s="22" customFormat="1">
      <c r="A60" s="24">
        <v>33</v>
      </c>
      <c r="C60" s="22" t="s">
        <v>57</v>
      </c>
      <c r="E60" s="446"/>
      <c r="F60" s="454">
        <v>181627</v>
      </c>
      <c r="G60" s="454">
        <v>191517</v>
      </c>
      <c r="H60" s="454">
        <v>186550</v>
      </c>
      <c r="I60" s="454">
        <v>196937</v>
      </c>
      <c r="J60" s="454">
        <v>213539</v>
      </c>
      <c r="K60" s="454">
        <v>224696</v>
      </c>
      <c r="L60" s="454">
        <v>244435</v>
      </c>
      <c r="M60" s="454">
        <v>259532</v>
      </c>
      <c r="N60" s="454">
        <v>289302</v>
      </c>
      <c r="O60" s="454">
        <v>301090</v>
      </c>
      <c r="P60" s="454">
        <v>312505</v>
      </c>
      <c r="Q60" s="454">
        <v>328012</v>
      </c>
      <c r="R60" s="454">
        <v>342382</v>
      </c>
      <c r="S60" s="454">
        <v>359941</v>
      </c>
    </row>
    <row r="61" spans="1:19" s="22" customFormat="1">
      <c r="A61" s="24">
        <v>34</v>
      </c>
      <c r="C61" s="22" t="s">
        <v>56</v>
      </c>
      <c r="E61" s="446"/>
      <c r="F61" s="454">
        <v>398104</v>
      </c>
      <c r="G61" s="454">
        <v>416427</v>
      </c>
      <c r="H61" s="454">
        <v>429742</v>
      </c>
      <c r="I61" s="454">
        <v>443424</v>
      </c>
      <c r="J61" s="454">
        <v>459516</v>
      </c>
      <c r="K61" s="454">
        <v>480638</v>
      </c>
      <c r="L61" s="454">
        <v>502571</v>
      </c>
      <c r="M61" s="454">
        <v>528809</v>
      </c>
      <c r="N61" s="454">
        <v>561016</v>
      </c>
      <c r="O61" s="454">
        <v>598884</v>
      </c>
      <c r="P61" s="454">
        <v>638445</v>
      </c>
      <c r="Q61" s="454">
        <v>696082</v>
      </c>
      <c r="R61" s="454">
        <v>743732</v>
      </c>
      <c r="S61" s="454">
        <v>796640</v>
      </c>
    </row>
    <row r="62" spans="1:19" s="22" customFormat="1">
      <c r="A62" s="24">
        <v>35</v>
      </c>
      <c r="C62" s="22" t="s">
        <v>55</v>
      </c>
      <c r="E62" s="446"/>
      <c r="F62" s="454">
        <v>58402</v>
      </c>
      <c r="G62" s="454">
        <v>59846</v>
      </c>
      <c r="H62" s="454">
        <v>59771</v>
      </c>
      <c r="I62" s="454">
        <v>60444</v>
      </c>
      <c r="J62" s="454">
        <v>63155</v>
      </c>
      <c r="K62" s="454">
        <v>65299</v>
      </c>
      <c r="L62" s="454">
        <v>80110</v>
      </c>
      <c r="M62" s="454">
        <v>81368</v>
      </c>
      <c r="N62" s="454">
        <v>91205</v>
      </c>
      <c r="O62" s="454">
        <v>98727</v>
      </c>
      <c r="P62" s="454">
        <v>120996</v>
      </c>
      <c r="Q62" s="454">
        <v>140218</v>
      </c>
      <c r="R62" s="454">
        <v>155104</v>
      </c>
      <c r="S62" s="454">
        <v>179134</v>
      </c>
    </row>
    <row r="63" spans="1:19" s="22" customFormat="1">
      <c r="A63" s="24">
        <v>36</v>
      </c>
      <c r="B63" s="22" t="s">
        <v>54</v>
      </c>
      <c r="E63" s="446"/>
      <c r="F63" s="457">
        <v>1022583</v>
      </c>
      <c r="G63" s="457">
        <v>1066652</v>
      </c>
      <c r="H63" s="457">
        <v>1295496</v>
      </c>
      <c r="I63" s="457">
        <v>1331772</v>
      </c>
      <c r="J63" s="457">
        <v>1409192</v>
      </c>
      <c r="K63" s="457">
        <v>1462135</v>
      </c>
      <c r="L63" s="457">
        <v>1554029</v>
      </c>
      <c r="M63" s="457">
        <v>1603303</v>
      </c>
      <c r="N63" s="457">
        <v>1689260</v>
      </c>
      <c r="O63" s="457">
        <v>1806872</v>
      </c>
      <c r="P63" s="457">
        <v>1921533</v>
      </c>
      <c r="Q63" s="457">
        <v>1955287</v>
      </c>
      <c r="R63" s="457">
        <v>2043913</v>
      </c>
      <c r="S63" s="457">
        <f>SUM(S58:S62)</f>
        <v>2165496</v>
      </c>
    </row>
    <row r="64" spans="1:19" s="22" customFormat="1" ht="18" customHeight="1">
      <c r="A64" s="24"/>
      <c r="B64" s="22" t="s">
        <v>144</v>
      </c>
      <c r="E64" s="446"/>
      <c r="F64" s="190"/>
      <c r="G64" s="190"/>
      <c r="H64" s="190"/>
      <c r="I64" s="190"/>
      <c r="J64" s="190"/>
      <c r="K64" s="190"/>
      <c r="L64" s="190"/>
      <c r="M64" s="190"/>
      <c r="N64" s="190"/>
      <c r="O64" s="190"/>
      <c r="P64" s="190"/>
      <c r="Q64" s="190"/>
      <c r="R64" s="190"/>
      <c r="S64" s="190"/>
    </row>
    <row r="65" spans="1:19" s="22" customFormat="1">
      <c r="A65" s="24">
        <v>37</v>
      </c>
      <c r="C65" s="20" t="s">
        <v>59</v>
      </c>
      <c r="E65" s="446"/>
      <c r="F65" s="458"/>
      <c r="G65" s="458"/>
      <c r="H65" s="458"/>
      <c r="I65" s="458"/>
      <c r="J65" s="458"/>
      <c r="K65" s="458"/>
      <c r="L65" s="458"/>
      <c r="M65" s="458"/>
      <c r="N65" s="458"/>
      <c r="O65" s="458"/>
      <c r="P65" s="458"/>
      <c r="Q65" s="459">
        <v>3744</v>
      </c>
      <c r="R65" s="459">
        <v>4369</v>
      </c>
      <c r="S65" s="459">
        <v>17667</v>
      </c>
    </row>
    <row r="66" spans="1:19" s="22" customFormat="1">
      <c r="A66" s="24">
        <v>38</v>
      </c>
      <c r="C66" s="22" t="s">
        <v>58</v>
      </c>
      <c r="E66" s="446"/>
      <c r="F66" s="458"/>
      <c r="G66" s="458"/>
      <c r="H66" s="458"/>
      <c r="I66" s="458"/>
      <c r="J66" s="458"/>
      <c r="K66" s="458"/>
      <c r="L66" s="458"/>
      <c r="M66" s="458"/>
      <c r="N66" s="458"/>
      <c r="O66" s="458"/>
      <c r="P66" s="458"/>
      <c r="Q66" s="459">
        <v>286300</v>
      </c>
      <c r="R66" s="459">
        <v>300170</v>
      </c>
      <c r="S66" s="459">
        <v>314599</v>
      </c>
    </row>
    <row r="67" spans="1:19" s="22" customFormat="1">
      <c r="A67" s="24">
        <v>39</v>
      </c>
      <c r="C67" s="22" t="s">
        <v>57</v>
      </c>
      <c r="E67" s="446"/>
      <c r="F67" s="458"/>
      <c r="G67" s="458"/>
      <c r="H67" s="458"/>
      <c r="I67" s="458"/>
      <c r="J67" s="458"/>
      <c r="K67" s="458"/>
      <c r="L67" s="458"/>
      <c r="M67" s="458"/>
      <c r="N67" s="458"/>
      <c r="O67" s="458"/>
      <c r="P67" s="458"/>
      <c r="Q67" s="459">
        <v>111144</v>
      </c>
      <c r="R67" s="459">
        <v>116316</v>
      </c>
      <c r="S67" s="459">
        <v>122308</v>
      </c>
    </row>
    <row r="68" spans="1:19" s="22" customFormat="1">
      <c r="A68" s="24">
        <v>40</v>
      </c>
      <c r="C68" s="22" t="s">
        <v>56</v>
      </c>
      <c r="E68" s="446"/>
      <c r="F68" s="458"/>
      <c r="G68" s="458"/>
      <c r="H68" s="458"/>
      <c r="I68" s="458"/>
      <c r="J68" s="458"/>
      <c r="K68" s="458"/>
      <c r="L68" s="458"/>
      <c r="M68" s="458"/>
      <c r="N68" s="458"/>
      <c r="O68" s="458"/>
      <c r="P68" s="458"/>
      <c r="Q68" s="459">
        <v>209101</v>
      </c>
      <c r="R68" s="459">
        <v>221408</v>
      </c>
      <c r="S68" s="459">
        <v>236201</v>
      </c>
    </row>
    <row r="69" spans="1:19" s="22" customFormat="1">
      <c r="A69" s="24">
        <v>41</v>
      </c>
      <c r="C69" s="22" t="s">
        <v>55</v>
      </c>
      <c r="E69" s="446"/>
      <c r="F69" s="458"/>
      <c r="G69" s="458"/>
      <c r="H69" s="458"/>
      <c r="I69" s="458"/>
      <c r="J69" s="458"/>
      <c r="K69" s="458"/>
      <c r="L69" s="458"/>
      <c r="M69" s="458"/>
      <c r="N69" s="458"/>
      <c r="O69" s="458"/>
      <c r="P69" s="458"/>
      <c r="Q69" s="615">
        <v>56694</v>
      </c>
      <c r="R69" s="615">
        <v>61871</v>
      </c>
      <c r="S69" s="615">
        <v>58357</v>
      </c>
    </row>
    <row r="70" spans="1:19" s="22" customFormat="1">
      <c r="A70" s="24">
        <v>42</v>
      </c>
      <c r="B70" s="22" t="s">
        <v>145</v>
      </c>
      <c r="E70" s="446"/>
      <c r="F70" s="454">
        <v>348345</v>
      </c>
      <c r="G70" s="454">
        <v>359654</v>
      </c>
      <c r="H70" s="454">
        <v>418593</v>
      </c>
      <c r="I70" s="454">
        <v>450096</v>
      </c>
      <c r="J70" s="454">
        <v>475935</v>
      </c>
      <c r="K70" s="454">
        <v>503194</v>
      </c>
      <c r="L70" s="454">
        <v>536682</v>
      </c>
      <c r="M70" s="454">
        <v>567320</v>
      </c>
      <c r="N70" s="454">
        <v>600292</v>
      </c>
      <c r="O70" s="454">
        <v>632110</v>
      </c>
      <c r="P70" s="454">
        <v>676635</v>
      </c>
      <c r="Q70" s="454">
        <v>666983</v>
      </c>
      <c r="R70" s="454">
        <v>704134</v>
      </c>
      <c r="S70" s="454">
        <f>SUM(S65:S69)</f>
        <v>749132</v>
      </c>
    </row>
    <row r="71" spans="1:19" s="22" customFormat="1">
      <c r="A71" s="24">
        <v>43</v>
      </c>
      <c r="B71" s="22" t="s">
        <v>146</v>
      </c>
      <c r="E71" s="446"/>
      <c r="F71" s="457">
        <v>674238</v>
      </c>
      <c r="G71" s="457">
        <v>706998</v>
      </c>
      <c r="H71" s="457">
        <v>876903</v>
      </c>
      <c r="I71" s="457">
        <v>881676</v>
      </c>
      <c r="J71" s="457">
        <v>933257</v>
      </c>
      <c r="K71" s="457">
        <v>958941</v>
      </c>
      <c r="L71" s="457">
        <v>1017347</v>
      </c>
      <c r="M71" s="457">
        <v>1035983</v>
      </c>
      <c r="N71" s="457">
        <v>1088968</v>
      </c>
      <c r="O71" s="457">
        <v>1174762</v>
      </c>
      <c r="P71" s="457">
        <v>1244898</v>
      </c>
      <c r="Q71" s="457">
        <v>1288304</v>
      </c>
      <c r="R71" s="457">
        <v>1339779</v>
      </c>
      <c r="S71" s="457">
        <f>S63-S70</f>
        <v>1416364</v>
      </c>
    </row>
    <row r="72" spans="1:19" s="22" customFormat="1" ht="6.75" customHeight="1">
      <c r="A72" s="24"/>
      <c r="E72" s="446"/>
      <c r="F72" s="454"/>
      <c r="G72" s="454"/>
      <c r="H72" s="454"/>
      <c r="I72" s="454"/>
      <c r="J72" s="454"/>
      <c r="K72" s="454"/>
      <c r="L72" s="454"/>
      <c r="M72" s="454"/>
      <c r="N72" s="454"/>
      <c r="O72" s="454"/>
      <c r="P72" s="454"/>
      <c r="Q72" s="454"/>
      <c r="R72" s="454"/>
      <c r="S72" s="454"/>
    </row>
    <row r="73" spans="1:19" s="22" customFormat="1">
      <c r="A73" s="21">
        <v>44</v>
      </c>
      <c r="B73" s="22" t="s">
        <v>52</v>
      </c>
      <c r="E73" s="446"/>
      <c r="F73" s="454">
        <v>-104246</v>
      </c>
      <c r="G73" s="454">
        <v>-108113</v>
      </c>
      <c r="H73" s="454">
        <v>-113807</v>
      </c>
      <c r="I73" s="454">
        <v>-138127</v>
      </c>
      <c r="J73" s="454">
        <v>-154531</v>
      </c>
      <c r="K73" s="454">
        <v>-138256</v>
      </c>
      <c r="L73" s="454">
        <v>-142383</v>
      </c>
      <c r="M73" s="454">
        <v>-143546</v>
      </c>
      <c r="N73" s="454">
        <v>-151677</v>
      </c>
      <c r="O73" s="454">
        <v>-169421</v>
      </c>
      <c r="P73" s="454">
        <v>-190931</v>
      </c>
      <c r="Q73" s="454">
        <v>-201163</v>
      </c>
      <c r="R73" s="454">
        <v>-208209</v>
      </c>
      <c r="S73" s="454">
        <v>-221354</v>
      </c>
    </row>
    <row r="74" spans="1:19" s="22" customFormat="1">
      <c r="A74" s="21">
        <v>45</v>
      </c>
      <c r="C74" s="22" t="s">
        <v>147</v>
      </c>
      <c r="E74" s="446"/>
      <c r="F74" s="457">
        <v>569992</v>
      </c>
      <c r="G74" s="457">
        <v>598885</v>
      </c>
      <c r="H74" s="457">
        <v>763096</v>
      </c>
      <c r="I74" s="457">
        <v>743549</v>
      </c>
      <c r="J74" s="457">
        <v>778726</v>
      </c>
      <c r="K74" s="457">
        <v>820685</v>
      </c>
      <c r="L74" s="457">
        <v>874964</v>
      </c>
      <c r="M74" s="457">
        <v>892437</v>
      </c>
      <c r="N74" s="457">
        <v>937291</v>
      </c>
      <c r="O74" s="457">
        <v>1005341</v>
      </c>
      <c r="P74" s="457">
        <v>1053967</v>
      </c>
      <c r="Q74" s="457">
        <v>1087141</v>
      </c>
      <c r="R74" s="457">
        <v>1131570</v>
      </c>
      <c r="S74" s="457">
        <f>S71+S73</f>
        <v>1195010</v>
      </c>
    </row>
    <row r="75" spans="1:19" s="22" customFormat="1">
      <c r="A75" s="24">
        <v>46</v>
      </c>
      <c r="B75" s="22" t="s">
        <v>148</v>
      </c>
      <c r="E75" s="446"/>
      <c r="F75" s="454">
        <v>-1500</v>
      </c>
      <c r="G75" s="454">
        <v>-1370</v>
      </c>
      <c r="H75" s="454">
        <v>-1238</v>
      </c>
      <c r="I75" s="454">
        <v>-1106</v>
      </c>
      <c r="J75" s="454">
        <v>-715</v>
      </c>
      <c r="K75" s="454">
        <v>-843</v>
      </c>
      <c r="L75" s="454">
        <v>-453</v>
      </c>
      <c r="M75" s="454">
        <v>-582</v>
      </c>
      <c r="N75" s="454">
        <v>-451</v>
      </c>
      <c r="O75" s="454">
        <v>-322</v>
      </c>
      <c r="P75" s="454">
        <v>-127</v>
      </c>
      <c r="Q75" s="454">
        <v>32534</v>
      </c>
      <c r="R75" s="454">
        <v>16438</v>
      </c>
      <c r="S75" s="454">
        <v>14761</v>
      </c>
    </row>
    <row r="76" spans="1:19" s="22" customFormat="1">
      <c r="A76" s="24">
        <v>47</v>
      </c>
      <c r="B76" s="22" t="s">
        <v>53</v>
      </c>
      <c r="E76" s="446"/>
      <c r="F76" s="454"/>
      <c r="G76" s="454"/>
      <c r="H76" s="454"/>
      <c r="I76" s="454"/>
      <c r="J76" s="454"/>
      <c r="K76" s="454"/>
      <c r="L76" s="454"/>
      <c r="M76" s="454"/>
      <c r="N76" s="454"/>
      <c r="O76" s="454"/>
      <c r="P76" s="454">
        <v>18188</v>
      </c>
      <c r="Q76" s="454">
        <v>18188</v>
      </c>
      <c r="R76" s="454">
        <v>10967</v>
      </c>
      <c r="S76" s="454">
        <v>16281</v>
      </c>
    </row>
    <row r="77" spans="1:19" s="22" customFormat="1">
      <c r="A77" s="21"/>
      <c r="E77" s="446"/>
      <c r="F77" s="190"/>
      <c r="G77" s="190"/>
      <c r="H77" s="190"/>
      <c r="I77" s="190"/>
      <c r="J77" s="190"/>
      <c r="K77" s="190"/>
      <c r="L77" s="190"/>
      <c r="M77" s="190"/>
      <c r="N77" s="190"/>
      <c r="O77" s="190"/>
      <c r="P77" s="190"/>
      <c r="Q77" s="190"/>
      <c r="R77" s="190"/>
      <c r="S77" s="190"/>
    </row>
    <row r="78" spans="1:19" s="20" customFormat="1" ht="13.5" thickBot="1">
      <c r="A78" s="19">
        <v>48</v>
      </c>
      <c r="B78" s="20" t="s">
        <v>51</v>
      </c>
      <c r="E78" s="446"/>
      <c r="F78" s="460">
        <v>568492</v>
      </c>
      <c r="G78" s="460">
        <v>597515</v>
      </c>
      <c r="H78" s="460">
        <v>761858</v>
      </c>
      <c r="I78" s="460">
        <v>742443</v>
      </c>
      <c r="J78" s="460">
        <v>778011</v>
      </c>
      <c r="K78" s="460">
        <v>819842</v>
      </c>
      <c r="L78" s="460">
        <v>874511</v>
      </c>
      <c r="M78" s="460">
        <v>891855</v>
      </c>
      <c r="N78" s="460">
        <v>936840</v>
      </c>
      <c r="O78" s="460">
        <v>1005019</v>
      </c>
      <c r="P78" s="460">
        <v>1072028</v>
      </c>
      <c r="Q78" s="460">
        <v>1137863</v>
      </c>
      <c r="R78" s="460">
        <v>1158975</v>
      </c>
      <c r="S78" s="460">
        <f>SUM(S74:S76)</f>
        <v>1226052</v>
      </c>
    </row>
    <row r="79" spans="1:19" ht="18" customHeight="1" thickTop="1">
      <c r="A79" s="19">
        <v>49</v>
      </c>
      <c r="B79" s="14" t="s">
        <v>50</v>
      </c>
      <c r="F79" s="43">
        <f>F54/F78</f>
        <v>4.8051687622693018E-2</v>
      </c>
      <c r="G79" s="43">
        <f t="shared" ref="G79:R79" si="0">G54/G78</f>
        <v>0.10795938940446513</v>
      </c>
      <c r="H79" s="43">
        <f t="shared" si="0"/>
        <v>8.1531606334195206E-2</v>
      </c>
      <c r="I79" s="43">
        <f t="shared" si="0"/>
        <v>9.1978265071500739E-2</v>
      </c>
      <c r="J79" s="43">
        <f t="shared" si="0"/>
        <v>7.1269241781789394E-2</v>
      </c>
      <c r="K79" s="43">
        <f t="shared" si="0"/>
        <v>6.8436995335226222E-2</v>
      </c>
      <c r="L79" s="43">
        <f t="shared" si="0"/>
        <v>5.8669908218855239E-2</v>
      </c>
      <c r="M79" s="43">
        <f t="shared" si="0"/>
        <v>6.9174342718266987E-2</v>
      </c>
      <c r="N79" s="43">
        <f t="shared" si="0"/>
        <v>7.3616754408436874E-2</v>
      </c>
      <c r="O79" s="43">
        <f t="shared" si="0"/>
        <v>6.9727586344138767E-2</v>
      </c>
      <c r="P79" s="43">
        <f t="shared" si="0"/>
        <v>7.1700524951960151E-2</v>
      </c>
      <c r="Q79" s="43">
        <f t="shared" si="0"/>
        <v>6.5644859170216424E-2</v>
      </c>
      <c r="R79" s="43">
        <f t="shared" si="0"/>
        <v>7.1575500960935276E-2</v>
      </c>
      <c r="S79" s="43">
        <f t="shared" ref="S79" si="1">S54/S78</f>
        <v>7.5671341835419709E-2</v>
      </c>
    </row>
    <row r="83" spans="1:15" s="16" customFormat="1">
      <c r="A83" s="101"/>
      <c r="E83" s="446"/>
      <c r="F83" s="15"/>
      <c r="K83" s="15"/>
      <c r="N83" s="90"/>
      <c r="O83" s="15"/>
    </row>
    <row r="84" spans="1:15">
      <c r="D84" s="46"/>
    </row>
  </sheetData>
  <pageMargins left="0.7" right="0.51" top="0.23" bottom="0.2" header="0.51" footer="0.5"/>
  <pageSetup scale="55" firstPageNumber="4" fitToWidth="3" orientation="landscape" r:id="rId1"/>
  <headerFooter scaleWithDoc="0" alignWithMargins="0">
    <oddFooter>&amp;C&amp;F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A4" zoomScaleNormal="100" zoomScaleSheetLayoutView="100" workbookViewId="0">
      <selection activeCell="C37" sqref="C37:M37"/>
    </sheetView>
  </sheetViews>
  <sheetFormatPr defaultColWidth="9.140625" defaultRowHeight="15"/>
  <cols>
    <col min="1" max="2" width="9.140625" style="210"/>
    <col min="3" max="3" width="10" style="210" bestFit="1" customWidth="1"/>
    <col min="4" max="5" width="9.28515625" style="210" bestFit="1" customWidth="1"/>
    <col min="6" max="6" width="12.42578125" style="210" customWidth="1"/>
    <col min="7" max="7" width="1.85546875" style="210" customWidth="1"/>
    <col min="8" max="8" width="9.28515625" style="210" bestFit="1" customWidth="1"/>
    <col min="9" max="9" width="2.85546875" style="210" customWidth="1"/>
    <col min="10" max="10" width="29.140625" style="210" customWidth="1"/>
    <col min="11" max="11" width="4.42578125" style="210" customWidth="1"/>
    <col min="12" max="12" width="11.85546875" style="210" bestFit="1" customWidth="1"/>
    <col min="13" max="16384" width="9.140625" style="210"/>
  </cols>
  <sheetData>
    <row r="1" spans="1:12">
      <c r="H1" s="504" t="s">
        <v>117</v>
      </c>
      <c r="I1" s="504"/>
      <c r="J1" s="504"/>
      <c r="K1" s="504"/>
      <c r="L1" s="505"/>
    </row>
    <row r="2" spans="1:12">
      <c r="A2" s="767" t="s">
        <v>117</v>
      </c>
      <c r="B2" s="767"/>
      <c r="C2" s="767"/>
      <c r="D2" s="767"/>
      <c r="E2" s="767"/>
      <c r="F2" s="767"/>
      <c r="G2" s="767"/>
      <c r="H2" s="766" t="s">
        <v>95</v>
      </c>
      <c r="I2" s="766"/>
      <c r="J2" s="766"/>
      <c r="K2" s="766"/>
      <c r="L2" s="766"/>
    </row>
    <row r="3" spans="1:12">
      <c r="A3" s="767" t="s">
        <v>597</v>
      </c>
      <c r="B3" s="767"/>
      <c r="C3" s="767"/>
      <c r="D3" s="767"/>
      <c r="E3" s="767"/>
      <c r="F3" s="767"/>
      <c r="G3" s="767"/>
      <c r="H3" s="766" t="s">
        <v>277</v>
      </c>
      <c r="I3" s="766"/>
      <c r="J3" s="766"/>
      <c r="K3" s="766"/>
      <c r="L3" s="766"/>
    </row>
    <row r="4" spans="1:12" ht="15.75">
      <c r="A4" s="767" t="s">
        <v>277</v>
      </c>
      <c r="B4" s="767"/>
      <c r="C4" s="767"/>
      <c r="D4" s="767"/>
      <c r="E4" s="767"/>
      <c r="F4" s="767"/>
      <c r="G4" s="767"/>
      <c r="H4" s="766" t="s">
        <v>568</v>
      </c>
      <c r="I4" s="765"/>
      <c r="J4" s="766"/>
      <c r="K4" s="766"/>
      <c r="L4" s="766"/>
    </row>
    <row r="5" spans="1:12" ht="15.75" thickBot="1">
      <c r="A5" s="767" t="s">
        <v>568</v>
      </c>
      <c r="B5" s="767"/>
      <c r="C5" s="767"/>
      <c r="D5" s="767"/>
      <c r="E5" s="767"/>
      <c r="F5" s="767"/>
      <c r="G5" s="767"/>
      <c r="H5" s="506"/>
      <c r="I5" s="506"/>
      <c r="J5" s="506"/>
      <c r="K5" s="506"/>
      <c r="L5" s="507"/>
    </row>
    <row r="6" spans="1:12">
      <c r="A6" s="235" t="s">
        <v>414</v>
      </c>
      <c r="B6" s="236"/>
      <c r="C6" s="236"/>
      <c r="D6" s="236"/>
      <c r="E6" s="236"/>
      <c r="F6" s="236"/>
      <c r="G6" s="237"/>
      <c r="H6" s="508" t="s">
        <v>422</v>
      </c>
      <c r="I6" s="508"/>
      <c r="J6" s="508"/>
      <c r="K6" s="508"/>
      <c r="L6" s="509"/>
    </row>
    <row r="7" spans="1:12">
      <c r="A7" s="238"/>
      <c r="B7" s="239"/>
      <c r="C7" s="239"/>
      <c r="D7" s="240"/>
      <c r="E7" s="241"/>
      <c r="F7" s="240"/>
      <c r="G7" s="242"/>
      <c r="H7" s="510" t="s">
        <v>90</v>
      </c>
      <c r="I7" s="508"/>
      <c r="J7" s="510" t="s">
        <v>423</v>
      </c>
      <c r="K7" s="511"/>
      <c r="L7" s="512" t="s">
        <v>424</v>
      </c>
    </row>
    <row r="8" spans="1:12">
      <c r="A8" s="238"/>
      <c r="B8" s="243"/>
      <c r="C8" s="240"/>
      <c r="D8" s="240" t="s">
        <v>97</v>
      </c>
      <c r="E8" s="240"/>
      <c r="F8" s="240" t="s">
        <v>278</v>
      </c>
      <c r="G8" s="242"/>
      <c r="H8" s="506"/>
      <c r="I8" s="506"/>
      <c r="J8" s="506"/>
      <c r="K8" s="506"/>
      <c r="L8" s="507"/>
    </row>
    <row r="9" spans="1:12">
      <c r="A9" s="238"/>
      <c r="B9" s="244" t="s">
        <v>279</v>
      </c>
      <c r="C9" s="240"/>
      <c r="D9" s="244" t="s">
        <v>280</v>
      </c>
      <c r="E9" s="244" t="s">
        <v>281</v>
      </c>
      <c r="F9" s="244" t="s">
        <v>281</v>
      </c>
      <c r="G9" s="242"/>
      <c r="H9" s="513">
        <v>1</v>
      </c>
      <c r="I9" s="506"/>
      <c r="J9" s="514" t="s">
        <v>425</v>
      </c>
      <c r="K9" s="506"/>
      <c r="L9" s="515">
        <v>1</v>
      </c>
    </row>
    <row r="10" spans="1:12" ht="15.75" thickBot="1">
      <c r="A10" s="238"/>
      <c r="B10" s="239"/>
      <c r="C10" s="239"/>
      <c r="D10" s="239"/>
      <c r="E10" s="241"/>
      <c r="F10" s="239"/>
      <c r="G10" s="245"/>
      <c r="H10" s="513"/>
      <c r="I10" s="506"/>
      <c r="J10" s="506"/>
      <c r="K10" s="506"/>
      <c r="L10" s="515"/>
    </row>
    <row r="11" spans="1:12" ht="15.75" thickBot="1">
      <c r="A11" s="238"/>
      <c r="B11" s="243" t="s">
        <v>282</v>
      </c>
      <c r="C11" s="246"/>
      <c r="D11" s="247">
        <f>100%-D13</f>
        <v>0.58000000000000007</v>
      </c>
      <c r="E11" s="696">
        <v>5.3199999999999997E-2</v>
      </c>
      <c r="F11" s="247">
        <f>ROUND(D11*E11,4)</f>
        <v>3.09E-2</v>
      </c>
      <c r="G11" s="260"/>
      <c r="H11" s="513"/>
      <c r="I11" s="506"/>
      <c r="J11" s="516" t="s">
        <v>426</v>
      </c>
      <c r="K11" s="517"/>
      <c r="L11" s="515"/>
    </row>
    <row r="12" spans="1:12" ht="15.75" thickBot="1">
      <c r="A12" s="238"/>
      <c r="B12" s="243"/>
      <c r="C12" s="249"/>
      <c r="D12" s="247"/>
      <c r="E12" s="248"/>
      <c r="F12" s="247"/>
      <c r="G12" s="250"/>
      <c r="H12" s="513">
        <v>2</v>
      </c>
      <c r="I12" s="506"/>
      <c r="J12" s="517" t="s">
        <v>427</v>
      </c>
      <c r="K12" s="517"/>
      <c r="L12" s="517">
        <v>4.849E-3</v>
      </c>
    </row>
    <row r="13" spans="1:12" ht="15.75" thickBot="1">
      <c r="A13" s="238"/>
      <c r="B13" s="243" t="s">
        <v>91</v>
      </c>
      <c r="C13" s="249"/>
      <c r="D13" s="696">
        <f>IF(Summary!$O$12="Pac46Eq",46%,IF(Summary!$O$12="Proposed",49%,IF(Summary!$O$12="Ken",46%,IF(Summary!$O$12="Current",D39,IF(Summary!$O$12="KenDecoup",42%,47%)))))</f>
        <v>0.42</v>
      </c>
      <c r="E13" s="696">
        <f>IF(Summary!$O$12="Proposed",10.1%,IF(Summary!$O$12="Ken",8.75%,IF(Summary!$O$12="Current",E39,IF(Summary!$O$12="KenDecoup", 8.75%,9.5%))))</f>
        <v>8.7499999999999994E-2</v>
      </c>
      <c r="F13" s="247">
        <f>ROUND(D13*E13,4)</f>
        <v>3.6799999999999999E-2</v>
      </c>
      <c r="G13" s="245"/>
      <c r="H13" s="513"/>
      <c r="I13" s="506"/>
      <c r="J13" s="517"/>
      <c r="K13" s="517"/>
      <c r="L13" s="517"/>
    </row>
    <row r="14" spans="1:12">
      <c r="A14" s="238"/>
      <c r="B14" s="243"/>
      <c r="C14" s="249"/>
      <c r="D14" s="251"/>
      <c r="E14" s="252"/>
      <c r="F14" s="247"/>
      <c r="G14" s="242"/>
      <c r="H14" s="513">
        <v>3</v>
      </c>
      <c r="I14" s="506"/>
      <c r="J14" s="517" t="s">
        <v>428</v>
      </c>
      <c r="K14" s="517"/>
      <c r="L14" s="517">
        <v>2E-3</v>
      </c>
    </row>
    <row r="15" spans="1:12" ht="15.75" thickBot="1">
      <c r="A15" s="238"/>
      <c r="B15" s="243" t="s">
        <v>8</v>
      </c>
      <c r="C15" s="246"/>
      <c r="D15" s="253">
        <f>SUM(D11:D13)</f>
        <v>1</v>
      </c>
      <c r="E15" s="252"/>
      <c r="F15" s="253">
        <f>SUM(F11:F13)</f>
        <v>6.7699999999999996E-2</v>
      </c>
      <c r="G15" s="242"/>
      <c r="H15" s="513"/>
      <c r="I15" s="506"/>
      <c r="J15" s="517"/>
      <c r="K15" s="517"/>
      <c r="L15" s="517"/>
    </row>
    <row r="16" spans="1:12" ht="16.5" thickTop="1" thickBot="1">
      <c r="A16" s="254"/>
      <c r="B16" s="255"/>
      <c r="C16" s="256"/>
      <c r="D16" s="257"/>
      <c r="E16" s="258"/>
      <c r="F16" s="257"/>
      <c r="G16" s="259"/>
      <c r="H16" s="513">
        <v>4</v>
      </c>
      <c r="I16" s="506"/>
      <c r="J16" s="517" t="s">
        <v>429</v>
      </c>
      <c r="K16" s="517"/>
      <c r="L16" s="517">
        <v>3.8545999999999997E-2</v>
      </c>
    </row>
    <row r="17" spans="1:13">
      <c r="A17" s="239"/>
      <c r="B17" s="243"/>
      <c r="C17" s="249"/>
      <c r="D17" s="247"/>
      <c r="E17" s="248"/>
      <c r="F17" s="247"/>
      <c r="G17" s="239"/>
      <c r="H17" s="513"/>
      <c r="I17" s="506"/>
      <c r="J17" s="517"/>
      <c r="K17" s="517"/>
      <c r="L17" s="517"/>
    </row>
    <row r="18" spans="1:13">
      <c r="A18" s="239"/>
      <c r="B18" s="243"/>
      <c r="D18" s="247"/>
      <c r="E18" s="248"/>
      <c r="F18" s="740" t="s">
        <v>618</v>
      </c>
      <c r="G18" s="239"/>
      <c r="H18" s="513">
        <v>5</v>
      </c>
      <c r="I18" s="506"/>
      <c r="J18" s="517" t="s">
        <v>430</v>
      </c>
      <c r="K18" s="517"/>
      <c r="L18" s="518">
        <f>SUM(L12:L16)</f>
        <v>4.5394999999999998E-2</v>
      </c>
    </row>
    <row r="19" spans="1:13">
      <c r="F19" s="741">
        <f>(0.65*F11)+F13</f>
        <v>5.6885000000000005E-2</v>
      </c>
      <c r="H19" s="513"/>
      <c r="I19" s="506"/>
      <c r="J19" s="517"/>
      <c r="K19" s="517"/>
      <c r="L19" s="519"/>
    </row>
    <row r="20" spans="1:13">
      <c r="H20" s="513">
        <v>6</v>
      </c>
      <c r="I20" s="506"/>
      <c r="J20" s="517" t="s">
        <v>431</v>
      </c>
      <c r="K20" s="517"/>
      <c r="L20" s="519">
        <f>L9-L18</f>
        <v>0.95460500000000004</v>
      </c>
    </row>
    <row r="21" spans="1:13">
      <c r="H21" s="506"/>
      <c r="I21" s="506"/>
      <c r="J21" s="517"/>
      <c r="K21" s="517"/>
      <c r="L21" s="519"/>
    </row>
    <row r="22" spans="1:13">
      <c r="H22" s="513">
        <v>7</v>
      </c>
      <c r="I22" s="506"/>
      <c r="J22" s="517" t="s">
        <v>432</v>
      </c>
      <c r="K22" s="520"/>
      <c r="L22" s="521">
        <f>ROUND(L20*0.35,6)</f>
        <v>0.33411200000000002</v>
      </c>
    </row>
    <row r="23" spans="1:13">
      <c r="H23" s="506"/>
      <c r="I23" s="506"/>
      <c r="J23" s="517"/>
      <c r="K23" s="517"/>
      <c r="L23" s="519"/>
    </row>
    <row r="24" spans="1:13" ht="15.75" thickBot="1">
      <c r="H24" s="513">
        <v>8</v>
      </c>
      <c r="I24" s="506"/>
      <c r="J24" s="516" t="s">
        <v>433</v>
      </c>
      <c r="K24" s="517"/>
      <c r="L24" s="633">
        <f>ROUND(L20-L22,5)</f>
        <v>0.62048999999999999</v>
      </c>
      <c r="M24" s="634"/>
    </row>
    <row r="25" spans="1:13" ht="15.75" thickTop="1"/>
    <row r="28" spans="1:13">
      <c r="A28" s="767" t="s">
        <v>117</v>
      </c>
      <c r="B28" s="767"/>
      <c r="C28" s="767"/>
      <c r="D28" s="767"/>
      <c r="E28" s="767"/>
      <c r="F28" s="767"/>
      <c r="G28" s="767"/>
    </row>
    <row r="29" spans="1:13">
      <c r="A29" s="767" t="s">
        <v>562</v>
      </c>
      <c r="B29" s="767"/>
      <c r="C29" s="767"/>
      <c r="D29" s="767"/>
      <c r="E29" s="767"/>
      <c r="F29" s="767"/>
      <c r="G29" s="767"/>
    </row>
    <row r="30" spans="1:13">
      <c r="A30" s="767" t="s">
        <v>277</v>
      </c>
      <c r="B30" s="767"/>
      <c r="C30" s="767"/>
      <c r="D30" s="767"/>
      <c r="E30" s="767"/>
      <c r="F30" s="767"/>
      <c r="G30" s="767"/>
    </row>
    <row r="31" spans="1:13" ht="15.75" thickBot="1">
      <c r="A31" s="767"/>
      <c r="B31" s="767"/>
      <c r="C31" s="767"/>
      <c r="D31" s="767"/>
      <c r="E31" s="767"/>
      <c r="F31" s="767"/>
      <c r="G31" s="767"/>
    </row>
    <row r="32" spans="1:13">
      <c r="A32" s="235" t="s">
        <v>492</v>
      </c>
      <c r="B32" s="236"/>
      <c r="C32" s="236"/>
      <c r="D32" s="236"/>
      <c r="E32" s="236"/>
      <c r="F32" s="236"/>
      <c r="G32" s="237"/>
    </row>
    <row r="33" spans="1:12">
      <c r="A33" s="238"/>
      <c r="B33" s="239"/>
      <c r="C33" s="239"/>
      <c r="D33" s="240"/>
      <c r="E33" s="241"/>
      <c r="F33" s="240"/>
      <c r="G33" s="242"/>
    </row>
    <row r="34" spans="1:12">
      <c r="A34" s="238"/>
      <c r="B34" s="243"/>
      <c r="C34" s="240"/>
      <c r="D34" s="240" t="s">
        <v>97</v>
      </c>
      <c r="E34" s="240"/>
      <c r="F34" s="240" t="s">
        <v>278</v>
      </c>
      <c r="G34" s="242"/>
    </row>
    <row r="35" spans="1:12">
      <c r="A35" s="238"/>
      <c r="B35" s="244" t="s">
        <v>279</v>
      </c>
      <c r="C35" s="240"/>
      <c r="D35" s="244" t="s">
        <v>280</v>
      </c>
      <c r="E35" s="244" t="s">
        <v>281</v>
      </c>
      <c r="F35" s="244" t="s">
        <v>281</v>
      </c>
      <c r="G35" s="242"/>
    </row>
    <row r="36" spans="1:12">
      <c r="A36" s="238"/>
      <c r="B36" s="239"/>
      <c r="C36" s="239"/>
      <c r="D36" s="239"/>
      <c r="E36" s="241"/>
      <c r="F36" s="239"/>
      <c r="G36" s="245"/>
    </row>
    <row r="37" spans="1:12">
      <c r="A37" s="238"/>
      <c r="B37" s="243" t="s">
        <v>282</v>
      </c>
      <c r="C37" s="246"/>
      <c r="D37" s="247">
        <f>100%-D39</f>
        <v>0.5373</v>
      </c>
      <c r="E37" s="248">
        <v>5.5640000000000002E-2</v>
      </c>
      <c r="F37" s="247">
        <f>ROUND(D37*E37,4)</f>
        <v>2.9899999999999999E-2</v>
      </c>
      <c r="G37" s="260"/>
    </row>
    <row r="38" spans="1:12">
      <c r="A38" s="238"/>
      <c r="B38" s="243"/>
      <c r="C38" s="249"/>
      <c r="D38" s="247"/>
      <c r="E38" s="248"/>
      <c r="F38" s="247"/>
      <c r="G38" s="250"/>
    </row>
    <row r="39" spans="1:12">
      <c r="A39" s="238"/>
      <c r="B39" s="243" t="s">
        <v>91</v>
      </c>
      <c r="C39" s="249"/>
      <c r="D39" s="247">
        <v>0.4627</v>
      </c>
      <c r="E39" s="248">
        <v>9.8000000000000004E-2</v>
      </c>
      <c r="F39" s="247">
        <f>ROUND(D39*E39,4)</f>
        <v>4.53E-2</v>
      </c>
      <c r="G39" s="245"/>
    </row>
    <row r="40" spans="1:12">
      <c r="A40" s="238"/>
      <c r="B40" s="243"/>
      <c r="C40" s="249"/>
      <c r="D40" s="251"/>
      <c r="E40" s="252"/>
      <c r="F40" s="247"/>
      <c r="G40" s="242"/>
    </row>
    <row r="41" spans="1:12" ht="15.75" thickBot="1">
      <c r="A41" s="238"/>
      <c r="B41" s="243" t="s">
        <v>8</v>
      </c>
      <c r="C41" s="246"/>
      <c r="D41" s="253">
        <f>SUM(D37:D39)</f>
        <v>1</v>
      </c>
      <c r="E41" s="252"/>
      <c r="F41" s="253">
        <f>SUM(F37:F39)</f>
        <v>7.5200000000000003E-2</v>
      </c>
      <c r="G41" s="242"/>
    </row>
    <row r="42" spans="1:12" ht="16.5" thickTop="1" thickBot="1">
      <c r="A42" s="254"/>
      <c r="B42" s="255"/>
      <c r="C42" s="256"/>
      <c r="D42" s="257"/>
      <c r="E42" s="258"/>
      <c r="F42" s="257"/>
      <c r="G42" s="259"/>
      <c r="H42" s="504"/>
      <c r="I42" s="504"/>
      <c r="J42" s="504"/>
      <c r="K42" s="504"/>
      <c r="L42" s="505"/>
    </row>
    <row r="44" spans="1:12">
      <c r="A44" s="767"/>
      <c r="B44" s="767"/>
      <c r="C44" s="767"/>
      <c r="D44" s="767"/>
      <c r="E44" s="767"/>
      <c r="F44" s="767"/>
      <c r="G44" s="767"/>
    </row>
    <row r="46" spans="1:12">
      <c r="F46" s="698"/>
    </row>
  </sheetData>
  <mergeCells count="12">
    <mergeCell ref="H2:L2"/>
    <mergeCell ref="H3:L3"/>
    <mergeCell ref="H4:L4"/>
    <mergeCell ref="A44:G44"/>
    <mergeCell ref="A30:G30"/>
    <mergeCell ref="A31:G31"/>
    <mergeCell ref="A2:G2"/>
    <mergeCell ref="A3:G3"/>
    <mergeCell ref="A4:G4"/>
    <mergeCell ref="A5:G5"/>
    <mergeCell ref="A28:G28"/>
    <mergeCell ref="A29:G29"/>
  </mergeCells>
  <phoneticPr fontId="58" type="noConversion"/>
  <printOptions horizontalCentered="1"/>
  <pageMargins left="0.95" right="0.95" top="1" bottom="1" header="0.3" footer="0.3"/>
  <pageSetup orientation="portrait" r:id="rId1"/>
  <headerFooter scaleWithDoc="0">
    <oddFooter>&amp;C&amp;F&amp;RPage &amp;P of &amp;N</oddFooter>
  </headerFooter>
  <rowBreaks count="1" manualBreakCount="1">
    <brk id="26" max="16383" man="1"/>
  </rowBreaks>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45"/>
  <sheetViews>
    <sheetView workbookViewId="0">
      <selection activeCell="R17" sqref="R17"/>
    </sheetView>
  </sheetViews>
  <sheetFormatPr defaultColWidth="8.85546875" defaultRowHeight="12.75"/>
  <cols>
    <col min="1" max="1" width="34.7109375" style="446" customWidth="1"/>
    <col min="2" max="3" width="0" style="446" hidden="1" customWidth="1"/>
    <col min="4" max="4" width="5.5703125" style="446" hidden="1" customWidth="1"/>
    <col min="5" max="9" width="13.42578125" style="18" customWidth="1"/>
    <col min="10" max="10" width="13.42578125" style="38" customWidth="1"/>
    <col min="11" max="15" width="13.42578125" style="18" customWidth="1"/>
    <col min="16" max="16" width="12.85546875" style="18" customWidth="1"/>
    <col min="17" max="17" width="10.7109375" style="18" customWidth="1"/>
    <col min="18" max="18" width="10.85546875" style="446" customWidth="1"/>
    <col min="19" max="16384" width="8.85546875" style="446"/>
  </cols>
  <sheetData>
    <row r="1" spans="1:19">
      <c r="A1" s="785" t="s">
        <v>6</v>
      </c>
      <c r="B1" s="785"/>
      <c r="C1" s="785"/>
      <c r="D1" s="785"/>
      <c r="E1" s="785"/>
      <c r="F1" s="785"/>
      <c r="G1" s="785"/>
      <c r="H1" s="785"/>
      <c r="I1" s="785"/>
      <c r="J1" s="785"/>
      <c r="K1" s="785"/>
      <c r="L1" s="785"/>
      <c r="M1" s="785"/>
      <c r="N1" s="785"/>
      <c r="O1" s="785"/>
      <c r="P1" s="785"/>
      <c r="Q1" s="785"/>
    </row>
    <row r="2" spans="1:19">
      <c r="A2" s="786" t="s">
        <v>7</v>
      </c>
      <c r="B2" s="786"/>
      <c r="C2" s="786"/>
      <c r="D2" s="786"/>
      <c r="E2" s="786"/>
      <c r="F2" s="786"/>
      <c r="G2" s="786"/>
      <c r="H2" s="786"/>
      <c r="I2" s="786"/>
      <c r="J2" s="786"/>
      <c r="K2" s="786"/>
      <c r="L2" s="786"/>
      <c r="M2" s="786"/>
      <c r="N2" s="786"/>
      <c r="O2" s="786"/>
      <c r="P2" s="786"/>
      <c r="Q2" s="786"/>
    </row>
    <row r="3" spans="1:19">
      <c r="D3" s="66"/>
    </row>
    <row r="4" spans="1:19">
      <c r="D4" s="66"/>
      <c r="E4" s="787" t="s">
        <v>29</v>
      </c>
      <c r="F4" s="787"/>
      <c r="G4" s="787"/>
      <c r="H4" s="787"/>
      <c r="I4" s="787"/>
      <c r="J4" s="787"/>
      <c r="K4" s="787"/>
      <c r="L4" s="787"/>
      <c r="M4" s="787"/>
      <c r="N4" s="787"/>
      <c r="O4" s="787"/>
      <c r="P4" s="787"/>
      <c r="Q4" s="787"/>
    </row>
    <row r="5" spans="1:19">
      <c r="D5" s="66"/>
      <c r="E5" s="788" t="s">
        <v>300</v>
      </c>
      <c r="F5" s="789"/>
      <c r="G5" s="789"/>
      <c r="H5" s="789"/>
      <c r="I5" s="789"/>
      <c r="J5" s="789"/>
      <c r="K5" s="789"/>
      <c r="L5" s="789"/>
      <c r="M5" s="789"/>
      <c r="N5" s="789"/>
      <c r="O5" s="789"/>
      <c r="P5" s="789"/>
      <c r="Q5" s="789"/>
    </row>
    <row r="6" spans="1:19">
      <c r="D6" s="67"/>
      <c r="E6" s="467">
        <v>2000</v>
      </c>
      <c r="F6" s="371">
        <v>2001</v>
      </c>
      <c r="G6" s="371">
        <v>2002</v>
      </c>
      <c r="H6" s="371">
        <v>2003</v>
      </c>
      <c r="I6" s="371">
        <v>2004</v>
      </c>
      <c r="J6" s="371">
        <v>2005</v>
      </c>
      <c r="K6" s="371">
        <v>2006</v>
      </c>
      <c r="L6" s="371">
        <v>2007</v>
      </c>
      <c r="M6" s="371">
        <v>2008</v>
      </c>
      <c r="N6" s="371">
        <v>2009</v>
      </c>
      <c r="O6" s="371">
        <v>2010</v>
      </c>
      <c r="P6" s="468">
        <v>2011</v>
      </c>
      <c r="Q6" s="468">
        <v>2012</v>
      </c>
      <c r="R6" s="468">
        <v>2013</v>
      </c>
    </row>
    <row r="7" spans="1:19">
      <c r="A7" s="446" t="s">
        <v>9</v>
      </c>
      <c r="D7" s="1"/>
      <c r="E7" s="262">
        <v>0.66290000000000004</v>
      </c>
      <c r="F7" s="262">
        <v>0.67479999999999996</v>
      </c>
      <c r="G7" s="262">
        <v>0.64119999999999999</v>
      </c>
      <c r="H7" s="262">
        <v>0.65480000000000005</v>
      </c>
      <c r="I7" s="262">
        <v>0.65159999999999996</v>
      </c>
      <c r="J7" s="262">
        <v>0.65369999999999995</v>
      </c>
      <c r="K7" s="262">
        <v>0.6583</v>
      </c>
      <c r="L7" s="262">
        <v>0.64590000000000003</v>
      </c>
      <c r="M7" s="262">
        <v>0.64419999999999999</v>
      </c>
      <c r="N7" s="262">
        <v>0.64870000000000005</v>
      </c>
      <c r="O7" s="262">
        <v>0.65159999999999996</v>
      </c>
      <c r="P7" s="469">
        <v>0.65239999999999998</v>
      </c>
      <c r="Q7" s="469">
        <v>0.65010000000000001</v>
      </c>
      <c r="R7" s="469">
        <v>0.65190000000000003</v>
      </c>
    </row>
    <row r="8" spans="1:19">
      <c r="E8" s="469"/>
      <c r="F8" s="469"/>
      <c r="G8" s="469"/>
      <c r="H8" s="469"/>
      <c r="I8" s="469"/>
      <c r="J8" s="469"/>
      <c r="K8" s="469"/>
      <c r="L8" s="469"/>
      <c r="M8" s="469"/>
      <c r="N8" s="469"/>
      <c r="O8" s="469"/>
      <c r="P8" s="469"/>
      <c r="Q8" s="469"/>
      <c r="R8" s="469"/>
    </row>
    <row r="9" spans="1:19">
      <c r="A9" s="446" t="s">
        <v>10</v>
      </c>
      <c r="D9" s="68"/>
      <c r="E9" s="372">
        <v>135976.0367</v>
      </c>
      <c r="F9" s="372">
        <v>90880</v>
      </c>
      <c r="G9" s="372">
        <v>31728</v>
      </c>
      <c r="H9" s="372">
        <v>35221</v>
      </c>
      <c r="I9" s="372">
        <v>40439</v>
      </c>
      <c r="J9" s="372">
        <v>44689.546799999996</v>
      </c>
      <c r="K9" s="372">
        <v>35381</v>
      </c>
      <c r="L9" s="372">
        <v>34954</v>
      </c>
      <c r="M9" s="372">
        <v>46849</v>
      </c>
      <c r="N9" s="372">
        <v>30933.259500000004</v>
      </c>
      <c r="O9" s="372">
        <v>132773.274</v>
      </c>
      <c r="P9" s="372">
        <v>52603.011999999995</v>
      </c>
      <c r="Q9" s="372">
        <v>54547.940699999999</v>
      </c>
      <c r="R9" s="372">
        <f>'12.2013 CB Power Supply'!F11</f>
        <v>75350</v>
      </c>
      <c r="S9" s="18"/>
    </row>
    <row r="10" spans="1:19">
      <c r="A10" s="446" t="s">
        <v>11</v>
      </c>
      <c r="D10" s="69"/>
      <c r="E10" s="373">
        <v>300.2937</v>
      </c>
      <c r="F10" s="373">
        <v>281</v>
      </c>
      <c r="G10" s="373">
        <v>38</v>
      </c>
      <c r="H10" s="373">
        <v>297</v>
      </c>
      <c r="I10" s="373">
        <v>238</v>
      </c>
      <c r="J10" s="373">
        <v>124.85669999999999</v>
      </c>
      <c r="K10" s="373">
        <v>153</v>
      </c>
      <c r="L10" s="373">
        <v>200</v>
      </c>
      <c r="M10" s="373">
        <v>198</v>
      </c>
      <c r="N10" s="373">
        <v>247.15470000000002</v>
      </c>
      <c r="O10" s="373">
        <v>183.75119999999998</v>
      </c>
      <c r="P10" s="373">
        <v>330.76679999999999</v>
      </c>
      <c r="Q10" s="373">
        <v>303.5967</v>
      </c>
      <c r="R10" s="373">
        <v>282</v>
      </c>
      <c r="S10" s="18"/>
    </row>
    <row r="11" spans="1:19">
      <c r="A11" s="446" t="s">
        <v>12</v>
      </c>
      <c r="D11" s="69"/>
      <c r="E11" s="373">
        <v>43.751400000000004</v>
      </c>
      <c r="F11" s="373">
        <v>0</v>
      </c>
      <c r="G11" s="373">
        <v>30</v>
      </c>
      <c r="H11" s="373">
        <v>16</v>
      </c>
      <c r="I11" s="373">
        <v>16</v>
      </c>
      <c r="J11" s="373">
        <v>12.420299999999999</v>
      </c>
      <c r="K11" s="373">
        <v>14</v>
      </c>
      <c r="L11" s="373">
        <v>14</v>
      </c>
      <c r="M11" s="373">
        <v>16</v>
      </c>
      <c r="N11" s="373">
        <v>18.8123</v>
      </c>
      <c r="O11" s="373">
        <v>0</v>
      </c>
      <c r="P11" s="373">
        <v>0</v>
      </c>
      <c r="Q11" s="373">
        <v>0</v>
      </c>
      <c r="R11" s="373">
        <v>0</v>
      </c>
      <c r="S11" s="18"/>
    </row>
    <row r="12" spans="1:19">
      <c r="A12" s="650" t="s">
        <v>13</v>
      </c>
      <c r="D12" s="71"/>
      <c r="E12" s="499">
        <v>10967.6805</v>
      </c>
      <c r="F12" s="499">
        <v>11862</v>
      </c>
      <c r="G12" s="499">
        <v>25225</v>
      </c>
      <c r="H12" s="499">
        <v>46826</v>
      </c>
      <c r="I12" s="499">
        <v>31</v>
      </c>
      <c r="J12" s="499">
        <v>41.836799999999997</v>
      </c>
      <c r="K12" s="499">
        <v>31</v>
      </c>
      <c r="L12" s="499">
        <v>7</v>
      </c>
      <c r="M12" s="499">
        <v>2</v>
      </c>
      <c r="N12" s="499">
        <v>93.412800000000004</v>
      </c>
      <c r="O12" s="499">
        <v>456.11999999999995</v>
      </c>
      <c r="P12" s="499">
        <v>1420.9271999999999</v>
      </c>
      <c r="Q12" s="499">
        <v>1122.7227</v>
      </c>
      <c r="R12" s="499">
        <v>0</v>
      </c>
      <c r="S12" s="18"/>
    </row>
    <row r="13" spans="1:19" s="495" customFormat="1">
      <c r="A13" s="495" t="s">
        <v>418</v>
      </c>
      <c r="D13" s="71"/>
      <c r="E13" s="499"/>
      <c r="F13" s="499"/>
      <c r="G13" s="499"/>
      <c r="H13" s="499"/>
      <c r="I13" s="499"/>
      <c r="J13" s="499"/>
      <c r="K13" s="499"/>
      <c r="L13" s="499"/>
      <c r="M13" s="499"/>
      <c r="N13" s="499"/>
      <c r="O13" s="499"/>
      <c r="P13" s="499"/>
      <c r="Q13" s="499">
        <v>63</v>
      </c>
      <c r="R13" s="499">
        <v>0</v>
      </c>
      <c r="S13" s="18"/>
    </row>
    <row r="14" spans="1:19">
      <c r="A14" s="446" t="s">
        <v>14</v>
      </c>
      <c r="D14" s="71"/>
      <c r="E14" s="500">
        <f>SUM(E9:E12)</f>
        <v>147287.7623</v>
      </c>
      <c r="F14" s="500">
        <f t="shared" ref="F14:Q14" si="0">SUM(F9:F12)</f>
        <v>103023</v>
      </c>
      <c r="G14" s="500">
        <f t="shared" si="0"/>
        <v>57021</v>
      </c>
      <c r="H14" s="500">
        <f t="shared" si="0"/>
        <v>82360</v>
      </c>
      <c r="I14" s="500">
        <f t="shared" si="0"/>
        <v>40724</v>
      </c>
      <c r="J14" s="500">
        <f t="shared" si="0"/>
        <v>44868.660599999988</v>
      </c>
      <c r="K14" s="500">
        <f t="shared" si="0"/>
        <v>35579</v>
      </c>
      <c r="L14" s="500">
        <f t="shared" si="0"/>
        <v>35175</v>
      </c>
      <c r="M14" s="500">
        <f t="shared" si="0"/>
        <v>47065</v>
      </c>
      <c r="N14" s="500">
        <f t="shared" si="0"/>
        <v>31292.639300000003</v>
      </c>
      <c r="O14" s="500">
        <f t="shared" si="0"/>
        <v>133413.1452</v>
      </c>
      <c r="P14" s="500">
        <f t="shared" si="0"/>
        <v>54354.705999999991</v>
      </c>
      <c r="Q14" s="500">
        <f t="shared" si="0"/>
        <v>55974.2601</v>
      </c>
      <c r="R14" s="500">
        <f>SUM(R9:R13)</f>
        <v>75632</v>
      </c>
      <c r="S14" s="18"/>
    </row>
    <row r="15" spans="1:19">
      <c r="D15" s="71"/>
      <c r="E15" s="373"/>
      <c r="F15" s="373"/>
      <c r="G15" s="373"/>
      <c r="H15" s="373"/>
      <c r="I15" s="373"/>
      <c r="J15" s="373"/>
      <c r="K15" s="373"/>
      <c r="L15" s="373"/>
      <c r="M15" s="373"/>
      <c r="N15" s="373"/>
      <c r="O15" s="373"/>
      <c r="P15" s="373"/>
      <c r="Q15" s="373"/>
      <c r="R15" s="373"/>
      <c r="S15" s="18"/>
    </row>
    <row r="16" spans="1:19">
      <c r="D16" s="71"/>
      <c r="E16" s="373"/>
      <c r="F16" s="373"/>
      <c r="G16" s="373"/>
      <c r="H16" s="373"/>
      <c r="I16" s="373"/>
      <c r="J16" s="373"/>
      <c r="K16" s="373"/>
      <c r="L16" s="373"/>
      <c r="M16" s="373"/>
      <c r="N16" s="373"/>
      <c r="O16" s="373"/>
      <c r="P16" s="373"/>
      <c r="Q16" s="373"/>
      <c r="R16" s="373"/>
      <c r="S16" s="18"/>
    </row>
    <row r="17" spans="1:19">
      <c r="A17" s="446" t="s">
        <v>15</v>
      </c>
      <c r="D17" s="71"/>
      <c r="E17" s="373">
        <v>18358.352600000002</v>
      </c>
      <c r="F17" s="373">
        <v>10164</v>
      </c>
      <c r="G17" s="373">
        <v>9430</v>
      </c>
      <c r="H17" s="373">
        <v>12014</v>
      </c>
      <c r="I17" s="373">
        <v>12358</v>
      </c>
      <c r="J17" s="373">
        <v>12956.9877</v>
      </c>
      <c r="K17" s="373">
        <v>15914</v>
      </c>
      <c r="L17" s="373">
        <v>16710</v>
      </c>
      <c r="M17" s="373">
        <v>18086</v>
      </c>
      <c r="N17" s="373">
        <v>16203.228600000002</v>
      </c>
      <c r="O17" s="373">
        <v>19974.797999999999</v>
      </c>
      <c r="P17" s="373">
        <v>21546.8148</v>
      </c>
      <c r="Q17" s="373">
        <v>16459.231800000001</v>
      </c>
      <c r="R17" s="373">
        <v>18925</v>
      </c>
      <c r="S17" s="18"/>
    </row>
    <row r="18" spans="1:19">
      <c r="A18" s="446" t="s">
        <v>16</v>
      </c>
      <c r="D18" s="71"/>
      <c r="E18" s="373">
        <v>0</v>
      </c>
      <c r="F18" s="373">
        <v>0</v>
      </c>
      <c r="G18" s="373">
        <v>0</v>
      </c>
      <c r="H18" s="373">
        <v>0</v>
      </c>
      <c r="I18" s="373">
        <v>0</v>
      </c>
      <c r="J18" s="373">
        <v>0</v>
      </c>
      <c r="K18" s="373">
        <v>0</v>
      </c>
      <c r="L18" s="373">
        <v>0</v>
      </c>
      <c r="M18" s="373">
        <v>0</v>
      </c>
      <c r="N18" s="373">
        <v>0</v>
      </c>
      <c r="O18" s="373">
        <v>0</v>
      </c>
      <c r="P18" s="373">
        <v>0</v>
      </c>
      <c r="Q18" s="373">
        <v>0</v>
      </c>
      <c r="R18" s="373">
        <v>0</v>
      </c>
      <c r="S18" s="18"/>
    </row>
    <row r="19" spans="1:19">
      <c r="A19" s="446" t="s">
        <v>17</v>
      </c>
      <c r="D19" s="71"/>
      <c r="E19" s="373">
        <v>23060.302300000003</v>
      </c>
      <c r="F19" s="373">
        <v>3582</v>
      </c>
      <c r="G19" s="373">
        <v>8111</v>
      </c>
      <c r="H19" s="373">
        <v>15447</v>
      </c>
      <c r="I19" s="373">
        <v>45629</v>
      </c>
      <c r="J19" s="373">
        <v>55227.190799999997</v>
      </c>
      <c r="K19" s="373">
        <v>47155</v>
      </c>
      <c r="L19" s="373">
        <v>43656</v>
      </c>
      <c r="M19" s="373">
        <v>52704</v>
      </c>
      <c r="N19" s="373">
        <v>15927.531100000002</v>
      </c>
      <c r="O19" s="373">
        <v>74448.55799999999</v>
      </c>
      <c r="P19" s="373">
        <v>62923.979999999996</v>
      </c>
      <c r="Q19" s="373">
        <v>50012.192999999999</v>
      </c>
      <c r="R19" s="373">
        <v>60338</v>
      </c>
      <c r="S19" s="18"/>
    </row>
    <row r="20" spans="1:19">
      <c r="A20" s="446" t="s">
        <v>18</v>
      </c>
      <c r="D20" s="71"/>
      <c r="E20" s="373">
        <v>548.88120000000004</v>
      </c>
      <c r="F20" s="373">
        <v>528</v>
      </c>
      <c r="G20" s="373">
        <v>392</v>
      </c>
      <c r="H20" s="373">
        <v>528</v>
      </c>
      <c r="I20" s="373">
        <v>490</v>
      </c>
      <c r="J20" s="373">
        <v>497.46569999999997</v>
      </c>
      <c r="K20" s="373">
        <v>450</v>
      </c>
      <c r="L20" s="373">
        <v>420</v>
      </c>
      <c r="M20" s="373">
        <v>421</v>
      </c>
      <c r="N20" s="373">
        <v>464.46920000000006</v>
      </c>
      <c r="O20" s="373">
        <v>555.81479999999999</v>
      </c>
      <c r="P20" s="373">
        <v>635.43759999999997</v>
      </c>
      <c r="Q20" s="373">
        <v>673.50360000000001</v>
      </c>
      <c r="R20" s="373">
        <v>671</v>
      </c>
      <c r="S20" s="18"/>
    </row>
    <row r="21" spans="1:19">
      <c r="A21" s="446" t="s">
        <v>19</v>
      </c>
      <c r="D21" s="71"/>
      <c r="E21" s="373">
        <v>180040.32550000001</v>
      </c>
      <c r="F21" s="373">
        <v>131649</v>
      </c>
      <c r="G21" s="373">
        <v>50729</v>
      </c>
      <c r="H21" s="373">
        <v>53591</v>
      </c>
      <c r="I21" s="373">
        <v>51029</v>
      </c>
      <c r="J21" s="373">
        <v>55379.502899999992</v>
      </c>
      <c r="K21" s="373">
        <v>79145</v>
      </c>
      <c r="L21" s="373">
        <v>65642</v>
      </c>
      <c r="M21" s="373">
        <v>72581</v>
      </c>
      <c r="N21" s="373">
        <v>104870.13940000001</v>
      </c>
      <c r="O21" s="373">
        <v>142281.42119999998</v>
      </c>
      <c r="P21" s="373">
        <v>91141.584799999997</v>
      </c>
      <c r="Q21" s="373">
        <v>101282.32950000001</v>
      </c>
      <c r="R21" s="373">
        <v>109035</v>
      </c>
      <c r="S21" s="18"/>
    </row>
    <row r="22" spans="1:19">
      <c r="A22" s="446" t="s">
        <v>20</v>
      </c>
      <c r="D22" s="71"/>
      <c r="E22" s="373">
        <v>0</v>
      </c>
      <c r="F22" s="373">
        <v>0</v>
      </c>
      <c r="G22" s="373">
        <v>85</v>
      </c>
      <c r="H22" s="373">
        <v>87</v>
      </c>
      <c r="I22" s="373">
        <v>87</v>
      </c>
      <c r="J22" s="373">
        <v>86.942099999999996</v>
      </c>
      <c r="K22" s="373">
        <v>115</v>
      </c>
      <c r="L22" s="373">
        <v>100</v>
      </c>
      <c r="M22" s="373">
        <v>113</v>
      </c>
      <c r="N22" s="373">
        <v>103.792</v>
      </c>
      <c r="O22" s="373">
        <v>104.256</v>
      </c>
      <c r="P22" s="373">
        <v>104.384</v>
      </c>
      <c r="Q22" s="373">
        <v>104.01600000000001</v>
      </c>
      <c r="R22" s="373">
        <v>104</v>
      </c>
      <c r="S22" s="18"/>
    </row>
    <row r="23" spans="1:19">
      <c r="A23" s="446" t="s">
        <v>21</v>
      </c>
      <c r="D23" s="71"/>
      <c r="E23" s="373">
        <v>3013.5434</v>
      </c>
      <c r="F23" s="373">
        <v>3056</v>
      </c>
      <c r="G23" s="373">
        <v>3059</v>
      </c>
      <c r="H23" s="373">
        <v>3066</v>
      </c>
      <c r="I23" s="373">
        <v>4385</v>
      </c>
      <c r="J23" s="373">
        <v>2320.6349999999998</v>
      </c>
      <c r="K23" s="373">
        <v>0</v>
      </c>
      <c r="L23" s="373">
        <v>0</v>
      </c>
      <c r="M23" s="373">
        <v>0</v>
      </c>
      <c r="N23" s="373">
        <v>0</v>
      </c>
      <c r="O23" s="373">
        <v>0</v>
      </c>
      <c r="P23" s="373">
        <v>0</v>
      </c>
      <c r="Q23" s="373">
        <v>0</v>
      </c>
      <c r="R23" s="373">
        <v>0</v>
      </c>
      <c r="S23" s="18"/>
    </row>
    <row r="24" spans="1:19">
      <c r="A24" s="446" t="s">
        <v>22</v>
      </c>
      <c r="D24" s="71"/>
      <c r="E24" s="373">
        <v>109.3785</v>
      </c>
      <c r="F24" s="373">
        <v>171</v>
      </c>
      <c r="G24" s="373">
        <v>150</v>
      </c>
      <c r="H24" s="373">
        <v>173</v>
      </c>
      <c r="I24" s="373">
        <v>99</v>
      </c>
      <c r="J24" s="373">
        <v>141.19919999999999</v>
      </c>
      <c r="K24" s="373">
        <v>0</v>
      </c>
      <c r="L24" s="373">
        <v>0</v>
      </c>
      <c r="M24" s="373">
        <v>0</v>
      </c>
      <c r="N24" s="373">
        <v>0</v>
      </c>
      <c r="O24" s="373">
        <v>0</v>
      </c>
      <c r="P24" s="373">
        <v>0</v>
      </c>
      <c r="Q24" s="373">
        <v>0</v>
      </c>
      <c r="R24" s="373">
        <v>0</v>
      </c>
      <c r="S24" s="18"/>
    </row>
    <row r="25" spans="1:19">
      <c r="A25" s="446" t="s">
        <v>23</v>
      </c>
      <c r="D25" s="71"/>
      <c r="E25" s="373">
        <v>1984.7226000000001</v>
      </c>
      <c r="F25" s="373">
        <v>25</v>
      </c>
      <c r="G25" s="373">
        <v>46700</v>
      </c>
      <c r="H25" s="373">
        <v>63438</v>
      </c>
      <c r="I25" s="373">
        <v>51</v>
      </c>
      <c r="J25" s="373">
        <v>73.868099999999998</v>
      </c>
      <c r="K25" s="373">
        <v>291</v>
      </c>
      <c r="L25" s="373">
        <v>243</v>
      </c>
      <c r="M25" s="373">
        <v>297</v>
      </c>
      <c r="N25" s="373">
        <v>307.48380000000003</v>
      </c>
      <c r="O25" s="373">
        <v>465.89399999999995</v>
      </c>
      <c r="P25" s="373">
        <v>820.7192</v>
      </c>
      <c r="Q25" s="373">
        <v>891.93719999999996</v>
      </c>
      <c r="R25" s="373">
        <v>711</v>
      </c>
      <c r="S25" s="18"/>
    </row>
    <row r="26" spans="1:19" s="495" customFormat="1">
      <c r="A26" s="495" t="s">
        <v>419</v>
      </c>
      <c r="D26" s="71"/>
      <c r="E26" s="373"/>
      <c r="F26" s="373"/>
      <c r="G26" s="373"/>
      <c r="H26" s="373"/>
      <c r="I26" s="373"/>
      <c r="J26" s="373"/>
      <c r="K26" s="373"/>
      <c r="L26" s="373"/>
      <c r="M26" s="373"/>
      <c r="N26" s="373"/>
      <c r="O26" s="373"/>
      <c r="P26" s="373"/>
      <c r="Q26" s="373">
        <v>0</v>
      </c>
      <c r="R26" s="373">
        <v>0</v>
      </c>
      <c r="S26" s="18"/>
    </row>
    <row r="27" spans="1:19">
      <c r="A27" s="446" t="s">
        <v>24</v>
      </c>
      <c r="D27" s="71"/>
      <c r="E27" s="373">
        <v>7669.7530000000006</v>
      </c>
      <c r="F27" s="373">
        <v>7010</v>
      </c>
      <c r="G27" s="373">
        <v>5723</v>
      </c>
      <c r="H27" s="373">
        <v>5938</v>
      </c>
      <c r="I27" s="373">
        <v>8671</v>
      </c>
      <c r="J27" s="373">
        <v>6436.3301999999994</v>
      </c>
      <c r="K27" s="373">
        <v>9054</v>
      </c>
      <c r="L27" s="373">
        <v>8948</v>
      </c>
      <c r="M27" s="373">
        <v>8782</v>
      </c>
      <c r="N27" s="373">
        <v>8661.4423999999999</v>
      </c>
      <c r="O27" s="373">
        <v>11537.8812</v>
      </c>
      <c r="P27" s="373">
        <v>11410.475999999999</v>
      </c>
      <c r="Q27" s="373">
        <v>11410.555200000001</v>
      </c>
      <c r="R27" s="373">
        <v>11687</v>
      </c>
      <c r="S27" s="18"/>
    </row>
    <row r="28" spans="1:19" ht="15.6" customHeight="1">
      <c r="D28" s="71"/>
      <c r="E28" s="373"/>
      <c r="F28" s="373"/>
      <c r="G28" s="373"/>
      <c r="H28" s="373"/>
      <c r="I28" s="373"/>
      <c r="J28" s="373"/>
      <c r="K28" s="373"/>
      <c r="L28" s="373"/>
      <c r="M28" s="373"/>
      <c r="N28" s="373"/>
      <c r="O28" s="373"/>
      <c r="P28" s="373"/>
      <c r="Q28" s="373"/>
      <c r="R28" s="373"/>
      <c r="S28" s="18"/>
    </row>
    <row r="29" spans="1:19">
      <c r="A29" s="446" t="s">
        <v>25</v>
      </c>
      <c r="D29" s="71"/>
      <c r="E29" s="375">
        <f>SUM(E17:E28)</f>
        <v>234785.2591</v>
      </c>
      <c r="F29" s="375">
        <f t="shared" ref="F29:Q29" si="1">SUM(F17:F28)</f>
        <v>156185</v>
      </c>
      <c r="G29" s="375">
        <f t="shared" si="1"/>
        <v>124379</v>
      </c>
      <c r="H29" s="375">
        <f t="shared" si="1"/>
        <v>154282</v>
      </c>
      <c r="I29" s="375">
        <f t="shared" si="1"/>
        <v>122799</v>
      </c>
      <c r="J29" s="375">
        <f t="shared" si="1"/>
        <v>133120.12169999999</v>
      </c>
      <c r="K29" s="375">
        <f t="shared" si="1"/>
        <v>152124</v>
      </c>
      <c r="L29" s="375">
        <f t="shared" si="1"/>
        <v>135719</v>
      </c>
      <c r="M29" s="375">
        <f t="shared" si="1"/>
        <v>152984</v>
      </c>
      <c r="N29" s="375">
        <f t="shared" si="1"/>
        <v>146538.0865</v>
      </c>
      <c r="O29" s="375">
        <f t="shared" si="1"/>
        <v>249368.62319999994</v>
      </c>
      <c r="P29" s="375">
        <f t="shared" si="1"/>
        <v>188583.39639999997</v>
      </c>
      <c r="Q29" s="375">
        <f t="shared" si="1"/>
        <v>180833.76630000002</v>
      </c>
      <c r="R29" s="375">
        <f t="shared" ref="R29" si="2">SUM(R17:R28)</f>
        <v>201471</v>
      </c>
      <c r="S29" s="18"/>
    </row>
    <row r="30" spans="1:19">
      <c r="E30" s="469"/>
      <c r="F30" s="469"/>
      <c r="G30" s="469"/>
      <c r="H30" s="469"/>
      <c r="I30" s="469"/>
      <c r="J30" s="469"/>
      <c r="K30" s="469"/>
      <c r="L30" s="469"/>
      <c r="M30" s="469"/>
      <c r="N30" s="469"/>
      <c r="O30" s="469"/>
      <c r="P30" s="469"/>
      <c r="Q30" s="469"/>
      <c r="R30" s="469"/>
      <c r="S30" s="18"/>
    </row>
    <row r="31" spans="1:19">
      <c r="A31" s="446" t="s">
        <v>26</v>
      </c>
      <c r="D31" s="69"/>
      <c r="E31" s="373">
        <f>E14-E29</f>
        <v>-87497.496799999994</v>
      </c>
      <c r="F31" s="373">
        <f t="shared" ref="F31:Q31" si="3">F14-F29</f>
        <v>-53162</v>
      </c>
      <c r="G31" s="373">
        <f t="shared" si="3"/>
        <v>-67358</v>
      </c>
      <c r="H31" s="373">
        <f t="shared" si="3"/>
        <v>-71922</v>
      </c>
      <c r="I31" s="373">
        <f t="shared" si="3"/>
        <v>-82075</v>
      </c>
      <c r="J31" s="373">
        <f t="shared" si="3"/>
        <v>-88251.4611</v>
      </c>
      <c r="K31" s="373">
        <f t="shared" si="3"/>
        <v>-116545</v>
      </c>
      <c r="L31" s="373">
        <f t="shared" si="3"/>
        <v>-100544</v>
      </c>
      <c r="M31" s="373">
        <f t="shared" si="3"/>
        <v>-105919</v>
      </c>
      <c r="N31" s="373">
        <f t="shared" si="3"/>
        <v>-115245.4472</v>
      </c>
      <c r="O31" s="373">
        <f t="shared" si="3"/>
        <v>-115955.47799999994</v>
      </c>
      <c r="P31" s="373">
        <f t="shared" si="3"/>
        <v>-134228.69039999996</v>
      </c>
      <c r="Q31" s="373">
        <f t="shared" si="3"/>
        <v>-124859.50620000002</v>
      </c>
      <c r="R31" s="373">
        <f t="shared" ref="R31" si="4">R14-R29</f>
        <v>-125839</v>
      </c>
      <c r="S31" s="18"/>
    </row>
    <row r="32" spans="1:19">
      <c r="D32" s="69"/>
      <c r="E32" s="373"/>
      <c r="F32" s="373"/>
      <c r="G32" s="373"/>
      <c r="H32" s="373"/>
      <c r="I32" s="373"/>
      <c r="J32" s="373"/>
      <c r="K32" s="373"/>
      <c r="L32" s="373"/>
      <c r="M32" s="373"/>
      <c r="N32" s="373"/>
      <c r="O32" s="373"/>
      <c r="P32" s="373"/>
      <c r="Q32" s="373"/>
      <c r="R32" s="373"/>
      <c r="S32" s="18"/>
    </row>
    <row r="33" spans="1:19">
      <c r="A33" s="446" t="s">
        <v>27</v>
      </c>
      <c r="C33" s="73">
        <v>0.35</v>
      </c>
      <c r="D33" s="74"/>
      <c r="E33" s="374">
        <f>E31*0.35</f>
        <v>-30624.123879999996</v>
      </c>
      <c r="F33" s="374">
        <f t="shared" ref="F33:Q33" si="5">F31*0.35</f>
        <v>-18606.699999999997</v>
      </c>
      <c r="G33" s="374">
        <f t="shared" si="5"/>
        <v>-23575.3</v>
      </c>
      <c r="H33" s="374">
        <f t="shared" si="5"/>
        <v>-25172.699999999997</v>
      </c>
      <c r="I33" s="374">
        <f t="shared" si="5"/>
        <v>-28726.249999999996</v>
      </c>
      <c r="J33" s="374">
        <f t="shared" si="5"/>
        <v>-30888.011384999998</v>
      </c>
      <c r="K33" s="374">
        <f t="shared" si="5"/>
        <v>-40790.75</v>
      </c>
      <c r="L33" s="374">
        <f t="shared" si="5"/>
        <v>-35190.399999999994</v>
      </c>
      <c r="M33" s="374">
        <f t="shared" si="5"/>
        <v>-37071.649999999994</v>
      </c>
      <c r="N33" s="374">
        <f t="shared" si="5"/>
        <v>-40335.906519999997</v>
      </c>
      <c r="O33" s="374">
        <f t="shared" si="5"/>
        <v>-40584.417299999979</v>
      </c>
      <c r="P33" s="374">
        <f t="shared" si="5"/>
        <v>-46980.041639999981</v>
      </c>
      <c r="Q33" s="374">
        <f t="shared" si="5"/>
        <v>-43700.827170000004</v>
      </c>
      <c r="R33" s="374">
        <f t="shared" ref="R33" si="6">R31*0.35</f>
        <v>-44043.649999999994</v>
      </c>
      <c r="S33" s="18"/>
    </row>
    <row r="34" spans="1:19">
      <c r="D34" s="74"/>
      <c r="E34" s="372"/>
      <c r="F34" s="372"/>
      <c r="G34" s="372"/>
      <c r="H34" s="372"/>
      <c r="I34" s="372"/>
      <c r="J34" s="372"/>
      <c r="K34" s="372"/>
      <c r="L34" s="372"/>
      <c r="M34" s="372"/>
      <c r="N34" s="372"/>
      <c r="O34" s="372"/>
      <c r="P34" s="372"/>
      <c r="Q34" s="372"/>
      <c r="R34" s="372"/>
      <c r="S34" s="18"/>
    </row>
    <row r="35" spans="1:19">
      <c r="A35" s="446" t="s">
        <v>28</v>
      </c>
      <c r="D35" s="69"/>
      <c r="E35" s="470">
        <f>E31-E33</f>
        <v>-56873.372919999994</v>
      </c>
      <c r="F35" s="470">
        <f t="shared" ref="F35:Q35" si="7">F31-F33</f>
        <v>-34555.300000000003</v>
      </c>
      <c r="G35" s="470">
        <f t="shared" si="7"/>
        <v>-43782.7</v>
      </c>
      <c r="H35" s="470">
        <f t="shared" si="7"/>
        <v>-46749.3</v>
      </c>
      <c r="I35" s="470">
        <f t="shared" si="7"/>
        <v>-53348.75</v>
      </c>
      <c r="J35" s="470">
        <f t="shared" si="7"/>
        <v>-57363.449715000002</v>
      </c>
      <c r="K35" s="470">
        <f t="shared" si="7"/>
        <v>-75754.25</v>
      </c>
      <c r="L35" s="470">
        <f t="shared" si="7"/>
        <v>-65353.600000000006</v>
      </c>
      <c r="M35" s="470">
        <f t="shared" si="7"/>
        <v>-68847.350000000006</v>
      </c>
      <c r="N35" s="470">
        <f t="shared" si="7"/>
        <v>-74909.540680000006</v>
      </c>
      <c r="O35" s="470">
        <f t="shared" si="7"/>
        <v>-75371.060699999973</v>
      </c>
      <c r="P35" s="470">
        <f t="shared" si="7"/>
        <v>-87248.648759999982</v>
      </c>
      <c r="Q35" s="470">
        <f t="shared" si="7"/>
        <v>-81158.679030000014</v>
      </c>
      <c r="R35" s="470">
        <f t="shared" ref="R35" si="8">R31-R33</f>
        <v>-81795.350000000006</v>
      </c>
      <c r="S35" s="18"/>
    </row>
    <row r="36" spans="1:19">
      <c r="E36" s="373"/>
      <c r="F36" s="373"/>
      <c r="J36" s="18"/>
      <c r="R36" s="18"/>
      <c r="S36" s="18"/>
    </row>
    <row r="37" spans="1:19">
      <c r="J37" s="18"/>
      <c r="R37" s="18"/>
      <c r="S37" s="18"/>
    </row>
    <row r="38" spans="1:19">
      <c r="J38" s="18"/>
      <c r="R38" s="18"/>
      <c r="S38" s="18"/>
    </row>
    <row r="39" spans="1:19">
      <c r="E39" s="263"/>
      <c r="F39" s="263"/>
      <c r="G39" s="263"/>
      <c r="H39" s="263"/>
      <c r="I39" s="263"/>
      <c r="J39" s="263"/>
      <c r="K39" s="263"/>
      <c r="L39" s="263"/>
      <c r="M39" s="263"/>
      <c r="N39" s="263"/>
      <c r="O39" s="263"/>
    </row>
    <row r="40" spans="1:19">
      <c r="E40" s="263"/>
      <c r="F40" s="263"/>
      <c r="G40" s="263"/>
      <c r="H40" s="263"/>
      <c r="I40" s="263"/>
      <c r="J40" s="263"/>
      <c r="K40" s="263"/>
      <c r="L40" s="263"/>
      <c r="M40" s="263"/>
      <c r="N40" s="263"/>
      <c r="O40" s="263"/>
      <c r="P40" s="471"/>
    </row>
    <row r="41" spans="1:19">
      <c r="E41" s="263"/>
      <c r="F41" s="263"/>
      <c r="G41" s="263"/>
      <c r="H41" s="263"/>
      <c r="I41" s="263"/>
      <c r="J41" s="263"/>
      <c r="K41" s="263"/>
      <c r="L41" s="263"/>
      <c r="M41" s="263"/>
      <c r="N41" s="263"/>
      <c r="O41" s="263"/>
      <c r="P41" s="471"/>
    </row>
    <row r="42" spans="1:19">
      <c r="E42" s="264"/>
      <c r="F42" s="264"/>
      <c r="G42" s="264"/>
      <c r="H42" s="264"/>
      <c r="I42" s="264"/>
      <c r="J42" s="264"/>
      <c r="K42" s="264"/>
      <c r="L42" s="264"/>
      <c r="M42" s="264"/>
      <c r="N42" s="264"/>
      <c r="O42" s="264"/>
    </row>
    <row r="44" spans="1:19">
      <c r="J44" s="467"/>
    </row>
    <row r="45" spans="1:19">
      <c r="J45" s="467"/>
    </row>
  </sheetData>
  <mergeCells count="4">
    <mergeCell ref="A1:Q1"/>
    <mergeCell ref="A2:Q2"/>
    <mergeCell ref="E4:Q4"/>
    <mergeCell ref="E5:Q5"/>
  </mergeCells>
  <pageMargins left="0.28000000000000003" right="0.21" top="1" bottom="1" header="0.5" footer="0.5"/>
  <pageSetup scale="65" orientation="landscape" r:id="rId1"/>
  <headerFooter alignWithMargins="0">
    <oddFooter>&amp;C&amp;F / &amp;A</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S26"/>
  <sheetViews>
    <sheetView workbookViewId="0">
      <selection activeCell="R22" sqref="R22"/>
    </sheetView>
  </sheetViews>
  <sheetFormatPr defaultColWidth="9.140625" defaultRowHeight="15"/>
  <cols>
    <col min="1" max="4" width="9.140625" style="391"/>
    <col min="5" max="5" width="11.5703125" style="391" bestFit="1" customWidth="1"/>
    <col min="6" max="14" width="10.5703125" style="391" bestFit="1" customWidth="1"/>
    <col min="15" max="15" width="11.5703125" style="391" bestFit="1" customWidth="1"/>
    <col min="16" max="18" width="10.5703125" style="391" bestFit="1" customWidth="1"/>
    <col min="19" max="16384" width="9.140625" style="391"/>
  </cols>
  <sheetData>
    <row r="1" spans="1:19">
      <c r="A1" s="391" t="s">
        <v>356</v>
      </c>
    </row>
    <row r="2" spans="1:19">
      <c r="P2" s="392"/>
      <c r="Q2" s="392"/>
      <c r="R2" s="392"/>
    </row>
    <row r="3" spans="1:19">
      <c r="D3" s="393"/>
      <c r="E3" s="394">
        <v>2000</v>
      </c>
      <c r="F3" s="395">
        <v>2001</v>
      </c>
      <c r="G3" s="395">
        <v>2002</v>
      </c>
      <c r="H3" s="395">
        <v>2003</v>
      </c>
      <c r="I3" s="395">
        <v>2004</v>
      </c>
      <c r="J3" s="395">
        <v>2005</v>
      </c>
      <c r="K3" s="395">
        <v>2006</v>
      </c>
      <c r="L3" s="395">
        <v>2007</v>
      </c>
      <c r="M3" s="395">
        <v>2008</v>
      </c>
      <c r="N3" s="395">
        <v>2009</v>
      </c>
      <c r="O3" s="395">
        <v>2010</v>
      </c>
      <c r="P3" s="395">
        <v>2011</v>
      </c>
      <c r="Q3" s="395">
        <v>2012</v>
      </c>
      <c r="R3" s="395">
        <v>2013</v>
      </c>
    </row>
    <row r="4" spans="1:19">
      <c r="A4" s="391" t="s">
        <v>9</v>
      </c>
      <c r="D4" s="396"/>
      <c r="E4" s="397">
        <v>0.66290000000000004</v>
      </c>
      <c r="F4" s="397">
        <v>0.67479999999999996</v>
      </c>
      <c r="G4" s="397">
        <v>0.64119999999999999</v>
      </c>
      <c r="H4" s="397">
        <v>0.65480000000000005</v>
      </c>
      <c r="I4" s="397">
        <v>0.65159999999999996</v>
      </c>
      <c r="J4" s="397">
        <v>0.65369999999999995</v>
      </c>
      <c r="K4" s="397">
        <v>0.6583</v>
      </c>
      <c r="L4" s="397">
        <v>0.64590000000000003</v>
      </c>
      <c r="M4" s="397">
        <v>0.64419999999999999</v>
      </c>
      <c r="N4" s="397">
        <v>0.64870000000000005</v>
      </c>
      <c r="O4" s="397">
        <v>0.65159999999999996</v>
      </c>
      <c r="P4" s="398">
        <v>0.65239999999999998</v>
      </c>
      <c r="Q4" s="398">
        <v>0.65010000000000001</v>
      </c>
      <c r="R4" s="654">
        <v>0.65190000000000003</v>
      </c>
    </row>
    <row r="5" spans="1:19">
      <c r="A5" s="391" t="s">
        <v>357</v>
      </c>
      <c r="E5" s="398"/>
      <c r="F5" s="398"/>
      <c r="G5" s="398"/>
      <c r="H5" s="398"/>
      <c r="I5" s="398"/>
      <c r="J5" s="398"/>
      <c r="K5" s="398"/>
      <c r="L5" s="398"/>
      <c r="M5" s="398"/>
      <c r="N5" s="398"/>
      <c r="O5" s="398"/>
      <c r="P5" s="398"/>
      <c r="Q5" s="398"/>
      <c r="R5" s="398"/>
    </row>
    <row r="6" spans="1:19">
      <c r="A6" s="391" t="s">
        <v>10</v>
      </c>
      <c r="D6" s="399"/>
      <c r="E6" s="400">
        <v>135976.0367</v>
      </c>
      <c r="F6" s="400">
        <v>90880</v>
      </c>
      <c r="G6" s="400">
        <v>31728</v>
      </c>
      <c r="H6" s="400">
        <v>35221</v>
      </c>
      <c r="I6" s="400">
        <v>40439</v>
      </c>
      <c r="J6" s="400">
        <v>44689.546799999996</v>
      </c>
      <c r="K6" s="400">
        <v>35381</v>
      </c>
      <c r="L6" s="400">
        <v>34954</v>
      </c>
      <c r="M6" s="400">
        <v>46849</v>
      </c>
      <c r="N6" s="400">
        <v>30933.259500000004</v>
      </c>
      <c r="O6" s="400">
        <v>132773.274</v>
      </c>
      <c r="P6" s="400">
        <v>52603.011999999995</v>
      </c>
      <c r="Q6" s="400">
        <v>54547.940699999999</v>
      </c>
      <c r="R6" s="372">
        <v>75350</v>
      </c>
    </row>
    <row r="7" spans="1:19">
      <c r="A7" s="391" t="s">
        <v>11</v>
      </c>
      <c r="D7" s="401"/>
      <c r="E7" s="402">
        <v>300.2937</v>
      </c>
      <c r="F7" s="402">
        <v>281</v>
      </c>
      <c r="G7" s="402">
        <v>38</v>
      </c>
      <c r="H7" s="402">
        <v>297</v>
      </c>
      <c r="I7" s="402">
        <v>238</v>
      </c>
      <c r="J7" s="402">
        <v>124.85669999999999</v>
      </c>
      <c r="K7" s="402">
        <v>153</v>
      </c>
      <c r="L7" s="402">
        <v>200</v>
      </c>
      <c r="M7" s="402">
        <v>198</v>
      </c>
      <c r="N7" s="402">
        <v>247.15470000000002</v>
      </c>
      <c r="O7" s="402">
        <v>183.75119999999998</v>
      </c>
      <c r="P7" s="402">
        <v>330.76679999999999</v>
      </c>
      <c r="Q7" s="402">
        <v>303.5967</v>
      </c>
      <c r="R7" s="402">
        <v>282</v>
      </c>
    </row>
    <row r="8" spans="1:19">
      <c r="A8" s="391" t="s">
        <v>12</v>
      </c>
      <c r="D8" s="401"/>
      <c r="E8" s="402">
        <v>43.751400000000004</v>
      </c>
      <c r="F8" s="402">
        <v>0</v>
      </c>
      <c r="G8" s="402">
        <v>30</v>
      </c>
      <c r="H8" s="402">
        <v>16</v>
      </c>
      <c r="I8" s="402">
        <v>16</v>
      </c>
      <c r="J8" s="402">
        <v>12.420299999999999</v>
      </c>
      <c r="K8" s="402">
        <v>14</v>
      </c>
      <c r="L8" s="402">
        <v>14</v>
      </c>
      <c r="M8" s="402">
        <v>16</v>
      </c>
      <c r="N8" s="402">
        <v>18.8123</v>
      </c>
      <c r="O8" s="402">
        <v>0</v>
      </c>
      <c r="P8" s="402">
        <v>0</v>
      </c>
      <c r="Q8" s="402">
        <v>0</v>
      </c>
      <c r="R8" s="402">
        <v>0</v>
      </c>
    </row>
    <row r="9" spans="1:19">
      <c r="A9" s="391" t="s">
        <v>13</v>
      </c>
      <c r="D9" s="403"/>
      <c r="E9" s="404">
        <v>10967.6805</v>
      </c>
      <c r="F9" s="404">
        <v>11862</v>
      </c>
      <c r="G9" s="404">
        <v>25225</v>
      </c>
      <c r="H9" s="404">
        <v>46826</v>
      </c>
      <c r="I9" s="404">
        <v>31</v>
      </c>
      <c r="J9" s="404">
        <v>41.836799999999997</v>
      </c>
      <c r="K9" s="404">
        <v>31</v>
      </c>
      <c r="L9" s="404">
        <v>7</v>
      </c>
      <c r="M9" s="404">
        <v>2</v>
      </c>
      <c r="N9" s="404">
        <v>93.412800000000004</v>
      </c>
      <c r="O9" s="404">
        <v>456.11999999999995</v>
      </c>
      <c r="P9" s="404">
        <v>1420.9271999999999</v>
      </c>
      <c r="Q9" s="404">
        <f>'PS Consolidated'!Q12+'PS Consolidated'!Q13</f>
        <v>1185.7227</v>
      </c>
      <c r="R9" s="631">
        <v>0</v>
      </c>
    </row>
    <row r="10" spans="1:19">
      <c r="A10" s="391" t="s">
        <v>14</v>
      </c>
      <c r="D10" s="403"/>
      <c r="E10" s="402">
        <f t="shared" ref="E10:R10" si="0">SUM(E6:E9)</f>
        <v>147287.7623</v>
      </c>
      <c r="F10" s="402">
        <f t="shared" si="0"/>
        <v>103023</v>
      </c>
      <c r="G10" s="402">
        <f t="shared" si="0"/>
        <v>57021</v>
      </c>
      <c r="H10" s="402">
        <f t="shared" si="0"/>
        <v>82360</v>
      </c>
      <c r="I10" s="402">
        <f t="shared" si="0"/>
        <v>40724</v>
      </c>
      <c r="J10" s="402">
        <f t="shared" si="0"/>
        <v>44868.660599999988</v>
      </c>
      <c r="K10" s="402">
        <f t="shared" si="0"/>
        <v>35579</v>
      </c>
      <c r="L10" s="402">
        <f t="shared" si="0"/>
        <v>35175</v>
      </c>
      <c r="M10" s="402">
        <f t="shared" si="0"/>
        <v>47065</v>
      </c>
      <c r="N10" s="402">
        <f t="shared" si="0"/>
        <v>31292.639300000003</v>
      </c>
      <c r="O10" s="402">
        <f t="shared" si="0"/>
        <v>133413.1452</v>
      </c>
      <c r="P10" s="402">
        <f t="shared" si="0"/>
        <v>54354.705999999991</v>
      </c>
      <c r="Q10" s="402">
        <f t="shared" si="0"/>
        <v>56037.2601</v>
      </c>
      <c r="R10" s="402">
        <f t="shared" si="0"/>
        <v>75632</v>
      </c>
    </row>
    <row r="11" spans="1:19">
      <c r="R11" s="651"/>
    </row>
    <row r="12" spans="1:19">
      <c r="A12" s="391" t="s">
        <v>358</v>
      </c>
      <c r="R12" s="651"/>
    </row>
    <row r="13" spans="1:19">
      <c r="A13" s="391" t="s">
        <v>359</v>
      </c>
      <c r="E13" s="405">
        <f>'CBR Hist'!F15</f>
        <v>137117</v>
      </c>
      <c r="F13" s="405">
        <f>'CBR Hist'!G15</f>
        <v>91388</v>
      </c>
      <c r="G13" s="405">
        <f>'CBR Hist'!H15</f>
        <v>29918</v>
      </c>
      <c r="H13" s="405">
        <f>'CBR Hist'!I15</f>
        <v>35252</v>
      </c>
      <c r="I13" s="405">
        <f>'CBR Hist'!J15</f>
        <v>40460</v>
      </c>
      <c r="J13" s="405">
        <f>'CBR Hist'!K15</f>
        <v>44718</v>
      </c>
      <c r="K13" s="405">
        <f>'CBR Hist'!L15</f>
        <v>35380</v>
      </c>
      <c r="L13" s="405">
        <f>'CBR Hist'!M15</f>
        <v>34954</v>
      </c>
      <c r="M13" s="405">
        <f>'CBR Hist'!N15</f>
        <v>46848</v>
      </c>
      <c r="N13" s="405">
        <f>'CBR Hist'!O15</f>
        <v>31491</v>
      </c>
      <c r="O13" s="405">
        <f>'CBR Hist'!P15</f>
        <v>133479</v>
      </c>
      <c r="P13" s="405">
        <f>'CBR Hist'!Q15</f>
        <v>52604</v>
      </c>
      <c r="Q13" s="405">
        <f>'CBR Hist'!R15</f>
        <v>54549</v>
      </c>
      <c r="R13" s="406">
        <f>'CBR Hist'!S15+1</f>
        <v>75350</v>
      </c>
      <c r="S13" s="653"/>
    </row>
    <row r="14" spans="1:19">
      <c r="A14" s="391" t="s">
        <v>1</v>
      </c>
      <c r="E14" s="405">
        <f>'CBR Hist'!F17</f>
        <v>13062</v>
      </c>
      <c r="F14" s="405">
        <f>'CBR Hist'!G17</f>
        <v>14305</v>
      </c>
      <c r="G14" s="405">
        <f>'CBR Hist'!H17</f>
        <v>34274</v>
      </c>
      <c r="H14" s="405">
        <f>'CBR Hist'!I17</f>
        <v>57244</v>
      </c>
      <c r="I14" s="405">
        <f>'CBR Hist'!J17</f>
        <v>8587</v>
      </c>
      <c r="J14" s="405">
        <f>'CBR Hist'!K17</f>
        <v>10259</v>
      </c>
      <c r="K14" s="405">
        <f>'CBR Hist'!L17</f>
        <v>10178</v>
      </c>
      <c r="L14" s="405">
        <f>'CBR Hist'!M17</f>
        <v>10170</v>
      </c>
      <c r="M14" s="405">
        <f>'CBR Hist'!N17</f>
        <v>10927</v>
      </c>
      <c r="N14" s="405">
        <f>'CBR Hist'!O17</f>
        <v>9395</v>
      </c>
      <c r="O14" s="405">
        <f>'CBR Hist'!P17</f>
        <v>11786</v>
      </c>
      <c r="P14" s="405">
        <f>'CBR Hist'!Q17</f>
        <v>13666</v>
      </c>
      <c r="Q14" s="405">
        <f>'CBR Hist'!R17</f>
        <v>13089</v>
      </c>
      <c r="R14" s="406">
        <f>'CBR Hist'!S17</f>
        <v>13408</v>
      </c>
      <c r="S14" s="651"/>
    </row>
    <row r="15" spans="1:19">
      <c r="R15" s="651"/>
      <c r="S15" s="651"/>
    </row>
    <row r="16" spans="1:19">
      <c r="A16" s="501" t="s">
        <v>417</v>
      </c>
      <c r="E16" s="405">
        <v>7824</v>
      </c>
      <c r="F16" s="405">
        <v>9892</v>
      </c>
      <c r="G16" s="405">
        <f>ROUND(11097*G4,0)</f>
        <v>7115</v>
      </c>
      <c r="H16" s="405">
        <f>ROUND(11559*H4,0)</f>
        <v>7569</v>
      </c>
      <c r="I16" s="405">
        <f>ROUND(8476*I4,0)</f>
        <v>5523</v>
      </c>
      <c r="J16" s="406">
        <f>ROUND(10033*J4,0)+78</f>
        <v>6637</v>
      </c>
      <c r="K16" s="406">
        <f>ROUND(10539*K4,0)+86</f>
        <v>7024</v>
      </c>
      <c r="L16" s="406">
        <f>ROUND(10488*L4,0)+102</f>
        <v>6876</v>
      </c>
      <c r="M16" s="406">
        <f>ROUND(9486*M4,0)+102</f>
        <v>6213</v>
      </c>
      <c r="N16" s="406">
        <f>ROUND(9315*N4,0)+90</f>
        <v>6133</v>
      </c>
      <c r="O16" s="406">
        <f>ROUND(12659*O4,0)+84</f>
        <v>8333</v>
      </c>
      <c r="P16" s="263">
        <f>ROUND((13812)*P4,0)+91</f>
        <v>9102</v>
      </c>
      <c r="Q16" s="263">
        <f>ROUND((12594)*Q4,0)+98</f>
        <v>8285</v>
      </c>
      <c r="R16" s="263">
        <f>ROUND((14822)*R4,0)</f>
        <v>9662</v>
      </c>
    </row>
    <row r="17" spans="1:18">
      <c r="A17" s="501" t="s">
        <v>420</v>
      </c>
      <c r="E17" s="407">
        <f>E9-E16</f>
        <v>3143.6805000000004</v>
      </c>
      <c r="F17" s="407">
        <f>F9-F16</f>
        <v>1970</v>
      </c>
      <c r="G17" s="407">
        <f>G9</f>
        <v>25225</v>
      </c>
      <c r="H17" s="407">
        <f>H9</f>
        <v>46826</v>
      </c>
      <c r="I17" s="407">
        <f>I9</f>
        <v>31</v>
      </c>
      <c r="J17" s="407">
        <f t="shared" ref="J17:Q17" si="1">J9</f>
        <v>41.836799999999997</v>
      </c>
      <c r="K17" s="407">
        <f t="shared" si="1"/>
        <v>31</v>
      </c>
      <c r="L17" s="407">
        <f t="shared" si="1"/>
        <v>7</v>
      </c>
      <c r="M17" s="407">
        <f>M9+1623</f>
        <v>1625</v>
      </c>
      <c r="N17" s="407">
        <f>N9+89</f>
        <v>182.4128</v>
      </c>
      <c r="O17" s="407">
        <f t="shared" si="1"/>
        <v>456.11999999999995</v>
      </c>
      <c r="P17" s="407">
        <f t="shared" si="1"/>
        <v>1420.9271999999999</v>
      </c>
      <c r="Q17" s="407">
        <f t="shared" si="1"/>
        <v>1185.7227</v>
      </c>
      <c r="R17" s="652">
        <f>R9</f>
        <v>0</v>
      </c>
    </row>
    <row r="18" spans="1:18">
      <c r="A18" s="501"/>
      <c r="E18" s="407"/>
      <c r="F18" s="407"/>
      <c r="G18" s="407"/>
      <c r="H18" s="407"/>
      <c r="I18" s="407"/>
      <c r="J18" s="407"/>
      <c r="K18" s="407"/>
      <c r="L18" s="407"/>
      <c r="M18" s="407"/>
      <c r="N18" s="407"/>
      <c r="O18" s="407"/>
      <c r="P18" s="407"/>
      <c r="Q18" s="407"/>
      <c r="R18" s="652"/>
    </row>
    <row r="19" spans="1:18">
      <c r="A19" s="539" t="s">
        <v>480</v>
      </c>
      <c r="E19" s="407">
        <f t="shared" ref="E19:R19" si="2">E17+E7+E8</f>
        <v>3487.7256000000007</v>
      </c>
      <c r="F19" s="407">
        <f t="shared" si="2"/>
        <v>2251</v>
      </c>
      <c r="G19" s="407">
        <f t="shared" si="2"/>
        <v>25293</v>
      </c>
      <c r="H19" s="407">
        <f t="shared" si="2"/>
        <v>47139</v>
      </c>
      <c r="I19" s="407">
        <f t="shared" si="2"/>
        <v>285</v>
      </c>
      <c r="J19" s="407">
        <f t="shared" si="2"/>
        <v>179.11379999999997</v>
      </c>
      <c r="K19" s="407">
        <f t="shared" si="2"/>
        <v>198</v>
      </c>
      <c r="L19" s="407">
        <f t="shared" si="2"/>
        <v>221</v>
      </c>
      <c r="M19" s="407">
        <f t="shared" si="2"/>
        <v>1839</v>
      </c>
      <c r="N19" s="407">
        <f t="shared" si="2"/>
        <v>448.37979999999999</v>
      </c>
      <c r="O19" s="407">
        <f t="shared" si="2"/>
        <v>639.87119999999993</v>
      </c>
      <c r="P19" s="407">
        <f t="shared" si="2"/>
        <v>1751.694</v>
      </c>
      <c r="Q19" s="407">
        <f t="shared" si="2"/>
        <v>1489.3194000000001</v>
      </c>
      <c r="R19" s="652">
        <f t="shared" si="2"/>
        <v>282</v>
      </c>
    </row>
    <row r="20" spans="1:18">
      <c r="R20" s="651"/>
    </row>
    <row r="21" spans="1:18">
      <c r="A21" s="391" t="s">
        <v>360</v>
      </c>
      <c r="E21" s="407">
        <f>E14-E9-E7-E8</f>
        <v>1750.2743999999996</v>
      </c>
      <c r="F21" s="407">
        <f>F14-F9-F7-F8</f>
        <v>2162</v>
      </c>
      <c r="G21" s="407">
        <f t="shared" ref="G21:Q21" si="3">G14-G16-G17-G7-G8</f>
        <v>1866</v>
      </c>
      <c r="H21" s="407">
        <f t="shared" si="3"/>
        <v>2536</v>
      </c>
      <c r="I21" s="407">
        <f t="shared" si="3"/>
        <v>2779</v>
      </c>
      <c r="J21" s="407">
        <f t="shared" si="3"/>
        <v>3442.8861999999999</v>
      </c>
      <c r="K21" s="407">
        <f t="shared" si="3"/>
        <v>2956</v>
      </c>
      <c r="L21" s="407">
        <f t="shared" si="3"/>
        <v>3073</v>
      </c>
      <c r="M21" s="407">
        <f t="shared" si="3"/>
        <v>2875</v>
      </c>
      <c r="N21" s="407">
        <f t="shared" si="3"/>
        <v>2813.6201999999998</v>
      </c>
      <c r="O21" s="407">
        <f t="shared" si="3"/>
        <v>2813.1288</v>
      </c>
      <c r="P21" s="407">
        <f t="shared" si="3"/>
        <v>2812.306</v>
      </c>
      <c r="Q21" s="407">
        <f t="shared" si="3"/>
        <v>3314.6805999999997</v>
      </c>
      <c r="R21" s="652">
        <f>R14-R16-R17-R7-R8</f>
        <v>3464</v>
      </c>
    </row>
    <row r="23" spans="1:18">
      <c r="A23" s="502" t="s">
        <v>421</v>
      </c>
      <c r="E23" s="407" t="str">
        <f t="shared" ref="E23:R23" si="4">IF(E7+E8+E16+E17+E21=E14,"","footing error")</f>
        <v/>
      </c>
      <c r="F23" s="407" t="str">
        <f t="shared" si="4"/>
        <v/>
      </c>
      <c r="G23" s="407" t="str">
        <f t="shared" si="4"/>
        <v/>
      </c>
      <c r="H23" s="407" t="str">
        <f t="shared" si="4"/>
        <v/>
      </c>
      <c r="I23" s="407" t="str">
        <f t="shared" si="4"/>
        <v/>
      </c>
      <c r="J23" s="407" t="str">
        <f t="shared" si="4"/>
        <v/>
      </c>
      <c r="K23" s="407" t="str">
        <f t="shared" si="4"/>
        <v/>
      </c>
      <c r="L23" s="407" t="str">
        <f t="shared" si="4"/>
        <v/>
      </c>
      <c r="M23" s="407" t="str">
        <f t="shared" si="4"/>
        <v/>
      </c>
      <c r="N23" s="407" t="str">
        <f t="shared" si="4"/>
        <v/>
      </c>
      <c r="O23" s="407" t="str">
        <f t="shared" si="4"/>
        <v/>
      </c>
      <c r="P23" s="407" t="str">
        <f t="shared" si="4"/>
        <v/>
      </c>
      <c r="Q23" s="407" t="str">
        <f t="shared" si="4"/>
        <v/>
      </c>
      <c r="R23" s="407" t="str">
        <f t="shared" si="4"/>
        <v/>
      </c>
    </row>
    <row r="24" spans="1:18">
      <c r="I24" s="635" t="s">
        <v>570</v>
      </c>
      <c r="M24" s="407">
        <v>1623</v>
      </c>
      <c r="N24" s="407">
        <v>89</v>
      </c>
      <c r="O24" s="407"/>
      <c r="P24" s="407"/>
    </row>
    <row r="25" spans="1:18">
      <c r="I25" s="408" t="s">
        <v>361</v>
      </c>
      <c r="M25" s="407"/>
      <c r="N25" s="407"/>
      <c r="O25" s="407">
        <v>-767</v>
      </c>
      <c r="P25" s="407"/>
    </row>
    <row r="26" spans="1:18">
      <c r="I26" s="408" t="s">
        <v>362</v>
      </c>
      <c r="M26" s="407"/>
      <c r="N26" s="407"/>
      <c r="O26" s="407"/>
      <c r="P26" s="407">
        <v>-1044</v>
      </c>
    </row>
  </sheetData>
  <pageMargins left="0.7" right="0.7" top="0.75" bottom="0.75" header="0.3" footer="0.56000000000000005"/>
  <pageSetup scale="71" orientation="landscape" r:id="rId1"/>
  <headerFooter>
    <oddFooter>&amp;C&amp;F / &amp;A</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44"/>
  <sheetViews>
    <sheetView topLeftCell="A4" workbookViewId="0">
      <selection activeCell="D6" sqref="D6"/>
    </sheetView>
  </sheetViews>
  <sheetFormatPr defaultColWidth="9.140625" defaultRowHeight="12.75"/>
  <cols>
    <col min="1" max="3" width="9.140625" customWidth="1"/>
    <col min="4" max="4" width="33" style="746" bestFit="1" customWidth="1"/>
    <col min="5" max="5" width="15" style="746" bestFit="1" customWidth="1"/>
    <col min="6" max="6" width="13.28515625" style="746" bestFit="1" customWidth="1"/>
    <col min="7" max="16384" width="9.140625" style="746"/>
  </cols>
  <sheetData>
    <row r="1" spans="4:8">
      <c r="D1" s="785" t="s">
        <v>6</v>
      </c>
      <c r="E1" s="785"/>
      <c r="F1" s="785"/>
    </row>
    <row r="2" spans="4:8">
      <c r="D2" s="785" t="s">
        <v>126</v>
      </c>
      <c r="E2" s="785"/>
      <c r="F2" s="785"/>
    </row>
    <row r="3" spans="4:8">
      <c r="D3" s="790" t="s">
        <v>625</v>
      </c>
      <c r="E3" s="790"/>
      <c r="F3" s="790"/>
    </row>
    <row r="8" spans="4:8">
      <c r="E8" s="747" t="s">
        <v>399</v>
      </c>
      <c r="F8" s="748" t="s">
        <v>626</v>
      </c>
    </row>
    <row r="9" spans="4:8">
      <c r="E9" s="749" t="s">
        <v>627</v>
      </c>
      <c r="F9" s="750" t="s">
        <v>628</v>
      </c>
    </row>
    <row r="10" spans="4:8" ht="25.5">
      <c r="E10" s="751" t="s">
        <v>629</v>
      </c>
      <c r="F10" s="752" t="s">
        <v>630</v>
      </c>
    </row>
    <row r="11" spans="4:8" s="38" customFormat="1">
      <c r="D11" s="38" t="s">
        <v>10</v>
      </c>
      <c r="E11" s="753">
        <v>43910.028300000005</v>
      </c>
      <c r="F11" s="753">
        <v>44341.183951581806</v>
      </c>
      <c r="H11" s="754"/>
    </row>
    <row r="12" spans="4:8" s="38" customFormat="1">
      <c r="D12" s="38" t="s">
        <v>11</v>
      </c>
      <c r="E12" s="753">
        <v>286.1841</v>
      </c>
      <c r="F12" s="753">
        <v>286.1841</v>
      </c>
      <c r="H12" s="754"/>
    </row>
    <row r="13" spans="4:8" s="38" customFormat="1">
      <c r="D13" s="38" t="s">
        <v>12</v>
      </c>
      <c r="E13" s="753">
        <v>0</v>
      </c>
      <c r="F13" s="753">
        <v>0</v>
      </c>
      <c r="H13" s="754"/>
    </row>
    <row r="14" spans="4:8" s="38" customFormat="1">
      <c r="D14" s="38" t="s">
        <v>417</v>
      </c>
      <c r="E14" s="753">
        <v>10439.526600000001</v>
      </c>
      <c r="F14" s="753">
        <v>10440</v>
      </c>
      <c r="H14" s="754"/>
    </row>
    <row r="15" spans="4:8" s="38" customFormat="1">
      <c r="D15" s="38" t="s">
        <v>13</v>
      </c>
      <c r="E15" s="753">
        <v>0</v>
      </c>
      <c r="F15" s="753">
        <v>0</v>
      </c>
      <c r="H15" s="754"/>
    </row>
    <row r="16" spans="4:8" s="38" customFormat="1">
      <c r="D16" s="38" t="s">
        <v>128</v>
      </c>
      <c r="E16" s="753">
        <v>0</v>
      </c>
      <c r="F16" s="753">
        <v>0</v>
      </c>
      <c r="H16" s="754"/>
    </row>
    <row r="17" spans="1:8" s="38" customFormat="1">
      <c r="D17" s="38" t="s">
        <v>14</v>
      </c>
      <c r="E17" s="755">
        <v>54635.739000000001</v>
      </c>
      <c r="F17" s="755">
        <f>SUM(F11:F16)</f>
        <v>55067.368051581805</v>
      </c>
      <c r="H17" s="754"/>
    </row>
    <row r="18" spans="1:8" s="38" customFormat="1">
      <c r="E18" s="753"/>
      <c r="F18" s="753"/>
      <c r="H18" s="754"/>
    </row>
    <row r="19" spans="1:8" s="38" customFormat="1">
      <c r="E19" s="753"/>
      <c r="F19" s="753"/>
      <c r="H19" s="754"/>
    </row>
    <row r="20" spans="1:8" s="38" customFormat="1">
      <c r="D20" s="38" t="s">
        <v>15</v>
      </c>
      <c r="E20" s="753">
        <v>18528.953700000002</v>
      </c>
      <c r="F20" s="753">
        <v>18500.162347949019</v>
      </c>
      <c r="H20" s="754"/>
    </row>
    <row r="21" spans="1:8" s="38" customFormat="1">
      <c r="D21" s="38" t="s">
        <v>16</v>
      </c>
      <c r="E21" s="753">
        <v>0</v>
      </c>
      <c r="F21" s="753">
        <v>0</v>
      </c>
      <c r="H21" s="754"/>
    </row>
    <row r="22" spans="1:8" s="38" customFormat="1">
      <c r="D22" s="38" t="s">
        <v>17</v>
      </c>
      <c r="E22" s="753">
        <v>53917.997100000001</v>
      </c>
      <c r="F22" s="753">
        <v>55106.341582236753</v>
      </c>
      <c r="H22" s="754"/>
    </row>
    <row r="23" spans="1:8" s="38" customFormat="1">
      <c r="D23" s="38" t="s">
        <v>18</v>
      </c>
      <c r="E23" s="753">
        <v>687.75450000000001</v>
      </c>
      <c r="F23" s="753">
        <v>687.75450000000001</v>
      </c>
      <c r="H23" s="754"/>
    </row>
    <row r="24" spans="1:8" s="38" customFormat="1">
      <c r="D24" s="38" t="s">
        <v>19</v>
      </c>
      <c r="E24" s="753">
        <v>76055.217300000004</v>
      </c>
      <c r="F24" s="753">
        <v>85159.580538187089</v>
      </c>
      <c r="H24" s="754"/>
    </row>
    <row r="25" spans="1:8" s="38" customFormat="1">
      <c r="D25" s="38" t="s">
        <v>20</v>
      </c>
      <c r="E25" s="753">
        <v>0</v>
      </c>
      <c r="F25" s="753">
        <v>0</v>
      </c>
      <c r="H25" s="754"/>
    </row>
    <row r="26" spans="1:8">
      <c r="A26" s="746"/>
      <c r="B26" s="746"/>
      <c r="C26" s="746"/>
      <c r="D26" s="746" t="s">
        <v>21</v>
      </c>
      <c r="E26" s="756">
        <v>0</v>
      </c>
      <c r="F26" s="756">
        <v>0</v>
      </c>
      <c r="H26" s="757"/>
    </row>
    <row r="27" spans="1:8">
      <c r="A27" s="746"/>
      <c r="B27" s="746"/>
      <c r="C27" s="746"/>
      <c r="D27" s="746" t="s">
        <v>22</v>
      </c>
      <c r="E27" s="756">
        <v>0</v>
      </c>
      <c r="F27" s="756">
        <v>0</v>
      </c>
      <c r="H27" s="757"/>
    </row>
    <row r="28" spans="1:8">
      <c r="A28" s="746"/>
      <c r="B28" s="746"/>
      <c r="C28" s="746"/>
      <c r="D28" s="746" t="s">
        <v>23</v>
      </c>
      <c r="E28" s="756">
        <v>701.44440000000009</v>
      </c>
      <c r="F28" s="756">
        <v>701.44440000000009</v>
      </c>
      <c r="H28" s="757"/>
    </row>
    <row r="29" spans="1:8">
      <c r="A29" s="746"/>
      <c r="B29" s="746"/>
      <c r="C29" s="746"/>
      <c r="D29" s="746" t="s">
        <v>129</v>
      </c>
      <c r="E29" s="756">
        <v>0</v>
      </c>
      <c r="F29" s="756">
        <v>0</v>
      </c>
      <c r="H29" s="757"/>
    </row>
    <row r="30" spans="1:8">
      <c r="A30" s="746"/>
      <c r="B30" s="746"/>
      <c r="C30" s="746"/>
      <c r="D30" s="746" t="s">
        <v>24</v>
      </c>
      <c r="E30" s="756">
        <v>10886.078100000001</v>
      </c>
      <c r="F30" s="756">
        <v>10963.654200000003</v>
      </c>
      <c r="H30" s="757"/>
    </row>
    <row r="31" spans="1:8" ht="14.45" customHeight="1">
      <c r="A31" s="746"/>
      <c r="B31" s="746"/>
      <c r="C31" s="746"/>
      <c r="E31" s="756"/>
      <c r="F31" s="756"/>
      <c r="H31" s="757"/>
    </row>
    <row r="32" spans="1:8">
      <c r="A32" s="746"/>
      <c r="B32" s="746"/>
      <c r="C32" s="746"/>
      <c r="D32" s="746" t="s">
        <v>25</v>
      </c>
      <c r="E32" s="758">
        <v>160777.44510000001</v>
      </c>
      <c r="F32" s="758">
        <f>SUM(F20:F30)</f>
        <v>171118.93756837284</v>
      </c>
      <c r="H32" s="757"/>
    </row>
    <row r="33" spans="1:8" ht="13.5" thickBot="1">
      <c r="A33" s="746"/>
      <c r="B33" s="746"/>
      <c r="C33" s="746"/>
      <c r="E33" s="756"/>
      <c r="F33" s="756"/>
      <c r="H33" s="757"/>
    </row>
    <row r="34" spans="1:8" ht="13.5" thickTop="1">
      <c r="A34" s="746"/>
      <c r="B34" s="746"/>
      <c r="C34" s="746"/>
      <c r="D34" s="746" t="s">
        <v>26</v>
      </c>
      <c r="E34" s="759">
        <v>-106141.70610000001</v>
      </c>
      <c r="F34" s="759">
        <f>F17-F32</f>
        <v>-116051.56951679103</v>
      </c>
      <c r="H34" s="757"/>
    </row>
    <row r="35" spans="1:8">
      <c r="A35" s="746"/>
      <c r="B35" s="746"/>
      <c r="C35" s="746"/>
      <c r="E35" s="756"/>
      <c r="F35" s="756"/>
      <c r="H35" s="757"/>
    </row>
    <row r="36" spans="1:8">
      <c r="A36" s="746"/>
      <c r="B36" s="746"/>
      <c r="C36" s="746"/>
      <c r="D36" s="746" t="s">
        <v>27</v>
      </c>
      <c r="E36" s="760">
        <v>-37149.597135000004</v>
      </c>
      <c r="F36" s="760">
        <f>F34*0.35</f>
        <v>-40618.049330876856</v>
      </c>
      <c r="G36" s="69"/>
      <c r="H36" s="757"/>
    </row>
    <row r="37" spans="1:8">
      <c r="A37" s="746"/>
      <c r="B37" s="746"/>
      <c r="C37" s="746"/>
      <c r="E37" s="756"/>
      <c r="F37" s="756"/>
      <c r="H37" s="757"/>
    </row>
    <row r="38" spans="1:8">
      <c r="A38" s="746"/>
      <c r="B38" s="746"/>
      <c r="C38" s="746"/>
      <c r="D38" s="746" t="s">
        <v>28</v>
      </c>
      <c r="E38" s="756">
        <v>-68992.108965000007</v>
      </c>
      <c r="F38" s="756">
        <f>F34-F36</f>
        <v>-75433.520185914182</v>
      </c>
      <c r="H38" s="757"/>
    </row>
    <row r="39" spans="1:8">
      <c r="A39" s="746"/>
      <c r="B39" s="746"/>
      <c r="C39" s="746"/>
      <c r="F39" s="69"/>
    </row>
    <row r="40" spans="1:8">
      <c r="A40" s="746"/>
      <c r="B40" s="746"/>
      <c r="C40" s="746"/>
      <c r="D40" s="93"/>
    </row>
    <row r="41" spans="1:8">
      <c r="A41" s="746"/>
      <c r="B41" s="746"/>
      <c r="C41" s="746"/>
      <c r="D41" s="93"/>
    </row>
    <row r="42" spans="1:8">
      <c r="A42" s="746"/>
      <c r="B42" s="746"/>
      <c r="C42" s="746"/>
      <c r="D42" s="93"/>
    </row>
    <row r="43" spans="1:8">
      <c r="A43" s="746"/>
      <c r="B43" s="746"/>
      <c r="C43" s="746"/>
    </row>
    <row r="44" spans="1:8">
      <c r="A44" s="746"/>
      <c r="B44" s="746"/>
      <c r="C44" s="746"/>
    </row>
  </sheetData>
  <mergeCells count="3">
    <mergeCell ref="D1:F1"/>
    <mergeCell ref="D2:F2"/>
    <mergeCell ref="D3:F3"/>
  </mergeCells>
  <phoneticPr fontId="52" type="noConversion"/>
  <pageMargins left="1.05" right="0.34" top="0.75" bottom="0.77" header="0.5" footer="0.52"/>
  <pageSetup orientation="portrait" r:id="rId1"/>
  <headerFooter alignWithMargins="0">
    <oddFooter>&amp;C&amp;F / &amp;A</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43"/>
  <sheetViews>
    <sheetView workbookViewId="0">
      <selection activeCell="F11" sqref="F11:F12"/>
    </sheetView>
  </sheetViews>
  <sheetFormatPr defaultColWidth="9.140625" defaultRowHeight="12.75"/>
  <cols>
    <col min="1" max="1" width="22.140625" style="495" customWidth="1"/>
    <col min="2" max="2" width="9.140625" style="495"/>
    <col min="3" max="3" width="8" style="495" customWidth="1"/>
    <col min="4" max="4" width="9.85546875" style="495" customWidth="1"/>
    <col min="5" max="5" width="8" style="495" customWidth="1"/>
    <col min="6" max="6" width="12.140625" style="495" customWidth="1"/>
    <col min="7" max="7" width="3.7109375" style="495" customWidth="1"/>
    <col min="8" max="16384" width="9.140625" style="495"/>
  </cols>
  <sheetData>
    <row r="1" spans="1:15">
      <c r="A1" s="64" t="s">
        <v>6</v>
      </c>
      <c r="B1" s="64"/>
      <c r="C1" s="64"/>
      <c r="D1" s="64"/>
      <c r="E1" s="64"/>
      <c r="F1" s="64"/>
      <c r="G1" s="64"/>
      <c r="H1" s="64"/>
    </row>
    <row r="2" spans="1:15">
      <c r="A2" s="64" t="s">
        <v>126</v>
      </c>
      <c r="B2" s="64"/>
      <c r="C2" s="64"/>
      <c r="D2" s="64"/>
      <c r="E2" s="64"/>
      <c r="F2" s="64"/>
      <c r="G2" s="64"/>
      <c r="H2" s="64"/>
    </row>
    <row r="3" spans="1:15">
      <c r="A3" s="65" t="s">
        <v>556</v>
      </c>
      <c r="B3" s="64"/>
      <c r="C3" s="64"/>
      <c r="D3" s="64"/>
      <c r="E3" s="64"/>
      <c r="F3" s="64"/>
      <c r="G3" s="64"/>
      <c r="H3" s="64"/>
    </row>
    <row r="4" spans="1:15">
      <c r="G4" s="90"/>
      <c r="L4" s="619"/>
      <c r="M4" s="619"/>
      <c r="N4" s="619"/>
      <c r="O4" s="619"/>
    </row>
    <row r="5" spans="1:15">
      <c r="G5" s="90"/>
      <c r="L5" s="619"/>
      <c r="M5" s="619"/>
      <c r="N5" s="619"/>
      <c r="O5" s="619"/>
    </row>
    <row r="6" spans="1:15">
      <c r="D6" s="496" t="s">
        <v>89</v>
      </c>
      <c r="E6" s="496"/>
      <c r="F6" s="496" t="s">
        <v>8</v>
      </c>
      <c r="G6" s="90"/>
      <c r="L6" s="620"/>
      <c r="M6" s="620"/>
      <c r="N6" s="620"/>
      <c r="O6" s="619"/>
    </row>
    <row r="7" spans="1:15">
      <c r="D7" s="496" t="s">
        <v>88</v>
      </c>
      <c r="E7" s="496"/>
      <c r="F7" s="496" t="s">
        <v>5</v>
      </c>
      <c r="G7" s="90"/>
      <c r="L7" s="620"/>
      <c r="M7" s="620"/>
      <c r="N7" s="620"/>
      <c r="O7" s="619"/>
    </row>
    <row r="8" spans="1:15">
      <c r="D8" s="67" t="s">
        <v>98</v>
      </c>
      <c r="E8" s="67"/>
      <c r="F8" s="67" t="s">
        <v>127</v>
      </c>
      <c r="G8" s="91"/>
      <c r="L8" s="621"/>
      <c r="M8" s="621"/>
      <c r="N8" s="621"/>
      <c r="O8" s="619"/>
    </row>
    <row r="9" spans="1:15">
      <c r="A9" s="495" t="s">
        <v>9</v>
      </c>
      <c r="E9" s="1"/>
      <c r="F9" s="2">
        <v>0.65190000000000003</v>
      </c>
      <c r="G9" s="92"/>
      <c r="L9" s="619"/>
      <c r="M9" s="622"/>
      <c r="N9" s="622"/>
      <c r="O9" s="619"/>
    </row>
    <row r="10" spans="1:15">
      <c r="G10" s="90"/>
      <c r="L10" s="619"/>
      <c r="M10" s="619"/>
      <c r="N10" s="619"/>
      <c r="O10" s="619"/>
    </row>
    <row r="11" spans="1:15">
      <c r="A11" s="495" t="s">
        <v>10</v>
      </c>
      <c r="D11" s="68">
        <v>115585</v>
      </c>
      <c r="E11" s="68"/>
      <c r="F11" s="68">
        <f>ROUND(F$9*D11,0)</f>
        <v>75350</v>
      </c>
      <c r="G11" s="74"/>
      <c r="H11" s="68"/>
      <c r="L11" s="618"/>
      <c r="M11" s="618"/>
      <c r="N11" s="618"/>
      <c r="O11" s="619"/>
    </row>
    <row r="12" spans="1:15">
      <c r="A12" s="495" t="s">
        <v>11</v>
      </c>
      <c r="D12" s="69">
        <v>432</v>
      </c>
      <c r="E12" s="69"/>
      <c r="F12" s="69">
        <f>ROUND(F$9*D12,0)</f>
        <v>282</v>
      </c>
      <c r="G12" s="71"/>
      <c r="H12" s="68"/>
      <c r="L12" s="499"/>
      <c r="M12" s="499"/>
      <c r="N12" s="499"/>
      <c r="O12" s="619"/>
    </row>
    <row r="13" spans="1:15">
      <c r="A13" s="495" t="s">
        <v>12</v>
      </c>
      <c r="D13" s="69">
        <v>0</v>
      </c>
      <c r="E13" s="69"/>
      <c r="F13" s="69">
        <f t="shared" ref="F13:F15" si="0">ROUND(F$9*D13,0)</f>
        <v>0</v>
      </c>
      <c r="G13" s="71"/>
      <c r="H13" s="68"/>
      <c r="L13" s="499"/>
      <c r="M13" s="499"/>
      <c r="N13" s="499"/>
      <c r="O13" s="619"/>
    </row>
    <row r="14" spans="1:15">
      <c r="A14" s="495" t="s">
        <v>417</v>
      </c>
      <c r="D14" s="373">
        <v>14822</v>
      </c>
      <c r="E14" s="69"/>
      <c r="F14" s="69">
        <f t="shared" si="0"/>
        <v>9662</v>
      </c>
      <c r="G14" s="71"/>
      <c r="H14" s="68"/>
      <c r="L14" s="499"/>
      <c r="M14" s="499"/>
      <c r="N14" s="499"/>
      <c r="O14" s="619"/>
    </row>
    <row r="15" spans="1:15">
      <c r="A15" s="495" t="s">
        <v>13</v>
      </c>
      <c r="D15" s="373">
        <v>0</v>
      </c>
      <c r="E15" s="69"/>
      <c r="F15" s="69">
        <f t="shared" si="0"/>
        <v>0</v>
      </c>
      <c r="G15" s="71"/>
      <c r="H15" s="68"/>
      <c r="L15" s="499"/>
      <c r="M15" s="499"/>
      <c r="N15" s="499"/>
      <c r="O15" s="619"/>
    </row>
    <row r="16" spans="1:15">
      <c r="A16" s="495" t="s">
        <v>128</v>
      </c>
      <c r="D16" s="374">
        <v>0</v>
      </c>
      <c r="E16" s="71"/>
      <c r="F16" s="69">
        <f>D16</f>
        <v>0</v>
      </c>
      <c r="G16" s="71"/>
      <c r="H16" s="68"/>
      <c r="L16" s="499"/>
      <c r="M16" s="499"/>
      <c r="N16" s="499"/>
      <c r="O16" s="619"/>
    </row>
    <row r="17" spans="1:15">
      <c r="A17" s="495" t="s">
        <v>14</v>
      </c>
      <c r="D17" s="69">
        <f>SUM(D11:D16)</f>
        <v>130839</v>
      </c>
      <c r="E17" s="71"/>
      <c r="F17" s="503">
        <f>SUM(F11:F16)</f>
        <v>85294</v>
      </c>
      <c r="G17" s="71"/>
      <c r="H17" s="68"/>
      <c r="L17" s="499"/>
      <c r="M17" s="499"/>
      <c r="N17" s="499"/>
      <c r="O17" s="619"/>
    </row>
    <row r="18" spans="1:15">
      <c r="D18" s="69"/>
      <c r="E18" s="71"/>
      <c r="F18" s="69"/>
      <c r="G18" s="71"/>
      <c r="H18" s="68"/>
      <c r="L18" s="499"/>
      <c r="M18" s="499"/>
      <c r="N18" s="499"/>
      <c r="O18" s="619"/>
    </row>
    <row r="19" spans="1:15">
      <c r="D19" s="69"/>
      <c r="E19" s="71"/>
      <c r="F19" s="69"/>
      <c r="G19" s="71"/>
      <c r="H19" s="68"/>
      <c r="L19" s="499"/>
      <c r="M19" s="499"/>
      <c r="N19" s="499"/>
      <c r="O19" s="619"/>
    </row>
    <row r="20" spans="1:15">
      <c r="A20" s="495" t="s">
        <v>15</v>
      </c>
      <c r="D20" s="69">
        <v>29030</v>
      </c>
      <c r="E20" s="71"/>
      <c r="F20" s="69">
        <f t="shared" ref="F20:F30" si="1">ROUND(F$9*D20,0)</f>
        <v>18925</v>
      </c>
      <c r="G20" s="71"/>
      <c r="H20" s="68"/>
      <c r="L20" s="499"/>
      <c r="M20" s="499"/>
      <c r="N20" s="499"/>
      <c r="O20" s="619"/>
    </row>
    <row r="21" spans="1:15">
      <c r="A21" s="495" t="s">
        <v>16</v>
      </c>
      <c r="D21" s="69">
        <v>0</v>
      </c>
      <c r="E21" s="71"/>
      <c r="F21" s="69">
        <f t="shared" si="1"/>
        <v>0</v>
      </c>
      <c r="G21" s="71"/>
      <c r="H21" s="68"/>
      <c r="L21" s="499"/>
      <c r="M21" s="499"/>
      <c r="N21" s="499"/>
      <c r="O21" s="619"/>
    </row>
    <row r="22" spans="1:15">
      <c r="A22" s="495" t="s">
        <v>17</v>
      </c>
      <c r="D22" s="69">
        <v>92557</v>
      </c>
      <c r="E22" s="71"/>
      <c r="F22" s="69">
        <f t="shared" si="1"/>
        <v>60338</v>
      </c>
      <c r="G22" s="71"/>
      <c r="H22" s="68"/>
      <c r="L22" s="499"/>
      <c r="M22" s="499"/>
      <c r="N22" s="499"/>
      <c r="O22" s="619"/>
    </row>
    <row r="23" spans="1:15">
      <c r="A23" s="495" t="s">
        <v>18</v>
      </c>
      <c r="D23" s="69">
        <v>1029</v>
      </c>
      <c r="E23" s="71"/>
      <c r="F23" s="69">
        <f t="shared" si="1"/>
        <v>671</v>
      </c>
      <c r="G23" s="71"/>
      <c r="H23" s="68"/>
      <c r="L23" s="499"/>
      <c r="M23" s="499"/>
      <c r="N23" s="499"/>
      <c r="O23" s="619"/>
    </row>
    <row r="24" spans="1:15">
      <c r="A24" s="495" t="s">
        <v>19</v>
      </c>
      <c r="D24" s="69">
        <f>176443-9188</f>
        <v>167255</v>
      </c>
      <c r="E24" s="71"/>
      <c r="F24" s="69">
        <f>ROUND(F$9*D24,0)+1</f>
        <v>109035</v>
      </c>
      <c r="G24" s="71"/>
      <c r="H24" s="68"/>
      <c r="L24" s="499"/>
      <c r="M24" s="499"/>
      <c r="N24" s="499"/>
      <c r="O24" s="619"/>
    </row>
    <row r="25" spans="1:15">
      <c r="A25" s="495" t="s">
        <v>20</v>
      </c>
      <c r="D25" s="69">
        <v>160</v>
      </c>
      <c r="E25" s="71"/>
      <c r="F25" s="69">
        <f t="shared" si="1"/>
        <v>104</v>
      </c>
      <c r="G25" s="71"/>
      <c r="H25" s="68"/>
      <c r="L25" s="499"/>
      <c r="M25" s="499"/>
      <c r="N25" s="499"/>
      <c r="O25" s="619"/>
    </row>
    <row r="26" spans="1:15">
      <c r="A26" s="495" t="s">
        <v>21</v>
      </c>
      <c r="D26" s="69">
        <v>0</v>
      </c>
      <c r="E26" s="71"/>
      <c r="F26" s="69">
        <f t="shared" si="1"/>
        <v>0</v>
      </c>
      <c r="G26" s="71"/>
      <c r="H26" s="68"/>
      <c r="L26" s="499"/>
      <c r="M26" s="499"/>
      <c r="N26" s="499"/>
      <c r="O26" s="619"/>
    </row>
    <row r="27" spans="1:15">
      <c r="A27" s="495" t="s">
        <v>22</v>
      </c>
      <c r="D27" s="69">
        <v>0</v>
      </c>
      <c r="E27" s="71"/>
      <c r="F27" s="69">
        <f t="shared" si="1"/>
        <v>0</v>
      </c>
      <c r="G27" s="71"/>
      <c r="H27" s="68"/>
      <c r="L27" s="499"/>
      <c r="M27" s="499"/>
      <c r="N27" s="499"/>
      <c r="O27" s="619"/>
    </row>
    <row r="28" spans="1:15">
      <c r="A28" s="495" t="s">
        <v>23</v>
      </c>
      <c r="D28" s="69">
        <f>1091</f>
        <v>1091</v>
      </c>
      <c r="E28" s="71"/>
      <c r="F28" s="69">
        <f t="shared" si="1"/>
        <v>711</v>
      </c>
      <c r="G28" s="71"/>
      <c r="H28" s="68"/>
      <c r="L28" s="499"/>
      <c r="M28" s="499"/>
      <c r="N28" s="499"/>
      <c r="O28" s="619"/>
    </row>
    <row r="29" spans="1:15">
      <c r="A29" s="495" t="s">
        <v>129</v>
      </c>
      <c r="D29" s="69">
        <v>0</v>
      </c>
      <c r="E29" s="71"/>
      <c r="F29" s="69">
        <f>D29</f>
        <v>0</v>
      </c>
      <c r="G29" s="71"/>
      <c r="H29" s="68"/>
      <c r="L29" s="499"/>
      <c r="M29" s="499"/>
      <c r="N29" s="499"/>
      <c r="O29" s="619"/>
    </row>
    <row r="30" spans="1:15">
      <c r="A30" s="495" t="s">
        <v>24</v>
      </c>
      <c r="D30" s="69">
        <v>17927</v>
      </c>
      <c r="E30" s="71"/>
      <c r="F30" s="69">
        <f t="shared" si="1"/>
        <v>11687</v>
      </c>
      <c r="G30" s="71"/>
      <c r="H30" s="68"/>
      <c r="L30" s="499"/>
      <c r="M30" s="499"/>
      <c r="N30" s="499"/>
      <c r="O30" s="619"/>
    </row>
    <row r="31" spans="1:15" ht="2.25" customHeight="1">
      <c r="D31" s="69"/>
      <c r="E31" s="71"/>
      <c r="F31" s="69"/>
      <c r="G31" s="71"/>
      <c r="H31" s="68"/>
      <c r="L31" s="499"/>
      <c r="M31" s="499"/>
      <c r="N31" s="499"/>
      <c r="O31" s="619"/>
    </row>
    <row r="32" spans="1:15">
      <c r="A32" s="495" t="s">
        <v>25</v>
      </c>
      <c r="D32" s="72">
        <f>SUM(D20:D31)</f>
        <v>309049</v>
      </c>
      <c r="E32" s="71"/>
      <c r="F32" s="72">
        <f>SUM(F20:F31)</f>
        <v>201471</v>
      </c>
      <c r="G32" s="71"/>
      <c r="H32" s="68"/>
      <c r="L32" s="499"/>
      <c r="M32" s="499"/>
      <c r="N32" s="499"/>
      <c r="O32" s="619"/>
    </row>
    <row r="33" spans="1:15">
      <c r="G33" s="90"/>
      <c r="H33" s="68"/>
      <c r="L33" s="619"/>
      <c r="M33" s="619"/>
      <c r="N33" s="619"/>
      <c r="O33" s="619"/>
    </row>
    <row r="34" spans="1:15">
      <c r="A34" s="495" t="s">
        <v>26</v>
      </c>
      <c r="D34" s="69">
        <f>D17-D32</f>
        <v>-178210</v>
      </c>
      <c r="E34" s="69"/>
      <c r="F34" s="69">
        <f>F17-F32</f>
        <v>-116177</v>
      </c>
      <c r="G34" s="71"/>
      <c r="H34" s="68"/>
      <c r="L34" s="499"/>
      <c r="M34" s="499"/>
      <c r="N34" s="499"/>
      <c r="O34" s="619"/>
    </row>
    <row r="35" spans="1:15">
      <c r="E35" s="69"/>
      <c r="F35" s="69"/>
      <c r="G35" s="69"/>
      <c r="L35" s="619"/>
      <c r="M35" s="499"/>
      <c r="N35" s="499"/>
      <c r="O35" s="619"/>
    </row>
    <row r="36" spans="1:15">
      <c r="A36" s="495" t="s">
        <v>27</v>
      </c>
      <c r="C36" s="73">
        <v>0.35</v>
      </c>
      <c r="E36" s="74"/>
      <c r="F36" s="70">
        <f>C36*F34</f>
        <v>-40661.949999999997</v>
      </c>
      <c r="G36" s="68"/>
      <c r="L36" s="619"/>
      <c r="M36" s="618"/>
      <c r="N36" s="499"/>
      <c r="O36" s="619"/>
    </row>
    <row r="37" spans="1:15">
      <c r="E37" s="74"/>
      <c r="F37" s="68"/>
      <c r="G37" s="68"/>
      <c r="L37" s="619"/>
      <c r="M37" s="618"/>
      <c r="N37" s="618"/>
      <c r="O37" s="619"/>
    </row>
    <row r="38" spans="1:15">
      <c r="A38" s="495" t="s">
        <v>28</v>
      </c>
      <c r="E38" s="69"/>
      <c r="F38" s="68">
        <f>F34-F36</f>
        <v>-75515.05</v>
      </c>
      <c r="G38" s="69"/>
      <c r="L38" s="619"/>
      <c r="M38" s="499"/>
      <c r="N38" s="618"/>
      <c r="O38" s="619"/>
    </row>
    <row r="39" spans="1:15">
      <c r="E39" s="69"/>
      <c r="F39" s="69"/>
      <c r="G39" s="69"/>
      <c r="L39" s="619"/>
      <c r="M39" s="619"/>
      <c r="N39" s="619"/>
      <c r="O39" s="619"/>
    </row>
    <row r="40" spans="1:15">
      <c r="A40" s="93"/>
      <c r="L40" s="619"/>
      <c r="M40" s="619"/>
      <c r="N40" s="619"/>
      <c r="O40" s="619"/>
    </row>
    <row r="41" spans="1:15">
      <c r="A41" s="93"/>
      <c r="L41" s="619"/>
      <c r="M41" s="619"/>
      <c r="N41" s="619"/>
      <c r="O41" s="619"/>
    </row>
    <row r="42" spans="1:15">
      <c r="A42" s="93"/>
      <c r="L42" s="619"/>
      <c r="M42" s="619"/>
      <c r="N42" s="619"/>
      <c r="O42" s="619"/>
    </row>
    <row r="43" spans="1:15">
      <c r="L43" s="619"/>
      <c r="M43" s="619"/>
      <c r="N43" s="619"/>
      <c r="O43" s="619"/>
    </row>
  </sheetData>
  <pageMargins left="1.05" right="0.34" top="0.75" bottom="0.77" header="0.5" footer="0.77"/>
  <pageSetup orientation="portrait" r:id="rId1"/>
  <headerFooter alignWithMargins="0">
    <oddFooter>&amp;C&amp;F / &amp;A</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workbookViewId="0">
      <selection activeCell="L21" sqref="L21"/>
    </sheetView>
  </sheetViews>
  <sheetFormatPr defaultColWidth="9.140625" defaultRowHeight="12.75"/>
  <cols>
    <col min="1" max="1" width="22.140625" style="612" customWidth="1"/>
    <col min="2" max="2" width="9.140625" style="612"/>
    <col min="3" max="3" width="8" style="612" customWidth="1"/>
    <col min="4" max="4" width="9.85546875" style="612" customWidth="1"/>
    <col min="5" max="5" width="8" style="612" customWidth="1"/>
    <col min="6" max="6" width="12.140625" style="612" customWidth="1"/>
    <col min="7" max="7" width="3.7109375" style="612" customWidth="1"/>
    <col min="8" max="16384" width="9.140625" style="612"/>
  </cols>
  <sheetData>
    <row r="1" spans="1:8">
      <c r="A1" s="64" t="s">
        <v>6</v>
      </c>
      <c r="B1" s="64"/>
      <c r="C1" s="64"/>
      <c r="D1" s="64"/>
      <c r="E1" s="64"/>
      <c r="F1" s="64"/>
      <c r="G1" s="64"/>
      <c r="H1" s="64"/>
    </row>
    <row r="2" spans="1:8">
      <c r="A2" s="64" t="s">
        <v>126</v>
      </c>
      <c r="B2" s="64"/>
      <c r="C2" s="64"/>
      <c r="D2" s="64"/>
      <c r="E2" s="64"/>
      <c r="F2" s="64"/>
      <c r="G2" s="64"/>
      <c r="H2" s="64"/>
    </row>
    <row r="3" spans="1:8">
      <c r="A3" s="65" t="s">
        <v>416</v>
      </c>
      <c r="B3" s="64"/>
      <c r="C3" s="64"/>
      <c r="D3" s="64"/>
      <c r="E3" s="64"/>
      <c r="F3" s="64"/>
      <c r="G3" s="64"/>
      <c r="H3" s="64"/>
    </row>
    <row r="4" spans="1:8">
      <c r="G4" s="90"/>
    </row>
    <row r="5" spans="1:8">
      <c r="G5" s="90"/>
    </row>
    <row r="6" spans="1:8">
      <c r="D6" s="613" t="s">
        <v>89</v>
      </c>
      <c r="E6" s="613"/>
      <c r="F6" s="613" t="s">
        <v>8</v>
      </c>
      <c r="G6" s="90"/>
    </row>
    <row r="7" spans="1:8">
      <c r="D7" s="613" t="s">
        <v>88</v>
      </c>
      <c r="E7" s="613"/>
      <c r="F7" s="613" t="s">
        <v>5</v>
      </c>
      <c r="G7" s="90"/>
    </row>
    <row r="8" spans="1:8">
      <c r="D8" s="67" t="s">
        <v>98</v>
      </c>
      <c r="E8" s="67"/>
      <c r="F8" s="67" t="s">
        <v>127</v>
      </c>
      <c r="G8" s="91"/>
    </row>
    <row r="9" spans="1:8">
      <c r="A9" s="612" t="s">
        <v>9</v>
      </c>
      <c r="E9" s="1"/>
      <c r="F9" s="2">
        <v>0.65010000000000001</v>
      </c>
      <c r="G9" s="92"/>
    </row>
    <row r="10" spans="1:8">
      <c r="G10" s="90"/>
    </row>
    <row r="11" spans="1:8">
      <c r="A11" s="612" t="s">
        <v>10</v>
      </c>
      <c r="D11" s="68">
        <v>119677</v>
      </c>
      <c r="E11" s="68"/>
      <c r="F11" s="68">
        <f>ROUND(F$9*D11,0)</f>
        <v>77802</v>
      </c>
      <c r="G11" s="74"/>
      <c r="H11" s="68"/>
    </row>
    <row r="12" spans="1:8">
      <c r="A12" s="612" t="s">
        <v>11</v>
      </c>
      <c r="D12" s="69">
        <v>484</v>
      </c>
      <c r="E12" s="69"/>
      <c r="F12" s="69">
        <f>ROUND(F$9*D12,0)</f>
        <v>315</v>
      </c>
      <c r="G12" s="71"/>
      <c r="H12" s="68"/>
    </row>
    <row r="13" spans="1:8">
      <c r="A13" s="612" t="s">
        <v>12</v>
      </c>
      <c r="D13" s="69">
        <v>0</v>
      </c>
      <c r="E13" s="69"/>
      <c r="F13" s="69">
        <f t="shared" ref="F13:F15" si="0">ROUND(F$9*D13,0)</f>
        <v>0</v>
      </c>
      <c r="G13" s="71"/>
      <c r="H13" s="68"/>
    </row>
    <row r="14" spans="1:8">
      <c r="A14" s="612" t="s">
        <v>417</v>
      </c>
      <c r="D14" s="69">
        <v>14418</v>
      </c>
      <c r="E14" s="69"/>
      <c r="F14" s="69">
        <f t="shared" si="0"/>
        <v>9373</v>
      </c>
      <c r="G14" s="71"/>
      <c r="H14" s="68"/>
    </row>
    <row r="15" spans="1:8">
      <c r="A15" s="612" t="s">
        <v>13</v>
      </c>
      <c r="D15" s="69">
        <f>1995-D16</f>
        <v>1832</v>
      </c>
      <c r="E15" s="69"/>
      <c r="F15" s="69">
        <f t="shared" si="0"/>
        <v>1191</v>
      </c>
      <c r="G15" s="71"/>
      <c r="H15" s="68"/>
    </row>
    <row r="16" spans="1:8">
      <c r="A16" s="612" t="s">
        <v>128</v>
      </c>
      <c r="D16" s="70">
        <v>163</v>
      </c>
      <c r="E16" s="71"/>
      <c r="F16" s="69">
        <f>D16</f>
        <v>163</v>
      </c>
      <c r="G16" s="71"/>
      <c r="H16" s="68"/>
    </row>
    <row r="17" spans="1:8">
      <c r="A17" s="612" t="s">
        <v>14</v>
      </c>
      <c r="D17" s="69">
        <f>SUM(D11:D16)</f>
        <v>136574</v>
      </c>
      <c r="E17" s="71"/>
      <c r="F17" s="503">
        <f>SUM(F11:F16)</f>
        <v>88844</v>
      </c>
      <c r="G17" s="71"/>
      <c r="H17" s="68"/>
    </row>
    <row r="18" spans="1:8">
      <c r="D18" s="69"/>
      <c r="E18" s="71"/>
      <c r="F18" s="69"/>
      <c r="G18" s="71"/>
      <c r="H18" s="68"/>
    </row>
    <row r="19" spans="1:8">
      <c r="D19" s="69"/>
      <c r="E19" s="71"/>
      <c r="F19" s="69"/>
      <c r="G19" s="71"/>
      <c r="H19" s="68"/>
    </row>
    <row r="20" spans="1:8">
      <c r="A20" s="612" t="s">
        <v>15</v>
      </c>
      <c r="D20" s="69">
        <v>29202</v>
      </c>
      <c r="E20" s="71"/>
      <c r="F20" s="69">
        <f t="shared" ref="F20:F30" si="1">ROUND(F$9*D20,0)</f>
        <v>18984</v>
      </c>
      <c r="G20" s="71"/>
      <c r="H20" s="68"/>
    </row>
    <row r="21" spans="1:8">
      <c r="A21" s="612" t="s">
        <v>16</v>
      </c>
      <c r="D21" s="69">
        <v>0</v>
      </c>
      <c r="E21" s="71"/>
      <c r="F21" s="69">
        <f t="shared" si="1"/>
        <v>0</v>
      </c>
      <c r="G21" s="71"/>
      <c r="H21" s="68"/>
    </row>
    <row r="22" spans="1:8">
      <c r="A22" s="612" t="s">
        <v>17</v>
      </c>
      <c r="D22" s="69">
        <v>77459</v>
      </c>
      <c r="E22" s="71"/>
      <c r="F22" s="69">
        <f t="shared" si="1"/>
        <v>50356</v>
      </c>
      <c r="G22" s="71"/>
      <c r="H22" s="68"/>
    </row>
    <row r="23" spans="1:8">
      <c r="A23" s="612" t="s">
        <v>18</v>
      </c>
      <c r="D23" s="69">
        <v>1075</v>
      </c>
      <c r="E23" s="71"/>
      <c r="F23" s="69">
        <f t="shared" si="1"/>
        <v>699</v>
      </c>
      <c r="G23" s="71"/>
      <c r="H23" s="68"/>
    </row>
    <row r="24" spans="1:8">
      <c r="A24" s="612" t="s">
        <v>19</v>
      </c>
      <c r="D24" s="69">
        <f>203007-18169</f>
        <v>184838</v>
      </c>
      <c r="E24" s="71"/>
      <c r="F24" s="69">
        <f>ROUND(F$9*D24,0)+1</f>
        <v>120164</v>
      </c>
      <c r="G24" s="71"/>
      <c r="H24" s="68"/>
    </row>
    <row r="25" spans="1:8">
      <c r="A25" s="612" t="s">
        <v>20</v>
      </c>
      <c r="D25" s="69">
        <v>160</v>
      </c>
      <c r="E25" s="71"/>
      <c r="F25" s="69">
        <f t="shared" si="1"/>
        <v>104</v>
      </c>
      <c r="G25" s="71"/>
      <c r="H25" s="68"/>
    </row>
    <row r="26" spans="1:8">
      <c r="A26" s="612" t="s">
        <v>21</v>
      </c>
      <c r="D26" s="69">
        <v>0</v>
      </c>
      <c r="E26" s="71"/>
      <c r="F26" s="69">
        <f t="shared" si="1"/>
        <v>0</v>
      </c>
      <c r="G26" s="71"/>
      <c r="H26" s="68"/>
    </row>
    <row r="27" spans="1:8">
      <c r="A27" s="612" t="s">
        <v>22</v>
      </c>
      <c r="D27" s="69">
        <v>0</v>
      </c>
      <c r="E27" s="71"/>
      <c r="F27" s="69">
        <f t="shared" si="1"/>
        <v>0</v>
      </c>
      <c r="G27" s="71"/>
      <c r="H27" s="68"/>
    </row>
    <row r="28" spans="1:8">
      <c r="A28" s="612" t="s">
        <v>23</v>
      </c>
      <c r="D28" s="69">
        <f>1658-D29</f>
        <v>1288</v>
      </c>
      <c r="E28" s="71"/>
      <c r="F28" s="69">
        <f t="shared" si="1"/>
        <v>837</v>
      </c>
      <c r="G28" s="71"/>
      <c r="H28" s="68"/>
    </row>
    <row r="29" spans="1:8">
      <c r="A29" s="612" t="s">
        <v>129</v>
      </c>
      <c r="D29" s="69">
        <v>370</v>
      </c>
      <c r="E29" s="71"/>
      <c r="F29" s="69">
        <f>D29</f>
        <v>370</v>
      </c>
      <c r="G29" s="71"/>
      <c r="H29" s="68"/>
    </row>
    <row r="30" spans="1:8">
      <c r="A30" s="612" t="s">
        <v>24</v>
      </c>
      <c r="D30" s="69">
        <v>17563</v>
      </c>
      <c r="E30" s="71"/>
      <c r="F30" s="69">
        <f t="shared" si="1"/>
        <v>11418</v>
      </c>
      <c r="G30" s="71"/>
      <c r="H30" s="68"/>
    </row>
    <row r="31" spans="1:8" ht="2.25" customHeight="1">
      <c r="D31" s="69"/>
      <c r="E31" s="71"/>
      <c r="F31" s="69"/>
      <c r="G31" s="71"/>
      <c r="H31" s="68"/>
    </row>
    <row r="32" spans="1:8">
      <c r="A32" s="612" t="s">
        <v>25</v>
      </c>
      <c r="D32" s="72">
        <f>SUM(D20:D31)</f>
        <v>311955</v>
      </c>
      <c r="E32" s="71"/>
      <c r="F32" s="72">
        <f>SUM(F20:F31)</f>
        <v>202932</v>
      </c>
      <c r="G32" s="71"/>
      <c r="H32" s="68"/>
    </row>
    <row r="33" spans="1:8">
      <c r="G33" s="90"/>
      <c r="H33" s="68"/>
    </row>
    <row r="34" spans="1:8">
      <c r="A34" s="612" t="s">
        <v>26</v>
      </c>
      <c r="D34" s="69">
        <f>D17-D32</f>
        <v>-175381</v>
      </c>
      <c r="E34" s="69"/>
      <c r="F34" s="69">
        <f>F17-F32</f>
        <v>-114088</v>
      </c>
      <c r="G34" s="71"/>
      <c r="H34" s="68"/>
    </row>
    <row r="35" spans="1:8">
      <c r="E35" s="69"/>
      <c r="F35" s="69"/>
      <c r="G35" s="69"/>
    </row>
    <row r="36" spans="1:8">
      <c r="A36" s="612" t="s">
        <v>27</v>
      </c>
      <c r="C36" s="73">
        <v>0.35</v>
      </c>
      <c r="E36" s="74"/>
      <c r="F36" s="70">
        <f>C36*F34</f>
        <v>-39930.799999999996</v>
      </c>
      <c r="G36" s="68"/>
    </row>
    <row r="37" spans="1:8">
      <c r="E37" s="74"/>
      <c r="F37" s="68"/>
      <c r="G37" s="68"/>
    </row>
    <row r="38" spans="1:8">
      <c r="A38" s="612" t="s">
        <v>28</v>
      </c>
      <c r="E38" s="69"/>
      <c r="F38" s="68">
        <f>F34-F36</f>
        <v>-74157.200000000012</v>
      </c>
      <c r="G38" s="69"/>
    </row>
    <row r="39" spans="1:8">
      <c r="E39" s="69"/>
      <c r="F39" s="69"/>
      <c r="G39" s="69"/>
    </row>
    <row r="40" spans="1:8">
      <c r="A40" s="93"/>
    </row>
    <row r="41" spans="1:8">
      <c r="A41" s="93"/>
    </row>
    <row r="42" spans="1:8">
      <c r="A42" s="93"/>
    </row>
  </sheetData>
  <pageMargins left="1.05" right="0.34" top="0.75" bottom="0.77" header="0.5" footer="0.77"/>
  <pageSetup orientation="portrait" r:id="rId1"/>
  <headerFooter alignWithMargins="0">
    <oddFooter>&amp;C&amp;F / &amp;A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1"/>
  <sheetViews>
    <sheetView zoomScaleNormal="100" zoomScaleSheetLayoutView="100" workbookViewId="0">
      <selection activeCell="C37" sqref="C37:M37"/>
    </sheetView>
  </sheetViews>
  <sheetFormatPr defaultColWidth="12.42578125" defaultRowHeight="11.1" customHeight="1"/>
  <cols>
    <col min="1" max="1" width="6.5703125" style="57" customWidth="1"/>
    <col min="2" max="2" width="2.42578125" style="57" customWidth="1"/>
    <col min="3" max="3" width="37.5703125" style="267" customWidth="1"/>
    <col min="4" max="4" width="2.140625" style="54" customWidth="1"/>
    <col min="5" max="5" width="13" style="265" customWidth="1"/>
    <col min="6" max="6" width="11.85546875" style="209" customWidth="1"/>
    <col min="7" max="7" width="12.7109375" style="269" customWidth="1"/>
    <col min="8" max="8" width="14" style="269" customWidth="1"/>
    <col min="9" max="9" width="17.140625" style="270" customWidth="1"/>
    <col min="10" max="10" width="1.140625" style="270" customWidth="1"/>
    <col min="11" max="11" width="10.140625" style="268" customWidth="1"/>
    <col min="12" max="12" width="0.85546875" style="268" customWidth="1"/>
    <col min="13" max="13" width="13.28515625" style="268" customWidth="1"/>
    <col min="14" max="14" width="13.28515625" style="267" customWidth="1"/>
    <col min="15" max="15" width="0.85546875" style="267" customWidth="1"/>
    <col min="16" max="16" width="18.28515625" style="57" customWidth="1"/>
    <col min="17" max="17" width="17.85546875" style="267" customWidth="1"/>
    <col min="18" max="18" width="0.85546875" style="267" customWidth="1"/>
    <col min="19" max="19" width="12.5703125" style="267" customWidth="1"/>
    <col min="20" max="16384" width="12.42578125" style="57"/>
  </cols>
  <sheetData>
    <row r="1" spans="1:22" s="56" customFormat="1" ht="6" customHeight="1">
      <c r="B1" s="769"/>
      <c r="C1" s="769"/>
      <c r="D1" s="769"/>
      <c r="E1" s="769"/>
      <c r="F1" s="769"/>
      <c r="G1" s="769"/>
      <c r="H1" s="769"/>
      <c r="I1" s="769"/>
      <c r="J1" s="769"/>
      <c r="K1" s="769"/>
      <c r="L1" s="769"/>
      <c r="M1" s="769"/>
      <c r="N1" s="769"/>
      <c r="O1" s="769"/>
      <c r="P1" s="769"/>
      <c r="Q1" s="769"/>
      <c r="R1" s="769"/>
      <c r="S1" s="769"/>
    </row>
    <row r="2" spans="1:22" s="56" customFormat="1" ht="19.5" thickBot="1">
      <c r="A2" s="367" t="s">
        <v>96</v>
      </c>
      <c r="B2" s="770" t="s">
        <v>525</v>
      </c>
      <c r="C2" s="770"/>
      <c r="D2" s="770"/>
      <c r="E2" s="770"/>
      <c r="F2" s="770"/>
      <c r="G2" s="770"/>
      <c r="H2" s="770"/>
      <c r="I2" s="770"/>
      <c r="J2" s="770"/>
      <c r="K2" s="770"/>
      <c r="L2" s="770"/>
      <c r="M2" s="770"/>
      <c r="N2" s="770"/>
      <c r="O2" s="770"/>
      <c r="P2" s="770"/>
      <c r="Q2" s="770"/>
      <c r="R2" s="770"/>
      <c r="S2" s="770"/>
    </row>
    <row r="3" spans="1:22" s="190" customFormat="1" ht="20.25">
      <c r="B3" s="589"/>
      <c r="C3" s="590" t="s">
        <v>526</v>
      </c>
      <c r="D3" s="591"/>
      <c r="E3" s="768" t="s">
        <v>251</v>
      </c>
      <c r="F3" s="768"/>
      <c r="G3" s="768"/>
      <c r="H3" s="768"/>
      <c r="I3" s="768"/>
      <c r="J3" s="592"/>
      <c r="K3" s="592"/>
      <c r="L3" s="592"/>
      <c r="M3" s="590" t="s">
        <v>257</v>
      </c>
      <c r="N3" s="593"/>
      <c r="O3" s="593"/>
      <c r="P3" s="768" t="s">
        <v>258</v>
      </c>
      <c r="Q3" s="768"/>
      <c r="R3" s="592"/>
      <c r="S3" s="594"/>
      <c r="V3" s="364"/>
    </row>
    <row r="4" spans="1:22" s="56" customFormat="1" ht="78" customHeight="1">
      <c r="A4" s="320" t="s">
        <v>250</v>
      </c>
      <c r="B4" s="58"/>
      <c r="C4" s="602" t="s">
        <v>4</v>
      </c>
      <c r="D4" s="358"/>
      <c r="E4" s="601" t="s">
        <v>551</v>
      </c>
      <c r="F4" s="600" t="s">
        <v>552</v>
      </c>
      <c r="G4" s="600" t="s">
        <v>553</v>
      </c>
      <c r="H4" s="600" t="s">
        <v>434</v>
      </c>
      <c r="I4" s="599" t="s">
        <v>554</v>
      </c>
      <c r="J4" s="599"/>
      <c r="K4" s="599" t="s">
        <v>436</v>
      </c>
      <c r="L4" s="599"/>
      <c r="M4" s="599" t="s">
        <v>438</v>
      </c>
      <c r="N4" s="598" t="s">
        <v>373</v>
      </c>
      <c r="O4" s="598"/>
      <c r="P4" s="598" t="s">
        <v>555</v>
      </c>
      <c r="Q4" s="598" t="s">
        <v>530</v>
      </c>
      <c r="R4" s="598"/>
      <c r="S4" s="598" t="s">
        <v>531</v>
      </c>
    </row>
    <row r="5" spans="1:22" ht="15.75">
      <c r="A5" s="57" t="s">
        <v>568</v>
      </c>
      <c r="B5" s="53"/>
      <c r="C5" s="53"/>
      <c r="D5" s="104"/>
      <c r="E5" s="360" t="s">
        <v>121</v>
      </c>
      <c r="F5" s="361" t="s">
        <v>122</v>
      </c>
      <c r="G5" s="361" t="s">
        <v>288</v>
      </c>
      <c r="H5" s="306" t="s">
        <v>123</v>
      </c>
      <c r="I5" s="357" t="s">
        <v>289</v>
      </c>
      <c r="J5" s="55"/>
      <c r="K5" s="357" t="s">
        <v>290</v>
      </c>
      <c r="L5" s="56"/>
      <c r="M5" s="362" t="s">
        <v>291</v>
      </c>
      <c r="N5" s="362" t="s">
        <v>292</v>
      </c>
      <c r="O5" s="57"/>
      <c r="P5" s="362" t="s">
        <v>293</v>
      </c>
      <c r="Q5" s="362" t="s">
        <v>294</v>
      </c>
      <c r="R5" s="57"/>
      <c r="S5" s="362" t="s">
        <v>413</v>
      </c>
    </row>
    <row r="6" spans="1:22" ht="15.75" customHeight="1" thickBot="1">
      <c r="A6" s="228"/>
      <c r="B6" s="229" t="s">
        <v>0</v>
      </c>
      <c r="C6" s="228"/>
      <c r="D6" s="104"/>
      <c r="E6" s="271"/>
      <c r="F6" s="272"/>
      <c r="G6" s="272"/>
      <c r="H6" s="272"/>
      <c r="I6" s="227"/>
      <c r="J6" s="227"/>
      <c r="K6" s="229"/>
      <c r="L6" s="229"/>
      <c r="M6" s="229"/>
      <c r="N6" s="228"/>
      <c r="O6" s="228"/>
      <c r="P6" s="228"/>
      <c r="Q6" s="228"/>
      <c r="R6" s="228"/>
      <c r="S6" s="228"/>
    </row>
    <row r="7" spans="1:22" ht="15.75" customHeight="1">
      <c r="A7" s="223">
        <v>1</v>
      </c>
      <c r="B7" s="229" t="s">
        <v>85</v>
      </c>
      <c r="C7" s="229"/>
      <c r="D7" s="104"/>
      <c r="E7" s="273">
        <f>'CBR Hist'!S13</f>
        <v>468006</v>
      </c>
      <c r="F7" s="273"/>
      <c r="G7" s="273">
        <v>0</v>
      </c>
      <c r="H7" s="273">
        <v>-2018</v>
      </c>
      <c r="I7" s="274">
        <f>SUM(E7:H7)</f>
        <v>465988</v>
      </c>
      <c r="J7" s="274"/>
      <c r="K7" s="276">
        <f>'Weighted Revenue Growth'!J25</f>
        <v>2.0771232855358646E-2</v>
      </c>
      <c r="L7" s="276"/>
      <c r="M7" s="274"/>
      <c r="N7" s="761">
        <f>I7</f>
        <v>465988</v>
      </c>
      <c r="O7" s="277"/>
      <c r="P7" s="273"/>
      <c r="Q7" s="273">
        <f>K7*I7</f>
        <v>9679.145255802865</v>
      </c>
      <c r="R7" s="273"/>
      <c r="S7" s="277">
        <f>I7+Q7</f>
        <v>475667.14525580284</v>
      </c>
    </row>
    <row r="8" spans="1:22" ht="15.75" customHeight="1" thickBot="1">
      <c r="A8" s="223">
        <v>2</v>
      </c>
      <c r="B8" s="229" t="s">
        <v>84</v>
      </c>
      <c r="C8" s="229"/>
      <c r="D8" s="104"/>
      <c r="E8" s="273">
        <f>'CBR Hist'!S14</f>
        <v>884</v>
      </c>
      <c r="F8" s="273"/>
      <c r="G8" s="273">
        <v>0</v>
      </c>
      <c r="H8" s="273">
        <v>0</v>
      </c>
      <c r="I8" s="274">
        <f t="shared" ref="I8:I11" si="0">SUM(E8:H8)</f>
        <v>884</v>
      </c>
      <c r="J8" s="274"/>
      <c r="K8" s="276">
        <f>K7</f>
        <v>2.0771232855358646E-2</v>
      </c>
      <c r="L8" s="276"/>
      <c r="M8" s="274"/>
      <c r="N8" s="762">
        <f>I8</f>
        <v>884</v>
      </c>
      <c r="O8" s="277"/>
      <c r="P8" s="277"/>
      <c r="Q8" s="273">
        <f>K8*I8</f>
        <v>18.361769844137044</v>
      </c>
      <c r="R8" s="273"/>
      <c r="S8" s="277">
        <f>I8+Q8</f>
        <v>902.36176984413703</v>
      </c>
      <c r="U8" s="609"/>
    </row>
    <row r="9" spans="1:22" ht="15.75" customHeight="1">
      <c r="A9" s="223">
        <v>3</v>
      </c>
      <c r="B9" s="229" t="s">
        <v>83</v>
      </c>
      <c r="C9" s="229"/>
      <c r="D9" s="104"/>
      <c r="E9" s="273">
        <f>'CBR Hist'!S15</f>
        <v>75349</v>
      </c>
      <c r="F9" s="278">
        <f>-'12.2013 CB Power Supply'!F11+1</f>
        <v>-75349</v>
      </c>
      <c r="G9" s="273">
        <v>0</v>
      </c>
      <c r="H9" s="273">
        <v>0</v>
      </c>
      <c r="I9" s="274">
        <f t="shared" si="0"/>
        <v>0</v>
      </c>
      <c r="J9" s="279"/>
      <c r="K9" s="281"/>
      <c r="L9" s="281"/>
      <c r="M9" s="280"/>
      <c r="N9" s="278"/>
      <c r="O9" s="278"/>
      <c r="P9" s="278">
        <f>'PF Power Supply'!F11</f>
        <v>44341.183951581806</v>
      </c>
      <c r="Q9" s="278"/>
      <c r="R9" s="278"/>
      <c r="S9" s="278">
        <f>P9</f>
        <v>44341.183951581806</v>
      </c>
    </row>
    <row r="10" spans="1:22" ht="15.75" customHeight="1" thickBot="1">
      <c r="A10" s="223">
        <v>4</v>
      </c>
      <c r="B10" s="229" t="s">
        <v>255</v>
      </c>
      <c r="C10" s="229"/>
      <c r="D10" s="104"/>
      <c r="E10" s="490">
        <f>SUM(E7:E9)</f>
        <v>544239</v>
      </c>
      <c r="F10" s="274">
        <f>F9+F8+F7</f>
        <v>-75349</v>
      </c>
      <c r="G10" s="492">
        <f>G9+G8+G7</f>
        <v>0</v>
      </c>
      <c r="H10" s="492">
        <f>H9+H8+H7</f>
        <v>-2018</v>
      </c>
      <c r="I10" s="492">
        <f>I9+I8+I7</f>
        <v>466872</v>
      </c>
      <c r="J10" s="274"/>
      <c r="K10" s="276"/>
      <c r="L10" s="276"/>
      <c r="M10" s="277"/>
      <c r="N10" s="492">
        <f>N9+N8+N7</f>
        <v>466872</v>
      </c>
      <c r="O10" s="277"/>
      <c r="P10" s="277">
        <f>P7+P8+P9</f>
        <v>44341.183951581806</v>
      </c>
      <c r="Q10" s="277">
        <f>Q7+Q8+Q9</f>
        <v>9697.5070256470026</v>
      </c>
      <c r="R10" s="277"/>
      <c r="S10" s="277">
        <f>S7+S8+S9</f>
        <v>520910.69097722881</v>
      </c>
    </row>
    <row r="11" spans="1:22" ht="15.75" customHeight="1" thickBot="1">
      <c r="A11" s="223">
        <v>5</v>
      </c>
      <c r="B11" s="229" t="s">
        <v>81</v>
      </c>
      <c r="C11" s="229"/>
      <c r="D11" s="104"/>
      <c r="E11" s="273">
        <f>'CBR Hist'!S17</f>
        <v>13408</v>
      </c>
      <c r="F11" s="278">
        <f>-SUM('12.2013 CB Power Supply'!F12:F16)</f>
        <v>-9944</v>
      </c>
      <c r="G11" s="273">
        <v>0</v>
      </c>
      <c r="H11" s="273">
        <v>0</v>
      </c>
      <c r="I11" s="274">
        <f t="shared" si="0"/>
        <v>3464</v>
      </c>
      <c r="J11" s="279"/>
      <c r="K11" s="704">
        <f>'Cost Trends'!G196</f>
        <v>4.4832563510392609E-2</v>
      </c>
      <c r="L11" s="281"/>
      <c r="M11" s="279"/>
      <c r="N11" s="278">
        <f>I11</f>
        <v>3464</v>
      </c>
      <c r="O11" s="278"/>
      <c r="P11" s="278">
        <f>SUM('PF Power Supply'!F12:F16)</f>
        <v>10726.1841</v>
      </c>
      <c r="Q11" s="278">
        <f>K11*I11</f>
        <v>155.30000000000001</v>
      </c>
      <c r="R11" s="278"/>
      <c r="S11" s="278">
        <f>I11+P11+Q11</f>
        <v>14345.4841</v>
      </c>
    </row>
    <row r="12" spans="1:22" ht="26.25" customHeight="1">
      <c r="A12" s="223">
        <v>6</v>
      </c>
      <c r="B12" s="229" t="s">
        <v>80</v>
      </c>
      <c r="C12" s="229"/>
      <c r="D12" s="109"/>
      <c r="E12" s="490">
        <f>E10+E11</f>
        <v>557647</v>
      </c>
      <c r="F12" s="273">
        <f>F11+F10</f>
        <v>-85293</v>
      </c>
      <c r="G12" s="490">
        <f>G11+G10</f>
        <v>0</v>
      </c>
      <c r="H12" s="490">
        <f>H11+H10</f>
        <v>-2018</v>
      </c>
      <c r="I12" s="492">
        <f>I10+I11</f>
        <v>470336</v>
      </c>
      <c r="J12" s="274"/>
      <c r="K12" s="276"/>
      <c r="L12" s="276"/>
      <c r="M12" s="273"/>
      <c r="N12" s="492">
        <f>N10+N11</f>
        <v>470336</v>
      </c>
      <c r="O12" s="273"/>
      <c r="P12" s="273">
        <f>P11+P10</f>
        <v>55067.368051581805</v>
      </c>
      <c r="Q12" s="273">
        <f>Q11+Q10</f>
        <v>9852.8070256470019</v>
      </c>
      <c r="R12" s="273"/>
      <c r="S12" s="273">
        <f>S11+S10</f>
        <v>535256.17507722881</v>
      </c>
    </row>
    <row r="13" spans="1:22" ht="15.75" customHeight="1">
      <c r="A13" s="224"/>
      <c r="B13" s="229"/>
      <c r="C13" s="229"/>
      <c r="D13" s="109"/>
      <c r="E13" s="273"/>
      <c r="F13" s="273"/>
      <c r="G13" s="273"/>
      <c r="H13" s="273"/>
      <c r="I13" s="274"/>
      <c r="J13" s="274"/>
      <c r="K13" s="276"/>
      <c r="L13" s="276"/>
      <c r="M13" s="282"/>
      <c r="N13" s="277"/>
      <c r="O13" s="277"/>
      <c r="P13" s="273"/>
      <c r="Q13" s="273"/>
      <c r="R13" s="273"/>
      <c r="S13" s="277"/>
    </row>
    <row r="14" spans="1:22" ht="15.75" customHeight="1">
      <c r="A14" s="223"/>
      <c r="B14" s="229" t="s">
        <v>79</v>
      </c>
      <c r="C14" s="229"/>
      <c r="D14" s="109"/>
      <c r="E14" s="273"/>
      <c r="F14" s="273"/>
      <c r="G14" s="273"/>
      <c r="H14" s="273"/>
      <c r="I14" s="274"/>
      <c r="J14" s="274"/>
      <c r="K14" s="276"/>
      <c r="L14" s="276"/>
      <c r="M14" s="275"/>
      <c r="N14" s="277"/>
      <c r="O14" s="277"/>
      <c r="P14" s="273"/>
      <c r="Q14" s="273"/>
      <c r="R14" s="273"/>
      <c r="S14" s="277"/>
    </row>
    <row r="15" spans="1:22" ht="15.75" customHeight="1" thickBot="1">
      <c r="A15" s="223"/>
      <c r="B15" s="229" t="s">
        <v>78</v>
      </c>
      <c r="C15" s="229"/>
      <c r="D15" s="109"/>
      <c r="E15" s="273"/>
      <c r="F15" s="273"/>
      <c r="G15" s="273"/>
      <c r="H15" s="273"/>
      <c r="I15" s="274"/>
      <c r="J15" s="274"/>
      <c r="K15" s="276"/>
      <c r="L15" s="276"/>
      <c r="M15" s="283"/>
      <c r="N15" s="277"/>
      <c r="O15" s="277"/>
      <c r="P15" s="273"/>
      <c r="Q15" s="273"/>
      <c r="R15" s="273"/>
      <c r="S15" s="277"/>
    </row>
    <row r="16" spans="1:22" ht="15.75" customHeight="1" thickBot="1">
      <c r="A16" s="223">
        <v>7</v>
      </c>
      <c r="B16" s="229"/>
      <c r="C16" s="229" t="s">
        <v>70</v>
      </c>
      <c r="D16" s="109"/>
      <c r="E16" s="273">
        <f>'CBR Hist'!S22</f>
        <v>143904</v>
      </c>
      <c r="F16" s="273">
        <f>-'12.2013 CB Power Supply'!F32-F17</f>
        <v>-92437</v>
      </c>
      <c r="G16" s="273">
        <v>0</v>
      </c>
      <c r="H16" s="273">
        <v>312</v>
      </c>
      <c r="I16" s="274">
        <f>SUM(E16:H16)</f>
        <v>51779</v>
      </c>
      <c r="J16" s="274"/>
      <c r="K16" s="721">
        <f>'Cost Trends'!G186</f>
        <v>0.08</v>
      </c>
      <c r="L16" s="284"/>
      <c r="M16" s="274">
        <f>K16*I16</f>
        <v>4142.32</v>
      </c>
      <c r="N16" s="277">
        <f>M16+I16</f>
        <v>55921.32</v>
      </c>
      <c r="O16" s="277"/>
      <c r="P16" s="273">
        <f>'PF Power Supply'!F32-'PF Power Supply'!F24</f>
        <v>85959.357030185754</v>
      </c>
      <c r="Q16" s="273"/>
      <c r="R16" s="273"/>
      <c r="S16" s="277">
        <f>N16+P16+Q16</f>
        <v>141880.67703018576</v>
      </c>
    </row>
    <row r="17" spans="1:19" ht="15.75" customHeight="1" thickBot="1">
      <c r="A17" s="223">
        <v>8</v>
      </c>
      <c r="B17" s="229"/>
      <c r="C17" s="229" t="s">
        <v>77</v>
      </c>
      <c r="D17" s="109"/>
      <c r="E17" s="273">
        <f>'CBR Hist'!S23</f>
        <v>109034</v>
      </c>
      <c r="F17" s="273">
        <f>-'12.2013 CB Power Supply'!F24+1</f>
        <v>-109034</v>
      </c>
      <c r="G17" s="273">
        <v>0</v>
      </c>
      <c r="H17" s="273">
        <v>0</v>
      </c>
      <c r="I17" s="274">
        <f t="shared" ref="I17:I20" si="1">SUM(E17:H17)</f>
        <v>0</v>
      </c>
      <c r="J17" s="274"/>
      <c r="K17" s="276"/>
      <c r="L17" s="276"/>
      <c r="M17" s="274">
        <f>K17*I17</f>
        <v>0</v>
      </c>
      <c r="N17" s="277">
        <f>M17+I17</f>
        <v>0</v>
      </c>
      <c r="O17" s="277"/>
      <c r="P17" s="273">
        <f>'PF Power Supply'!F24</f>
        <v>85159.580538187089</v>
      </c>
      <c r="Q17" s="273"/>
      <c r="R17" s="273"/>
      <c r="S17" s="277">
        <f>N17+P17+Q17</f>
        <v>85159.580538187089</v>
      </c>
    </row>
    <row r="18" spans="1:19" ht="15.75" customHeight="1" thickBot="1">
      <c r="A18" s="223">
        <v>9</v>
      </c>
      <c r="B18" s="229"/>
      <c r="C18" s="229" t="s">
        <v>139</v>
      </c>
      <c r="D18" s="109"/>
      <c r="E18" s="273">
        <f>'CBR Hist'!S24</f>
        <v>23284</v>
      </c>
      <c r="F18" s="273"/>
      <c r="G18" s="273">
        <v>0</v>
      </c>
      <c r="H18" s="273">
        <v>0</v>
      </c>
      <c r="I18" s="274">
        <f t="shared" si="1"/>
        <v>23284</v>
      </c>
      <c r="J18" s="274"/>
      <c r="K18" s="719">
        <f>'Cost Trends'!G188</f>
        <v>9.0429606539437241E-2</v>
      </c>
      <c r="L18" s="284"/>
      <c r="M18" s="274">
        <f>K18*I18</f>
        <v>2105.5629586642567</v>
      </c>
      <c r="N18" s="277">
        <f>M18+I18</f>
        <v>25389.562958664257</v>
      </c>
      <c r="O18" s="277"/>
      <c r="P18" s="273"/>
      <c r="Q18" s="273"/>
      <c r="R18" s="273"/>
      <c r="S18" s="277">
        <f>N18+P18+Q18</f>
        <v>25389.562958664257</v>
      </c>
    </row>
    <row r="19" spans="1:19" ht="15.75" customHeight="1" thickBot="1">
      <c r="A19" s="223">
        <v>10</v>
      </c>
      <c r="B19" s="229"/>
      <c r="C19" s="229" t="s">
        <v>140</v>
      </c>
      <c r="D19" s="109"/>
      <c r="E19" s="273">
        <f>'CBR Hist'!S25</f>
        <v>8629</v>
      </c>
      <c r="F19" s="273"/>
      <c r="G19" s="273">
        <v>0</v>
      </c>
      <c r="H19" s="273">
        <v>0</v>
      </c>
      <c r="I19" s="274">
        <f t="shared" si="1"/>
        <v>8629</v>
      </c>
      <c r="J19" s="274"/>
      <c r="K19" s="284">
        <v>0</v>
      </c>
      <c r="L19" s="284"/>
      <c r="M19" s="274">
        <f>K19*I19</f>
        <v>0</v>
      </c>
      <c r="N19" s="277">
        <f>M19+I19</f>
        <v>8629</v>
      </c>
      <c r="O19" s="277"/>
      <c r="P19" s="273"/>
      <c r="Q19" s="273"/>
      <c r="R19" s="273"/>
      <c r="S19" s="277">
        <f>N19+P19+Q19</f>
        <v>8629</v>
      </c>
    </row>
    <row r="20" spans="1:19" ht="15.75" customHeight="1" thickBot="1">
      <c r="A20" s="223">
        <v>11</v>
      </c>
      <c r="B20" s="229"/>
      <c r="C20" s="225" t="s">
        <v>69</v>
      </c>
      <c r="D20" s="109"/>
      <c r="E20" s="273">
        <f>'CBR Hist'!S26</f>
        <v>12913</v>
      </c>
      <c r="F20" s="278"/>
      <c r="G20" s="273">
        <v>0</v>
      </c>
      <c r="H20" s="273">
        <v>0</v>
      </c>
      <c r="I20" s="274">
        <f t="shared" si="1"/>
        <v>12913</v>
      </c>
      <c r="J20" s="279"/>
      <c r="K20" s="713">
        <f>'Cost Trends'!G190</f>
        <v>8.690367669401397E-2</v>
      </c>
      <c r="L20" s="281"/>
      <c r="M20" s="279">
        <f>K20*I20</f>
        <v>1122.1871771498024</v>
      </c>
      <c r="N20" s="278">
        <f>M20+I20</f>
        <v>14035.187177149803</v>
      </c>
      <c r="O20" s="278"/>
      <c r="P20" s="278"/>
      <c r="Q20" s="278"/>
      <c r="R20" s="278"/>
      <c r="S20" s="278">
        <f>N20+P20+Q20</f>
        <v>14035.187177149803</v>
      </c>
    </row>
    <row r="21" spans="1:19" ht="15.75" customHeight="1">
      <c r="A21" s="223">
        <v>12</v>
      </c>
      <c r="B21" s="229"/>
      <c r="C21" s="225" t="s">
        <v>244</v>
      </c>
      <c r="D21" s="104"/>
      <c r="E21" s="490">
        <f>SUM(E16:E20)</f>
        <v>297764</v>
      </c>
      <c r="F21" s="274">
        <f>F16+F17+F18+F19+F20</f>
        <v>-201471</v>
      </c>
      <c r="G21" s="492">
        <f>G16+G17+G18+G19+G20</f>
        <v>0</v>
      </c>
      <c r="H21" s="492">
        <f>H16+H17+H18+H19+H20</f>
        <v>312</v>
      </c>
      <c r="I21" s="492">
        <f>I16+I17+I18+I19+I20</f>
        <v>96605</v>
      </c>
      <c r="J21" s="274"/>
      <c r="K21" s="276"/>
      <c r="L21" s="276"/>
      <c r="M21" s="274">
        <f>M16+M17+M18+M19+M20</f>
        <v>7370.0701358140595</v>
      </c>
      <c r="N21" s="274">
        <f>N16+N17+N18+N19+N20</f>
        <v>103975.07013581405</v>
      </c>
      <c r="O21" s="274"/>
      <c r="P21" s="274">
        <f>P16+P17+P18+P19+P20</f>
        <v>171118.93756837284</v>
      </c>
      <c r="Q21" s="274">
        <f>Q16+Q17+Q18+Q19+Q20</f>
        <v>0</v>
      </c>
      <c r="R21" s="274"/>
      <c r="S21" s="274">
        <f>S16+S17+S18+S19+S20</f>
        <v>275094.00770418689</v>
      </c>
    </row>
    <row r="22" spans="1:19" ht="15.75" customHeight="1">
      <c r="A22" s="223"/>
      <c r="B22" s="229"/>
      <c r="C22" s="225"/>
      <c r="D22" s="104"/>
      <c r="E22" s="273"/>
      <c r="F22" s="273"/>
      <c r="G22" s="273"/>
      <c r="H22" s="273"/>
      <c r="I22" s="274"/>
      <c r="J22" s="274"/>
      <c r="K22" s="276"/>
      <c r="L22" s="276"/>
      <c r="M22" s="275"/>
      <c r="N22" s="277"/>
      <c r="O22" s="277"/>
      <c r="P22" s="273"/>
      <c r="Q22" s="273"/>
      <c r="R22" s="273"/>
      <c r="S22" s="277"/>
    </row>
    <row r="23" spans="1:19" ht="15.75" customHeight="1">
      <c r="A23" s="223"/>
      <c r="B23" s="229" t="s">
        <v>56</v>
      </c>
      <c r="C23" s="225"/>
      <c r="D23" s="104"/>
      <c r="E23" s="273"/>
      <c r="F23" s="285"/>
      <c r="G23" s="285"/>
      <c r="H23" s="285"/>
      <c r="I23" s="274"/>
      <c r="J23" s="274"/>
      <c r="K23" s="276"/>
      <c r="L23" s="276"/>
      <c r="M23" s="275"/>
      <c r="N23" s="277"/>
      <c r="O23" s="277"/>
      <c r="P23" s="273"/>
      <c r="Q23" s="273"/>
      <c r="R23" s="273"/>
      <c r="S23" s="277"/>
    </row>
    <row r="24" spans="1:19" ht="15.75" customHeight="1">
      <c r="A24" s="223">
        <v>13</v>
      </c>
      <c r="B24" s="229"/>
      <c r="C24" s="225" t="s">
        <v>70</v>
      </c>
      <c r="D24" s="104"/>
      <c r="E24" s="273">
        <f>'CBR Hist'!S30</f>
        <v>20878</v>
      </c>
      <c r="F24" s="285"/>
      <c r="G24" s="273">
        <v>0</v>
      </c>
      <c r="H24" s="273">
        <v>0</v>
      </c>
      <c r="I24" s="274">
        <f>SUM(E24:H24)</f>
        <v>20878</v>
      </c>
      <c r="J24" s="274"/>
      <c r="K24" s="722">
        <f>K16</f>
        <v>0.08</v>
      </c>
      <c r="L24" s="276"/>
      <c r="M24" s="274">
        <f>K24*I24</f>
        <v>1670.24</v>
      </c>
      <c r="N24" s="277">
        <f>M24+I24</f>
        <v>22548.240000000002</v>
      </c>
      <c r="O24" s="277"/>
      <c r="P24" s="273"/>
      <c r="Q24" s="273"/>
      <c r="R24" s="273"/>
      <c r="S24" s="277">
        <f>N24+P24+Q24</f>
        <v>22548.240000000002</v>
      </c>
    </row>
    <row r="25" spans="1:19" ht="15.75" customHeight="1">
      <c r="A25" s="223">
        <v>14</v>
      </c>
      <c r="B25" s="229"/>
      <c r="C25" s="225" t="s">
        <v>141</v>
      </c>
      <c r="D25" s="104"/>
      <c r="E25" s="273">
        <f>'CBR Hist'!S31</f>
        <v>22303</v>
      </c>
      <c r="F25" s="285"/>
      <c r="G25" s="273">
        <v>0</v>
      </c>
      <c r="H25" s="273">
        <v>0</v>
      </c>
      <c r="I25" s="274">
        <f t="shared" ref="I25:I26" si="2">SUM(E25:H25)</f>
        <v>22303</v>
      </c>
      <c r="J25" s="274"/>
      <c r="K25" s="720">
        <f>K18</f>
        <v>9.0429606539437241E-2</v>
      </c>
      <c r="L25" s="276"/>
      <c r="M25" s="274">
        <f>K25*I25</f>
        <v>2016.8515146490688</v>
      </c>
      <c r="N25" s="277">
        <f>M25+I25</f>
        <v>24319.851514649068</v>
      </c>
      <c r="O25" s="277"/>
      <c r="P25" s="273"/>
      <c r="Q25" s="273"/>
      <c r="R25" s="273"/>
      <c r="S25" s="277">
        <f>N25+P25+Q25</f>
        <v>24319.851514649068</v>
      </c>
    </row>
    <row r="26" spans="1:19" ht="15.75" customHeight="1">
      <c r="A26" s="223">
        <v>15</v>
      </c>
      <c r="B26" s="229"/>
      <c r="C26" s="225" t="s">
        <v>69</v>
      </c>
      <c r="D26" s="104"/>
      <c r="E26" s="273">
        <f>'CBR Hist'!S32</f>
        <v>23288</v>
      </c>
      <c r="F26" s="286"/>
      <c r="G26" s="273">
        <v>0</v>
      </c>
      <c r="H26" s="273">
        <v>-78</v>
      </c>
      <c r="I26" s="274">
        <f t="shared" si="2"/>
        <v>23210</v>
      </c>
      <c r="J26" s="279"/>
      <c r="K26" s="714">
        <f>K20</f>
        <v>8.690367669401397E-2</v>
      </c>
      <c r="L26" s="281"/>
      <c r="M26" s="279">
        <f>K26*I26</f>
        <v>2017.0343360680642</v>
      </c>
      <c r="N26" s="278">
        <f>M26+I26</f>
        <v>25227.034336068064</v>
      </c>
      <c r="O26" s="278"/>
      <c r="P26" s="278"/>
      <c r="Q26" s="278">
        <f>'incremental load expense'!E29</f>
        <v>373.0923330301772</v>
      </c>
      <c r="R26" s="278"/>
      <c r="S26" s="278">
        <f>N26+P26+Q26</f>
        <v>25600.126669098241</v>
      </c>
    </row>
    <row r="27" spans="1:19" ht="15.75" customHeight="1">
      <c r="A27" s="223">
        <v>16</v>
      </c>
      <c r="B27" s="229"/>
      <c r="C27" s="225" t="s">
        <v>245</v>
      </c>
      <c r="D27" s="104"/>
      <c r="E27" s="490">
        <f>SUM(E24:E26)</f>
        <v>66469</v>
      </c>
      <c r="F27" s="287"/>
      <c r="G27" s="492">
        <f>G24+G25+G26</f>
        <v>0</v>
      </c>
      <c r="H27" s="492">
        <f>H24+H25+H26</f>
        <v>-78</v>
      </c>
      <c r="I27" s="492">
        <f>SUM(I24:I26)</f>
        <v>66391</v>
      </c>
      <c r="J27" s="274"/>
      <c r="K27" s="276"/>
      <c r="L27" s="276"/>
      <c r="M27" s="274">
        <f>M24+M25+M26</f>
        <v>5704.1258507171333</v>
      </c>
      <c r="N27" s="274">
        <f>N24+N25+N26</f>
        <v>72095.12585071713</v>
      </c>
      <c r="O27" s="274"/>
      <c r="P27" s="274">
        <f>P24+P25+P26</f>
        <v>0</v>
      </c>
      <c r="Q27" s="274">
        <f>Q24+Q25+Q26</f>
        <v>373.0923330301772</v>
      </c>
      <c r="R27" s="273"/>
      <c r="S27" s="274">
        <f>S24+S25+S26</f>
        <v>72468.218183747318</v>
      </c>
    </row>
    <row r="28" spans="1:19" ht="15.75" customHeight="1">
      <c r="A28" s="223"/>
      <c r="B28" s="229"/>
      <c r="C28" s="225"/>
      <c r="D28" s="104"/>
      <c r="E28" s="273"/>
      <c r="F28" s="288"/>
      <c r="G28" s="288"/>
      <c r="H28" s="288"/>
      <c r="I28" s="274"/>
      <c r="J28" s="274"/>
      <c r="K28" s="276"/>
      <c r="L28" s="276"/>
      <c r="M28" s="275"/>
      <c r="N28" s="277"/>
      <c r="O28" s="277"/>
      <c r="P28" s="273"/>
      <c r="Q28" s="273"/>
      <c r="R28" s="273"/>
      <c r="S28" s="277"/>
    </row>
    <row r="29" spans="1:19" ht="15.75" customHeight="1">
      <c r="A29" s="223">
        <v>17</v>
      </c>
      <c r="B29" s="229" t="s">
        <v>74</v>
      </c>
      <c r="C29" s="225"/>
      <c r="D29" s="104"/>
      <c r="E29" s="273">
        <f>'CBR Hist'!S35</f>
        <v>11334</v>
      </c>
      <c r="F29" s="273"/>
      <c r="G29" s="273">
        <v>0</v>
      </c>
      <c r="H29" s="273">
        <v>-10</v>
      </c>
      <c r="I29" s="274">
        <f>SUM(E29:H29)</f>
        <v>11324</v>
      </c>
      <c r="J29" s="274"/>
      <c r="K29" s="722">
        <f>K16</f>
        <v>0.08</v>
      </c>
      <c r="L29" s="276"/>
      <c r="M29" s="274">
        <f>K29*I29</f>
        <v>905.92000000000007</v>
      </c>
      <c r="N29" s="277">
        <f>M29+I29</f>
        <v>12229.92</v>
      </c>
      <c r="O29" s="277"/>
      <c r="P29" s="273"/>
      <c r="Q29" s="273">
        <f>'incremental load expense'!E32</f>
        <v>46.934175345388091</v>
      </c>
      <c r="R29" s="273"/>
      <c r="S29" s="277">
        <f>N29+P29+Q29</f>
        <v>12276.854175345388</v>
      </c>
    </row>
    <row r="30" spans="1:19" ht="15.75" customHeight="1">
      <c r="A30" s="223">
        <v>18</v>
      </c>
      <c r="B30" s="229" t="s">
        <v>73</v>
      </c>
      <c r="C30" s="225"/>
      <c r="D30" s="104"/>
      <c r="E30" s="273">
        <f>'CBR Hist'!S36</f>
        <v>1516</v>
      </c>
      <c r="F30" s="273"/>
      <c r="G30" s="273">
        <v>0</v>
      </c>
      <c r="H30" s="273">
        <v>0</v>
      </c>
      <c r="I30" s="274">
        <f t="shared" ref="I30:I31" si="3">SUM(E30:H30)</f>
        <v>1516</v>
      </c>
      <c r="J30" s="274"/>
      <c r="K30" s="722">
        <f>K16</f>
        <v>0.08</v>
      </c>
      <c r="L30" s="276"/>
      <c r="M30" s="274">
        <f>K30*I30</f>
        <v>121.28</v>
      </c>
      <c r="N30" s="277">
        <f>M30+I30</f>
        <v>1637.28</v>
      </c>
      <c r="O30" s="277"/>
      <c r="P30" s="273"/>
      <c r="Q30" s="273"/>
      <c r="R30" s="273"/>
      <c r="S30" s="277">
        <f>N30+P30+Q30</f>
        <v>1637.28</v>
      </c>
    </row>
    <row r="31" spans="1:19" ht="15.75" customHeight="1">
      <c r="A31" s="223">
        <v>19</v>
      </c>
      <c r="B31" s="229" t="s">
        <v>72</v>
      </c>
      <c r="C31" s="225"/>
      <c r="D31" s="104"/>
      <c r="E31" s="273">
        <f>'CBR Hist'!S37</f>
        <v>5</v>
      </c>
      <c r="F31" s="273"/>
      <c r="G31" s="273">
        <v>0</v>
      </c>
      <c r="H31" s="273">
        <v>0</v>
      </c>
      <c r="I31" s="274">
        <f t="shared" si="3"/>
        <v>5</v>
      </c>
      <c r="J31" s="274"/>
      <c r="K31" s="722">
        <f>K16</f>
        <v>0.08</v>
      </c>
      <c r="L31" s="276"/>
      <c r="M31" s="274">
        <f>K31*I31</f>
        <v>0.4</v>
      </c>
      <c r="N31" s="277">
        <f>M31+I31</f>
        <v>5.4</v>
      </c>
      <c r="O31" s="277"/>
      <c r="P31" s="273"/>
      <c r="Q31" s="273"/>
      <c r="R31" s="273"/>
      <c r="S31" s="277">
        <f>N31+P31+Q31</f>
        <v>5.4</v>
      </c>
    </row>
    <row r="32" spans="1:19" ht="15.75" customHeight="1">
      <c r="A32" s="223"/>
      <c r="B32" s="229"/>
      <c r="C32" s="225"/>
      <c r="D32" s="104"/>
      <c r="E32" s="273"/>
      <c r="F32" s="273"/>
      <c r="G32" s="273"/>
      <c r="H32" s="273"/>
      <c r="I32" s="274"/>
      <c r="J32" s="274"/>
      <c r="K32" s="276"/>
      <c r="L32" s="276"/>
      <c r="M32" s="275"/>
      <c r="N32" s="277"/>
      <c r="O32" s="277"/>
      <c r="P32" s="273"/>
      <c r="Q32" s="273"/>
      <c r="R32" s="273"/>
      <c r="S32" s="277"/>
    </row>
    <row r="33" spans="1:21" ht="15.75" customHeight="1">
      <c r="A33" s="223"/>
      <c r="B33" s="229" t="s">
        <v>71</v>
      </c>
      <c r="C33" s="225"/>
      <c r="D33" s="104"/>
      <c r="E33" s="273"/>
      <c r="F33" s="273"/>
      <c r="G33" s="273"/>
      <c r="H33" s="273"/>
      <c r="I33" s="274"/>
      <c r="J33" s="274"/>
      <c r="K33" s="276"/>
      <c r="L33" s="276"/>
      <c r="M33" s="275"/>
      <c r="N33" s="277"/>
      <c r="O33" s="277"/>
      <c r="P33" s="273"/>
      <c r="Q33" s="273"/>
      <c r="R33" s="273"/>
      <c r="S33" s="277"/>
    </row>
    <row r="34" spans="1:21" ht="15.75" customHeight="1">
      <c r="A34" s="223">
        <v>20</v>
      </c>
      <c r="B34" s="229"/>
      <c r="C34" s="225" t="s">
        <v>70</v>
      </c>
      <c r="D34" s="104"/>
      <c r="E34" s="273">
        <f>'CBR Hist'!S40</f>
        <v>43310</v>
      </c>
      <c r="F34" s="273"/>
      <c r="G34" s="273">
        <v>0</v>
      </c>
      <c r="H34" s="273">
        <v>-4</v>
      </c>
      <c r="I34" s="274">
        <f t="shared" ref="I34:I36" si="4">SUM(E34:H34)</f>
        <v>43306</v>
      </c>
      <c r="J34" s="274"/>
      <c r="K34" s="722">
        <f>K16</f>
        <v>0.08</v>
      </c>
      <c r="L34" s="276"/>
      <c r="M34" s="274">
        <f>K34*I34</f>
        <v>3464.48</v>
      </c>
      <c r="N34" s="277">
        <f>M34+I34</f>
        <v>46770.48</v>
      </c>
      <c r="O34" s="277"/>
      <c r="P34" s="273"/>
      <c r="Q34" s="273">
        <f>'incremental load expense'!E37</f>
        <v>19.35829051160573</v>
      </c>
      <c r="R34" s="273"/>
      <c r="S34" s="277">
        <f>N34+P34+Q34</f>
        <v>46789.838290511609</v>
      </c>
    </row>
    <row r="35" spans="1:21" ht="15.75" customHeight="1">
      <c r="A35" s="223">
        <v>21</v>
      </c>
      <c r="B35" s="229"/>
      <c r="C35" s="225" t="s">
        <v>141</v>
      </c>
      <c r="D35" s="104"/>
      <c r="E35" s="273">
        <f>'CBR Hist'!S41</f>
        <v>14721</v>
      </c>
      <c r="F35" s="273"/>
      <c r="G35" s="273">
        <v>0</v>
      </c>
      <c r="H35" s="273">
        <v>0</v>
      </c>
      <c r="I35" s="274">
        <f t="shared" si="4"/>
        <v>14721</v>
      </c>
      <c r="J35" s="274"/>
      <c r="K35" s="720">
        <f>K18</f>
        <v>9.0429606539437241E-2</v>
      </c>
      <c r="L35" s="276"/>
      <c r="M35" s="274">
        <f>K35*I35</f>
        <v>1331.2142378670555</v>
      </c>
      <c r="N35" s="277">
        <f>M35+I35</f>
        <v>16052.214237867056</v>
      </c>
      <c r="O35" s="277"/>
      <c r="P35" s="273"/>
      <c r="Q35" s="273"/>
      <c r="R35" s="273"/>
      <c r="S35" s="277">
        <f>N35+P35+Q35</f>
        <v>16052.214237867056</v>
      </c>
    </row>
    <row r="36" spans="1:21" ht="15.75" customHeight="1">
      <c r="A36" s="223">
        <v>22</v>
      </c>
      <c r="B36" s="229"/>
      <c r="C36" s="225" t="s">
        <v>69</v>
      </c>
      <c r="D36" s="104"/>
      <c r="E36" s="273">
        <f>'CBR Hist'!S42</f>
        <v>0</v>
      </c>
      <c r="F36" s="278"/>
      <c r="G36" s="273">
        <v>0</v>
      </c>
      <c r="H36" s="273">
        <v>0</v>
      </c>
      <c r="I36" s="274">
        <f t="shared" si="4"/>
        <v>0</v>
      </c>
      <c r="J36" s="279"/>
      <c r="K36" s="714">
        <f>K20</f>
        <v>8.690367669401397E-2</v>
      </c>
      <c r="L36" s="281"/>
      <c r="M36" s="279">
        <f>K36*I36</f>
        <v>0</v>
      </c>
      <c r="N36" s="278">
        <f>M36+I36</f>
        <v>0</v>
      </c>
      <c r="O36" s="278"/>
      <c r="P36" s="278"/>
      <c r="Q36" s="278"/>
      <c r="R36" s="278"/>
      <c r="S36" s="278">
        <f>N36+P36+Q36</f>
        <v>0</v>
      </c>
    </row>
    <row r="37" spans="1:21" ht="15.75" customHeight="1">
      <c r="A37" s="223">
        <v>23</v>
      </c>
      <c r="B37" s="229"/>
      <c r="C37" s="225" t="s">
        <v>246</v>
      </c>
      <c r="D37" s="104"/>
      <c r="E37" s="490">
        <f>SUM(E34:E36)</f>
        <v>58031</v>
      </c>
      <c r="F37" s="274">
        <f>F34+F35+F36</f>
        <v>0</v>
      </c>
      <c r="G37" s="498">
        <f>G34+G35+G36</f>
        <v>0</v>
      </c>
      <c r="H37" s="498">
        <f>H34+H35+H36</f>
        <v>-4</v>
      </c>
      <c r="I37" s="498">
        <f>I34+I35+I36</f>
        <v>58027</v>
      </c>
      <c r="J37" s="274"/>
      <c r="K37" s="276"/>
      <c r="L37" s="276"/>
      <c r="M37" s="274">
        <f>M34+M35+M36</f>
        <v>4795.6942378670556</v>
      </c>
      <c r="N37" s="274">
        <f>N34+N35+N36</f>
        <v>62822.694237867057</v>
      </c>
      <c r="O37" s="274"/>
      <c r="P37" s="274">
        <f>P34+P35+P36</f>
        <v>0</v>
      </c>
      <c r="Q37" s="274">
        <f>Q34+Q35+Q36</f>
        <v>19.35829051160573</v>
      </c>
      <c r="R37" s="273"/>
      <c r="S37" s="274">
        <f>S34+S35+S36</f>
        <v>62842.052528378663</v>
      </c>
    </row>
    <row r="38" spans="1:21" ht="15.75" customHeight="1">
      <c r="A38" s="223">
        <v>24</v>
      </c>
      <c r="B38" s="229" t="s">
        <v>67</v>
      </c>
      <c r="C38" s="225"/>
      <c r="D38" s="104"/>
      <c r="E38" s="490">
        <f>E21+E27+E29+E30+E31+E37</f>
        <v>435119</v>
      </c>
      <c r="F38" s="490">
        <f>F21+F27+F29+F30+F31+F37</f>
        <v>-201471</v>
      </c>
      <c r="G38" s="490">
        <f>G21+G27+G29+G30+G31+G37</f>
        <v>0</v>
      </c>
      <c r="H38" s="490">
        <f>H21+H27+H29+H30+H31+H37</f>
        <v>220</v>
      </c>
      <c r="I38" s="490">
        <f>I21+I27+I29+I30+I31+I37</f>
        <v>233868</v>
      </c>
      <c r="J38" s="490"/>
      <c r="K38" s="489"/>
      <c r="L38" s="489"/>
      <c r="M38" s="490">
        <f>M21+M27+M29+M30+M31+M37</f>
        <v>18897.490224398251</v>
      </c>
      <c r="N38" s="490">
        <f>N21+N27+N29+N30+N31+N37</f>
        <v>252765.49022439824</v>
      </c>
      <c r="O38" s="490"/>
      <c r="P38" s="490">
        <f>P21+P27+P29+P30+P31+P37</f>
        <v>171118.93756837284</v>
      </c>
      <c r="Q38" s="490">
        <f>Q21+Q27+Q29+Q30+Q31+Q37</f>
        <v>439.38479888717103</v>
      </c>
      <c r="R38" s="490"/>
      <c r="S38" s="490">
        <f>S21+S27+S29+S30+S31+S37</f>
        <v>424323.81259165832</v>
      </c>
    </row>
    <row r="39" spans="1:21" ht="15.75" customHeight="1">
      <c r="A39" s="223"/>
      <c r="B39" s="229"/>
      <c r="C39" s="229"/>
      <c r="D39" s="104"/>
      <c r="E39" s="273"/>
      <c r="F39" s="273"/>
      <c r="G39" s="273"/>
      <c r="H39" s="273"/>
      <c r="I39" s="274"/>
      <c r="J39" s="274"/>
      <c r="K39" s="276"/>
      <c r="L39" s="276"/>
      <c r="M39" s="275"/>
      <c r="N39" s="277"/>
      <c r="O39" s="277"/>
      <c r="P39" s="273"/>
      <c r="Q39" s="273"/>
      <c r="R39" s="273"/>
      <c r="S39" s="277"/>
    </row>
    <row r="40" spans="1:21" ht="15.75" customHeight="1">
      <c r="A40" s="223">
        <v>25</v>
      </c>
      <c r="B40" s="229" t="s">
        <v>66</v>
      </c>
      <c r="C40" s="229"/>
      <c r="D40" s="104"/>
      <c r="E40" s="273">
        <f>E12-E38</f>
        <v>122528</v>
      </c>
      <c r="F40" s="273">
        <f>F12-F38</f>
        <v>116178</v>
      </c>
      <c r="G40" s="273">
        <f>G12-G38</f>
        <v>0</v>
      </c>
      <c r="H40" s="273">
        <f>H12-H38</f>
        <v>-2238</v>
      </c>
      <c r="I40" s="273">
        <f>I12-I38</f>
        <v>236468</v>
      </c>
      <c r="J40" s="273"/>
      <c r="K40" s="276"/>
      <c r="L40" s="273"/>
      <c r="M40" s="273">
        <f t="shared" ref="M40:R40" si="5">M12-M38</f>
        <v>-18897.490224398251</v>
      </c>
      <c r="N40" s="273">
        <f>N12-N38</f>
        <v>217570.50977560176</v>
      </c>
      <c r="O40" s="273">
        <f t="shared" si="5"/>
        <v>0</v>
      </c>
      <c r="P40" s="273">
        <f t="shared" si="5"/>
        <v>-116051.56951679103</v>
      </c>
      <c r="Q40" s="273">
        <f t="shared" si="5"/>
        <v>9413.4222267598307</v>
      </c>
      <c r="R40" s="273">
        <f t="shared" si="5"/>
        <v>0</v>
      </c>
      <c r="S40" s="273">
        <f>S12-S38</f>
        <v>110932.36248557048</v>
      </c>
    </row>
    <row r="41" spans="1:21" ht="15.75" customHeight="1">
      <c r="A41" s="223"/>
      <c r="B41" s="229"/>
      <c r="C41" s="229"/>
      <c r="D41" s="104"/>
      <c r="E41" s="273"/>
      <c r="F41" s="273"/>
      <c r="G41" s="273"/>
      <c r="H41" s="273"/>
      <c r="I41" s="273"/>
      <c r="J41" s="273"/>
      <c r="K41" s="276"/>
      <c r="L41" s="273"/>
      <c r="M41" s="273"/>
      <c r="N41" s="273"/>
      <c r="O41" s="273"/>
      <c r="P41" s="273"/>
      <c r="Q41" s="273"/>
      <c r="R41" s="273"/>
      <c r="S41" s="273"/>
    </row>
    <row r="42" spans="1:21" ht="3" customHeight="1">
      <c r="A42" s="223"/>
      <c r="B42" s="229"/>
      <c r="C42" s="229"/>
      <c r="D42" s="104"/>
      <c r="E42" s="273"/>
      <c r="F42" s="273"/>
      <c r="G42" s="273"/>
      <c r="H42" s="273"/>
      <c r="I42" s="273"/>
      <c r="J42" s="273"/>
      <c r="K42" s="276"/>
      <c r="L42" s="273"/>
      <c r="M42" s="273"/>
      <c r="N42" s="273"/>
      <c r="O42" s="273"/>
      <c r="P42" s="273"/>
      <c r="Q42" s="273"/>
      <c r="R42" s="273"/>
      <c r="S42" s="273"/>
    </row>
    <row r="43" spans="1:21" s="56" customFormat="1" ht="19.5" thickBot="1">
      <c r="A43" s="367" t="s">
        <v>96</v>
      </c>
      <c r="B43" s="770" t="str">
        <f>B2</f>
        <v>AVISTA'S 2015  ELECTRIC ATTRITION REVENUE REQUIREMENT</v>
      </c>
      <c r="C43" s="770"/>
      <c r="D43" s="770"/>
      <c r="E43" s="770"/>
      <c r="F43" s="770"/>
      <c r="G43" s="770"/>
      <c r="H43" s="770"/>
      <c r="I43" s="770"/>
      <c r="J43" s="770"/>
      <c r="K43" s="770"/>
      <c r="L43" s="770"/>
      <c r="M43" s="770"/>
      <c r="N43" s="770"/>
      <c r="O43" s="770"/>
      <c r="P43" s="770"/>
      <c r="Q43" s="770"/>
      <c r="R43" s="770"/>
      <c r="S43" s="770"/>
    </row>
    <row r="44" spans="1:21" s="190" customFormat="1" ht="20.25">
      <c r="A44" s="365"/>
      <c r="B44" s="591"/>
      <c r="C44" s="590" t="s">
        <v>526</v>
      </c>
      <c r="D44" s="591"/>
      <c r="E44" s="768" t="s">
        <v>251</v>
      </c>
      <c r="F44" s="768"/>
      <c r="G44" s="768"/>
      <c r="H44" s="768"/>
      <c r="I44" s="768"/>
      <c r="J44" s="592"/>
      <c r="K44" s="592"/>
      <c r="L44" s="592"/>
      <c r="M44" s="590" t="s">
        <v>257</v>
      </c>
      <c r="N44" s="593"/>
      <c r="O44" s="593"/>
      <c r="P44" s="768" t="s">
        <v>258</v>
      </c>
      <c r="Q44" s="768"/>
      <c r="R44" s="592"/>
      <c r="S44" s="594"/>
      <c r="U44" s="366"/>
    </row>
    <row r="45" spans="1:21" s="56" customFormat="1" ht="78" customHeight="1">
      <c r="A45" s="320" t="s">
        <v>250</v>
      </c>
      <c r="B45" s="58"/>
      <c r="C45" s="216"/>
      <c r="D45" s="358"/>
      <c r="E45" s="359" t="str">
        <f>E4</f>
        <v>12.2013 Commission Basis Report Restated Totals</v>
      </c>
      <c r="F45" s="359" t="str">
        <f t="shared" ref="F45:S45" si="6">F4</f>
        <v>(less) 12.2013 Normalized Net Power Supply  Cost</v>
      </c>
      <c r="G45" s="359" t="str">
        <f t="shared" si="6"/>
        <v>Proposed Working Capital &amp; Restated Def. Deb/Cred Adjustment</v>
      </c>
      <c r="H45" s="359" t="str">
        <f t="shared" si="6"/>
        <v>Incremental Revenue Normalization Adjustment</v>
      </c>
      <c r="I45" s="359" t="str">
        <f t="shared" si="6"/>
        <v>December 2013 Escalation Base</v>
      </c>
      <c r="J45" s="359">
        <f t="shared" si="6"/>
        <v>0</v>
      </c>
      <c r="K45" s="359" t="str">
        <f t="shared" si="6"/>
        <v>Escalation Factor</v>
      </c>
      <c r="L45" s="359">
        <f t="shared" si="6"/>
        <v>0</v>
      </c>
      <c r="M45" s="359" t="str">
        <f t="shared" si="6"/>
        <v xml:space="preserve"> Non-Energy Cost Escalation Amount</v>
      </c>
      <c r="N45" s="359" t="str">
        <f t="shared" si="6"/>
        <v>Trended 2015 Non-Energy Cost</v>
      </c>
      <c r="O45" s="359">
        <f t="shared" si="6"/>
        <v>0</v>
      </c>
      <c r="P45" s="359" t="str">
        <f t="shared" si="6"/>
        <v>(plus) 12.2013 Pro-Formed Net Energy Cost</v>
      </c>
      <c r="Q45" s="359" t="str">
        <f t="shared" si="6"/>
        <v>(plus)  Revenue Growth</v>
      </c>
      <c r="R45" s="359">
        <f t="shared" si="6"/>
        <v>0</v>
      </c>
      <c r="S45" s="359" t="str">
        <f t="shared" si="6"/>
        <v>2015 Revenue and Cost</v>
      </c>
    </row>
    <row r="46" spans="1:21" ht="16.899999999999999" customHeight="1">
      <c r="B46" s="53"/>
      <c r="C46" s="53"/>
      <c r="D46" s="104"/>
      <c r="E46" s="360" t="str">
        <f>E5</f>
        <v>[A]</v>
      </c>
      <c r="F46" s="360" t="str">
        <f t="shared" ref="F46:S46" si="7">F5</f>
        <v>[B]</v>
      </c>
      <c r="G46" s="360" t="str">
        <f t="shared" si="7"/>
        <v>[C]</v>
      </c>
      <c r="H46" s="360" t="str">
        <f t="shared" si="7"/>
        <v>[D]</v>
      </c>
      <c r="I46" s="360" t="str">
        <f t="shared" si="7"/>
        <v>[E]</v>
      </c>
      <c r="J46" s="360">
        <f t="shared" si="7"/>
        <v>0</v>
      </c>
      <c r="K46" s="360" t="str">
        <f t="shared" si="7"/>
        <v>[F]</v>
      </c>
      <c r="L46" s="360">
        <f t="shared" si="7"/>
        <v>0</v>
      </c>
      <c r="M46" s="360" t="str">
        <f t="shared" si="7"/>
        <v>[G]</v>
      </c>
      <c r="N46" s="360" t="str">
        <f t="shared" si="7"/>
        <v>[H]</v>
      </c>
      <c r="O46" s="360">
        <f t="shared" si="7"/>
        <v>0</v>
      </c>
      <c r="P46" s="360" t="str">
        <f t="shared" si="7"/>
        <v>[I]</v>
      </c>
      <c r="Q46" s="360" t="str">
        <f t="shared" si="7"/>
        <v>[J]</v>
      </c>
      <c r="R46" s="360">
        <f t="shared" si="7"/>
        <v>0</v>
      </c>
      <c r="S46" s="360" t="str">
        <f t="shared" si="7"/>
        <v>[K]</v>
      </c>
    </row>
    <row r="47" spans="1:21" ht="15.75" customHeight="1">
      <c r="A47" s="223"/>
      <c r="B47" s="229" t="s">
        <v>27</v>
      </c>
      <c r="C47" s="229"/>
      <c r="D47" s="104"/>
      <c r="E47" s="273"/>
      <c r="F47" s="273"/>
      <c r="G47" s="273"/>
      <c r="H47" s="273"/>
      <c r="I47" s="274"/>
      <c r="J47" s="274"/>
      <c r="K47" s="276"/>
      <c r="L47" s="276"/>
      <c r="M47" s="275"/>
      <c r="N47" s="289"/>
      <c r="O47" s="289"/>
      <c r="P47" s="273"/>
      <c r="Q47" s="273"/>
      <c r="R47" s="273"/>
      <c r="S47" s="290"/>
    </row>
    <row r="48" spans="1:21" ht="15.75" customHeight="1">
      <c r="A48" s="223">
        <v>26</v>
      </c>
      <c r="B48" s="228"/>
      <c r="C48" s="229" t="s">
        <v>142</v>
      </c>
      <c r="D48" s="104"/>
      <c r="E48" s="273">
        <f>'CBR Hist'!S49</f>
        <v>19267</v>
      </c>
      <c r="F48" s="273">
        <f>-'12.2013 CB Power Supply'!F36</f>
        <v>40661.949999999997</v>
      </c>
      <c r="G48" s="273">
        <v>0</v>
      </c>
      <c r="H48" s="273">
        <v>-783</v>
      </c>
      <c r="I48" s="274">
        <f>SUM(E48:H48)</f>
        <v>59145.95</v>
      </c>
      <c r="J48" s="274"/>
      <c r="K48" s="276"/>
      <c r="L48" s="276"/>
      <c r="M48" s="368">
        <f>M40*0.35</f>
        <v>-6614.121578539387</v>
      </c>
      <c r="N48" s="291">
        <f>I48+M48</f>
        <v>52531.82842146061</v>
      </c>
      <c r="O48" s="291"/>
      <c r="P48" s="292">
        <f>0.35*P40</f>
        <v>-40618.049330876856</v>
      </c>
      <c r="Q48" s="292">
        <f>0.35*Q40</f>
        <v>3294.6977793659407</v>
      </c>
      <c r="R48" s="292"/>
      <c r="S48" s="291">
        <f>N48+P48+Q48</f>
        <v>15208.476869949694</v>
      </c>
    </row>
    <row r="49" spans="1:21" ht="15.75" customHeight="1">
      <c r="A49" s="223">
        <v>27</v>
      </c>
      <c r="B49" s="228"/>
      <c r="C49" s="229" t="s">
        <v>143</v>
      </c>
      <c r="D49" s="104"/>
      <c r="E49" s="273">
        <f>'CBR Hist'!S50</f>
        <v>1</v>
      </c>
      <c r="F49" s="273"/>
      <c r="G49" s="273">
        <f>G78*ROR!F37*-0.35</f>
        <v>-99.29191999999999</v>
      </c>
      <c r="H49" s="273">
        <f>H78*ROR!F37*-0.35</f>
        <v>0</v>
      </c>
      <c r="I49" s="274">
        <f t="shared" ref="I49:I51" si="8">SUM(E49:H49)</f>
        <v>-98.29191999999999</v>
      </c>
      <c r="J49" s="274"/>
      <c r="K49" s="276"/>
      <c r="L49" s="276"/>
      <c r="M49" s="368">
        <f>(ROR!F11*-0.35*M78)+(ROR!F11-ROR!F37)*I78*-0.35</f>
        <v>-1481.4182950000004</v>
      </c>
      <c r="N49" s="291">
        <f>I49+M49</f>
        <v>-1579.7102150000003</v>
      </c>
      <c r="O49" s="291"/>
      <c r="P49" s="292"/>
      <c r="Q49" s="292"/>
      <c r="R49" s="292"/>
      <c r="S49" s="291">
        <f>N49+P49+Q49</f>
        <v>-1579.7102150000003</v>
      </c>
    </row>
    <row r="50" spans="1:21" ht="15.75" customHeight="1">
      <c r="A50" s="223">
        <v>28</v>
      </c>
      <c r="B50" s="228"/>
      <c r="C50" s="229" t="s">
        <v>64</v>
      </c>
      <c r="D50" s="104"/>
      <c r="E50" s="273">
        <f>'CBR Hist'!S51</f>
        <v>10613</v>
      </c>
      <c r="F50" s="273"/>
      <c r="G50" s="273">
        <v>0</v>
      </c>
      <c r="H50" s="273">
        <v>0</v>
      </c>
      <c r="I50" s="274">
        <f t="shared" si="8"/>
        <v>10613</v>
      </c>
      <c r="J50" s="274"/>
      <c r="K50" s="276"/>
      <c r="L50" s="276"/>
      <c r="M50" s="274">
        <f>K50*I50</f>
        <v>0</v>
      </c>
      <c r="N50" s="277">
        <f>M50+I50</f>
        <v>10613</v>
      </c>
      <c r="O50" s="277"/>
      <c r="P50" s="273"/>
      <c r="Q50" s="273"/>
      <c r="R50" s="273"/>
      <c r="S50" s="277">
        <f>N50+P50+Q50</f>
        <v>10613</v>
      </c>
    </row>
    <row r="51" spans="1:21" ht="15.75" customHeight="1">
      <c r="A51" s="223">
        <v>29</v>
      </c>
      <c r="B51" s="228"/>
      <c r="C51" s="229" t="s">
        <v>63</v>
      </c>
      <c r="D51" s="104"/>
      <c r="E51" s="273">
        <f>'CBR Hist'!S52</f>
        <v>-130</v>
      </c>
      <c r="F51" s="273"/>
      <c r="G51" s="273">
        <v>0</v>
      </c>
      <c r="H51" s="273">
        <v>0</v>
      </c>
      <c r="I51" s="274">
        <f t="shared" si="8"/>
        <v>-130</v>
      </c>
      <c r="J51" s="274"/>
      <c r="K51" s="276"/>
      <c r="L51" s="276"/>
      <c r="M51" s="274">
        <f>K51*I51</f>
        <v>0</v>
      </c>
      <c r="N51" s="277">
        <f>M51+I51</f>
        <v>-130</v>
      </c>
      <c r="O51" s="277"/>
      <c r="P51" s="273"/>
      <c r="Q51" s="273"/>
      <c r="R51" s="273"/>
      <c r="S51" s="277">
        <f>N51+P51+Q51</f>
        <v>-130</v>
      </c>
    </row>
    <row r="52" spans="1:21" ht="15.75" customHeight="1">
      <c r="A52" s="223">
        <v>30</v>
      </c>
      <c r="B52" s="229"/>
      <c r="C52" s="229"/>
      <c r="D52" s="104"/>
      <c r="E52" s="273"/>
      <c r="F52" s="273"/>
      <c r="G52" s="273"/>
      <c r="H52" s="273"/>
      <c r="I52" s="274"/>
      <c r="J52" s="274"/>
      <c r="K52" s="276"/>
      <c r="L52" s="276"/>
      <c r="M52" s="275"/>
      <c r="N52" s="277"/>
      <c r="O52" s="277"/>
      <c r="P52" s="273"/>
      <c r="Q52" s="273"/>
      <c r="R52" s="273"/>
      <c r="S52" s="277"/>
    </row>
    <row r="53" spans="1:21" ht="15.75" customHeight="1" thickBot="1">
      <c r="A53" s="223">
        <v>31</v>
      </c>
      <c r="B53" s="229" t="s">
        <v>62</v>
      </c>
      <c r="C53" s="229"/>
      <c r="D53" s="104"/>
      <c r="E53" s="491">
        <f>E40-E48-E49-E50-E51</f>
        <v>92777</v>
      </c>
      <c r="F53" s="491">
        <f t="shared" ref="F53:I53" si="9">F40-F48-F49-F50-F51</f>
        <v>75516.05</v>
      </c>
      <c r="G53" s="491">
        <f t="shared" si="9"/>
        <v>99.29191999999999</v>
      </c>
      <c r="H53" s="491">
        <f t="shared" si="9"/>
        <v>-1455</v>
      </c>
      <c r="I53" s="491">
        <f t="shared" si="9"/>
        <v>166937.34191999998</v>
      </c>
      <c r="J53" s="491"/>
      <c r="K53" s="491"/>
      <c r="L53" s="491"/>
      <c r="M53" s="491">
        <f t="shared" ref="M53:S53" si="10">M40-M48-M49-M50-M51</f>
        <v>-10801.950350858864</v>
      </c>
      <c r="N53" s="491">
        <f t="shared" si="10"/>
        <v>156135.39156914115</v>
      </c>
      <c r="O53" s="491"/>
      <c r="P53" s="491">
        <f t="shared" si="10"/>
        <v>-75433.520185914182</v>
      </c>
      <c r="Q53" s="491">
        <f t="shared" si="10"/>
        <v>6118.7244473938899</v>
      </c>
      <c r="R53" s="491"/>
      <c r="S53" s="723">
        <f t="shared" si="10"/>
        <v>86820.59583062079</v>
      </c>
    </row>
    <row r="54" spans="1:21" ht="6" customHeight="1" thickTop="1">
      <c r="A54" s="223"/>
      <c r="B54" s="229"/>
      <c r="C54" s="229"/>
      <c r="D54" s="104"/>
      <c r="E54" s="273"/>
      <c r="F54" s="273"/>
      <c r="G54" s="273"/>
      <c r="H54" s="273"/>
      <c r="I54" s="274"/>
      <c r="J54" s="274"/>
      <c r="K54" s="276"/>
      <c r="L54" s="276"/>
      <c r="M54" s="275"/>
      <c r="N54" s="293"/>
      <c r="O54" s="293"/>
      <c r="P54" s="273"/>
      <c r="Q54" s="273"/>
      <c r="R54" s="273"/>
      <c r="S54" s="293"/>
    </row>
    <row r="55" spans="1:21" ht="15.75" customHeight="1">
      <c r="A55" s="223"/>
      <c r="B55" s="229" t="s">
        <v>61</v>
      </c>
      <c r="C55" s="229"/>
      <c r="D55" s="104"/>
      <c r="E55" s="273"/>
      <c r="F55" s="273"/>
      <c r="G55" s="273"/>
      <c r="H55" s="273"/>
      <c r="I55" s="274"/>
      <c r="J55" s="274"/>
      <c r="K55" s="276"/>
      <c r="L55" s="276"/>
      <c r="M55" s="275"/>
      <c r="N55" s="277"/>
      <c r="O55" s="277"/>
      <c r="P55" s="273"/>
      <c r="Q55" s="273"/>
      <c r="R55" s="273"/>
      <c r="S55" s="277"/>
    </row>
    <row r="56" spans="1:21" ht="15.75" customHeight="1" thickBot="1">
      <c r="A56" s="223"/>
      <c r="B56" s="229" t="s">
        <v>243</v>
      </c>
      <c r="C56" s="229"/>
      <c r="D56" s="104"/>
      <c r="E56" s="273"/>
      <c r="F56" s="273"/>
      <c r="G56" s="273"/>
      <c r="H56" s="273"/>
      <c r="I56" s="274"/>
      <c r="J56" s="274"/>
      <c r="K56" s="276"/>
      <c r="L56" s="276"/>
      <c r="M56" s="275"/>
      <c r="N56" s="277"/>
      <c r="O56" s="277"/>
      <c r="P56" s="273"/>
      <c r="Q56" s="273"/>
      <c r="R56" s="273"/>
      <c r="S56" s="277"/>
    </row>
    <row r="57" spans="1:21" ht="15.75" customHeight="1" thickBot="1">
      <c r="A57" s="223">
        <v>32</v>
      </c>
      <c r="B57" s="229"/>
      <c r="C57" s="229" t="s">
        <v>59</v>
      </c>
      <c r="D57" s="104"/>
      <c r="E57" s="273">
        <f>'CBR Hist'!S58</f>
        <v>91466</v>
      </c>
      <c r="F57" s="273"/>
      <c r="G57" s="273">
        <v>0</v>
      </c>
      <c r="H57" s="273">
        <v>0</v>
      </c>
      <c r="I57" s="294">
        <f>SUM(E57:H57)</f>
        <v>91466</v>
      </c>
      <c r="J57" s="274"/>
      <c r="K57" s="708">
        <f>'Cost Trends'!G192</f>
        <v>8.1165011171454637E-2</v>
      </c>
      <c r="L57" s="276"/>
      <c r="M57" s="274">
        <f>I57*K57</f>
        <v>7423.8389118082696</v>
      </c>
      <c r="N57" s="277">
        <f>I57+M57</f>
        <v>98889.83891180827</v>
      </c>
      <c r="O57" s="277"/>
      <c r="P57" s="273"/>
      <c r="Q57" s="273"/>
      <c r="R57" s="273"/>
      <c r="S57" s="277">
        <f>N57</f>
        <v>98889.83891180827</v>
      </c>
    </row>
    <row r="58" spans="1:21" ht="15.75" customHeight="1">
      <c r="A58" s="223">
        <v>33</v>
      </c>
      <c r="B58" s="229"/>
      <c r="C58" s="229" t="s">
        <v>58</v>
      </c>
      <c r="D58" s="104"/>
      <c r="E58" s="273">
        <f>'CBR Hist'!S59</f>
        <v>738315</v>
      </c>
      <c r="F58" s="273"/>
      <c r="G58" s="273">
        <v>0</v>
      </c>
      <c r="H58" s="273">
        <v>0</v>
      </c>
      <c r="I58" s="294">
        <f t="shared" ref="I58:I61" si="11">SUM(E58:H58)</f>
        <v>738315</v>
      </c>
      <c r="J58" s="274"/>
      <c r="K58" s="709">
        <f>$K$57</f>
        <v>8.1165011171454637E-2</v>
      </c>
      <c r="L58" s="276"/>
      <c r="M58" s="274">
        <f>I58*K58</f>
        <v>59925.345223052529</v>
      </c>
      <c r="N58" s="277">
        <f>I58+M58</f>
        <v>798240.34522305254</v>
      </c>
      <c r="O58" s="277"/>
      <c r="P58" s="273"/>
      <c r="Q58" s="273"/>
      <c r="R58" s="273"/>
      <c r="S58" s="277">
        <f>N58</f>
        <v>798240.34522305254</v>
      </c>
    </row>
    <row r="59" spans="1:21" ht="15.75" customHeight="1">
      <c r="A59" s="223">
        <v>34</v>
      </c>
      <c r="B59" s="229"/>
      <c r="C59" s="229" t="s">
        <v>57</v>
      </c>
      <c r="D59" s="104"/>
      <c r="E59" s="273">
        <f>'CBR Hist'!S60</f>
        <v>359941</v>
      </c>
      <c r="F59" s="273"/>
      <c r="G59" s="273">
        <v>0</v>
      </c>
      <c r="H59" s="273">
        <v>0</v>
      </c>
      <c r="I59" s="294">
        <f t="shared" si="11"/>
        <v>359941</v>
      </c>
      <c r="J59" s="274"/>
      <c r="K59" s="709">
        <f>$K$57</f>
        <v>8.1165011171454637E-2</v>
      </c>
      <c r="L59" s="276"/>
      <c r="M59" s="274">
        <f>I59*K59</f>
        <v>29214.615286064552</v>
      </c>
      <c r="N59" s="277">
        <f>I59+M59</f>
        <v>389155.61528606457</v>
      </c>
      <c r="O59" s="277"/>
      <c r="P59" s="273"/>
      <c r="Q59" s="273"/>
      <c r="R59" s="273"/>
      <c r="S59" s="277">
        <f>N59</f>
        <v>389155.61528606457</v>
      </c>
    </row>
    <row r="60" spans="1:21" ht="15.75" customHeight="1">
      <c r="A60" s="223">
        <v>35</v>
      </c>
      <c r="B60" s="229"/>
      <c r="C60" s="229" t="s">
        <v>56</v>
      </c>
      <c r="D60" s="104"/>
      <c r="E60" s="273">
        <f>'CBR Hist'!S61</f>
        <v>796640</v>
      </c>
      <c r="F60" s="273"/>
      <c r="G60" s="273">
        <v>0</v>
      </c>
      <c r="H60" s="273">
        <v>0</v>
      </c>
      <c r="I60" s="294">
        <f t="shared" si="11"/>
        <v>796640</v>
      </c>
      <c r="J60" s="274"/>
      <c r="K60" s="709">
        <f>$K$57</f>
        <v>8.1165011171454637E-2</v>
      </c>
      <c r="L60" s="276"/>
      <c r="M60" s="274">
        <f>I60*K60</f>
        <v>64659.29449962762</v>
      </c>
      <c r="N60" s="277">
        <f>I60+M60</f>
        <v>861299.29449962766</v>
      </c>
      <c r="O60" s="277"/>
      <c r="P60" s="273"/>
      <c r="Q60" s="273"/>
      <c r="R60" s="273"/>
      <c r="S60" s="277">
        <f>N60</f>
        <v>861299.29449962766</v>
      </c>
    </row>
    <row r="61" spans="1:21" ht="15.75" customHeight="1">
      <c r="A61" s="223">
        <v>36</v>
      </c>
      <c r="B61" s="229"/>
      <c r="C61" s="229" t="s">
        <v>55</v>
      </c>
      <c r="D61" s="104"/>
      <c r="E61" s="273">
        <f>'CBR Hist'!S62</f>
        <v>179134</v>
      </c>
      <c r="F61" s="278"/>
      <c r="G61" s="273">
        <v>0</v>
      </c>
      <c r="H61" s="273">
        <v>0</v>
      </c>
      <c r="I61" s="294">
        <f t="shared" si="11"/>
        <v>179134</v>
      </c>
      <c r="J61" s="279"/>
      <c r="K61" s="709">
        <f>$K$57</f>
        <v>8.1165011171454637E-2</v>
      </c>
      <c r="L61" s="281"/>
      <c r="M61" s="279">
        <f>I61*K61</f>
        <v>14539.413111187356</v>
      </c>
      <c r="N61" s="278">
        <f>I61+M61</f>
        <v>193673.41311118734</v>
      </c>
      <c r="O61" s="278"/>
      <c r="P61" s="278"/>
      <c r="Q61" s="278"/>
      <c r="R61" s="278"/>
      <c r="S61" s="278">
        <f>N61</f>
        <v>193673.41311118734</v>
      </c>
    </row>
    <row r="62" spans="1:21" ht="15.75" customHeight="1">
      <c r="A62" s="223">
        <v>37</v>
      </c>
      <c r="B62" s="229"/>
      <c r="C62" s="229" t="s">
        <v>256</v>
      </c>
      <c r="D62" s="104"/>
      <c r="E62" s="490">
        <f>SUM(E57:E61)</f>
        <v>2165496</v>
      </c>
      <c r="F62" s="490">
        <f t="shared" ref="F62:H62" si="12">SUM(F57:F61)</f>
        <v>0</v>
      </c>
      <c r="G62" s="490">
        <f t="shared" si="12"/>
        <v>0</v>
      </c>
      <c r="H62" s="490">
        <f t="shared" si="12"/>
        <v>0</v>
      </c>
      <c r="I62" s="492">
        <f>SUM(I57:I61)</f>
        <v>2165496</v>
      </c>
      <c r="J62" s="274"/>
      <c r="K62" s="489"/>
      <c r="L62" s="276"/>
      <c r="M62" s="274">
        <f>SUM(M57:M61)</f>
        <v>175762.50703174033</v>
      </c>
      <c r="N62" s="274">
        <f>SUM(N57:N61)</f>
        <v>2341258.5070317406</v>
      </c>
      <c r="O62" s="277"/>
      <c r="P62" s="273"/>
      <c r="Q62" s="273"/>
      <c r="R62" s="273"/>
      <c r="S62" s="274">
        <f>SUM(S57:S61)</f>
        <v>2341258.5070317406</v>
      </c>
      <c r="U62" s="209"/>
    </row>
    <row r="63" spans="1:21" ht="15.75" customHeight="1">
      <c r="A63" s="223"/>
      <c r="B63" s="229" t="s">
        <v>247</v>
      </c>
      <c r="C63" s="229"/>
      <c r="D63" s="104"/>
      <c r="E63" s="273"/>
      <c r="F63" s="273"/>
      <c r="G63" s="273"/>
      <c r="H63" s="273"/>
      <c r="I63" s="274"/>
      <c r="J63" s="274"/>
      <c r="K63" s="276"/>
      <c r="L63" s="276"/>
      <c r="M63" s="275"/>
      <c r="N63" s="277"/>
      <c r="O63" s="277"/>
      <c r="P63" s="273"/>
      <c r="Q63" s="273"/>
      <c r="R63" s="273"/>
      <c r="S63" s="277">
        <f t="shared" ref="S63:S68" si="13">N63</f>
        <v>0</v>
      </c>
    </row>
    <row r="64" spans="1:21" ht="15.75" customHeight="1">
      <c r="A64" s="223">
        <v>38</v>
      </c>
      <c r="B64" s="229"/>
      <c r="C64" s="229" t="s">
        <v>59</v>
      </c>
      <c r="D64" s="109"/>
      <c r="E64" s="273">
        <f>-'CBR Hist'!S65</f>
        <v>-17667</v>
      </c>
      <c r="F64" s="273"/>
      <c r="G64" s="273">
        <v>0</v>
      </c>
      <c r="H64" s="273">
        <v>0</v>
      </c>
      <c r="I64" s="294">
        <f>SUM(E64:H64)</f>
        <v>-17667</v>
      </c>
      <c r="J64" s="274"/>
      <c r="K64" s="709">
        <f>$K$57</f>
        <v>8.1165011171454637E-2</v>
      </c>
      <c r="L64" s="276"/>
      <c r="M64" s="274">
        <f>I64*K64</f>
        <v>-1433.9422523660892</v>
      </c>
      <c r="N64" s="277">
        <f>I64+M64</f>
        <v>-19100.942252366091</v>
      </c>
      <c r="O64" s="277"/>
      <c r="P64" s="273"/>
      <c r="Q64" s="273"/>
      <c r="R64" s="273"/>
      <c r="S64" s="277">
        <f t="shared" si="13"/>
        <v>-19100.942252366091</v>
      </c>
    </row>
    <row r="65" spans="1:21" ht="15.75" customHeight="1">
      <c r="A65" s="223">
        <v>39</v>
      </c>
      <c r="B65" s="229"/>
      <c r="C65" s="229" t="s">
        <v>58</v>
      </c>
      <c r="D65" s="104"/>
      <c r="E65" s="273">
        <f>-'CBR Hist'!S66</f>
        <v>-314599</v>
      </c>
      <c r="F65" s="273"/>
      <c r="G65" s="273">
        <v>0</v>
      </c>
      <c r="H65" s="273">
        <v>0</v>
      </c>
      <c r="I65" s="294">
        <f t="shared" ref="I65:I68" si="14">SUM(E65:H65)</f>
        <v>-314599</v>
      </c>
      <c r="J65" s="274"/>
      <c r="K65" s="709">
        <f>$K$57</f>
        <v>8.1165011171454637E-2</v>
      </c>
      <c r="L65" s="276"/>
      <c r="M65" s="274">
        <f>I65*K65</f>
        <v>-25534.431349528459</v>
      </c>
      <c r="N65" s="277">
        <f>I65+M65</f>
        <v>-340133.43134952849</v>
      </c>
      <c r="O65" s="277"/>
      <c r="P65" s="273"/>
      <c r="Q65" s="273"/>
      <c r="R65" s="273"/>
      <c r="S65" s="277">
        <f t="shared" si="13"/>
        <v>-340133.43134952849</v>
      </c>
    </row>
    <row r="66" spans="1:21" ht="15.75" customHeight="1">
      <c r="A66" s="223">
        <v>40</v>
      </c>
      <c r="B66" s="229"/>
      <c r="C66" s="229" t="s">
        <v>57</v>
      </c>
      <c r="D66" s="104"/>
      <c r="E66" s="273">
        <f>-'CBR Hist'!S67</f>
        <v>-122308</v>
      </c>
      <c r="F66" s="273"/>
      <c r="G66" s="273">
        <v>0</v>
      </c>
      <c r="H66" s="273">
        <v>0</v>
      </c>
      <c r="I66" s="294">
        <f t="shared" si="14"/>
        <v>-122308</v>
      </c>
      <c r="J66" s="274"/>
      <c r="K66" s="709">
        <f>$K$57</f>
        <v>8.1165011171454637E-2</v>
      </c>
      <c r="L66" s="276"/>
      <c r="M66" s="274">
        <f>I66*K66</f>
        <v>-9927.1301863582739</v>
      </c>
      <c r="N66" s="277">
        <f>I66+M66</f>
        <v>-132235.13018635826</v>
      </c>
      <c r="O66" s="277"/>
      <c r="P66" s="273"/>
      <c r="Q66" s="273"/>
      <c r="R66" s="273"/>
      <c r="S66" s="277">
        <f t="shared" si="13"/>
        <v>-132235.13018635826</v>
      </c>
    </row>
    <row r="67" spans="1:21" ht="15.75" customHeight="1">
      <c r="A67" s="223">
        <v>41</v>
      </c>
      <c r="B67" s="229"/>
      <c r="C67" s="229" t="s">
        <v>56</v>
      </c>
      <c r="D67" s="104"/>
      <c r="E67" s="273">
        <f>-'CBR Hist'!S68</f>
        <v>-236201</v>
      </c>
      <c r="F67" s="273"/>
      <c r="G67" s="273">
        <v>0</v>
      </c>
      <c r="H67" s="273">
        <v>0</v>
      </c>
      <c r="I67" s="294">
        <f t="shared" si="14"/>
        <v>-236201</v>
      </c>
      <c r="J67" s="274"/>
      <c r="K67" s="709">
        <f>$K$57</f>
        <v>8.1165011171454637E-2</v>
      </c>
      <c r="L67" s="276"/>
      <c r="M67" s="274">
        <f>I67*K67</f>
        <v>-19171.256803708759</v>
      </c>
      <c r="N67" s="277">
        <f>I67+M67</f>
        <v>-255372.25680370876</v>
      </c>
      <c r="O67" s="277"/>
      <c r="P67" s="273"/>
      <c r="Q67" s="273"/>
      <c r="R67" s="273"/>
      <c r="S67" s="277">
        <f t="shared" si="13"/>
        <v>-255372.25680370876</v>
      </c>
    </row>
    <row r="68" spans="1:21" ht="15.75" customHeight="1">
      <c r="A68" s="223">
        <v>42</v>
      </c>
      <c r="B68" s="229"/>
      <c r="C68" s="229" t="s">
        <v>55</v>
      </c>
      <c r="D68" s="104"/>
      <c r="E68" s="273">
        <f>-'CBR Hist'!S69</f>
        <v>-58357</v>
      </c>
      <c r="F68" s="279"/>
      <c r="G68" s="273">
        <v>0</v>
      </c>
      <c r="H68" s="273">
        <v>0</v>
      </c>
      <c r="I68" s="294">
        <f t="shared" si="14"/>
        <v>-58357</v>
      </c>
      <c r="J68" s="279"/>
      <c r="K68" s="709">
        <f>$K$57</f>
        <v>8.1165011171454637E-2</v>
      </c>
      <c r="L68" s="281"/>
      <c r="M68" s="279">
        <f>I68*K68</f>
        <v>-4736.5465569325779</v>
      </c>
      <c r="N68" s="278">
        <f>I68+M68</f>
        <v>-63093.546556932575</v>
      </c>
      <c r="O68" s="278"/>
      <c r="P68" s="278"/>
      <c r="Q68" s="278"/>
      <c r="R68" s="278"/>
      <c r="S68" s="278">
        <f t="shared" si="13"/>
        <v>-63093.546556932575</v>
      </c>
    </row>
    <row r="69" spans="1:21" ht="30.75" customHeight="1">
      <c r="A69" s="223">
        <v>43</v>
      </c>
      <c r="B69" s="229"/>
      <c r="C69" s="226" t="s">
        <v>296</v>
      </c>
      <c r="D69" s="111"/>
      <c r="E69" s="490">
        <f>SUM(E64:E68)</f>
        <v>-749132</v>
      </c>
      <c r="F69" s="490">
        <f t="shared" ref="F69:H69" si="15">SUM(F64:F68)</f>
        <v>0</v>
      </c>
      <c r="G69" s="490">
        <f t="shared" si="15"/>
        <v>0</v>
      </c>
      <c r="H69" s="490">
        <f t="shared" si="15"/>
        <v>0</v>
      </c>
      <c r="I69" s="492">
        <f>SUM(I64:I68)</f>
        <v>-749132</v>
      </c>
      <c r="J69" s="274"/>
      <c r="K69" s="489"/>
      <c r="L69" s="276"/>
      <c r="M69" s="294">
        <f>SUM(M64:M68)</f>
        <v>-60803.307148894164</v>
      </c>
      <c r="N69" s="294">
        <f>SUM(N64:N68)</f>
        <v>-809935.30714889418</v>
      </c>
      <c r="O69" s="277"/>
      <c r="P69" s="273"/>
      <c r="Q69" s="273"/>
      <c r="R69" s="273"/>
      <c r="S69" s="294">
        <f>SUM(S64:S68)</f>
        <v>-809935.30714889418</v>
      </c>
      <c r="U69" s="209"/>
    </row>
    <row r="70" spans="1:21" ht="9" customHeight="1">
      <c r="A70" s="223"/>
      <c r="B70" s="229"/>
      <c r="C70" s="226"/>
      <c r="D70" s="111"/>
      <c r="E70" s="273"/>
      <c r="F70" s="294"/>
      <c r="G70" s="294"/>
      <c r="H70" s="294"/>
      <c r="I70" s="274"/>
      <c r="J70" s="274"/>
      <c r="K70" s="276"/>
      <c r="L70" s="276"/>
      <c r="M70" s="274"/>
      <c r="N70" s="277"/>
      <c r="O70" s="277"/>
      <c r="P70" s="273"/>
      <c r="Q70" s="273"/>
      <c r="R70" s="273"/>
      <c r="S70" s="277"/>
    </row>
    <row r="71" spans="1:21" ht="15.75" customHeight="1">
      <c r="A71" s="223">
        <v>44</v>
      </c>
      <c r="B71" s="229" t="s">
        <v>235</v>
      </c>
      <c r="C71" s="229"/>
      <c r="D71" s="104"/>
      <c r="E71" s="490">
        <f>E62+E69</f>
        <v>1416364</v>
      </c>
      <c r="F71" s="490">
        <f t="shared" ref="F71:S71" si="16">F62+F69</f>
        <v>0</v>
      </c>
      <c r="G71" s="490">
        <f t="shared" si="16"/>
        <v>0</v>
      </c>
      <c r="H71" s="490">
        <f t="shared" si="16"/>
        <v>0</v>
      </c>
      <c r="I71" s="490">
        <f t="shared" si="16"/>
        <v>1416364</v>
      </c>
      <c r="J71" s="490">
        <f t="shared" si="16"/>
        <v>0</v>
      </c>
      <c r="K71" s="490">
        <f t="shared" si="16"/>
        <v>0</v>
      </c>
      <c r="L71" s="490">
        <f t="shared" si="16"/>
        <v>0</v>
      </c>
      <c r="M71" s="490">
        <f t="shared" si="16"/>
        <v>114959.19988284617</v>
      </c>
      <c r="N71" s="490">
        <f t="shared" si="16"/>
        <v>1531323.1998828463</v>
      </c>
      <c r="O71" s="490">
        <f t="shared" si="16"/>
        <v>0</v>
      </c>
      <c r="P71" s="490"/>
      <c r="Q71" s="490"/>
      <c r="R71" s="490">
        <f t="shared" si="16"/>
        <v>0</v>
      </c>
      <c r="S71" s="490">
        <f t="shared" si="16"/>
        <v>1531323.1998828463</v>
      </c>
    </row>
    <row r="72" spans="1:21" ht="12.75" customHeight="1">
      <c r="A72" s="223"/>
      <c r="B72" s="229"/>
      <c r="C72" s="229"/>
      <c r="D72" s="104"/>
      <c r="E72" s="273"/>
      <c r="F72" s="294"/>
      <c r="G72" s="294"/>
      <c r="H72" s="294"/>
      <c r="I72" s="274"/>
      <c r="J72" s="274"/>
      <c r="K72" s="276"/>
      <c r="L72" s="276"/>
      <c r="M72" s="275"/>
      <c r="N72" s="277"/>
      <c r="O72" s="277"/>
      <c r="P72" s="273"/>
      <c r="Q72" s="273"/>
      <c r="R72" s="273"/>
      <c r="S72" s="277"/>
    </row>
    <row r="73" spans="1:21" ht="13.5" customHeight="1">
      <c r="A73" s="223">
        <v>45</v>
      </c>
      <c r="B73" s="229" t="s">
        <v>248</v>
      </c>
      <c r="C73" s="229"/>
      <c r="D73" s="104"/>
      <c r="E73" s="285">
        <f>'CBR Hist'!S73</f>
        <v>-221354</v>
      </c>
      <c r="F73" s="273"/>
      <c r="G73" s="273">
        <v>0</v>
      </c>
      <c r="H73" s="273">
        <v>0</v>
      </c>
      <c r="I73" s="294">
        <f t="shared" ref="I73:I76" si="17">SUM(E73:H73)</f>
        <v>-221354</v>
      </c>
      <c r="J73" s="274"/>
      <c r="K73" s="709">
        <f>$K$57</f>
        <v>8.1165011171454637E-2</v>
      </c>
      <c r="L73" s="284"/>
      <c r="M73" s="274">
        <f>K73*I73</f>
        <v>-17966.199882846169</v>
      </c>
      <c r="N73" s="277">
        <f>M73+I73</f>
        <v>-239320.19988284618</v>
      </c>
      <c r="O73" s="277"/>
      <c r="P73" s="273"/>
      <c r="Q73" s="273"/>
      <c r="R73" s="273"/>
      <c r="S73" s="277">
        <f>N73</f>
        <v>-239320.19988284618</v>
      </c>
      <c r="U73" s="209"/>
    </row>
    <row r="74" spans="1:21" ht="15.75" customHeight="1">
      <c r="A74" s="223">
        <v>46</v>
      </c>
      <c r="B74" s="229"/>
      <c r="C74" s="229" t="s">
        <v>297</v>
      </c>
      <c r="D74" s="109"/>
      <c r="E74" s="490">
        <f>E71+E73</f>
        <v>1195010</v>
      </c>
      <c r="F74" s="490">
        <f t="shared" ref="F74:N74" si="18">F71+F73</f>
        <v>0</v>
      </c>
      <c r="G74" s="490">
        <f t="shared" si="18"/>
        <v>0</v>
      </c>
      <c r="H74" s="490">
        <f t="shared" si="18"/>
        <v>0</v>
      </c>
      <c r="I74" s="490">
        <f t="shared" si="18"/>
        <v>1195010</v>
      </c>
      <c r="J74" s="490">
        <f t="shared" si="18"/>
        <v>0</v>
      </c>
      <c r="K74" s="490">
        <f t="shared" si="18"/>
        <v>8.1165011171454637E-2</v>
      </c>
      <c r="L74" s="490">
        <f t="shared" si="18"/>
        <v>0</v>
      </c>
      <c r="M74" s="490">
        <f t="shared" si="18"/>
        <v>96993</v>
      </c>
      <c r="N74" s="490">
        <f t="shared" si="18"/>
        <v>1292003.0000000002</v>
      </c>
      <c r="O74" s="490"/>
      <c r="P74" s="490"/>
      <c r="Q74" s="490"/>
      <c r="R74" s="490"/>
      <c r="S74" s="490">
        <f>N74</f>
        <v>1292003.0000000002</v>
      </c>
      <c r="U74" s="209"/>
    </row>
    <row r="75" spans="1:21" ht="15.75" customHeight="1">
      <c r="A75" s="223">
        <v>47</v>
      </c>
      <c r="B75" s="229" t="s">
        <v>249</v>
      </c>
      <c r="C75" s="229"/>
      <c r="D75" s="104"/>
      <c r="E75" s="285">
        <f>'CBR Hist'!S75</f>
        <v>14761</v>
      </c>
      <c r="F75" s="316"/>
      <c r="G75" s="273">
        <v>-7495</v>
      </c>
      <c r="H75" s="273"/>
      <c r="I75" s="294">
        <f t="shared" si="17"/>
        <v>7266</v>
      </c>
      <c r="J75" s="274"/>
      <c r="K75" s="488">
        <v>0</v>
      </c>
      <c r="L75" s="276"/>
      <c r="M75" s="274">
        <f>K75*I75</f>
        <v>0</v>
      </c>
      <c r="N75" s="277">
        <f>M75+I75</f>
        <v>7266</v>
      </c>
      <c r="O75" s="277"/>
      <c r="P75" s="273"/>
      <c r="Q75" s="273"/>
      <c r="R75" s="273"/>
      <c r="S75" s="277">
        <f>N75</f>
        <v>7266</v>
      </c>
      <c r="U75" s="62"/>
    </row>
    <row r="76" spans="1:21" ht="15.75" customHeight="1">
      <c r="A76" s="223">
        <v>48</v>
      </c>
      <c r="B76" s="229" t="s">
        <v>118</v>
      </c>
      <c r="C76" s="229"/>
      <c r="D76" s="104"/>
      <c r="E76" s="285">
        <f>'CBR Hist'!S76</f>
        <v>16281</v>
      </c>
      <c r="F76" s="273"/>
      <c r="G76" s="273">
        <v>16983</v>
      </c>
      <c r="H76" s="273"/>
      <c r="I76" s="294">
        <f t="shared" si="17"/>
        <v>33264</v>
      </c>
      <c r="J76" s="274"/>
      <c r="K76" s="488">
        <v>0</v>
      </c>
      <c r="L76" s="276"/>
      <c r="M76" s="274">
        <f>K76*I76</f>
        <v>0</v>
      </c>
      <c r="N76" s="277">
        <f>M76+I76</f>
        <v>33264</v>
      </c>
      <c r="O76" s="277"/>
      <c r="P76" s="273"/>
      <c r="Q76" s="273"/>
      <c r="R76" s="273"/>
      <c r="S76" s="277">
        <f>N76</f>
        <v>33264</v>
      </c>
      <c r="U76" s="62"/>
    </row>
    <row r="77" spans="1:21" ht="12.75" customHeight="1">
      <c r="A77" s="223"/>
      <c r="B77" s="229"/>
      <c r="C77" s="229"/>
      <c r="D77" s="104"/>
      <c r="E77" s="273"/>
      <c r="F77" s="273"/>
      <c r="G77" s="273"/>
      <c r="H77" s="273"/>
      <c r="I77" s="274"/>
      <c r="J77" s="274"/>
      <c r="K77" s="276"/>
      <c r="L77" s="276"/>
      <c r="M77" s="275"/>
      <c r="N77" s="277"/>
      <c r="O77" s="277"/>
      <c r="P77" s="273"/>
      <c r="Q77" s="273"/>
      <c r="R77" s="273"/>
      <c r="S77" s="277">
        <f>N77</f>
        <v>0</v>
      </c>
    </row>
    <row r="78" spans="1:21" ht="15.75" customHeight="1" thickBot="1">
      <c r="A78" s="223">
        <v>49</v>
      </c>
      <c r="B78" s="229" t="s">
        <v>51</v>
      </c>
      <c r="C78" s="229"/>
      <c r="D78" s="104"/>
      <c r="E78" s="491">
        <f>SUM(E74:E76)</f>
        <v>1226052</v>
      </c>
      <c r="F78" s="491">
        <f t="shared" ref="F78:H78" si="19">SUM(F74:F76)</f>
        <v>0</v>
      </c>
      <c r="G78" s="491">
        <f t="shared" si="19"/>
        <v>9488</v>
      </c>
      <c r="H78" s="491">
        <f t="shared" si="19"/>
        <v>0</v>
      </c>
      <c r="I78" s="493">
        <f>I71+I73+I75+I76</f>
        <v>1235540</v>
      </c>
      <c r="J78" s="493"/>
      <c r="K78" s="494"/>
      <c r="L78" s="494"/>
      <c r="M78" s="493">
        <f>M71+M73+M75+M76</f>
        <v>96993</v>
      </c>
      <c r="N78" s="493">
        <f>N71+N73+N75+N76</f>
        <v>1332533.0000000002</v>
      </c>
      <c r="O78" s="491"/>
      <c r="P78" s="491"/>
      <c r="Q78" s="491"/>
      <c r="R78" s="491"/>
      <c r="S78" s="724">
        <f>S71+S73+S75+S76</f>
        <v>1332533.0000000002</v>
      </c>
      <c r="U78" s="62"/>
    </row>
    <row r="79" spans="1:21" ht="13.15" customHeight="1" thickTop="1">
      <c r="A79" s="223"/>
      <c r="B79" s="229"/>
      <c r="C79" s="229"/>
      <c r="D79" s="104"/>
      <c r="E79" s="273"/>
      <c r="F79" s="273"/>
      <c r="G79" s="273"/>
      <c r="H79" s="595"/>
      <c r="I79" s="274"/>
      <c r="J79" s="274"/>
      <c r="K79" s="276"/>
      <c r="L79" s="276"/>
      <c r="M79" s="274"/>
      <c r="N79" s="277"/>
      <c r="O79" s="277"/>
      <c r="P79" s="273"/>
      <c r="Q79" s="273"/>
      <c r="R79" s="273"/>
      <c r="S79" s="277"/>
      <c r="U79" s="614"/>
    </row>
    <row r="80" spans="1:21" ht="15.75" customHeight="1">
      <c r="A80" s="223">
        <v>50</v>
      </c>
      <c r="B80" s="229" t="s">
        <v>50</v>
      </c>
      <c r="C80" s="229"/>
      <c r="D80" s="104"/>
      <c r="E80" s="583">
        <f>E53/E78</f>
        <v>7.5671341835419709E-2</v>
      </c>
      <c r="F80" s="316"/>
      <c r="G80" s="316"/>
      <c r="H80" s="284"/>
      <c r="I80"/>
      <c r="J80" s="295"/>
      <c r="K80" s="276"/>
      <c r="L80" s="276"/>
      <c r="M80" s="276"/>
      <c r="N80" s="296"/>
      <c r="O80" s="296"/>
      <c r="P80" s="284"/>
      <c r="Q80" s="284"/>
      <c r="R80" s="284"/>
      <c r="S80" s="583">
        <f>S53/S78</f>
        <v>6.5154555895141644E-2</v>
      </c>
    </row>
    <row r="81" spans="1:21" s="55" customFormat="1" ht="4.5" customHeight="1" thickBot="1">
      <c r="A81" s="227"/>
      <c r="B81" s="229"/>
      <c r="C81" s="228"/>
      <c r="D81" s="54"/>
      <c r="E81" s="297"/>
      <c r="F81" s="290"/>
      <c r="G81" s="290"/>
      <c r="H81" s="290"/>
      <c r="I81" s="227"/>
      <c r="J81" s="227"/>
      <c r="K81" s="298"/>
      <c r="L81" s="298"/>
      <c r="M81" s="229"/>
      <c r="N81" s="299"/>
      <c r="O81" s="299"/>
      <c r="P81" s="277"/>
      <c r="Q81" s="277"/>
      <c r="R81" s="277"/>
      <c r="S81" s="228"/>
    </row>
    <row r="82" spans="1:21" s="55" customFormat="1" ht="15.75" customHeight="1">
      <c r="A82" s="227"/>
      <c r="B82" s="318" t="s">
        <v>285</v>
      </c>
      <c r="C82" s="230"/>
      <c r="D82" s="103"/>
      <c r="E82" s="300"/>
      <c r="F82" s="301"/>
      <c r="G82" s="301"/>
      <c r="H82" s="301"/>
      <c r="I82" s="302"/>
      <c r="J82" s="302"/>
      <c r="K82" s="303"/>
      <c r="L82" s="303"/>
      <c r="M82" s="303"/>
      <c r="N82" s="230"/>
      <c r="O82" s="230"/>
      <c r="P82" s="304"/>
      <c r="Q82" s="304"/>
      <c r="R82" s="304"/>
      <c r="S82" s="305"/>
    </row>
    <row r="83" spans="1:21" s="222" customFormat="1" ht="15.75" customHeight="1">
      <c r="A83" s="223">
        <v>50</v>
      </c>
      <c r="B83" s="231" t="s">
        <v>283</v>
      </c>
      <c r="C83" s="232"/>
      <c r="D83" s="107"/>
      <c r="E83" s="284">
        <f>ROR!F15</f>
        <v>6.7699999999999996E-2</v>
      </c>
      <c r="F83" s="306"/>
      <c r="G83" s="306"/>
      <c r="H83" s="306"/>
      <c r="I83" s="543"/>
      <c r="J83" s="307"/>
      <c r="K83" s="284"/>
      <c r="L83" s="284"/>
      <c r="M83" s="284"/>
      <c r="N83" s="288"/>
      <c r="O83" s="288"/>
      <c r="P83" s="273"/>
      <c r="Q83" s="273"/>
      <c r="R83" s="273"/>
      <c r="S83" s="308">
        <f>E83</f>
        <v>6.7699999999999996E-2</v>
      </c>
    </row>
    <row r="84" spans="1:21" s="222" customFormat="1" ht="15.75" customHeight="1">
      <c r="A84" s="223">
        <v>51</v>
      </c>
      <c r="B84" s="231" t="s">
        <v>298</v>
      </c>
      <c r="C84" s="232"/>
      <c r="D84" s="107"/>
      <c r="E84" s="273">
        <f>E83*E78</f>
        <v>83003.720399999991</v>
      </c>
      <c r="F84" s="309"/>
      <c r="G84" s="309"/>
      <c r="H84" s="309"/>
      <c r="I84" s="543"/>
      <c r="J84" s="307"/>
      <c r="K84" s="309"/>
      <c r="L84" s="309"/>
      <c r="M84" s="309"/>
      <c r="N84" s="288"/>
      <c r="O84" s="288"/>
      <c r="P84" s="273"/>
      <c r="Q84" s="273"/>
      <c r="R84" s="273"/>
      <c r="S84" s="544">
        <f>S83*S78</f>
        <v>90212.484100000016</v>
      </c>
    </row>
    <row r="85" spans="1:21" s="222" customFormat="1" ht="15.75" customHeight="1">
      <c r="A85" s="223">
        <v>52</v>
      </c>
      <c r="B85" s="231" t="s">
        <v>286</v>
      </c>
      <c r="C85" s="232"/>
      <c r="D85" s="106"/>
      <c r="E85" s="273">
        <f>E84-E53</f>
        <v>-9773.2796000000089</v>
      </c>
      <c r="F85" s="699"/>
      <c r="G85" s="699"/>
      <c r="H85" s="699"/>
      <c r="I85" s="543"/>
      <c r="J85" s="307"/>
      <c r="K85" s="699"/>
      <c r="L85" s="699"/>
      <c r="M85" s="699"/>
      <c r="N85" s="310"/>
      <c r="O85" s="310"/>
      <c r="P85" s="310"/>
      <c r="Q85" s="310"/>
      <c r="R85" s="288"/>
      <c r="S85" s="544">
        <f>S84-S53</f>
        <v>3391.8882693792257</v>
      </c>
    </row>
    <row r="86" spans="1:21" s="222" customFormat="1" ht="15.75" customHeight="1">
      <c r="A86" s="223">
        <v>53</v>
      </c>
      <c r="B86" s="231" t="s">
        <v>95</v>
      </c>
      <c r="C86" s="232"/>
      <c r="D86" s="106"/>
      <c r="E86" s="311">
        <f>S86</f>
        <v>0.62048999999999999</v>
      </c>
      <c r="F86" s="306"/>
      <c r="G86" s="306"/>
      <c r="H86" s="306"/>
      <c r="I86" s="543"/>
      <c r="J86" s="307"/>
      <c r="K86" s="312"/>
      <c r="L86" s="312"/>
      <c r="M86" s="312"/>
      <c r="N86" s="310"/>
      <c r="O86" s="310"/>
      <c r="P86" s="310"/>
      <c r="Q86" s="310"/>
      <c r="R86" s="288"/>
      <c r="S86" s="313">
        <f>ROR!L24</f>
        <v>0.62048999999999999</v>
      </c>
    </row>
    <row r="87" spans="1:21" s="222" customFormat="1" ht="15.75" customHeight="1">
      <c r="A87" s="223">
        <v>54</v>
      </c>
      <c r="B87" s="231" t="s">
        <v>49</v>
      </c>
      <c r="C87" s="232"/>
      <c r="D87" s="106"/>
      <c r="E87" s="273">
        <f>E85/E86</f>
        <v>-15750.905896952423</v>
      </c>
      <c r="F87" s="314"/>
      <c r="G87" s="314"/>
      <c r="H87" s="314"/>
      <c r="I87" s="543"/>
      <c r="J87" s="307"/>
      <c r="K87" s="699"/>
      <c r="L87" s="699"/>
      <c r="M87" s="699"/>
      <c r="N87" s="310"/>
      <c r="O87" s="310"/>
      <c r="P87" s="310"/>
      <c r="Q87" s="310"/>
      <c r="R87" s="288"/>
      <c r="S87" s="544">
        <f>S85/S86</f>
        <v>5466.4672587458717</v>
      </c>
    </row>
    <row r="88" spans="1:21" s="53" customFormat="1" ht="15.75" customHeight="1">
      <c r="A88" s="223">
        <v>55</v>
      </c>
      <c r="B88" s="231" t="s">
        <v>116</v>
      </c>
      <c r="C88" s="232"/>
      <c r="D88" s="106"/>
      <c r="E88" s="317"/>
      <c r="F88" s="314"/>
      <c r="G88" s="314"/>
      <c r="H88" s="314"/>
      <c r="I88" s="314"/>
      <c r="J88" s="307"/>
      <c r="K88" s="315"/>
      <c r="L88" s="315"/>
      <c r="M88" s="315"/>
      <c r="N88" s="310"/>
      <c r="O88" s="310"/>
      <c r="P88" s="310"/>
      <c r="Q88" s="310"/>
      <c r="R88" s="288"/>
      <c r="S88" s="369">
        <f>Summary!G12</f>
        <v>1</v>
      </c>
      <c r="U88" s="607"/>
    </row>
    <row r="89" spans="1:21" s="53" customFormat="1" ht="15" customHeight="1" thickBot="1">
      <c r="A89" s="223">
        <v>56</v>
      </c>
      <c r="B89" s="231" t="s">
        <v>287</v>
      </c>
      <c r="C89" s="232"/>
      <c r="D89" s="728"/>
      <c r="E89" s="309"/>
      <c r="F89" s="314"/>
      <c r="G89" s="314"/>
      <c r="H89" s="314"/>
      <c r="I89" s="314"/>
      <c r="J89" s="307"/>
      <c r="K89" s="309"/>
      <c r="L89" s="309"/>
      <c r="M89" s="309"/>
      <c r="N89" s="310"/>
      <c r="O89" s="310"/>
      <c r="P89" s="310"/>
      <c r="Q89" s="310"/>
      <c r="R89" s="288"/>
      <c r="S89" s="729">
        <f>S87/S88</f>
        <v>5466.4672587458717</v>
      </c>
    </row>
    <row r="90" spans="1:21" ht="15" customHeight="1" thickBot="1">
      <c r="A90" s="223">
        <v>57</v>
      </c>
      <c r="B90" s="319" t="s">
        <v>612</v>
      </c>
      <c r="C90" s="730"/>
      <c r="D90" s="730"/>
      <c r="E90" s="730"/>
      <c r="F90" s="731"/>
      <c r="G90" s="731"/>
      <c r="H90" s="731"/>
      <c r="I90" s="732"/>
      <c r="J90" s="732"/>
      <c r="K90" s="731"/>
      <c r="L90" s="731"/>
      <c r="M90" s="731"/>
      <c r="N90" s="733"/>
      <c r="O90" s="733"/>
      <c r="P90" s="733"/>
      <c r="Q90" s="733"/>
      <c r="R90" s="733"/>
      <c r="S90" s="734">
        <f>S89+Summary!I24</f>
        <v>5823.4672587458717</v>
      </c>
    </row>
    <row r="91" spans="1:21" s="596" customFormat="1" ht="36.75" customHeight="1">
      <c r="A91" s="617"/>
      <c r="B91" s="617"/>
      <c r="C91" s="617"/>
      <c r="D91" s="617"/>
      <c r="E91" s="617"/>
      <c r="F91" s="617"/>
      <c r="G91" s="617"/>
      <c r="H91" s="617"/>
      <c r="I91" s="617"/>
      <c r="J91" s="617"/>
      <c r="K91" s="617"/>
      <c r="L91" s="617"/>
      <c r="M91" s="617"/>
      <c r="N91" s="617"/>
      <c r="O91" s="617"/>
      <c r="P91" s="617"/>
      <c r="Q91" s="617"/>
      <c r="R91" s="617"/>
      <c r="S91" s="617"/>
    </row>
    <row r="92" spans="1:21" ht="11.1" customHeight="1">
      <c r="B92" s="54"/>
      <c r="C92" s="54"/>
      <c r="E92" s="54"/>
      <c r="F92" s="54"/>
      <c r="G92" s="54"/>
      <c r="H92" s="54"/>
      <c r="I92" s="112"/>
      <c r="J92" s="112"/>
      <c r="K92" s="54"/>
      <c r="L92" s="54"/>
      <c r="M92" s="54"/>
      <c r="N92" s="57"/>
      <c r="O92" s="57"/>
      <c r="Q92" s="57"/>
      <c r="R92" s="57"/>
      <c r="S92" s="57"/>
    </row>
    <row r="93" spans="1:21" ht="15.6" customHeight="1">
      <c r="C93" s="57"/>
      <c r="E93" s="54"/>
      <c r="F93" s="57"/>
      <c r="G93" s="57"/>
      <c r="H93" s="57"/>
      <c r="I93" s="284"/>
      <c r="J93" s="108"/>
      <c r="K93" s="54"/>
      <c r="L93" s="54"/>
      <c r="M93" s="54"/>
      <c r="N93" s="57"/>
      <c r="O93" s="57"/>
      <c r="Q93" s="57"/>
      <c r="R93" s="57"/>
      <c r="S93" s="309"/>
      <c r="U93" s="608"/>
    </row>
    <row r="94" spans="1:21" ht="11.1" customHeight="1">
      <c r="C94" s="57"/>
      <c r="E94" s="54"/>
      <c r="F94" s="57"/>
      <c r="G94" s="57"/>
      <c r="H94" s="57"/>
      <c r="I94" s="108"/>
      <c r="J94" s="108"/>
      <c r="K94" s="54"/>
      <c r="L94" s="54"/>
      <c r="M94" s="54"/>
      <c r="N94" s="57"/>
      <c r="O94" s="57"/>
      <c r="Q94" s="57"/>
      <c r="R94" s="57"/>
      <c r="S94" s="57"/>
    </row>
    <row r="95" spans="1:21" ht="15.75">
      <c r="C95" s="57"/>
      <c r="E95" s="54"/>
      <c r="F95" s="57"/>
      <c r="G95" s="57"/>
      <c r="H95" s="57"/>
      <c r="I95" s="284"/>
      <c r="J95" s="108"/>
      <c r="K95" s="54"/>
      <c r="L95" s="54"/>
      <c r="M95" s="54"/>
      <c r="N95" s="57"/>
      <c r="O95" s="57"/>
      <c r="Q95" s="57"/>
      <c r="R95" s="57"/>
      <c r="S95" s="57"/>
    </row>
    <row r="96" spans="1:21" ht="15.75">
      <c r="C96" s="57"/>
      <c r="E96" s="54"/>
      <c r="F96" s="57"/>
      <c r="G96" s="57"/>
      <c r="H96" s="57"/>
      <c r="I96" s="542"/>
      <c r="J96" s="108"/>
      <c r="K96" s="54"/>
      <c r="L96" s="54"/>
      <c r="M96" s="54"/>
      <c r="N96" s="57"/>
      <c r="O96" s="57"/>
      <c r="Q96" s="57"/>
      <c r="R96" s="57"/>
      <c r="S96" s="57"/>
    </row>
    <row r="97" spans="3:19" ht="15.75">
      <c r="C97" s="57"/>
      <c r="E97" s="54"/>
      <c r="F97" s="57"/>
      <c r="G97" s="57"/>
      <c r="H97" s="57"/>
      <c r="I97" s="542"/>
      <c r="J97" s="108"/>
      <c r="K97" s="54"/>
      <c r="L97" s="54"/>
      <c r="M97" s="54"/>
      <c r="N97" s="57"/>
      <c r="O97" s="57"/>
      <c r="Q97" s="57"/>
      <c r="R97" s="57"/>
      <c r="S97" s="57"/>
    </row>
    <row r="98" spans="3:19" ht="15.75">
      <c r="C98" s="57"/>
      <c r="E98" s="54"/>
      <c r="F98" s="57"/>
      <c r="G98" s="57"/>
      <c r="H98" s="57"/>
      <c r="I98" s="311"/>
      <c r="J98" s="108"/>
      <c r="K98" s="54"/>
      <c r="L98" s="54"/>
      <c r="M98" s="54"/>
      <c r="N98" s="57"/>
      <c r="O98" s="57"/>
      <c r="Q98" s="57"/>
      <c r="R98" s="57"/>
      <c r="S98" s="57"/>
    </row>
    <row r="99" spans="3:19" ht="15.75">
      <c r="C99" s="57"/>
      <c r="E99" s="54"/>
      <c r="F99" s="57"/>
      <c r="G99" s="57"/>
      <c r="H99" s="57"/>
      <c r="I99" s="542"/>
      <c r="J99" s="108"/>
      <c r="K99" s="54"/>
      <c r="L99" s="54"/>
      <c r="M99" s="54"/>
      <c r="N99" s="57"/>
      <c r="O99" s="57"/>
      <c r="Q99" s="57"/>
      <c r="R99" s="57"/>
      <c r="S99" s="57"/>
    </row>
    <row r="100" spans="3:19" ht="11.1" customHeight="1">
      <c r="C100" s="57"/>
      <c r="E100" s="54"/>
      <c r="F100" s="57"/>
      <c r="G100" s="57"/>
      <c r="H100" s="57"/>
      <c r="I100" s="108"/>
      <c r="J100" s="108"/>
      <c r="K100" s="54"/>
      <c r="L100" s="54"/>
      <c r="M100" s="54"/>
      <c r="N100" s="57"/>
      <c r="O100" s="57"/>
      <c r="Q100" s="57"/>
      <c r="R100" s="57"/>
      <c r="S100" s="57"/>
    </row>
    <row r="101" spans="3:19" ht="11.1" customHeight="1">
      <c r="C101" s="57"/>
      <c r="E101" s="54"/>
      <c r="F101" s="57"/>
      <c r="G101" s="57"/>
      <c r="H101" s="57"/>
      <c r="I101" s="108"/>
      <c r="J101" s="108"/>
      <c r="K101" s="54"/>
      <c r="L101" s="54"/>
      <c r="M101" s="54"/>
      <c r="N101" s="57"/>
      <c r="O101" s="57"/>
      <c r="Q101" s="57"/>
      <c r="R101" s="57"/>
      <c r="S101" s="57"/>
    </row>
    <row r="102" spans="3:19" ht="11.1" customHeight="1">
      <c r="C102" s="57"/>
      <c r="E102" s="54"/>
      <c r="F102" s="57"/>
      <c r="G102" s="57"/>
      <c r="H102" s="57"/>
      <c r="I102" s="108"/>
      <c r="J102" s="108"/>
      <c r="K102" s="54"/>
      <c r="L102" s="54"/>
      <c r="M102" s="54"/>
      <c r="N102" s="57"/>
      <c r="O102" s="57"/>
      <c r="Q102" s="57"/>
      <c r="R102" s="57"/>
      <c r="S102" s="57"/>
    </row>
    <row r="103" spans="3:19" ht="11.1" customHeight="1">
      <c r="C103" s="57"/>
      <c r="E103" s="54"/>
      <c r="F103" s="57"/>
      <c r="G103" s="57"/>
      <c r="H103" s="57"/>
      <c r="I103" s="108"/>
      <c r="J103" s="108"/>
      <c r="K103" s="54"/>
      <c r="L103" s="54"/>
      <c r="M103" s="54"/>
      <c r="N103" s="57"/>
      <c r="O103" s="57"/>
      <c r="Q103" s="57"/>
      <c r="R103" s="57"/>
      <c r="S103" s="57"/>
    </row>
    <row r="104" spans="3:19" ht="11.1" customHeight="1">
      <c r="C104" s="57"/>
      <c r="E104" s="54"/>
      <c r="G104" s="209"/>
      <c r="H104" s="209"/>
      <c r="I104" s="55"/>
      <c r="J104" s="55"/>
      <c r="K104" s="56"/>
      <c r="L104" s="56"/>
      <c r="M104" s="56"/>
      <c r="N104" s="57"/>
      <c r="O104" s="57"/>
      <c r="Q104" s="57"/>
      <c r="R104" s="57"/>
      <c r="S104" s="57"/>
    </row>
    <row r="105" spans="3:19" ht="11.1" customHeight="1">
      <c r="C105" s="57"/>
      <c r="E105" s="54"/>
      <c r="G105" s="209"/>
      <c r="H105" s="209"/>
      <c r="I105" s="55"/>
      <c r="J105" s="55"/>
      <c r="K105" s="56"/>
      <c r="L105" s="56"/>
      <c r="M105" s="56"/>
      <c r="N105" s="57"/>
      <c r="O105" s="57"/>
      <c r="Q105" s="57"/>
      <c r="R105" s="57"/>
      <c r="S105" s="57"/>
    </row>
    <row r="106" spans="3:19" ht="11.1" customHeight="1">
      <c r="C106" s="57"/>
      <c r="E106" s="54"/>
      <c r="G106" s="209"/>
      <c r="H106" s="209"/>
      <c r="I106" s="55"/>
      <c r="J106" s="55"/>
      <c r="K106" s="56"/>
      <c r="L106" s="56"/>
      <c r="M106" s="56"/>
      <c r="N106" s="57"/>
      <c r="O106" s="57"/>
      <c r="Q106" s="57"/>
      <c r="R106" s="57"/>
      <c r="S106" s="57"/>
    </row>
    <row r="107" spans="3:19" ht="11.1" customHeight="1">
      <c r="C107" s="57"/>
      <c r="E107" s="54"/>
      <c r="G107" s="209"/>
      <c r="H107" s="209"/>
      <c r="I107" s="55"/>
      <c r="J107" s="55"/>
      <c r="K107" s="56"/>
      <c r="L107" s="56"/>
      <c r="M107" s="56"/>
      <c r="N107" s="57"/>
      <c r="O107" s="57"/>
      <c r="Q107" s="57"/>
      <c r="R107" s="57"/>
      <c r="S107" s="57"/>
    </row>
    <row r="108" spans="3:19" ht="11.1" customHeight="1">
      <c r="C108" s="57"/>
      <c r="E108" s="54"/>
      <c r="G108" s="209"/>
      <c r="H108" s="209"/>
      <c r="I108" s="55"/>
      <c r="J108" s="55"/>
      <c r="K108" s="56"/>
      <c r="L108" s="56"/>
      <c r="M108" s="56"/>
      <c r="N108" s="57"/>
      <c r="O108" s="57"/>
      <c r="Q108" s="57"/>
      <c r="R108" s="57"/>
      <c r="S108" s="57"/>
    </row>
    <row r="109" spans="3:19" ht="11.1" customHeight="1">
      <c r="C109" s="57"/>
      <c r="E109" s="54"/>
      <c r="G109" s="209"/>
      <c r="H109" s="209"/>
      <c r="I109" s="55"/>
      <c r="J109" s="55"/>
      <c r="K109" s="56"/>
      <c r="L109" s="56"/>
      <c r="M109" s="56"/>
      <c r="N109" s="57"/>
      <c r="O109" s="57"/>
      <c r="Q109" s="57"/>
      <c r="R109" s="57"/>
      <c r="S109" s="57"/>
    </row>
    <row r="110" spans="3:19" ht="11.1" customHeight="1">
      <c r="C110" s="57"/>
      <c r="E110" s="54"/>
      <c r="G110" s="209"/>
      <c r="H110" s="209"/>
      <c r="I110" s="55"/>
      <c r="J110" s="55"/>
      <c r="K110" s="56"/>
      <c r="L110" s="56"/>
      <c r="M110" s="56"/>
      <c r="N110" s="57"/>
      <c r="O110" s="57"/>
      <c r="Q110" s="57"/>
      <c r="R110" s="57"/>
      <c r="S110" s="57"/>
    </row>
    <row r="111" spans="3:19" ht="11.1" customHeight="1">
      <c r="C111" s="57"/>
      <c r="E111" s="54"/>
      <c r="G111" s="209"/>
      <c r="H111" s="209"/>
      <c r="I111" s="55"/>
      <c r="J111" s="55"/>
      <c r="K111" s="56"/>
      <c r="L111" s="56"/>
      <c r="M111" s="56"/>
      <c r="N111" s="57"/>
      <c r="O111" s="57"/>
      <c r="Q111" s="57"/>
      <c r="R111" s="57"/>
      <c r="S111" s="57"/>
    </row>
    <row r="112" spans="3:19" ht="11.1" customHeight="1">
      <c r="C112" s="57"/>
      <c r="E112" s="54"/>
      <c r="G112" s="209"/>
      <c r="H112" s="209"/>
      <c r="I112" s="55"/>
      <c r="J112" s="55"/>
      <c r="K112" s="56"/>
      <c r="L112" s="56"/>
      <c r="M112" s="56"/>
      <c r="N112" s="57"/>
      <c r="O112" s="57"/>
      <c r="Q112" s="57"/>
      <c r="R112" s="57"/>
      <c r="S112" s="57"/>
    </row>
    <row r="113" spans="3:19" ht="11.1" customHeight="1">
      <c r="C113" s="57"/>
      <c r="E113" s="54"/>
      <c r="G113" s="209"/>
      <c r="H113" s="209"/>
      <c r="I113" s="55"/>
      <c r="J113" s="55"/>
      <c r="K113" s="56"/>
      <c r="L113" s="56"/>
      <c r="M113" s="56"/>
      <c r="N113" s="57"/>
      <c r="O113" s="57"/>
      <c r="Q113" s="57"/>
      <c r="R113" s="57"/>
      <c r="S113" s="57"/>
    </row>
    <row r="114" spans="3:19" ht="11.1" customHeight="1">
      <c r="C114" s="57"/>
      <c r="E114" s="54"/>
      <c r="G114" s="209"/>
      <c r="H114" s="209"/>
      <c r="I114" s="55"/>
      <c r="J114" s="55"/>
      <c r="K114" s="56"/>
      <c r="L114" s="56"/>
      <c r="M114" s="56"/>
      <c r="N114" s="57"/>
      <c r="O114" s="57"/>
      <c r="Q114" s="57"/>
      <c r="R114" s="57"/>
      <c r="S114" s="57"/>
    </row>
    <row r="115" spans="3:19" ht="11.1" customHeight="1">
      <c r="C115" s="57"/>
      <c r="E115" s="54"/>
      <c r="G115" s="209"/>
      <c r="H115" s="209"/>
      <c r="I115" s="55"/>
      <c r="J115" s="55"/>
      <c r="K115" s="56"/>
      <c r="L115" s="56"/>
      <c r="M115" s="56"/>
      <c r="N115" s="57"/>
      <c r="O115" s="57"/>
      <c r="Q115" s="57"/>
      <c r="R115" s="57"/>
      <c r="S115" s="57"/>
    </row>
    <row r="116" spans="3:19" ht="11.1" customHeight="1">
      <c r="C116" s="57"/>
      <c r="E116" s="54"/>
      <c r="G116" s="209"/>
      <c r="H116" s="209"/>
      <c r="I116" s="55"/>
      <c r="J116" s="55"/>
      <c r="K116" s="56"/>
      <c r="L116" s="56"/>
      <c r="M116" s="56"/>
      <c r="N116" s="57"/>
      <c r="O116" s="57"/>
      <c r="Q116" s="57"/>
      <c r="R116" s="57"/>
      <c r="S116" s="57"/>
    </row>
    <row r="117" spans="3:19" ht="11.1" customHeight="1">
      <c r="C117" s="57"/>
      <c r="E117" s="54"/>
      <c r="G117" s="209"/>
      <c r="H117" s="209"/>
      <c r="I117" s="55"/>
      <c r="J117" s="55"/>
      <c r="K117" s="56"/>
      <c r="L117" s="56"/>
      <c r="M117" s="56"/>
      <c r="N117" s="57"/>
      <c r="O117" s="57"/>
      <c r="Q117" s="57"/>
      <c r="R117" s="57"/>
      <c r="S117" s="57"/>
    </row>
    <row r="118" spans="3:19" ht="11.1" customHeight="1">
      <c r="C118" s="57"/>
      <c r="E118" s="54"/>
      <c r="G118" s="209"/>
      <c r="H118" s="209"/>
      <c r="I118" s="55"/>
      <c r="J118" s="55"/>
      <c r="K118" s="56"/>
      <c r="L118" s="56"/>
      <c r="M118" s="56"/>
      <c r="N118" s="57"/>
      <c r="O118" s="57"/>
      <c r="Q118" s="57"/>
      <c r="R118" s="57"/>
      <c r="S118" s="57"/>
    </row>
    <row r="119" spans="3:19" ht="11.1" customHeight="1">
      <c r="C119" s="57"/>
      <c r="E119" s="54"/>
      <c r="G119" s="209"/>
      <c r="H119" s="209"/>
      <c r="I119" s="55"/>
      <c r="J119" s="55"/>
      <c r="K119" s="56"/>
      <c r="L119" s="56"/>
      <c r="M119" s="56"/>
      <c r="N119" s="57"/>
      <c r="O119" s="57"/>
      <c r="Q119" s="57"/>
      <c r="R119" s="57"/>
      <c r="S119" s="57"/>
    </row>
    <row r="120" spans="3:19" ht="11.1" customHeight="1">
      <c r="C120" s="57"/>
      <c r="E120" s="54"/>
      <c r="G120" s="209"/>
      <c r="H120" s="209"/>
      <c r="I120" s="55"/>
      <c r="J120" s="55"/>
      <c r="K120" s="56"/>
      <c r="L120" s="56"/>
      <c r="M120" s="56"/>
      <c r="N120" s="57"/>
      <c r="O120" s="57"/>
      <c r="Q120" s="57"/>
      <c r="R120" s="57"/>
      <c r="S120" s="57"/>
    </row>
    <row r="121" spans="3:19" ht="11.1" customHeight="1">
      <c r="C121" s="57"/>
      <c r="E121" s="54"/>
      <c r="G121" s="209"/>
      <c r="H121" s="209"/>
      <c r="I121" s="55"/>
      <c r="J121" s="55"/>
      <c r="K121" s="56"/>
      <c r="L121" s="56"/>
      <c r="M121" s="56"/>
      <c r="N121" s="57"/>
      <c r="O121" s="57"/>
      <c r="Q121" s="57"/>
      <c r="R121" s="57"/>
      <c r="S121" s="57"/>
    </row>
    <row r="122" spans="3:19" ht="11.1" customHeight="1">
      <c r="C122" s="57"/>
      <c r="E122" s="54"/>
      <c r="G122" s="209"/>
      <c r="H122" s="209"/>
      <c r="I122" s="55"/>
      <c r="J122" s="55"/>
      <c r="K122" s="56"/>
      <c r="L122" s="56"/>
      <c r="M122" s="56"/>
      <c r="N122" s="57"/>
      <c r="O122" s="57"/>
      <c r="Q122" s="57"/>
      <c r="R122" s="57"/>
      <c r="S122" s="57"/>
    </row>
    <row r="123" spans="3:19" ht="11.1" customHeight="1">
      <c r="C123" s="57"/>
      <c r="E123" s="54"/>
      <c r="G123" s="209"/>
      <c r="H123" s="209"/>
      <c r="I123" s="55"/>
      <c r="J123" s="55"/>
      <c r="K123" s="56"/>
      <c r="L123" s="56"/>
      <c r="M123" s="56"/>
      <c r="N123" s="57"/>
      <c r="O123" s="57"/>
      <c r="Q123" s="57"/>
      <c r="R123" s="57"/>
      <c r="S123" s="57"/>
    </row>
    <row r="124" spans="3:19" ht="11.1" customHeight="1">
      <c r="C124" s="57"/>
      <c r="E124" s="54"/>
      <c r="G124" s="209"/>
      <c r="H124" s="209"/>
      <c r="I124" s="55"/>
      <c r="J124" s="55"/>
      <c r="K124" s="56"/>
      <c r="L124" s="56"/>
      <c r="M124" s="56"/>
      <c r="N124" s="57"/>
      <c r="O124" s="57"/>
      <c r="Q124" s="57"/>
      <c r="R124" s="57"/>
      <c r="S124" s="57"/>
    </row>
    <row r="125" spans="3:19" ht="11.1" customHeight="1">
      <c r="C125" s="57"/>
      <c r="E125" s="54"/>
      <c r="G125" s="209"/>
      <c r="H125" s="209"/>
      <c r="I125" s="55"/>
      <c r="J125" s="55"/>
      <c r="K125" s="56"/>
      <c r="L125" s="56"/>
      <c r="M125" s="56"/>
      <c r="N125" s="57"/>
      <c r="O125" s="57"/>
      <c r="Q125" s="57"/>
      <c r="R125" s="57"/>
      <c r="S125" s="57"/>
    </row>
    <row r="126" spans="3:19" ht="11.1" customHeight="1">
      <c r="C126" s="57"/>
      <c r="E126" s="54"/>
      <c r="G126" s="209"/>
      <c r="H126" s="209"/>
      <c r="I126" s="55"/>
      <c r="J126" s="55"/>
      <c r="K126" s="56"/>
      <c r="L126" s="56"/>
      <c r="M126" s="56"/>
      <c r="N126" s="57"/>
      <c r="O126" s="57"/>
      <c r="Q126" s="57"/>
      <c r="R126" s="57"/>
      <c r="S126" s="57"/>
    </row>
    <row r="127" spans="3:19" ht="11.1" customHeight="1">
      <c r="C127" s="57"/>
      <c r="E127" s="54"/>
      <c r="G127" s="209"/>
      <c r="H127" s="209"/>
      <c r="I127" s="55"/>
      <c r="J127" s="55"/>
      <c r="K127" s="56"/>
      <c r="L127" s="56"/>
      <c r="M127" s="56"/>
      <c r="N127" s="57"/>
      <c r="O127" s="57"/>
      <c r="Q127" s="57"/>
      <c r="R127" s="57"/>
      <c r="S127" s="57"/>
    </row>
    <row r="128" spans="3:19" ht="11.1" customHeight="1">
      <c r="C128" s="57"/>
      <c r="E128" s="54"/>
      <c r="G128" s="209"/>
      <c r="H128" s="209"/>
      <c r="I128" s="55"/>
      <c r="J128" s="55"/>
      <c r="K128" s="56"/>
      <c r="L128" s="56"/>
      <c r="M128" s="56"/>
      <c r="N128" s="57"/>
      <c r="O128" s="57"/>
      <c r="Q128" s="57"/>
      <c r="R128" s="57"/>
      <c r="S128" s="57"/>
    </row>
    <row r="129" spans="3:19" ht="11.1" customHeight="1">
      <c r="C129" s="57"/>
      <c r="E129" s="54"/>
      <c r="G129" s="209"/>
      <c r="H129" s="209"/>
      <c r="I129" s="55"/>
      <c r="J129" s="55"/>
      <c r="K129" s="56"/>
      <c r="L129" s="56"/>
      <c r="M129" s="56"/>
      <c r="N129" s="57"/>
      <c r="O129" s="57"/>
      <c r="Q129" s="57"/>
      <c r="R129" s="57"/>
      <c r="S129" s="57"/>
    </row>
    <row r="130" spans="3:19" ht="11.1" customHeight="1">
      <c r="C130" s="57"/>
      <c r="E130" s="54"/>
      <c r="G130" s="209"/>
      <c r="H130" s="209"/>
      <c r="I130" s="55"/>
      <c r="J130" s="55"/>
      <c r="K130" s="56"/>
      <c r="L130" s="56"/>
      <c r="M130" s="56"/>
      <c r="N130" s="57"/>
      <c r="O130" s="57"/>
      <c r="Q130" s="57"/>
      <c r="R130" s="57"/>
      <c r="S130" s="57"/>
    </row>
    <row r="131" spans="3:19" ht="11.1" customHeight="1">
      <c r="C131" s="57"/>
      <c r="E131" s="54"/>
      <c r="G131" s="209"/>
      <c r="H131" s="209"/>
      <c r="I131" s="55"/>
      <c r="J131" s="55"/>
      <c r="K131" s="56"/>
      <c r="L131" s="56"/>
      <c r="M131" s="56"/>
      <c r="N131" s="57"/>
      <c r="O131" s="57"/>
      <c r="Q131" s="57"/>
      <c r="R131" s="57"/>
      <c r="S131" s="57"/>
    </row>
    <row r="132" spans="3:19" ht="11.1" customHeight="1">
      <c r="C132" s="57"/>
      <c r="E132" s="54"/>
      <c r="G132" s="209"/>
      <c r="H132" s="209"/>
      <c r="I132" s="55"/>
      <c r="J132" s="55"/>
      <c r="K132" s="56"/>
      <c r="L132" s="56"/>
      <c r="M132" s="56"/>
      <c r="N132" s="57"/>
      <c r="O132" s="57"/>
      <c r="Q132" s="57"/>
      <c r="R132" s="57"/>
      <c r="S132" s="57"/>
    </row>
    <row r="133" spans="3:19" ht="11.1" customHeight="1">
      <c r="C133" s="57"/>
      <c r="E133" s="54"/>
      <c r="G133" s="209"/>
      <c r="H133" s="209"/>
      <c r="I133" s="55"/>
      <c r="J133" s="55"/>
      <c r="K133" s="56"/>
      <c r="L133" s="56"/>
      <c r="M133" s="56"/>
      <c r="N133" s="57"/>
      <c r="O133" s="57"/>
      <c r="Q133" s="57"/>
      <c r="R133" s="57"/>
      <c r="S133" s="57"/>
    </row>
    <row r="134" spans="3:19" ht="11.1" customHeight="1">
      <c r="C134" s="57"/>
      <c r="E134" s="54"/>
      <c r="G134" s="209"/>
      <c r="H134" s="209"/>
      <c r="I134" s="55"/>
      <c r="J134" s="55"/>
      <c r="K134" s="56"/>
      <c r="L134" s="56"/>
      <c r="M134" s="56"/>
      <c r="N134" s="57"/>
      <c r="O134" s="57"/>
      <c r="Q134" s="57"/>
      <c r="R134" s="57"/>
      <c r="S134" s="57"/>
    </row>
    <row r="135" spans="3:19" ht="11.1" customHeight="1">
      <c r="C135" s="57"/>
      <c r="E135" s="54"/>
      <c r="G135" s="209"/>
      <c r="H135" s="209"/>
      <c r="I135" s="55"/>
      <c r="J135" s="55"/>
      <c r="K135" s="56"/>
      <c r="L135" s="56"/>
      <c r="M135" s="56"/>
      <c r="N135" s="57"/>
      <c r="O135" s="57"/>
      <c r="Q135" s="57"/>
      <c r="R135" s="57"/>
      <c r="S135" s="57"/>
    </row>
    <row r="136" spans="3:19" ht="11.1" customHeight="1">
      <c r="C136" s="57"/>
      <c r="E136" s="54"/>
      <c r="G136" s="209"/>
      <c r="H136" s="209"/>
      <c r="I136" s="55"/>
      <c r="J136" s="55"/>
      <c r="K136" s="56"/>
      <c r="L136" s="56"/>
      <c r="M136" s="56"/>
      <c r="N136" s="57"/>
      <c r="O136" s="57"/>
      <c r="Q136" s="57"/>
      <c r="R136" s="57"/>
      <c r="S136" s="57"/>
    </row>
    <row r="137" spans="3:19" ht="11.1" customHeight="1">
      <c r="C137" s="57"/>
      <c r="E137" s="54"/>
      <c r="G137" s="209"/>
      <c r="H137" s="209"/>
      <c r="I137" s="55"/>
      <c r="J137" s="55"/>
      <c r="K137" s="56"/>
      <c r="L137" s="56"/>
      <c r="M137" s="56"/>
      <c r="N137" s="57"/>
      <c r="O137" s="57"/>
      <c r="Q137" s="57"/>
      <c r="R137" s="57"/>
      <c r="S137" s="57"/>
    </row>
    <row r="138" spans="3:19" ht="11.1" customHeight="1">
      <c r="C138" s="57"/>
      <c r="E138" s="54"/>
      <c r="G138" s="209"/>
      <c r="H138" s="209"/>
      <c r="I138" s="55"/>
      <c r="J138" s="55"/>
      <c r="K138" s="56"/>
      <c r="L138" s="56"/>
      <c r="M138" s="56"/>
      <c r="N138" s="57"/>
      <c r="O138" s="57"/>
      <c r="Q138" s="57"/>
      <c r="R138" s="57"/>
      <c r="S138" s="57"/>
    </row>
    <row r="139" spans="3:19" ht="11.1" customHeight="1">
      <c r="C139" s="57"/>
      <c r="E139" s="54"/>
      <c r="G139" s="209"/>
      <c r="H139" s="209"/>
      <c r="I139" s="55"/>
      <c r="J139" s="55"/>
      <c r="K139" s="56"/>
      <c r="L139" s="56"/>
      <c r="M139" s="56"/>
      <c r="N139" s="57"/>
      <c r="O139" s="57"/>
      <c r="Q139" s="57"/>
      <c r="R139" s="57"/>
      <c r="S139" s="57"/>
    </row>
    <row r="140" spans="3:19" ht="11.1" customHeight="1">
      <c r="C140" s="57"/>
      <c r="E140" s="54"/>
      <c r="G140" s="209"/>
      <c r="H140" s="209"/>
      <c r="I140" s="55"/>
      <c r="J140" s="55"/>
      <c r="K140" s="56"/>
      <c r="L140" s="56"/>
      <c r="M140" s="56"/>
      <c r="N140" s="57"/>
      <c r="O140" s="57"/>
      <c r="Q140" s="57"/>
      <c r="R140" s="57"/>
      <c r="S140" s="57"/>
    </row>
    <row r="141" spans="3:19" ht="11.1" customHeight="1">
      <c r="C141" s="57"/>
      <c r="E141" s="54"/>
      <c r="G141" s="209"/>
      <c r="H141" s="209"/>
      <c r="I141" s="55"/>
      <c r="J141" s="55"/>
      <c r="K141" s="56"/>
      <c r="L141" s="56"/>
      <c r="M141" s="56"/>
      <c r="N141" s="57"/>
      <c r="O141" s="57"/>
      <c r="Q141" s="57"/>
      <c r="R141" s="57"/>
      <c r="S141" s="57"/>
    </row>
    <row r="142" spans="3:19" ht="11.1" customHeight="1">
      <c r="C142" s="57"/>
      <c r="E142" s="54"/>
      <c r="G142" s="209"/>
      <c r="H142" s="209"/>
      <c r="I142" s="55"/>
      <c r="J142" s="55"/>
      <c r="K142" s="56"/>
      <c r="L142" s="56"/>
      <c r="M142" s="56"/>
      <c r="N142" s="57"/>
      <c r="O142" s="57"/>
      <c r="Q142" s="57"/>
      <c r="R142" s="57"/>
      <c r="S142" s="57"/>
    </row>
    <row r="143" spans="3:19" ht="11.1" customHeight="1">
      <c r="C143" s="57"/>
      <c r="E143" s="54"/>
      <c r="G143" s="209"/>
      <c r="H143" s="209"/>
      <c r="I143" s="55"/>
      <c r="J143" s="55"/>
      <c r="K143" s="56"/>
      <c r="L143" s="56"/>
      <c r="M143" s="56"/>
      <c r="N143" s="57"/>
      <c r="O143" s="57"/>
      <c r="Q143" s="57"/>
      <c r="R143" s="57"/>
      <c r="S143" s="57"/>
    </row>
    <row r="144" spans="3:19" ht="11.1" customHeight="1">
      <c r="C144" s="57"/>
      <c r="E144" s="54"/>
      <c r="G144" s="209"/>
      <c r="H144" s="209"/>
      <c r="I144" s="55"/>
      <c r="J144" s="55"/>
      <c r="K144" s="56"/>
      <c r="L144" s="56"/>
      <c r="M144" s="56"/>
      <c r="N144" s="57"/>
      <c r="O144" s="57"/>
      <c r="Q144" s="57"/>
      <c r="R144" s="57"/>
      <c r="S144" s="57"/>
    </row>
    <row r="145" spans="3:19" ht="11.1" customHeight="1">
      <c r="C145" s="57"/>
      <c r="E145" s="54"/>
      <c r="G145" s="209"/>
      <c r="H145" s="209"/>
      <c r="I145" s="55"/>
      <c r="J145" s="55"/>
      <c r="K145" s="56"/>
      <c r="L145" s="56"/>
      <c r="M145" s="56"/>
      <c r="N145" s="57"/>
      <c r="O145" s="57"/>
      <c r="Q145" s="57"/>
      <c r="R145" s="57"/>
      <c r="S145" s="57"/>
    </row>
    <row r="146" spans="3:19" ht="11.1" customHeight="1">
      <c r="C146" s="57"/>
      <c r="E146" s="54"/>
      <c r="G146" s="209"/>
      <c r="H146" s="209"/>
      <c r="I146" s="55"/>
      <c r="J146" s="55"/>
      <c r="K146" s="56"/>
      <c r="L146" s="56"/>
      <c r="M146" s="56"/>
      <c r="N146" s="57"/>
      <c r="O146" s="57"/>
      <c r="Q146" s="57"/>
      <c r="R146" s="57"/>
      <c r="S146" s="57"/>
    </row>
    <row r="147" spans="3:19" ht="11.1" customHeight="1">
      <c r="C147" s="57"/>
      <c r="E147" s="54"/>
      <c r="G147" s="209"/>
      <c r="H147" s="209"/>
      <c r="I147" s="55"/>
      <c r="J147" s="55"/>
      <c r="K147" s="56"/>
      <c r="L147" s="56"/>
      <c r="M147" s="56"/>
      <c r="N147" s="57"/>
      <c r="O147" s="57"/>
      <c r="Q147" s="57"/>
      <c r="R147" s="57"/>
      <c r="S147" s="57"/>
    </row>
    <row r="148" spans="3:19" ht="11.1" customHeight="1">
      <c r="C148" s="57"/>
      <c r="E148" s="54"/>
      <c r="G148" s="209"/>
      <c r="H148" s="209"/>
      <c r="I148" s="55"/>
      <c r="J148" s="55"/>
      <c r="K148" s="56"/>
      <c r="L148" s="56"/>
      <c r="M148" s="56"/>
      <c r="N148" s="57"/>
      <c r="O148" s="57"/>
      <c r="Q148" s="57"/>
      <c r="R148" s="57"/>
      <c r="S148" s="57"/>
    </row>
    <row r="149" spans="3:19" ht="11.1" customHeight="1">
      <c r="C149" s="57"/>
      <c r="E149" s="54"/>
      <c r="G149" s="209"/>
      <c r="H149" s="209"/>
      <c r="I149" s="55"/>
      <c r="J149" s="55"/>
      <c r="K149" s="56"/>
      <c r="L149" s="56"/>
      <c r="M149" s="56"/>
      <c r="N149" s="57"/>
      <c r="O149" s="57"/>
      <c r="Q149" s="57"/>
      <c r="R149" s="57"/>
      <c r="S149" s="57"/>
    </row>
    <row r="150" spans="3:19" ht="11.1" customHeight="1">
      <c r="C150" s="57"/>
      <c r="E150" s="54"/>
      <c r="G150" s="209"/>
      <c r="H150" s="209"/>
      <c r="I150" s="55"/>
      <c r="J150" s="55"/>
      <c r="K150" s="56"/>
      <c r="L150" s="56"/>
      <c r="M150" s="56"/>
      <c r="N150" s="57"/>
      <c r="O150" s="57"/>
      <c r="Q150" s="57"/>
      <c r="R150" s="57"/>
      <c r="S150" s="57"/>
    </row>
    <row r="151" spans="3:19" ht="11.1" customHeight="1">
      <c r="C151" s="57"/>
      <c r="E151" s="54"/>
      <c r="G151" s="209"/>
      <c r="H151" s="209"/>
      <c r="I151" s="55"/>
      <c r="J151" s="55"/>
      <c r="K151" s="56"/>
      <c r="L151" s="56"/>
      <c r="M151" s="56"/>
      <c r="N151" s="57"/>
      <c r="O151" s="57"/>
      <c r="Q151" s="57"/>
      <c r="R151" s="57"/>
      <c r="S151" s="57"/>
    </row>
    <row r="152" spans="3:19" ht="11.1" customHeight="1">
      <c r="C152" s="57"/>
      <c r="E152" s="54"/>
      <c r="G152" s="209"/>
      <c r="H152" s="209"/>
      <c r="I152" s="55"/>
      <c r="J152" s="55"/>
      <c r="K152" s="56"/>
      <c r="L152" s="56"/>
      <c r="M152" s="56"/>
      <c r="N152" s="57"/>
      <c r="O152" s="57"/>
      <c r="Q152" s="57"/>
      <c r="R152" s="57"/>
      <c r="S152" s="57"/>
    </row>
    <row r="153" spans="3:19" ht="11.1" customHeight="1">
      <c r="C153" s="57"/>
      <c r="E153" s="54"/>
      <c r="G153" s="209"/>
      <c r="H153" s="209"/>
      <c r="I153" s="55"/>
      <c r="J153" s="55"/>
      <c r="K153" s="56"/>
      <c r="L153" s="56"/>
      <c r="M153" s="56"/>
      <c r="N153" s="57"/>
      <c r="O153" s="57"/>
      <c r="Q153" s="57"/>
      <c r="R153" s="57"/>
      <c r="S153" s="57"/>
    </row>
    <row r="154" spans="3:19" ht="11.1" customHeight="1">
      <c r="C154" s="57"/>
      <c r="E154" s="54"/>
      <c r="G154" s="209"/>
      <c r="H154" s="209"/>
      <c r="I154" s="55"/>
      <c r="J154" s="55"/>
      <c r="K154" s="56"/>
      <c r="L154" s="56"/>
      <c r="M154" s="56"/>
      <c r="N154" s="57"/>
      <c r="O154" s="57"/>
      <c r="Q154" s="57"/>
      <c r="R154" s="57"/>
      <c r="S154" s="57"/>
    </row>
    <row r="155" spans="3:19" ht="11.1" customHeight="1">
      <c r="C155" s="57"/>
      <c r="E155" s="54"/>
      <c r="G155" s="209"/>
      <c r="H155" s="209"/>
      <c r="I155" s="55"/>
      <c r="J155" s="55"/>
      <c r="K155" s="56"/>
      <c r="L155" s="56"/>
      <c r="M155" s="56"/>
      <c r="N155" s="57"/>
      <c r="O155" s="57"/>
      <c r="Q155" s="57"/>
      <c r="R155" s="57"/>
      <c r="S155" s="57"/>
    </row>
    <row r="156" spans="3:19" ht="11.1" customHeight="1">
      <c r="C156" s="57"/>
      <c r="E156" s="54"/>
      <c r="G156" s="209"/>
      <c r="H156" s="209"/>
      <c r="I156" s="55"/>
      <c r="J156" s="55"/>
      <c r="K156" s="56"/>
      <c r="L156" s="56"/>
      <c r="M156" s="56"/>
      <c r="N156" s="57"/>
      <c r="O156" s="57"/>
      <c r="Q156" s="57"/>
      <c r="R156" s="57"/>
      <c r="S156" s="57"/>
    </row>
    <row r="157" spans="3:19" ht="11.1" customHeight="1">
      <c r="C157" s="57"/>
      <c r="E157" s="54"/>
      <c r="G157" s="209"/>
      <c r="H157" s="209"/>
      <c r="I157" s="55"/>
      <c r="J157" s="55"/>
      <c r="K157" s="56"/>
      <c r="L157" s="56"/>
      <c r="M157" s="56"/>
      <c r="N157" s="57"/>
      <c r="O157" s="57"/>
      <c r="Q157" s="57"/>
      <c r="R157" s="57"/>
      <c r="S157" s="57"/>
    </row>
    <row r="158" spans="3:19" ht="11.1" customHeight="1">
      <c r="C158" s="57"/>
      <c r="E158" s="54"/>
      <c r="G158" s="209"/>
      <c r="H158" s="209"/>
      <c r="I158" s="55"/>
      <c r="J158" s="55"/>
      <c r="K158" s="56"/>
      <c r="L158" s="56"/>
      <c r="M158" s="56"/>
      <c r="N158" s="57"/>
      <c r="O158" s="57"/>
      <c r="Q158" s="57"/>
      <c r="R158" s="57"/>
      <c r="S158" s="57"/>
    </row>
    <row r="159" spans="3:19" ht="11.1" customHeight="1">
      <c r="C159" s="57"/>
      <c r="E159" s="54"/>
      <c r="G159" s="209"/>
      <c r="H159" s="209"/>
      <c r="I159" s="55"/>
      <c r="J159" s="55"/>
      <c r="K159" s="56"/>
      <c r="L159" s="56"/>
      <c r="M159" s="56"/>
      <c r="N159" s="57"/>
      <c r="O159" s="57"/>
      <c r="Q159" s="57"/>
      <c r="R159" s="57"/>
      <c r="S159" s="57"/>
    </row>
    <row r="160" spans="3:19" ht="11.1" customHeight="1">
      <c r="C160" s="57"/>
      <c r="E160" s="54"/>
      <c r="G160" s="209"/>
      <c r="H160" s="209"/>
      <c r="I160" s="55"/>
      <c r="J160" s="55"/>
      <c r="K160" s="56"/>
      <c r="L160" s="56"/>
      <c r="M160" s="56"/>
      <c r="N160" s="57"/>
      <c r="O160" s="57"/>
      <c r="Q160" s="57"/>
      <c r="R160" s="57"/>
      <c r="S160" s="57"/>
    </row>
    <row r="161" spans="3:19" ht="11.1" customHeight="1">
      <c r="C161" s="57"/>
      <c r="E161" s="54"/>
      <c r="G161" s="209"/>
      <c r="H161" s="209"/>
      <c r="I161" s="55"/>
      <c r="J161" s="55"/>
      <c r="K161" s="56"/>
      <c r="L161" s="56"/>
      <c r="M161" s="56"/>
      <c r="N161" s="57"/>
      <c r="O161" s="57"/>
      <c r="Q161" s="57"/>
      <c r="R161" s="57"/>
      <c r="S161" s="57"/>
    </row>
    <row r="162" spans="3:19" ht="11.1" customHeight="1">
      <c r="C162" s="57"/>
      <c r="E162" s="54"/>
      <c r="G162" s="209"/>
      <c r="H162" s="209"/>
      <c r="I162" s="55"/>
      <c r="J162" s="55"/>
      <c r="K162" s="56"/>
      <c r="L162" s="56"/>
      <c r="M162" s="56"/>
      <c r="N162" s="57"/>
      <c r="O162" s="57"/>
      <c r="Q162" s="57"/>
      <c r="R162" s="57"/>
      <c r="S162" s="57"/>
    </row>
    <row r="163" spans="3:19" ht="11.1" customHeight="1">
      <c r="C163" s="57"/>
      <c r="E163" s="54"/>
      <c r="G163" s="209"/>
      <c r="H163" s="209"/>
      <c r="I163" s="55"/>
      <c r="J163" s="55"/>
      <c r="K163" s="56"/>
      <c r="L163" s="56"/>
      <c r="M163" s="56"/>
      <c r="N163" s="57"/>
      <c r="O163" s="57"/>
      <c r="Q163" s="57"/>
      <c r="R163" s="57"/>
      <c r="S163" s="57"/>
    </row>
    <row r="164" spans="3:19" ht="11.1" customHeight="1">
      <c r="C164" s="57"/>
      <c r="E164" s="54"/>
      <c r="G164" s="209"/>
      <c r="H164" s="209"/>
      <c r="I164" s="55"/>
      <c r="J164" s="55"/>
      <c r="K164" s="56"/>
      <c r="L164" s="56"/>
      <c r="M164" s="56"/>
      <c r="N164" s="57"/>
      <c r="O164" s="57"/>
      <c r="Q164" s="57"/>
      <c r="R164" s="57"/>
      <c r="S164" s="57"/>
    </row>
    <row r="165" spans="3:19" ht="11.1" customHeight="1">
      <c r="C165" s="57"/>
      <c r="E165" s="54"/>
      <c r="G165" s="209"/>
      <c r="H165" s="209"/>
      <c r="I165" s="55"/>
      <c r="J165" s="55"/>
      <c r="K165" s="56"/>
      <c r="L165" s="56"/>
      <c r="M165" s="56"/>
      <c r="N165" s="57"/>
      <c r="O165" s="57"/>
      <c r="Q165" s="57"/>
      <c r="R165" s="57"/>
      <c r="S165" s="57"/>
    </row>
    <row r="166" spans="3:19" ht="11.1" customHeight="1">
      <c r="C166" s="57"/>
      <c r="E166" s="54"/>
      <c r="G166" s="209"/>
      <c r="H166" s="209"/>
      <c r="I166" s="55"/>
      <c r="J166" s="55"/>
      <c r="K166" s="56"/>
      <c r="L166" s="56"/>
      <c r="M166" s="56"/>
      <c r="N166" s="57"/>
      <c r="O166" s="57"/>
      <c r="Q166" s="57"/>
      <c r="R166" s="57"/>
      <c r="S166" s="57"/>
    </row>
    <row r="167" spans="3:19" ht="11.1" customHeight="1">
      <c r="C167" s="57"/>
      <c r="E167" s="54"/>
      <c r="G167" s="209"/>
      <c r="H167" s="209"/>
      <c r="I167" s="55"/>
      <c r="J167" s="55"/>
      <c r="K167" s="56"/>
      <c r="L167" s="56"/>
      <c r="M167" s="56"/>
      <c r="N167" s="57"/>
      <c r="O167" s="57"/>
      <c r="Q167" s="57"/>
      <c r="R167" s="57"/>
      <c r="S167" s="57"/>
    </row>
    <row r="168" spans="3:19" ht="11.1" customHeight="1">
      <c r="C168" s="57"/>
      <c r="E168" s="54"/>
      <c r="G168" s="209"/>
      <c r="H168" s="209"/>
      <c r="I168" s="55"/>
      <c r="J168" s="55"/>
      <c r="K168" s="56"/>
      <c r="L168" s="56"/>
      <c r="M168" s="56"/>
      <c r="N168" s="57"/>
      <c r="O168" s="57"/>
      <c r="Q168" s="57"/>
      <c r="R168" s="57"/>
      <c r="S168" s="57"/>
    </row>
    <row r="169" spans="3:19" ht="11.1" customHeight="1">
      <c r="C169" s="57"/>
      <c r="E169" s="54"/>
      <c r="G169" s="209"/>
      <c r="H169" s="209"/>
      <c r="I169" s="55"/>
      <c r="J169" s="55"/>
      <c r="K169" s="56"/>
      <c r="L169" s="56"/>
      <c r="M169" s="56"/>
      <c r="N169" s="57"/>
      <c r="O169" s="57"/>
      <c r="Q169" s="57"/>
      <c r="R169" s="57"/>
      <c r="S169" s="57"/>
    </row>
    <row r="170" spans="3:19" ht="11.1" customHeight="1">
      <c r="C170" s="57"/>
      <c r="E170" s="54"/>
      <c r="G170" s="209"/>
      <c r="H170" s="209"/>
      <c r="I170" s="55"/>
      <c r="J170" s="55"/>
      <c r="K170" s="56"/>
      <c r="L170" s="56"/>
      <c r="M170" s="56"/>
      <c r="N170" s="57"/>
      <c r="O170" s="57"/>
      <c r="Q170" s="57"/>
      <c r="R170" s="57"/>
      <c r="S170" s="57"/>
    </row>
    <row r="171" spans="3:19" ht="11.1" customHeight="1">
      <c r="C171" s="57"/>
      <c r="E171" s="54"/>
      <c r="G171" s="209"/>
      <c r="H171" s="209"/>
      <c r="I171" s="55"/>
      <c r="J171" s="55"/>
      <c r="K171" s="56"/>
      <c r="L171" s="56"/>
      <c r="M171" s="56"/>
      <c r="N171" s="57"/>
      <c r="O171" s="57"/>
      <c r="Q171" s="57"/>
      <c r="R171" s="57"/>
      <c r="S171" s="57"/>
    </row>
    <row r="172" spans="3:19" ht="11.1" customHeight="1">
      <c r="C172" s="57"/>
      <c r="E172" s="54"/>
      <c r="G172" s="209"/>
      <c r="H172" s="209"/>
      <c r="I172" s="55"/>
      <c r="J172" s="55"/>
      <c r="K172" s="56"/>
      <c r="L172" s="56"/>
      <c r="M172" s="56"/>
      <c r="N172" s="57"/>
      <c r="O172" s="57"/>
      <c r="Q172" s="57"/>
      <c r="R172" s="57"/>
      <c r="S172" s="57"/>
    </row>
    <row r="173" spans="3:19" ht="11.1" customHeight="1">
      <c r="C173" s="57"/>
      <c r="E173" s="54"/>
      <c r="G173" s="209"/>
      <c r="H173" s="209"/>
      <c r="I173" s="55"/>
      <c r="J173" s="55"/>
      <c r="K173" s="56"/>
      <c r="L173" s="56"/>
      <c r="M173" s="56"/>
      <c r="N173" s="57"/>
      <c r="O173" s="57"/>
      <c r="Q173" s="57"/>
      <c r="R173" s="57"/>
      <c r="S173" s="57"/>
    </row>
    <row r="174" spans="3:19" ht="11.1" customHeight="1">
      <c r="C174" s="57"/>
      <c r="E174" s="54"/>
      <c r="G174" s="209"/>
      <c r="H174" s="209"/>
      <c r="I174" s="55"/>
      <c r="J174" s="55"/>
      <c r="K174" s="56"/>
      <c r="L174" s="56"/>
      <c r="M174" s="56"/>
      <c r="N174" s="57"/>
      <c r="O174" s="57"/>
      <c r="Q174" s="57"/>
      <c r="R174" s="57"/>
      <c r="S174" s="57"/>
    </row>
    <row r="175" spans="3:19" ht="11.1" customHeight="1">
      <c r="C175" s="57"/>
      <c r="E175" s="54"/>
      <c r="G175" s="209"/>
      <c r="H175" s="209"/>
      <c r="I175" s="55"/>
      <c r="J175" s="55"/>
      <c r="K175" s="56"/>
      <c r="L175" s="56"/>
      <c r="M175" s="56"/>
      <c r="N175" s="57"/>
      <c r="O175" s="57"/>
      <c r="Q175" s="57"/>
      <c r="R175" s="57"/>
      <c r="S175" s="57"/>
    </row>
    <row r="176" spans="3:19" ht="11.1" customHeight="1">
      <c r="C176" s="57"/>
      <c r="E176" s="54"/>
      <c r="G176" s="209"/>
      <c r="H176" s="209"/>
      <c r="I176" s="55"/>
      <c r="J176" s="55"/>
      <c r="K176" s="56"/>
      <c r="L176" s="56"/>
      <c r="M176" s="56"/>
      <c r="N176" s="57"/>
      <c r="O176" s="57"/>
      <c r="Q176" s="57"/>
      <c r="R176" s="57"/>
      <c r="S176" s="57"/>
    </row>
    <row r="177" spans="3:19" ht="11.1" customHeight="1">
      <c r="C177" s="57"/>
      <c r="E177" s="54"/>
      <c r="G177" s="209"/>
      <c r="H177" s="209"/>
      <c r="I177" s="55"/>
      <c r="J177" s="55"/>
      <c r="K177" s="56"/>
      <c r="L177" s="56"/>
      <c r="M177" s="56"/>
      <c r="N177" s="57"/>
      <c r="O177" s="57"/>
      <c r="Q177" s="57"/>
      <c r="R177" s="57"/>
      <c r="S177" s="57"/>
    </row>
    <row r="178" spans="3:19" ht="11.1" customHeight="1">
      <c r="C178" s="57"/>
      <c r="E178" s="54"/>
      <c r="G178" s="209"/>
      <c r="H178" s="209"/>
      <c r="I178" s="55"/>
      <c r="J178" s="55"/>
      <c r="K178" s="56"/>
      <c r="L178" s="56"/>
      <c r="M178" s="56"/>
      <c r="N178" s="57"/>
      <c r="O178" s="57"/>
      <c r="Q178" s="57"/>
      <c r="R178" s="57"/>
      <c r="S178" s="57"/>
    </row>
    <row r="179" spans="3:19" ht="11.1" customHeight="1">
      <c r="C179" s="57"/>
      <c r="E179" s="54"/>
      <c r="G179" s="209"/>
      <c r="H179" s="209"/>
      <c r="I179" s="55"/>
      <c r="J179" s="55"/>
      <c r="K179" s="56"/>
      <c r="L179" s="56"/>
      <c r="M179" s="56"/>
      <c r="N179" s="57"/>
      <c r="O179" s="57"/>
      <c r="Q179" s="57"/>
      <c r="R179" s="57"/>
      <c r="S179" s="57"/>
    </row>
    <row r="180" spans="3:19" ht="11.1" customHeight="1">
      <c r="C180" s="57"/>
      <c r="E180" s="54"/>
      <c r="G180" s="209"/>
      <c r="H180" s="209"/>
      <c r="I180" s="55"/>
      <c r="J180" s="55"/>
      <c r="K180" s="56"/>
      <c r="L180" s="56"/>
      <c r="M180" s="56"/>
      <c r="N180" s="57"/>
      <c r="O180" s="57"/>
      <c r="Q180" s="57"/>
      <c r="R180" s="57"/>
      <c r="S180" s="57"/>
    </row>
    <row r="181" spans="3:19" ht="11.1" customHeight="1">
      <c r="C181" s="57"/>
      <c r="E181" s="54"/>
      <c r="G181" s="209"/>
      <c r="H181" s="209"/>
      <c r="I181" s="55"/>
      <c r="J181" s="55"/>
      <c r="K181" s="56"/>
      <c r="L181" s="56"/>
      <c r="M181" s="56"/>
      <c r="N181" s="57"/>
      <c r="O181" s="57"/>
      <c r="Q181" s="57"/>
      <c r="R181" s="57"/>
      <c r="S181" s="57"/>
    </row>
    <row r="182" spans="3:19" ht="11.1" customHeight="1">
      <c r="C182" s="57"/>
      <c r="E182" s="54"/>
      <c r="G182" s="209"/>
      <c r="H182" s="209"/>
      <c r="I182" s="55"/>
      <c r="J182" s="55"/>
      <c r="K182" s="56"/>
      <c r="L182" s="56"/>
      <c r="M182" s="56"/>
      <c r="N182" s="57"/>
      <c r="O182" s="57"/>
      <c r="Q182" s="57"/>
      <c r="R182" s="57"/>
      <c r="S182" s="57"/>
    </row>
    <row r="183" spans="3:19" ht="11.1" customHeight="1">
      <c r="C183" s="57"/>
      <c r="E183" s="54"/>
      <c r="G183" s="209"/>
      <c r="H183" s="209"/>
      <c r="I183" s="55"/>
      <c r="J183" s="55"/>
      <c r="K183" s="56"/>
      <c r="L183" s="56"/>
      <c r="M183" s="56"/>
      <c r="N183" s="57"/>
      <c r="O183" s="57"/>
      <c r="Q183" s="57"/>
      <c r="R183" s="57"/>
      <c r="S183" s="57"/>
    </row>
    <row r="184" spans="3:19" ht="11.1" customHeight="1">
      <c r="C184" s="57"/>
      <c r="E184" s="54"/>
      <c r="G184" s="209"/>
      <c r="H184" s="209"/>
      <c r="I184" s="55"/>
      <c r="J184" s="55"/>
      <c r="K184" s="56"/>
      <c r="L184" s="56"/>
      <c r="M184" s="56"/>
      <c r="N184" s="57"/>
      <c r="O184" s="57"/>
      <c r="Q184" s="57"/>
      <c r="R184" s="57"/>
      <c r="S184" s="57"/>
    </row>
    <row r="185" spans="3:19" ht="11.1" customHeight="1">
      <c r="C185" s="57"/>
      <c r="E185" s="54"/>
      <c r="G185" s="209"/>
      <c r="H185" s="209"/>
      <c r="I185" s="55"/>
      <c r="J185" s="55"/>
      <c r="K185" s="56"/>
      <c r="L185" s="56"/>
      <c r="M185" s="56"/>
      <c r="N185" s="57"/>
      <c r="O185" s="57"/>
      <c r="Q185" s="57"/>
      <c r="R185" s="57"/>
      <c r="S185" s="57"/>
    </row>
    <row r="186" spans="3:19" ht="11.1" customHeight="1">
      <c r="C186" s="57"/>
      <c r="E186" s="54"/>
      <c r="G186" s="209"/>
      <c r="H186" s="209"/>
      <c r="I186" s="55"/>
      <c r="J186" s="55"/>
      <c r="K186" s="56"/>
      <c r="L186" s="56"/>
      <c r="M186" s="56"/>
      <c r="N186" s="57"/>
      <c r="O186" s="57"/>
      <c r="Q186" s="57"/>
      <c r="R186" s="57"/>
      <c r="S186" s="57"/>
    </row>
    <row r="187" spans="3:19" ht="11.1" customHeight="1">
      <c r="C187" s="57"/>
      <c r="E187" s="54"/>
      <c r="G187" s="209"/>
      <c r="H187" s="209"/>
      <c r="I187" s="55"/>
      <c r="J187" s="55"/>
      <c r="K187" s="56"/>
      <c r="L187" s="56"/>
      <c r="M187" s="56"/>
      <c r="N187" s="57"/>
      <c r="O187" s="57"/>
      <c r="Q187" s="57"/>
      <c r="R187" s="57"/>
      <c r="S187" s="57"/>
    </row>
    <row r="188" spans="3:19" ht="11.1" customHeight="1">
      <c r="C188" s="57"/>
      <c r="E188" s="54"/>
      <c r="G188" s="209"/>
      <c r="H188" s="209"/>
      <c r="I188" s="55"/>
      <c r="J188" s="55"/>
      <c r="K188" s="56"/>
      <c r="L188" s="56"/>
      <c r="M188" s="56"/>
      <c r="N188" s="57"/>
      <c r="O188" s="57"/>
      <c r="Q188" s="57"/>
      <c r="R188" s="57"/>
      <c r="S188" s="57"/>
    </row>
    <row r="189" spans="3:19" ht="11.1" customHeight="1">
      <c r="C189" s="57"/>
      <c r="E189" s="54"/>
      <c r="G189" s="209"/>
      <c r="H189" s="209"/>
      <c r="I189" s="55"/>
      <c r="J189" s="55"/>
      <c r="K189" s="56"/>
      <c r="L189" s="56"/>
      <c r="M189" s="56"/>
      <c r="N189" s="57"/>
      <c r="O189" s="57"/>
      <c r="Q189" s="57"/>
      <c r="R189" s="57"/>
      <c r="S189" s="57"/>
    </row>
    <row r="190" spans="3:19" ht="11.1" customHeight="1">
      <c r="C190" s="57"/>
      <c r="E190" s="54"/>
      <c r="G190" s="209"/>
      <c r="H190" s="209"/>
      <c r="I190" s="55"/>
      <c r="J190" s="55"/>
      <c r="K190" s="56"/>
      <c r="L190" s="56"/>
      <c r="M190" s="56"/>
      <c r="N190" s="57"/>
      <c r="O190" s="57"/>
      <c r="Q190" s="57"/>
      <c r="R190" s="57"/>
      <c r="S190" s="57"/>
    </row>
    <row r="191" spans="3:19" ht="11.1" customHeight="1">
      <c r="C191" s="57"/>
      <c r="E191" s="54"/>
      <c r="G191" s="209"/>
      <c r="H191" s="209"/>
      <c r="I191" s="55"/>
      <c r="J191" s="55"/>
      <c r="K191" s="56"/>
      <c r="L191" s="56"/>
      <c r="M191" s="56"/>
      <c r="N191" s="57"/>
      <c r="O191" s="57"/>
      <c r="Q191" s="57"/>
      <c r="R191" s="57"/>
      <c r="S191" s="57"/>
    </row>
    <row r="192" spans="3:19" ht="11.1" customHeight="1">
      <c r="C192" s="57"/>
      <c r="E192" s="54"/>
      <c r="G192" s="209"/>
      <c r="H192" s="209"/>
      <c r="I192" s="55"/>
      <c r="J192" s="55"/>
      <c r="K192" s="56"/>
      <c r="L192" s="56"/>
      <c r="M192" s="56"/>
      <c r="N192" s="57"/>
      <c r="O192" s="57"/>
      <c r="Q192" s="57"/>
      <c r="R192" s="57"/>
      <c r="S192" s="57"/>
    </row>
    <row r="193" spans="3:19" ht="11.1" customHeight="1">
      <c r="C193" s="57"/>
      <c r="E193" s="54"/>
      <c r="G193" s="209"/>
      <c r="H193" s="209"/>
      <c r="I193" s="55"/>
      <c r="J193" s="55"/>
      <c r="K193" s="56"/>
      <c r="L193" s="56"/>
      <c r="M193" s="56"/>
      <c r="N193" s="57"/>
      <c r="O193" s="57"/>
      <c r="Q193" s="57"/>
      <c r="R193" s="57"/>
      <c r="S193" s="57"/>
    </row>
    <row r="194" spans="3:19" ht="11.1" customHeight="1">
      <c r="C194" s="57"/>
      <c r="E194" s="54"/>
      <c r="G194" s="209"/>
      <c r="H194" s="209"/>
      <c r="I194" s="55"/>
      <c r="J194" s="55"/>
      <c r="K194" s="56"/>
      <c r="L194" s="56"/>
      <c r="M194" s="56"/>
      <c r="N194" s="57"/>
      <c r="O194" s="57"/>
      <c r="Q194" s="57"/>
      <c r="R194" s="57"/>
      <c r="S194" s="57"/>
    </row>
    <row r="195" spans="3:19" ht="11.1" customHeight="1">
      <c r="C195" s="57"/>
      <c r="E195" s="54"/>
      <c r="G195" s="209"/>
      <c r="H195" s="209"/>
      <c r="I195" s="55"/>
      <c r="J195" s="55"/>
      <c r="K195" s="56"/>
      <c r="L195" s="56"/>
      <c r="M195" s="56"/>
      <c r="N195" s="57"/>
      <c r="O195" s="57"/>
      <c r="Q195" s="57"/>
      <c r="R195" s="57"/>
      <c r="S195" s="57"/>
    </row>
    <row r="196" spans="3:19" ht="11.1" customHeight="1">
      <c r="C196" s="57"/>
      <c r="E196" s="54"/>
      <c r="G196" s="209"/>
      <c r="H196" s="209"/>
      <c r="I196" s="55"/>
      <c r="J196" s="55"/>
      <c r="K196" s="56"/>
      <c r="L196" s="56"/>
      <c r="M196" s="56"/>
      <c r="N196" s="57"/>
      <c r="O196" s="57"/>
      <c r="Q196" s="57"/>
      <c r="R196" s="57"/>
      <c r="S196" s="57"/>
    </row>
    <row r="197" spans="3:19" ht="11.1" customHeight="1">
      <c r="C197" s="57"/>
      <c r="E197" s="54"/>
      <c r="G197" s="209"/>
      <c r="H197" s="209"/>
      <c r="I197" s="55"/>
      <c r="J197" s="55"/>
      <c r="K197" s="56"/>
      <c r="L197" s="56"/>
      <c r="M197" s="56"/>
      <c r="N197" s="57"/>
      <c r="O197" s="57"/>
      <c r="Q197" s="57"/>
      <c r="R197" s="57"/>
      <c r="S197" s="57"/>
    </row>
    <row r="198" spans="3:19" ht="11.1" customHeight="1">
      <c r="C198" s="57"/>
      <c r="E198" s="54"/>
      <c r="G198" s="209"/>
      <c r="H198" s="209"/>
      <c r="I198" s="55"/>
      <c r="J198" s="55"/>
      <c r="K198" s="56"/>
      <c r="L198" s="56"/>
      <c r="M198" s="56"/>
      <c r="N198" s="57"/>
      <c r="O198" s="57"/>
      <c r="Q198" s="57"/>
      <c r="R198" s="57"/>
      <c r="S198" s="57"/>
    </row>
    <row r="199" spans="3:19" ht="11.1" customHeight="1">
      <c r="C199" s="57"/>
      <c r="E199" s="54"/>
      <c r="G199" s="209"/>
      <c r="H199" s="209"/>
      <c r="I199" s="55"/>
      <c r="J199" s="55"/>
      <c r="K199" s="56"/>
      <c r="L199" s="56"/>
      <c r="M199" s="56"/>
      <c r="N199" s="57"/>
      <c r="O199" s="57"/>
      <c r="Q199" s="57"/>
      <c r="R199" s="57"/>
      <c r="S199" s="57"/>
    </row>
    <row r="200" spans="3:19" ht="11.1" customHeight="1">
      <c r="C200" s="57"/>
      <c r="E200" s="54"/>
      <c r="G200" s="209"/>
      <c r="H200" s="209"/>
      <c r="I200" s="55"/>
      <c r="J200" s="55"/>
      <c r="K200" s="56"/>
      <c r="L200" s="56"/>
      <c r="M200" s="56"/>
      <c r="N200" s="57"/>
      <c r="O200" s="57"/>
      <c r="Q200" s="57"/>
      <c r="R200" s="57"/>
      <c r="S200" s="57"/>
    </row>
    <row r="201" spans="3:19" ht="11.1" customHeight="1">
      <c r="C201" s="57"/>
      <c r="E201" s="54"/>
      <c r="G201" s="209"/>
      <c r="H201" s="209"/>
      <c r="I201" s="55"/>
      <c r="J201" s="55"/>
      <c r="K201" s="56"/>
      <c r="L201" s="56"/>
      <c r="M201" s="56"/>
      <c r="N201" s="57"/>
      <c r="O201" s="57"/>
      <c r="Q201" s="57"/>
      <c r="R201" s="57"/>
      <c r="S201" s="57"/>
    </row>
    <row r="202" spans="3:19" ht="11.1" customHeight="1">
      <c r="C202" s="57"/>
      <c r="E202" s="54"/>
      <c r="G202" s="209"/>
      <c r="H202" s="209"/>
      <c r="I202" s="55"/>
      <c r="J202" s="55"/>
      <c r="K202" s="56"/>
      <c r="L202" s="56"/>
      <c r="M202" s="56"/>
      <c r="N202" s="57"/>
      <c r="O202" s="57"/>
      <c r="Q202" s="57"/>
      <c r="R202" s="57"/>
      <c r="S202" s="57"/>
    </row>
    <row r="203" spans="3:19" ht="11.1" customHeight="1">
      <c r="C203" s="57"/>
      <c r="E203" s="54"/>
      <c r="G203" s="209"/>
      <c r="H203" s="209"/>
      <c r="I203" s="55"/>
      <c r="J203" s="55"/>
      <c r="K203" s="56"/>
      <c r="L203" s="56"/>
      <c r="M203" s="56"/>
      <c r="N203" s="57"/>
      <c r="O203" s="57"/>
      <c r="Q203" s="57"/>
      <c r="R203" s="57"/>
      <c r="S203" s="57"/>
    </row>
    <row r="204" spans="3:19" ht="11.1" customHeight="1">
      <c r="C204" s="57"/>
      <c r="E204" s="54"/>
      <c r="G204" s="209"/>
      <c r="H204" s="209"/>
      <c r="I204" s="55"/>
      <c r="J204" s="55"/>
      <c r="K204" s="56"/>
      <c r="L204" s="56"/>
      <c r="M204" s="56"/>
      <c r="N204" s="57"/>
      <c r="O204" s="57"/>
      <c r="Q204" s="57"/>
      <c r="R204" s="57"/>
      <c r="S204" s="57"/>
    </row>
    <row r="205" spans="3:19" ht="11.1" customHeight="1">
      <c r="C205" s="57"/>
      <c r="E205" s="54"/>
      <c r="G205" s="209"/>
      <c r="H205" s="209"/>
      <c r="I205" s="55"/>
      <c r="J205" s="55"/>
      <c r="K205" s="56"/>
      <c r="L205" s="56"/>
      <c r="M205" s="56"/>
      <c r="N205" s="57"/>
      <c r="O205" s="57"/>
      <c r="Q205" s="57"/>
      <c r="R205" s="57"/>
      <c r="S205" s="57"/>
    </row>
    <row r="206" spans="3:19" ht="11.1" customHeight="1">
      <c r="C206" s="57"/>
      <c r="E206" s="54"/>
      <c r="G206" s="209"/>
      <c r="H206" s="209"/>
      <c r="I206" s="55"/>
      <c r="J206" s="55"/>
      <c r="K206" s="56"/>
      <c r="L206" s="56"/>
      <c r="M206" s="56"/>
      <c r="N206" s="57"/>
      <c r="O206" s="57"/>
      <c r="Q206" s="57"/>
      <c r="R206" s="57"/>
      <c r="S206" s="57"/>
    </row>
    <row r="207" spans="3:19" ht="11.1" customHeight="1">
      <c r="C207" s="57"/>
      <c r="E207" s="54"/>
      <c r="G207" s="209"/>
      <c r="H207" s="209"/>
      <c r="I207" s="55"/>
      <c r="J207" s="55"/>
      <c r="K207" s="56"/>
      <c r="L207" s="56"/>
      <c r="M207" s="56"/>
      <c r="N207" s="57"/>
      <c r="O207" s="57"/>
      <c r="Q207" s="57"/>
      <c r="R207" s="57"/>
      <c r="S207" s="57"/>
    </row>
    <row r="208" spans="3:19" ht="11.1" customHeight="1">
      <c r="C208" s="57"/>
      <c r="E208" s="54"/>
      <c r="G208" s="209"/>
      <c r="H208" s="209"/>
      <c r="I208" s="55"/>
      <c r="J208" s="55"/>
      <c r="K208" s="56"/>
      <c r="L208" s="56"/>
      <c r="M208" s="56"/>
      <c r="N208" s="57"/>
      <c r="O208" s="57"/>
      <c r="Q208" s="57"/>
      <c r="R208" s="57"/>
      <c r="S208" s="57"/>
    </row>
    <row r="209" spans="3:19" ht="11.1" customHeight="1">
      <c r="C209" s="57"/>
      <c r="E209" s="54"/>
      <c r="G209" s="209"/>
      <c r="H209" s="209"/>
      <c r="I209" s="55"/>
      <c r="J209" s="55"/>
      <c r="K209" s="56"/>
      <c r="L209" s="56"/>
      <c r="M209" s="56"/>
      <c r="N209" s="57"/>
      <c r="O209" s="57"/>
      <c r="Q209" s="57"/>
      <c r="R209" s="57"/>
      <c r="S209" s="57"/>
    </row>
    <row r="210" spans="3:19" ht="11.1" customHeight="1">
      <c r="C210" s="57"/>
      <c r="E210" s="54"/>
      <c r="G210" s="209"/>
      <c r="H210" s="209"/>
      <c r="I210" s="55"/>
      <c r="J210" s="55"/>
      <c r="K210" s="56"/>
      <c r="L210" s="56"/>
      <c r="M210" s="56"/>
      <c r="N210" s="57"/>
      <c r="O210" s="57"/>
      <c r="Q210" s="57"/>
      <c r="R210" s="57"/>
      <c r="S210" s="57"/>
    </row>
    <row r="211" spans="3:19" ht="11.1" customHeight="1">
      <c r="C211" s="57"/>
      <c r="E211" s="54"/>
      <c r="G211" s="209"/>
      <c r="H211" s="209"/>
      <c r="I211" s="55"/>
      <c r="J211" s="55"/>
      <c r="K211" s="56"/>
      <c r="L211" s="56"/>
      <c r="M211" s="56"/>
      <c r="N211" s="57"/>
      <c r="O211" s="57"/>
      <c r="Q211" s="57"/>
      <c r="R211" s="57"/>
      <c r="S211" s="57"/>
    </row>
    <row r="212" spans="3:19" ht="11.1" customHeight="1">
      <c r="C212" s="57"/>
      <c r="E212" s="54"/>
      <c r="G212" s="209"/>
      <c r="H212" s="209"/>
      <c r="I212" s="55"/>
      <c r="J212" s="55"/>
      <c r="K212" s="56"/>
      <c r="L212" s="56"/>
      <c r="M212" s="56"/>
      <c r="N212" s="57"/>
      <c r="O212" s="57"/>
      <c r="Q212" s="57"/>
      <c r="R212" s="57"/>
      <c r="S212" s="57"/>
    </row>
    <row r="213" spans="3:19" ht="11.1" customHeight="1">
      <c r="C213" s="57"/>
      <c r="E213" s="54"/>
      <c r="G213" s="209"/>
      <c r="H213" s="209"/>
      <c r="I213" s="55"/>
      <c r="J213" s="55"/>
      <c r="K213" s="56"/>
      <c r="L213" s="56"/>
      <c r="M213" s="56"/>
      <c r="N213" s="57"/>
      <c r="O213" s="57"/>
      <c r="Q213" s="57"/>
      <c r="R213" s="57"/>
      <c r="S213" s="57"/>
    </row>
    <row r="214" spans="3:19" ht="11.1" customHeight="1">
      <c r="C214" s="57"/>
      <c r="E214" s="54"/>
      <c r="G214" s="209"/>
      <c r="H214" s="209"/>
      <c r="I214" s="55"/>
      <c r="J214" s="55"/>
      <c r="K214" s="56"/>
      <c r="L214" s="56"/>
      <c r="M214" s="56"/>
      <c r="N214" s="57"/>
      <c r="O214" s="57"/>
      <c r="Q214" s="57"/>
      <c r="R214" s="57"/>
      <c r="S214" s="57"/>
    </row>
    <row r="215" spans="3:19" ht="11.1" customHeight="1">
      <c r="C215" s="57"/>
      <c r="E215" s="54"/>
      <c r="G215" s="209"/>
      <c r="H215" s="209"/>
      <c r="I215" s="55"/>
      <c r="J215" s="55"/>
      <c r="K215" s="56"/>
      <c r="L215" s="56"/>
      <c r="M215" s="56"/>
      <c r="N215" s="57"/>
      <c r="O215" s="57"/>
      <c r="Q215" s="57"/>
      <c r="R215" s="57"/>
      <c r="S215" s="57"/>
    </row>
    <row r="216" spans="3:19" ht="11.1" customHeight="1">
      <c r="C216" s="57"/>
      <c r="E216" s="54"/>
      <c r="G216" s="209"/>
      <c r="H216" s="209"/>
      <c r="I216" s="55"/>
      <c r="J216" s="55"/>
      <c r="K216" s="56"/>
      <c r="L216" s="56"/>
      <c r="M216" s="56"/>
      <c r="N216" s="57"/>
      <c r="O216" s="57"/>
      <c r="Q216" s="57"/>
      <c r="R216" s="57"/>
      <c r="S216" s="57"/>
    </row>
    <row r="217" spans="3:19" ht="11.1" customHeight="1">
      <c r="C217" s="57"/>
      <c r="E217" s="54"/>
      <c r="G217" s="209"/>
      <c r="H217" s="209"/>
      <c r="I217" s="55"/>
      <c r="J217" s="55"/>
      <c r="K217" s="56"/>
      <c r="L217" s="56"/>
      <c r="M217" s="56"/>
      <c r="N217" s="57"/>
      <c r="O217" s="57"/>
      <c r="Q217" s="57"/>
      <c r="R217" s="57"/>
      <c r="S217" s="57"/>
    </row>
    <row r="218" spans="3:19" ht="11.1" customHeight="1">
      <c r="C218" s="57"/>
      <c r="E218" s="54"/>
      <c r="G218" s="209"/>
      <c r="H218" s="209"/>
      <c r="I218" s="55"/>
      <c r="J218" s="55"/>
      <c r="K218" s="56"/>
      <c r="L218" s="56"/>
      <c r="M218" s="56"/>
      <c r="N218" s="57"/>
      <c r="O218" s="57"/>
      <c r="Q218" s="57"/>
      <c r="R218" s="57"/>
      <c r="S218" s="57"/>
    </row>
    <row r="219" spans="3:19" ht="11.1" customHeight="1">
      <c r="C219" s="57"/>
      <c r="E219" s="54"/>
      <c r="G219" s="209"/>
      <c r="H219" s="209"/>
      <c r="I219" s="55"/>
      <c r="J219" s="55"/>
      <c r="K219" s="56"/>
      <c r="L219" s="56"/>
      <c r="M219" s="56"/>
      <c r="N219" s="57"/>
      <c r="O219" s="57"/>
      <c r="Q219" s="57"/>
      <c r="R219" s="57"/>
      <c r="S219" s="57"/>
    </row>
    <row r="220" spans="3:19" ht="11.1" customHeight="1">
      <c r="C220" s="57"/>
      <c r="E220" s="54"/>
      <c r="G220" s="209"/>
      <c r="H220" s="209"/>
      <c r="I220" s="55"/>
      <c r="J220" s="55"/>
      <c r="K220" s="56"/>
      <c r="L220" s="56"/>
      <c r="M220" s="56"/>
      <c r="N220" s="57"/>
      <c r="O220" s="57"/>
      <c r="Q220" s="57"/>
      <c r="R220" s="57"/>
      <c r="S220" s="57"/>
    </row>
    <row r="221" spans="3:19" ht="11.1" customHeight="1">
      <c r="C221" s="57"/>
      <c r="E221" s="54"/>
      <c r="G221" s="209"/>
      <c r="H221" s="209"/>
      <c r="I221" s="55"/>
      <c r="J221" s="55"/>
      <c r="K221" s="56"/>
      <c r="L221" s="56"/>
      <c r="M221" s="56"/>
      <c r="N221" s="57"/>
      <c r="O221" s="57"/>
      <c r="Q221" s="57"/>
      <c r="R221" s="57"/>
      <c r="S221" s="57"/>
    </row>
    <row r="222" spans="3:19" ht="11.1" customHeight="1">
      <c r="C222" s="57"/>
      <c r="E222" s="54"/>
      <c r="G222" s="209"/>
      <c r="H222" s="209"/>
      <c r="I222" s="55"/>
      <c r="J222" s="55"/>
      <c r="K222" s="56"/>
      <c r="L222" s="56"/>
      <c r="M222" s="56"/>
      <c r="N222" s="57"/>
      <c r="O222" s="57"/>
      <c r="Q222" s="57"/>
      <c r="R222" s="57"/>
      <c r="S222" s="57"/>
    </row>
    <row r="223" spans="3:19" ht="11.1" customHeight="1">
      <c r="C223" s="57"/>
      <c r="E223" s="54"/>
      <c r="G223" s="209"/>
      <c r="H223" s="209"/>
      <c r="I223" s="55"/>
      <c r="J223" s="55"/>
      <c r="K223" s="56"/>
      <c r="L223" s="56"/>
      <c r="M223" s="56"/>
      <c r="N223" s="57"/>
      <c r="O223" s="57"/>
      <c r="Q223" s="57"/>
      <c r="R223" s="57"/>
      <c r="S223" s="57"/>
    </row>
    <row r="224" spans="3:19" ht="11.1" customHeight="1">
      <c r="C224" s="57"/>
      <c r="E224" s="54"/>
      <c r="G224" s="209"/>
      <c r="H224" s="209"/>
      <c r="I224" s="55"/>
      <c r="J224" s="55"/>
      <c r="K224" s="56"/>
      <c r="L224" s="56"/>
      <c r="M224" s="56"/>
      <c r="N224" s="57"/>
      <c r="O224" s="57"/>
      <c r="Q224" s="57"/>
      <c r="R224" s="57"/>
      <c r="S224" s="57"/>
    </row>
    <row r="225" spans="3:19" ht="11.1" customHeight="1">
      <c r="C225" s="57"/>
      <c r="E225" s="54"/>
      <c r="G225" s="209"/>
      <c r="H225" s="209"/>
      <c r="I225" s="55"/>
      <c r="J225" s="55"/>
      <c r="K225" s="56"/>
      <c r="L225" s="56"/>
      <c r="M225" s="56"/>
      <c r="N225" s="57"/>
      <c r="O225" s="57"/>
      <c r="Q225" s="57"/>
      <c r="R225" s="57"/>
      <c r="S225" s="57"/>
    </row>
    <row r="226" spans="3:19" ht="11.1" customHeight="1">
      <c r="C226" s="57"/>
      <c r="E226" s="54"/>
      <c r="G226" s="209"/>
      <c r="H226" s="209"/>
      <c r="I226" s="55"/>
      <c r="J226" s="55"/>
      <c r="K226" s="56"/>
      <c r="L226" s="56"/>
      <c r="M226" s="56"/>
      <c r="N226" s="57"/>
      <c r="O226" s="57"/>
      <c r="Q226" s="57"/>
      <c r="R226" s="57"/>
      <c r="S226" s="57"/>
    </row>
    <row r="227" spans="3:19" ht="11.1" customHeight="1">
      <c r="C227" s="57"/>
      <c r="E227" s="54"/>
      <c r="G227" s="209"/>
      <c r="H227" s="209"/>
      <c r="I227" s="55"/>
      <c r="J227" s="55"/>
      <c r="K227" s="56"/>
      <c r="L227" s="56"/>
      <c r="M227" s="56"/>
      <c r="N227" s="57"/>
      <c r="O227" s="57"/>
      <c r="Q227" s="57"/>
      <c r="R227" s="57"/>
      <c r="S227" s="57"/>
    </row>
    <row r="228" spans="3:19" ht="11.1" customHeight="1">
      <c r="C228" s="57"/>
      <c r="E228" s="54"/>
      <c r="G228" s="209"/>
      <c r="H228" s="209"/>
      <c r="I228" s="55"/>
      <c r="J228" s="55"/>
      <c r="K228" s="56"/>
      <c r="L228" s="56"/>
      <c r="M228" s="56"/>
      <c r="N228" s="57"/>
      <c r="O228" s="57"/>
      <c r="Q228" s="57"/>
      <c r="R228" s="57"/>
      <c r="S228" s="57"/>
    </row>
    <row r="229" spans="3:19" ht="11.1" customHeight="1">
      <c r="C229" s="57"/>
      <c r="E229" s="54"/>
      <c r="G229" s="209"/>
      <c r="H229" s="209"/>
      <c r="I229" s="55"/>
      <c r="J229" s="55"/>
      <c r="K229" s="56"/>
      <c r="L229" s="56"/>
      <c r="M229" s="56"/>
      <c r="N229" s="57"/>
      <c r="O229" s="57"/>
      <c r="Q229" s="57"/>
      <c r="R229" s="57"/>
      <c r="S229" s="57"/>
    </row>
    <row r="230" spans="3:19" ht="11.1" customHeight="1">
      <c r="C230" s="57"/>
      <c r="E230" s="54"/>
      <c r="G230" s="209"/>
      <c r="H230" s="209"/>
      <c r="I230" s="55"/>
      <c r="J230" s="55"/>
      <c r="K230" s="56"/>
      <c r="L230" s="56"/>
      <c r="M230" s="56"/>
      <c r="N230" s="57"/>
      <c r="O230" s="57"/>
      <c r="Q230" s="57"/>
      <c r="R230" s="57"/>
      <c r="S230" s="57"/>
    </row>
    <row r="231" spans="3:19" ht="11.1" customHeight="1">
      <c r="C231" s="57"/>
      <c r="E231" s="54"/>
      <c r="G231" s="209"/>
      <c r="H231" s="209"/>
      <c r="I231" s="55"/>
      <c r="J231" s="55"/>
      <c r="K231" s="56"/>
      <c r="L231" s="56"/>
      <c r="M231" s="56"/>
      <c r="N231" s="57"/>
      <c r="O231" s="57"/>
      <c r="Q231" s="57"/>
      <c r="R231" s="57"/>
      <c r="S231" s="57"/>
    </row>
    <row r="232" spans="3:19" ht="11.1" customHeight="1">
      <c r="C232" s="57"/>
      <c r="E232" s="54"/>
      <c r="G232" s="209"/>
      <c r="H232" s="209"/>
      <c r="I232" s="55"/>
      <c r="J232" s="55"/>
      <c r="K232" s="56"/>
      <c r="L232" s="56"/>
      <c r="M232" s="56"/>
      <c r="N232" s="57"/>
      <c r="O232" s="57"/>
      <c r="Q232" s="57"/>
      <c r="R232" s="57"/>
      <c r="S232" s="57"/>
    </row>
    <row r="233" spans="3:19" ht="11.1" customHeight="1">
      <c r="C233" s="57"/>
      <c r="E233" s="54"/>
      <c r="G233" s="209"/>
      <c r="H233" s="209"/>
      <c r="I233" s="55"/>
      <c r="J233" s="55"/>
      <c r="K233" s="56"/>
      <c r="L233" s="56"/>
      <c r="M233" s="56"/>
      <c r="N233" s="57"/>
      <c r="O233" s="57"/>
      <c r="Q233" s="57"/>
      <c r="R233" s="57"/>
      <c r="S233" s="57"/>
    </row>
    <row r="234" spans="3:19" ht="11.1" customHeight="1">
      <c r="C234" s="57"/>
      <c r="E234" s="54"/>
      <c r="G234" s="209"/>
      <c r="H234" s="209"/>
      <c r="I234" s="55"/>
      <c r="J234" s="55"/>
      <c r="K234" s="56"/>
      <c r="L234" s="56"/>
      <c r="M234" s="56"/>
      <c r="N234" s="57"/>
      <c r="O234" s="57"/>
      <c r="Q234" s="57"/>
      <c r="R234" s="57"/>
      <c r="S234" s="57"/>
    </row>
    <row r="235" spans="3:19" ht="11.1" customHeight="1">
      <c r="C235" s="57"/>
      <c r="E235" s="54"/>
      <c r="G235" s="209"/>
      <c r="H235" s="209"/>
      <c r="I235" s="55"/>
      <c r="J235" s="55"/>
      <c r="K235" s="56"/>
      <c r="L235" s="56"/>
      <c r="M235" s="56"/>
      <c r="N235" s="57"/>
      <c r="O235" s="57"/>
      <c r="Q235" s="57"/>
      <c r="R235" s="57"/>
      <c r="S235" s="57"/>
    </row>
    <row r="236" spans="3:19" ht="11.1" customHeight="1">
      <c r="C236" s="57"/>
      <c r="E236" s="54"/>
      <c r="G236" s="209"/>
      <c r="H236" s="209"/>
      <c r="I236" s="55"/>
      <c r="J236" s="55"/>
      <c r="K236" s="56"/>
      <c r="L236" s="56"/>
      <c r="M236" s="56"/>
      <c r="N236" s="57"/>
      <c r="O236" s="57"/>
      <c r="Q236" s="57"/>
      <c r="R236" s="57"/>
      <c r="S236" s="57"/>
    </row>
    <row r="237" spans="3:19" ht="11.1" customHeight="1">
      <c r="C237" s="57"/>
      <c r="E237" s="54"/>
      <c r="G237" s="209"/>
      <c r="H237" s="209"/>
      <c r="I237" s="55"/>
      <c r="J237" s="55"/>
      <c r="K237" s="56"/>
      <c r="L237" s="56"/>
      <c r="M237" s="56"/>
      <c r="N237" s="57"/>
      <c r="O237" s="57"/>
      <c r="Q237" s="57"/>
      <c r="R237" s="57"/>
      <c r="S237" s="57"/>
    </row>
    <row r="238" spans="3:19" ht="11.1" customHeight="1">
      <c r="C238" s="57"/>
      <c r="E238" s="54"/>
      <c r="G238" s="209"/>
      <c r="H238" s="209"/>
      <c r="I238" s="55"/>
      <c r="J238" s="55"/>
      <c r="K238" s="56"/>
      <c r="L238" s="56"/>
      <c r="M238" s="56"/>
      <c r="N238" s="57"/>
      <c r="O238" s="57"/>
      <c r="Q238" s="57"/>
      <c r="R238" s="57"/>
      <c r="S238" s="57"/>
    </row>
    <row r="239" spans="3:19" ht="11.1" customHeight="1">
      <c r="C239" s="57"/>
      <c r="E239" s="54"/>
      <c r="G239" s="209"/>
      <c r="H239" s="209"/>
      <c r="I239" s="55"/>
      <c r="J239" s="55"/>
      <c r="K239" s="56"/>
      <c r="L239" s="56"/>
      <c r="M239" s="56"/>
      <c r="N239" s="57"/>
      <c r="O239" s="57"/>
      <c r="Q239" s="57"/>
      <c r="R239" s="57"/>
      <c r="S239" s="57"/>
    </row>
    <row r="240" spans="3:19" ht="11.1" customHeight="1">
      <c r="C240" s="57"/>
      <c r="E240" s="54"/>
      <c r="G240" s="209"/>
      <c r="H240" s="209"/>
      <c r="I240" s="55"/>
      <c r="J240" s="55"/>
      <c r="K240" s="56"/>
      <c r="L240" s="56"/>
      <c r="M240" s="56"/>
      <c r="N240" s="57"/>
      <c r="O240" s="57"/>
      <c r="Q240" s="57"/>
      <c r="R240" s="57"/>
      <c r="S240" s="57"/>
    </row>
    <row r="241" spans="3:19" ht="11.1" customHeight="1">
      <c r="C241" s="57"/>
      <c r="E241" s="54"/>
      <c r="G241" s="209"/>
      <c r="H241" s="209"/>
      <c r="I241" s="55"/>
      <c r="J241" s="55"/>
      <c r="K241" s="56"/>
      <c r="L241" s="56"/>
      <c r="M241" s="56"/>
      <c r="N241" s="57"/>
      <c r="O241" s="57"/>
      <c r="Q241" s="57"/>
      <c r="R241" s="57"/>
      <c r="S241" s="57"/>
    </row>
    <row r="242" spans="3:19" ht="11.1" customHeight="1">
      <c r="C242" s="57"/>
      <c r="E242" s="54"/>
      <c r="G242" s="209"/>
      <c r="H242" s="209"/>
      <c r="I242" s="55"/>
      <c r="J242" s="55"/>
      <c r="K242" s="56"/>
      <c r="L242" s="56"/>
      <c r="M242" s="56"/>
      <c r="N242" s="57"/>
      <c r="O242" s="57"/>
      <c r="Q242" s="57"/>
      <c r="R242" s="57"/>
      <c r="S242" s="57"/>
    </row>
    <row r="243" spans="3:19" ht="11.1" customHeight="1">
      <c r="C243" s="57"/>
      <c r="E243" s="54"/>
      <c r="G243" s="209"/>
      <c r="H243" s="209"/>
      <c r="I243" s="55"/>
      <c r="J243" s="55"/>
      <c r="K243" s="56"/>
      <c r="L243" s="56"/>
      <c r="M243" s="56"/>
      <c r="N243" s="57"/>
      <c r="O243" s="57"/>
      <c r="Q243" s="57"/>
      <c r="R243" s="57"/>
      <c r="S243" s="57"/>
    </row>
    <row r="244" spans="3:19" ht="11.1" customHeight="1">
      <c r="C244" s="57"/>
      <c r="E244" s="54"/>
      <c r="G244" s="209"/>
      <c r="H244" s="209"/>
      <c r="I244" s="55"/>
      <c r="J244" s="55"/>
      <c r="K244" s="56"/>
      <c r="L244" s="56"/>
      <c r="M244" s="56"/>
      <c r="N244" s="57"/>
      <c r="O244" s="57"/>
      <c r="Q244" s="57"/>
      <c r="R244" s="57"/>
      <c r="S244" s="57"/>
    </row>
    <row r="245" spans="3:19" ht="11.1" customHeight="1">
      <c r="C245" s="57"/>
      <c r="E245" s="54"/>
      <c r="G245" s="209"/>
      <c r="H245" s="209"/>
      <c r="I245" s="55"/>
      <c r="J245" s="55"/>
      <c r="K245" s="56"/>
      <c r="L245" s="56"/>
      <c r="M245" s="56"/>
      <c r="N245" s="57"/>
      <c r="O245" s="57"/>
      <c r="Q245" s="57"/>
      <c r="R245" s="57"/>
      <c r="S245" s="57"/>
    </row>
    <row r="246" spans="3:19" ht="11.1" customHeight="1">
      <c r="C246" s="57"/>
      <c r="E246" s="54"/>
      <c r="G246" s="209"/>
      <c r="H246" s="209"/>
      <c r="I246" s="55"/>
      <c r="J246" s="55"/>
      <c r="K246" s="56"/>
      <c r="L246" s="56"/>
      <c r="M246" s="56"/>
      <c r="N246" s="57"/>
      <c r="O246" s="57"/>
      <c r="Q246" s="57"/>
      <c r="R246" s="57"/>
      <c r="S246" s="57"/>
    </row>
    <row r="247" spans="3:19" ht="11.1" customHeight="1">
      <c r="C247" s="57"/>
      <c r="E247" s="54"/>
      <c r="G247" s="209"/>
      <c r="H247" s="209"/>
      <c r="I247" s="55"/>
      <c r="J247" s="55"/>
      <c r="K247" s="56"/>
      <c r="L247" s="56"/>
      <c r="M247" s="56"/>
      <c r="N247" s="57"/>
      <c r="O247" s="57"/>
      <c r="Q247" s="57"/>
      <c r="R247" s="57"/>
      <c r="S247" s="57"/>
    </row>
    <row r="248" spans="3:19" ht="11.1" customHeight="1">
      <c r="C248" s="57"/>
      <c r="E248" s="54"/>
      <c r="G248" s="209"/>
      <c r="H248" s="209"/>
      <c r="I248" s="55"/>
      <c r="J248" s="55"/>
      <c r="K248" s="56"/>
      <c r="L248" s="56"/>
      <c r="M248" s="56"/>
      <c r="N248" s="57"/>
      <c r="O248" s="57"/>
      <c r="Q248" s="57"/>
      <c r="R248" s="57"/>
      <c r="S248" s="57"/>
    </row>
    <row r="249" spans="3:19" ht="11.1" customHeight="1">
      <c r="C249" s="57"/>
      <c r="E249" s="54"/>
      <c r="G249" s="209"/>
      <c r="H249" s="209"/>
      <c r="I249" s="55"/>
      <c r="J249" s="55"/>
      <c r="K249" s="56"/>
      <c r="L249" s="56"/>
      <c r="M249" s="56"/>
      <c r="N249" s="57"/>
      <c r="O249" s="57"/>
      <c r="Q249" s="57"/>
      <c r="R249" s="57"/>
      <c r="S249" s="57"/>
    </row>
    <row r="250" spans="3:19" ht="11.1" customHeight="1">
      <c r="C250" s="57"/>
      <c r="E250" s="54"/>
      <c r="G250" s="209"/>
      <c r="H250" s="209"/>
      <c r="I250" s="55"/>
      <c r="J250" s="55"/>
      <c r="K250" s="56"/>
      <c r="L250" s="56"/>
      <c r="M250" s="56"/>
      <c r="N250" s="57"/>
      <c r="O250" s="57"/>
      <c r="Q250" s="57"/>
      <c r="R250" s="57"/>
      <c r="S250" s="57"/>
    </row>
    <row r="251" spans="3:19" ht="11.1" customHeight="1">
      <c r="C251" s="57"/>
      <c r="E251" s="54"/>
      <c r="G251" s="209"/>
      <c r="H251" s="209"/>
      <c r="I251" s="55"/>
      <c r="J251" s="55"/>
      <c r="K251" s="56"/>
      <c r="L251" s="56"/>
      <c r="M251" s="56"/>
      <c r="N251" s="57"/>
      <c r="O251" s="57"/>
      <c r="Q251" s="57"/>
      <c r="R251" s="57"/>
      <c r="S251" s="57"/>
    </row>
    <row r="252" spans="3:19" ht="11.1" customHeight="1">
      <c r="C252" s="57"/>
      <c r="E252" s="54"/>
      <c r="G252" s="209"/>
      <c r="H252" s="209"/>
      <c r="I252" s="55"/>
      <c r="J252" s="55"/>
      <c r="K252" s="56"/>
      <c r="L252" s="56"/>
      <c r="M252" s="56"/>
      <c r="N252" s="57"/>
      <c r="O252" s="57"/>
      <c r="Q252" s="57"/>
      <c r="R252" s="57"/>
      <c r="S252" s="57"/>
    </row>
    <row r="253" spans="3:19" ht="11.1" customHeight="1">
      <c r="C253" s="57"/>
      <c r="E253" s="54"/>
      <c r="G253" s="209"/>
      <c r="H253" s="209"/>
      <c r="I253" s="55"/>
      <c r="J253" s="55"/>
      <c r="K253" s="56"/>
      <c r="L253" s="56"/>
      <c r="M253" s="56"/>
      <c r="N253" s="57"/>
      <c r="O253" s="57"/>
      <c r="Q253" s="57"/>
      <c r="R253" s="57"/>
      <c r="S253" s="57"/>
    </row>
    <row r="254" spans="3:19" ht="11.1" customHeight="1">
      <c r="C254" s="57"/>
      <c r="E254" s="54"/>
      <c r="G254" s="209"/>
      <c r="H254" s="209"/>
      <c r="I254" s="55"/>
      <c r="J254" s="55"/>
      <c r="K254" s="56"/>
      <c r="L254" s="56"/>
      <c r="M254" s="56"/>
      <c r="N254" s="57"/>
      <c r="O254" s="57"/>
      <c r="Q254" s="57"/>
      <c r="R254" s="57"/>
      <c r="S254" s="57"/>
    </row>
    <row r="255" spans="3:19" ht="11.1" customHeight="1">
      <c r="C255" s="57"/>
      <c r="E255" s="54"/>
      <c r="G255" s="209"/>
      <c r="H255" s="209"/>
      <c r="I255" s="55"/>
      <c r="J255" s="55"/>
      <c r="K255" s="56"/>
      <c r="L255" s="56"/>
      <c r="M255" s="56"/>
      <c r="N255" s="57"/>
      <c r="O255" s="57"/>
      <c r="Q255" s="57"/>
      <c r="R255" s="57"/>
      <c r="S255" s="57"/>
    </row>
    <row r="256" spans="3:19" ht="11.1" customHeight="1">
      <c r="C256" s="57"/>
      <c r="E256" s="54"/>
      <c r="G256" s="209"/>
      <c r="H256" s="209"/>
      <c r="I256" s="55"/>
      <c r="J256" s="55"/>
      <c r="K256" s="56"/>
      <c r="L256" s="56"/>
      <c r="M256" s="56"/>
      <c r="N256" s="57"/>
      <c r="O256" s="57"/>
      <c r="Q256" s="57"/>
      <c r="R256" s="57"/>
      <c r="S256" s="57"/>
    </row>
    <row r="257" spans="3:19" ht="11.1" customHeight="1">
      <c r="C257" s="57"/>
      <c r="E257" s="54"/>
      <c r="G257" s="209"/>
      <c r="H257" s="209"/>
      <c r="I257" s="55"/>
      <c r="J257" s="55"/>
      <c r="K257" s="56"/>
      <c r="L257" s="56"/>
      <c r="M257" s="56"/>
      <c r="N257" s="57"/>
      <c r="O257" s="57"/>
      <c r="Q257" s="57"/>
      <c r="R257" s="57"/>
      <c r="S257" s="57"/>
    </row>
    <row r="258" spans="3:19" ht="11.1" customHeight="1">
      <c r="C258" s="57"/>
      <c r="E258" s="54"/>
      <c r="G258" s="209"/>
      <c r="H258" s="209"/>
      <c r="I258" s="55"/>
      <c r="J258" s="55"/>
      <c r="K258" s="56"/>
      <c r="L258" s="56"/>
      <c r="M258" s="56"/>
      <c r="N258" s="57"/>
      <c r="O258" s="57"/>
      <c r="Q258" s="57"/>
      <c r="R258" s="57"/>
      <c r="S258" s="57"/>
    </row>
    <row r="259" spans="3:19" ht="11.1" customHeight="1">
      <c r="C259" s="57"/>
      <c r="E259" s="54"/>
      <c r="G259" s="209"/>
      <c r="H259" s="209"/>
      <c r="I259" s="55"/>
      <c r="J259" s="55"/>
      <c r="K259" s="56"/>
      <c r="L259" s="56"/>
      <c r="M259" s="56"/>
      <c r="N259" s="57"/>
      <c r="O259" s="57"/>
      <c r="Q259" s="57"/>
      <c r="R259" s="57"/>
      <c r="S259" s="57"/>
    </row>
    <row r="260" spans="3:19" ht="11.1" customHeight="1">
      <c r="C260" s="57"/>
      <c r="E260" s="54"/>
      <c r="G260" s="209"/>
      <c r="H260" s="209"/>
      <c r="I260" s="55"/>
      <c r="J260" s="55"/>
      <c r="K260" s="56"/>
      <c r="L260" s="56"/>
      <c r="M260" s="56"/>
      <c r="N260" s="57"/>
      <c r="O260" s="57"/>
      <c r="Q260" s="57"/>
      <c r="R260" s="57"/>
      <c r="S260" s="57"/>
    </row>
    <row r="261" spans="3:19" ht="11.1" customHeight="1">
      <c r="C261" s="57"/>
      <c r="E261" s="54"/>
      <c r="G261" s="209"/>
      <c r="H261" s="209"/>
      <c r="I261" s="55"/>
      <c r="J261" s="55"/>
      <c r="K261" s="56"/>
      <c r="L261" s="56"/>
      <c r="M261" s="56"/>
      <c r="N261" s="57"/>
      <c r="O261" s="57"/>
      <c r="Q261" s="57"/>
      <c r="R261" s="57"/>
      <c r="S261" s="57"/>
    </row>
  </sheetData>
  <mergeCells count="7">
    <mergeCell ref="E44:I44"/>
    <mergeCell ref="P44:Q44"/>
    <mergeCell ref="B1:S1"/>
    <mergeCell ref="B2:S2"/>
    <mergeCell ref="E3:I3"/>
    <mergeCell ref="P3:Q3"/>
    <mergeCell ref="B43:S43"/>
  </mergeCells>
  <phoneticPr fontId="58" type="noConversion"/>
  <pageMargins left="0.75" right="0.75" top="1" bottom="0.75" header="0.5" footer="0.5"/>
  <pageSetup scale="59" fitToHeight="2" orientation="landscape" r:id="rId1"/>
  <headerFooter scaleWithDoc="0" alignWithMargins="0">
    <oddFooter>&amp;C&amp;F&amp;RPage &amp;P of &amp;N</oddFooter>
  </headerFooter>
  <rowBreaks count="1" manualBreakCount="1">
    <brk id="42"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4" workbookViewId="0">
      <selection activeCell="C37" sqref="C37:M37"/>
    </sheetView>
  </sheetViews>
  <sheetFormatPr defaultRowHeight="12.75"/>
  <cols>
    <col min="1" max="1" width="25.28515625" customWidth="1"/>
    <col min="2" max="9" width="7" customWidth="1"/>
    <col min="10" max="10" width="7.5703125" customWidth="1"/>
    <col min="11" max="14" width="8.42578125" customWidth="1"/>
  </cols>
  <sheetData>
    <row r="1" spans="1:14" ht="4.9000000000000004" customHeight="1"/>
    <row r="2" spans="1:14" ht="20.25">
      <c r="B2" s="681" t="s">
        <v>599</v>
      </c>
    </row>
    <row r="4" spans="1:14">
      <c r="A4" s="550"/>
      <c r="B4" s="682">
        <v>2001</v>
      </c>
      <c r="C4" s="682">
        <v>2002</v>
      </c>
      <c r="D4" s="682">
        <v>2003</v>
      </c>
      <c r="E4" s="682">
        <v>2004</v>
      </c>
      <c r="F4" s="682">
        <v>2005</v>
      </c>
      <c r="G4" s="682">
        <v>2006</v>
      </c>
      <c r="H4" s="682">
        <v>2007</v>
      </c>
      <c r="I4" s="682">
        <v>2008</v>
      </c>
      <c r="J4" s="682">
        <v>2009</v>
      </c>
      <c r="K4" s="682">
        <v>2010</v>
      </c>
      <c r="L4" s="682">
        <v>2011</v>
      </c>
      <c r="M4" s="682">
        <v>2012</v>
      </c>
      <c r="N4" s="682">
        <v>2013</v>
      </c>
    </row>
    <row r="5" spans="1:14">
      <c r="A5" s="433" t="s">
        <v>583</v>
      </c>
      <c r="B5" s="683">
        <f>'Cost Trends'!G129</f>
        <v>662278</v>
      </c>
      <c r="C5" s="683">
        <f>'Cost Trends'!H129</f>
        <v>739502</v>
      </c>
      <c r="D5" s="683">
        <f>'Cost Trends'!I129</f>
        <v>720602</v>
      </c>
      <c r="E5" s="683">
        <f>'Cost Trends'!J129</f>
        <v>757756</v>
      </c>
      <c r="F5" s="683">
        <f>'Cost Trends'!K129</f>
        <v>799091</v>
      </c>
      <c r="G5" s="683">
        <f>'Cost Trends'!L129</f>
        <v>855712</v>
      </c>
      <c r="H5" s="683">
        <f>'Cost Trends'!M129</f>
        <v>870835</v>
      </c>
      <c r="I5" s="683">
        <f>'Cost Trends'!N129</f>
        <v>917247</v>
      </c>
      <c r="J5" s="683">
        <f>'Cost Trends'!O129</f>
        <v>987243</v>
      </c>
      <c r="K5" s="683">
        <f>'Cost Trends'!P129</f>
        <v>1036064</v>
      </c>
      <c r="L5" s="683">
        <f>'Cost Trends'!Q129</f>
        <v>1087141</v>
      </c>
      <c r="M5" s="683">
        <f>'Cost Trends'!R129</f>
        <v>1131570</v>
      </c>
      <c r="N5" s="683">
        <f>'Cost Trends'!S129</f>
        <v>1195010</v>
      </c>
    </row>
    <row r="6" spans="1:14">
      <c r="A6" s="433" t="s">
        <v>584</v>
      </c>
      <c r="B6" s="550"/>
      <c r="C6" s="550"/>
      <c r="D6" s="550"/>
      <c r="E6" s="550"/>
      <c r="F6" s="550"/>
      <c r="G6" s="550"/>
      <c r="H6" s="683">
        <f>'Cost Trends'!M129</f>
        <v>870835</v>
      </c>
      <c r="I6" s="683">
        <f>'Cost Trends'!N129</f>
        <v>917247</v>
      </c>
      <c r="J6" s="683">
        <f>'Cost Trends'!O129</f>
        <v>987243</v>
      </c>
      <c r="K6" s="683">
        <f>'Cost Trends'!P129</f>
        <v>1036064</v>
      </c>
      <c r="L6" s="683">
        <f>'Cost Trends'!Q129</f>
        <v>1087141</v>
      </c>
      <c r="M6" s="683">
        <f>'Cost Trends'!R129</f>
        <v>1131570</v>
      </c>
      <c r="N6" s="683">
        <f>'Cost Trends'!S129</f>
        <v>1195010</v>
      </c>
    </row>
    <row r="7" spans="1:14">
      <c r="A7" s="550"/>
      <c r="B7" s="550"/>
      <c r="C7" s="550"/>
      <c r="D7" s="550"/>
      <c r="E7" s="550"/>
      <c r="F7" s="550"/>
      <c r="G7" s="550"/>
      <c r="H7" s="550"/>
      <c r="I7" s="550"/>
      <c r="J7" s="550"/>
      <c r="K7" s="550"/>
      <c r="L7" s="550"/>
      <c r="M7" s="550"/>
      <c r="N7" s="550"/>
    </row>
    <row r="8" spans="1:14">
      <c r="A8" s="550"/>
      <c r="B8" s="550"/>
      <c r="C8" s="550"/>
      <c r="D8" s="550"/>
      <c r="E8" s="550"/>
      <c r="F8" s="550"/>
      <c r="G8" s="550"/>
      <c r="H8" s="550"/>
      <c r="I8" s="550"/>
      <c r="J8" s="550"/>
      <c r="K8" s="550"/>
      <c r="L8" s="550"/>
      <c r="M8" s="550"/>
      <c r="N8" s="550"/>
    </row>
    <row r="9" spans="1:14">
      <c r="A9" s="550"/>
      <c r="B9" s="682" t="s">
        <v>621</v>
      </c>
      <c r="C9" s="694"/>
      <c r="D9" s="687" t="s">
        <v>99</v>
      </c>
      <c r="E9" s="700" t="s">
        <v>607</v>
      </c>
      <c r="F9" s="550"/>
      <c r="G9" s="550"/>
      <c r="H9" s="550"/>
      <c r="I9" s="550"/>
      <c r="J9" s="550"/>
      <c r="K9" s="550"/>
      <c r="L9" s="550"/>
      <c r="M9" s="550"/>
      <c r="N9" s="550"/>
    </row>
    <row r="10" spans="1:14">
      <c r="A10" s="433" t="s">
        <v>595</v>
      </c>
      <c r="B10" s="692">
        <v>43383</v>
      </c>
      <c r="C10" s="691"/>
      <c r="D10" s="688">
        <f>B10/N5</f>
        <v>3.630346189571635E-2</v>
      </c>
      <c r="E10" s="701"/>
      <c r="F10" s="550"/>
      <c r="G10" s="550"/>
      <c r="H10" s="550"/>
      <c r="I10" s="550"/>
      <c r="J10" s="550"/>
      <c r="K10" s="550"/>
      <c r="L10" s="550"/>
      <c r="M10" s="550"/>
      <c r="N10" s="550"/>
    </row>
    <row r="11" spans="1:14">
      <c r="A11" s="433" t="s">
        <v>596</v>
      </c>
      <c r="B11" s="693">
        <v>53610</v>
      </c>
      <c r="C11" s="690"/>
      <c r="D11" s="689">
        <f>B11/N6</f>
        <v>4.486154927573828E-2</v>
      </c>
      <c r="E11" s="702"/>
      <c r="F11" s="550"/>
      <c r="G11" s="550"/>
      <c r="H11" s="550"/>
      <c r="I11" s="550"/>
      <c r="J11" s="550"/>
      <c r="K11" s="550"/>
      <c r="L11" s="550"/>
      <c r="M11" s="550"/>
      <c r="N11" s="550"/>
    </row>
    <row r="12" spans="1:14">
      <c r="A12" s="433" t="s">
        <v>593</v>
      </c>
      <c r="B12" s="550"/>
      <c r="C12" s="688"/>
      <c r="D12" s="686">
        <f>AVERAGE(D10:D11)</f>
        <v>4.0582505585727319E-2</v>
      </c>
      <c r="E12" s="710">
        <f>2*D12</f>
        <v>8.1165011171454637E-2</v>
      </c>
      <c r="F12" s="550"/>
      <c r="G12" s="550"/>
      <c r="H12" s="550"/>
      <c r="I12" s="550"/>
      <c r="J12" s="550"/>
      <c r="K12" s="550"/>
      <c r="L12" s="550"/>
      <c r="M12" s="550"/>
      <c r="N12" s="550"/>
    </row>
    <row r="13" spans="1:14">
      <c r="E13" s="550"/>
      <c r="F13" s="550"/>
      <c r="G13" s="550"/>
      <c r="H13" s="550"/>
      <c r="I13" s="550"/>
      <c r="J13" s="550"/>
      <c r="K13" s="550"/>
      <c r="L13" s="550"/>
      <c r="M13" s="550"/>
      <c r="N13" s="550"/>
    </row>
    <row r="14" spans="1:14">
      <c r="A14" s="550"/>
      <c r="B14" s="550"/>
      <c r="C14" s="550"/>
      <c r="D14" s="550"/>
      <c r="E14" s="550"/>
      <c r="F14" s="550"/>
      <c r="G14" s="550"/>
      <c r="H14" s="550"/>
      <c r="I14" s="550"/>
      <c r="J14" s="550"/>
      <c r="K14" s="550"/>
      <c r="L14" s="550"/>
      <c r="M14" s="550"/>
      <c r="N14" s="550"/>
    </row>
  </sheetData>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C37" sqref="C37:M37"/>
    </sheetView>
  </sheetViews>
  <sheetFormatPr defaultRowHeight="12.75"/>
  <cols>
    <col min="1" max="1" width="28.7109375" customWidth="1"/>
    <col min="2" max="14" width="7.28515625" customWidth="1"/>
  </cols>
  <sheetData>
    <row r="1" spans="1:14" ht="7.15" customHeight="1"/>
    <row r="2" spans="1:14" ht="20.25">
      <c r="B2" s="681" t="s">
        <v>594</v>
      </c>
    </row>
    <row r="4" spans="1:14">
      <c r="A4" s="550"/>
      <c r="B4" s="682">
        <v>2001</v>
      </c>
      <c r="C4" s="682">
        <v>2002</v>
      </c>
      <c r="D4" s="682">
        <v>2003</v>
      </c>
      <c r="E4" s="682">
        <v>2004</v>
      </c>
      <c r="F4" s="682">
        <v>2005</v>
      </c>
      <c r="G4" s="682">
        <v>2006</v>
      </c>
      <c r="H4" s="682">
        <v>2007</v>
      </c>
      <c r="I4" s="682">
        <v>2008</v>
      </c>
      <c r="J4" s="682">
        <v>2009</v>
      </c>
      <c r="K4" s="682">
        <v>2010</v>
      </c>
      <c r="L4" s="682">
        <v>2011</v>
      </c>
      <c r="M4" s="682">
        <v>2012</v>
      </c>
      <c r="N4" s="682">
        <v>2013</v>
      </c>
    </row>
    <row r="5" spans="1:14">
      <c r="A5" s="433" t="s">
        <v>585</v>
      </c>
      <c r="B5" s="683">
        <f>'Cost Trends'!G139</f>
        <v>2162</v>
      </c>
      <c r="C5" s="683">
        <f>'Cost Trends'!H139</f>
        <v>1866</v>
      </c>
      <c r="D5" s="683">
        <f>'Cost Trends'!I139</f>
        <v>2536</v>
      </c>
      <c r="E5" s="683">
        <f>'Cost Trends'!J139</f>
        <v>2779</v>
      </c>
      <c r="F5" s="683">
        <f>'Cost Trends'!K139</f>
        <v>3442.8862000000008</v>
      </c>
      <c r="G5" s="683">
        <f>'Cost Trends'!L139</f>
        <v>2956</v>
      </c>
      <c r="H5" s="683">
        <f>'Cost Trends'!M139</f>
        <v>3073</v>
      </c>
      <c r="I5" s="683">
        <f>'Cost Trends'!N139</f>
        <v>2875</v>
      </c>
      <c r="J5" s="683">
        <f>'Cost Trends'!O139</f>
        <v>2813.6201999999994</v>
      </c>
      <c r="K5" s="683">
        <f>'Cost Trends'!P139</f>
        <v>2813.1288000000004</v>
      </c>
      <c r="L5" s="683">
        <f>'Cost Trends'!Q139</f>
        <v>2812.3060000000005</v>
      </c>
      <c r="M5" s="683">
        <f>'Cost Trends'!R139</f>
        <v>3314.6805999999997</v>
      </c>
      <c r="N5" s="683">
        <f>'Cost Trends'!S139</f>
        <v>3464</v>
      </c>
    </row>
    <row r="6" spans="1:14">
      <c r="A6" s="433" t="s">
        <v>586</v>
      </c>
      <c r="B6" s="550"/>
      <c r="C6" s="550"/>
      <c r="D6" s="550"/>
      <c r="E6" s="550"/>
      <c r="F6" s="550"/>
      <c r="G6" s="550"/>
      <c r="H6" s="683">
        <f>'Cost Trends'!M139</f>
        <v>3073</v>
      </c>
      <c r="I6" s="683">
        <f>'Cost Trends'!N139</f>
        <v>2875</v>
      </c>
      <c r="J6" s="683">
        <f>'Cost Trends'!O139</f>
        <v>2813.6201999999994</v>
      </c>
      <c r="K6" s="683">
        <f>'Cost Trends'!P139</f>
        <v>2813.1288000000004</v>
      </c>
      <c r="L6" s="683">
        <f>'Cost Trends'!Q139</f>
        <v>2812.3060000000005</v>
      </c>
      <c r="M6" s="683">
        <f>'Cost Trends'!R139</f>
        <v>3314.6805999999997</v>
      </c>
      <c r="N6" s="683">
        <f>'Cost Trends'!S139</f>
        <v>3464</v>
      </c>
    </row>
    <row r="7" spans="1:14">
      <c r="A7" s="433"/>
      <c r="B7" s="550"/>
      <c r="C7" s="550"/>
      <c r="D7" s="550"/>
      <c r="E7" s="550"/>
      <c r="F7" s="550"/>
      <c r="G7" s="550"/>
      <c r="H7" s="683"/>
      <c r="I7" s="683"/>
      <c r="J7" s="683"/>
      <c r="K7" s="683"/>
      <c r="L7" s="683"/>
      <c r="M7" s="683"/>
      <c r="N7" s="683"/>
    </row>
    <row r="8" spans="1:14">
      <c r="B8" s="433"/>
      <c r="C8" s="550"/>
      <c r="D8" s="550"/>
    </row>
    <row r="9" spans="1:14">
      <c r="A9" s="550"/>
      <c r="B9" s="682" t="s">
        <v>622</v>
      </c>
      <c r="C9" s="690"/>
      <c r="D9" s="687" t="s">
        <v>99</v>
      </c>
      <c r="E9" s="700" t="s">
        <v>607</v>
      </c>
    </row>
    <row r="10" spans="1:14">
      <c r="A10" s="433" t="s">
        <v>595</v>
      </c>
      <c r="B10" s="684">
        <v>82</v>
      </c>
      <c r="C10" s="691"/>
      <c r="D10" s="688">
        <f>B10/N5</f>
        <v>2.3672055427251731E-2</v>
      </c>
      <c r="E10" s="701"/>
    </row>
    <row r="11" spans="1:14">
      <c r="A11" s="433" t="s">
        <v>596</v>
      </c>
      <c r="B11" s="685">
        <v>73.3</v>
      </c>
      <c r="C11" s="690"/>
      <c r="D11" s="689">
        <f>B11/N6</f>
        <v>2.1160508083140878E-2</v>
      </c>
      <c r="E11" s="702"/>
    </row>
    <row r="12" spans="1:14">
      <c r="A12" s="433" t="s">
        <v>593</v>
      </c>
      <c r="B12" s="550"/>
      <c r="C12" s="691"/>
      <c r="D12" s="686">
        <f>AVERAGE(D10:D11)</f>
        <v>2.2416281755196305E-2</v>
      </c>
      <c r="E12" s="703">
        <f>D12*2</f>
        <v>4.4832563510392609E-2</v>
      </c>
    </row>
    <row r="13" spans="1:14">
      <c r="E13" s="657"/>
    </row>
    <row r="15" spans="1:14">
      <c r="A15" s="550"/>
      <c r="B15" s="550"/>
      <c r="C15" s="550"/>
    </row>
  </sheetData>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opLeftCell="A4" workbookViewId="0">
      <selection activeCell="C37" sqref="C37:M37"/>
    </sheetView>
  </sheetViews>
  <sheetFormatPr defaultRowHeight="12.75"/>
  <cols>
    <col min="1" max="1" width="31.28515625" customWidth="1"/>
    <col min="2" max="14" width="7.140625" customWidth="1"/>
  </cols>
  <sheetData>
    <row r="1" spans="1:14" ht="6.6" customHeight="1"/>
    <row r="2" spans="1:14" ht="20.25">
      <c r="B2" s="681" t="s">
        <v>600</v>
      </c>
    </row>
    <row r="4" spans="1:14">
      <c r="A4" s="550"/>
      <c r="B4" s="682">
        <v>2001</v>
      </c>
      <c r="C4" s="682">
        <v>2002</v>
      </c>
      <c r="D4" s="682">
        <v>2003</v>
      </c>
      <c r="E4" s="682">
        <v>2004</v>
      </c>
      <c r="F4" s="682">
        <v>2005</v>
      </c>
      <c r="G4" s="682">
        <v>2006</v>
      </c>
      <c r="H4" s="682">
        <v>2007</v>
      </c>
      <c r="I4" s="682">
        <v>2008</v>
      </c>
      <c r="J4" s="682">
        <v>2009</v>
      </c>
      <c r="K4" s="682">
        <v>2010</v>
      </c>
      <c r="L4" s="682">
        <v>2011</v>
      </c>
      <c r="M4" s="682">
        <v>2012</v>
      </c>
      <c r="N4" s="682">
        <v>2013</v>
      </c>
    </row>
    <row r="5" spans="1:14">
      <c r="A5" s="433" t="s">
        <v>581</v>
      </c>
      <c r="B5" s="683">
        <f>'Cost Trends'!G126</f>
        <v>20455.293599970671</v>
      </c>
      <c r="C5" s="683">
        <f>'Cost Trends'!H126</f>
        <v>24219.468799136816</v>
      </c>
      <c r="D5" s="683">
        <f>'Cost Trends'!I126</f>
        <v>24018.439212030109</v>
      </c>
      <c r="E5" s="683">
        <f>'Cost Trends'!J126</f>
        <v>24687</v>
      </c>
      <c r="F5" s="683">
        <f>'Cost Trends'!K126</f>
        <v>24996.242027012875</v>
      </c>
      <c r="G5" s="683">
        <f>'Cost Trends'!L126</f>
        <v>25422</v>
      </c>
      <c r="H5" s="683">
        <f>'Cost Trends'!M126</f>
        <v>24422.193309601087</v>
      </c>
      <c r="I5" s="683">
        <f>'Cost Trends'!N126</f>
        <v>25215.167948905873</v>
      </c>
      <c r="J5" s="683">
        <f>'Cost Trends'!O126</f>
        <v>26617.424405821377</v>
      </c>
      <c r="K5" s="683">
        <f>'Cost Trends'!P126</f>
        <v>29412.477627473563</v>
      </c>
      <c r="L5" s="683">
        <f>'Cost Trends'!Q126</f>
        <v>32613.966947797297</v>
      </c>
      <c r="M5" s="683">
        <f>'Cost Trends'!R126</f>
        <v>33714.92312405508</v>
      </c>
      <c r="N5" s="683">
        <f>'Cost Trends'!S126</f>
        <v>36201</v>
      </c>
    </row>
    <row r="6" spans="1:14">
      <c r="A6" s="433" t="s">
        <v>582</v>
      </c>
      <c r="B6" s="550"/>
      <c r="C6" s="550"/>
      <c r="D6" s="550"/>
      <c r="E6" s="550"/>
      <c r="F6" s="550"/>
      <c r="G6" s="550"/>
      <c r="H6" s="683">
        <f>'Cost Trends'!M126</f>
        <v>24422.193309601087</v>
      </c>
      <c r="I6" s="683">
        <f>'Cost Trends'!N126</f>
        <v>25215.167948905873</v>
      </c>
      <c r="J6" s="683">
        <f>'Cost Trends'!O126</f>
        <v>26617.424405821377</v>
      </c>
      <c r="K6" s="683">
        <f>'Cost Trends'!P126</f>
        <v>29412.477627473563</v>
      </c>
      <c r="L6" s="683">
        <f>'Cost Trends'!Q126</f>
        <v>32613.966947797297</v>
      </c>
      <c r="M6" s="683">
        <f>'Cost Trends'!R126</f>
        <v>33714.92312405508</v>
      </c>
      <c r="N6" s="683">
        <f>'Cost Trends'!S126</f>
        <v>36201</v>
      </c>
    </row>
    <row r="7" spans="1:14">
      <c r="A7" s="550"/>
      <c r="B7" s="550"/>
      <c r="C7" s="550"/>
      <c r="D7" s="550"/>
      <c r="E7" s="550"/>
      <c r="F7" s="550"/>
      <c r="G7" s="550"/>
      <c r="H7" s="550"/>
      <c r="I7" s="550"/>
      <c r="J7" s="550"/>
      <c r="K7" s="550"/>
      <c r="L7" s="550"/>
      <c r="M7" s="550"/>
      <c r="N7" s="550"/>
    </row>
    <row r="8" spans="1:14">
      <c r="A8" s="550"/>
      <c r="B8" s="550"/>
      <c r="C8" s="550"/>
      <c r="D8" s="550"/>
      <c r="E8" s="550"/>
      <c r="F8" s="550"/>
      <c r="G8" s="550"/>
      <c r="H8" s="550"/>
      <c r="I8" s="550"/>
      <c r="J8" s="550"/>
      <c r="K8" s="550"/>
      <c r="L8" s="550"/>
      <c r="M8" s="550"/>
      <c r="N8" s="550"/>
    </row>
    <row r="9" spans="1:14">
      <c r="A9" s="550"/>
      <c r="B9" s="682" t="s">
        <v>621</v>
      </c>
      <c r="C9" s="694"/>
      <c r="D9" s="687" t="s">
        <v>99</v>
      </c>
      <c r="E9" s="700" t="s">
        <v>607</v>
      </c>
      <c r="F9" s="550"/>
      <c r="G9" s="550"/>
      <c r="H9" s="550"/>
      <c r="I9" s="550"/>
      <c r="J9" s="550"/>
      <c r="K9" s="550"/>
      <c r="L9" s="550"/>
      <c r="M9" s="550"/>
      <c r="N9" s="550"/>
    </row>
    <row r="10" spans="1:14">
      <c r="A10" s="433" t="s">
        <v>595</v>
      </c>
      <c r="B10" s="692">
        <v>1063</v>
      </c>
      <c r="C10" s="691"/>
      <c r="D10" s="688">
        <f>B10/N5</f>
        <v>2.9363829728460539E-2</v>
      </c>
      <c r="E10" s="701"/>
      <c r="F10" s="550"/>
      <c r="G10" s="550"/>
      <c r="H10" s="550"/>
      <c r="I10" s="550"/>
      <c r="J10" s="550"/>
      <c r="K10" s="550"/>
      <c r="L10" s="550"/>
      <c r="M10" s="550"/>
      <c r="N10" s="550"/>
    </row>
    <row r="11" spans="1:14">
      <c r="A11" s="433" t="s">
        <v>596</v>
      </c>
      <c r="B11" s="693">
        <v>2083</v>
      </c>
      <c r="C11" s="690"/>
      <c r="D11" s="689">
        <f>B11/N6</f>
        <v>5.7539846965553434E-2</v>
      </c>
      <c r="E11" s="702"/>
      <c r="F11" s="550"/>
      <c r="G11" s="550"/>
      <c r="H11" s="550"/>
      <c r="I11" s="550"/>
      <c r="J11" s="550"/>
      <c r="K11" s="550"/>
      <c r="L11" s="550"/>
      <c r="M11" s="550"/>
      <c r="N11" s="550"/>
    </row>
    <row r="12" spans="1:14">
      <c r="A12" s="433" t="s">
        <v>593</v>
      </c>
      <c r="B12" s="550"/>
      <c r="C12" s="688"/>
      <c r="D12" s="686">
        <f>AVERAGE(D10:D11)</f>
        <v>4.3451838347006985E-2</v>
      </c>
      <c r="E12" s="711">
        <f>2*D12</f>
        <v>8.690367669401397E-2</v>
      </c>
      <c r="F12" s="550"/>
      <c r="G12" s="550"/>
      <c r="H12" s="550"/>
      <c r="I12" s="550"/>
      <c r="J12" s="550"/>
      <c r="K12" s="550"/>
      <c r="L12" s="550"/>
      <c r="M12" s="550"/>
      <c r="N12" s="550"/>
    </row>
    <row r="13" spans="1:14">
      <c r="A13" s="550"/>
      <c r="B13" s="550"/>
      <c r="C13" s="550"/>
      <c r="D13" s="550"/>
      <c r="E13" s="550"/>
      <c r="F13" s="550"/>
      <c r="G13" s="550"/>
      <c r="H13" s="550"/>
      <c r="I13" s="550"/>
      <c r="J13" s="550"/>
      <c r="K13" s="550"/>
      <c r="L13" s="550"/>
      <c r="M13" s="550"/>
      <c r="N13" s="550"/>
    </row>
  </sheetData>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3"/>
  <sheetViews>
    <sheetView topLeftCell="A4" workbookViewId="0">
      <selection activeCell="O9" sqref="O9"/>
    </sheetView>
  </sheetViews>
  <sheetFormatPr defaultRowHeight="12.75"/>
  <cols>
    <col min="1" max="1" width="32.28515625" customWidth="1"/>
    <col min="2" max="14" width="6.85546875" customWidth="1"/>
  </cols>
  <sheetData>
    <row r="2" spans="1:14" ht="20.25">
      <c r="B2" s="681" t="s">
        <v>601</v>
      </c>
    </row>
    <row r="4" spans="1:14">
      <c r="A4" s="550"/>
      <c r="B4" s="682">
        <v>2001</v>
      </c>
      <c r="C4" s="682">
        <v>2002</v>
      </c>
      <c r="D4" s="682">
        <v>2003</v>
      </c>
      <c r="E4" s="682">
        <v>2004</v>
      </c>
      <c r="F4" s="682">
        <v>2005</v>
      </c>
      <c r="G4" s="682">
        <v>2006</v>
      </c>
      <c r="H4" s="682">
        <v>2007</v>
      </c>
      <c r="I4" s="682">
        <v>2008</v>
      </c>
      <c r="J4" s="682">
        <v>2009</v>
      </c>
      <c r="K4" s="682">
        <v>2010</v>
      </c>
      <c r="L4" s="682">
        <v>2011</v>
      </c>
      <c r="M4" s="682">
        <v>2012</v>
      </c>
      <c r="N4" s="682">
        <v>2013</v>
      </c>
    </row>
    <row r="5" spans="1:14">
      <c r="A5" s="433" t="s">
        <v>602</v>
      </c>
      <c r="B5" s="683">
        <f>'Cost Trends'!G110</f>
        <v>28794</v>
      </c>
      <c r="C5" s="683">
        <f>'Cost Trends'!H110</f>
        <v>36190</v>
      </c>
      <c r="D5" s="683">
        <f>'Cost Trends'!I110</f>
        <v>36934</v>
      </c>
      <c r="E5" s="683">
        <f>'Cost Trends'!J110</f>
        <v>38451</v>
      </c>
      <c r="F5" s="683">
        <f>'Cost Trends'!K110</f>
        <v>39565</v>
      </c>
      <c r="G5" s="683">
        <f>'Cost Trends'!L110</f>
        <v>41812</v>
      </c>
      <c r="H5" s="683">
        <f>'Cost Trends'!M110</f>
        <v>42949</v>
      </c>
      <c r="I5" s="683">
        <f>'Cost Trends'!N110</f>
        <v>45874</v>
      </c>
      <c r="J5" s="683">
        <f>'Cost Trends'!O110</f>
        <v>48466</v>
      </c>
      <c r="K5" s="683">
        <f>'Cost Trends'!P110</f>
        <v>52270</v>
      </c>
      <c r="L5" s="683">
        <f>'Cost Trends'!Q110</f>
        <v>55304</v>
      </c>
      <c r="M5" s="683">
        <f>'Cost Trends'!R110</f>
        <v>58946</v>
      </c>
      <c r="N5" s="683">
        <f>'Cost Trends'!S110</f>
        <v>60311</v>
      </c>
    </row>
    <row r="6" spans="1:14">
      <c r="A6" s="433" t="s">
        <v>603</v>
      </c>
      <c r="B6" s="550"/>
      <c r="C6" s="550"/>
      <c r="D6" s="550"/>
      <c r="E6" s="550"/>
      <c r="F6" s="550"/>
      <c r="G6" s="550"/>
      <c r="H6" s="683">
        <f>'Cost Trends'!M110</f>
        <v>42949</v>
      </c>
      <c r="I6" s="683">
        <f>'Cost Trends'!N110</f>
        <v>45874</v>
      </c>
      <c r="J6" s="683">
        <f>'Cost Trends'!O110</f>
        <v>48466</v>
      </c>
      <c r="K6" s="683">
        <f>'Cost Trends'!P110</f>
        <v>52270</v>
      </c>
      <c r="L6" s="683">
        <f>'Cost Trends'!Q110</f>
        <v>55304</v>
      </c>
      <c r="M6" s="683">
        <f>'Cost Trends'!R110</f>
        <v>58946</v>
      </c>
      <c r="N6" s="683">
        <f>'Cost Trends'!S110</f>
        <v>60311</v>
      </c>
    </row>
    <row r="7" spans="1:14">
      <c r="A7" s="550"/>
      <c r="B7" s="550"/>
      <c r="C7" s="550"/>
      <c r="D7" s="550"/>
      <c r="E7" s="550"/>
      <c r="F7" s="550"/>
      <c r="G7" s="550"/>
      <c r="H7" s="550"/>
      <c r="I7" s="550"/>
      <c r="J7" s="550"/>
      <c r="K7" s="550"/>
      <c r="L7" s="550"/>
      <c r="M7" s="550"/>
      <c r="N7" s="550"/>
    </row>
    <row r="8" spans="1:14">
      <c r="A8" s="550"/>
      <c r="B8" s="550"/>
      <c r="C8" s="550"/>
      <c r="D8" s="550"/>
      <c r="E8" s="550"/>
      <c r="F8" s="550"/>
      <c r="G8" s="550"/>
      <c r="H8" s="550"/>
      <c r="I8" s="550"/>
      <c r="J8" s="550"/>
      <c r="K8" s="550"/>
      <c r="L8" s="550"/>
      <c r="M8" s="550"/>
      <c r="N8" s="550"/>
    </row>
    <row r="9" spans="1:14">
      <c r="A9" s="550"/>
      <c r="B9" s="682" t="s">
        <v>621</v>
      </c>
      <c r="C9" s="687"/>
      <c r="D9" s="687" t="s">
        <v>99</v>
      </c>
      <c r="E9" s="700" t="s">
        <v>607</v>
      </c>
      <c r="F9" s="550"/>
      <c r="G9" s="550"/>
      <c r="H9" s="550"/>
      <c r="I9" s="550"/>
      <c r="J9" s="550"/>
      <c r="K9" s="550"/>
      <c r="L9" s="550"/>
      <c r="M9" s="550"/>
      <c r="N9" s="550"/>
    </row>
    <row r="10" spans="1:14">
      <c r="A10" s="433" t="s">
        <v>579</v>
      </c>
      <c r="B10" s="692">
        <v>2415.8000000000002</v>
      </c>
      <c r="C10" s="688"/>
      <c r="D10" s="688">
        <f>B10/N5</f>
        <v>4.0055711230123858E-2</v>
      </c>
      <c r="E10" s="701"/>
      <c r="F10" s="550"/>
      <c r="G10" s="550"/>
      <c r="H10" s="550"/>
      <c r="I10" s="550"/>
      <c r="J10" s="550"/>
      <c r="K10" s="550"/>
      <c r="L10" s="550"/>
      <c r="M10" s="550"/>
      <c r="N10" s="550"/>
    </row>
    <row r="11" spans="1:14">
      <c r="A11" s="433" t="s">
        <v>580</v>
      </c>
      <c r="B11" s="693">
        <v>3038.1</v>
      </c>
      <c r="C11" s="689"/>
      <c r="D11" s="689">
        <f>B11/N6</f>
        <v>5.0373895309313389E-2</v>
      </c>
      <c r="E11" s="702"/>
      <c r="F11" s="550"/>
      <c r="G11" s="550"/>
      <c r="H11" s="550"/>
      <c r="I11" s="550"/>
      <c r="J11" s="550"/>
      <c r="K11" s="550"/>
      <c r="L11" s="550"/>
      <c r="M11" s="550"/>
      <c r="N11" s="550"/>
    </row>
    <row r="12" spans="1:14">
      <c r="A12" s="433" t="s">
        <v>593</v>
      </c>
      <c r="B12" s="550"/>
      <c r="C12" s="688"/>
      <c r="D12" s="689">
        <f>AVERAGE(D10:D11)</f>
        <v>4.521480326971862E-2</v>
      </c>
      <c r="E12" s="717">
        <f>2*D12</f>
        <v>9.0429606539437241E-2</v>
      </c>
      <c r="F12" s="550"/>
      <c r="G12" s="550"/>
      <c r="H12" s="550"/>
      <c r="I12" s="550"/>
      <c r="J12" s="550"/>
      <c r="K12" s="550"/>
      <c r="L12" s="550"/>
      <c r="M12" s="550"/>
      <c r="N12" s="550"/>
    </row>
    <row r="13" spans="1:14">
      <c r="A13" s="550"/>
      <c r="B13" s="550"/>
      <c r="C13" s="550"/>
      <c r="D13" s="550"/>
      <c r="E13" s="550"/>
      <c r="F13" s="550"/>
      <c r="G13" s="550"/>
      <c r="H13" s="550"/>
      <c r="I13" s="550"/>
      <c r="J13" s="550"/>
      <c r="K13" s="550"/>
      <c r="L13" s="550"/>
      <c r="M13" s="550"/>
      <c r="N13" s="550"/>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
  <sheetViews>
    <sheetView workbookViewId="0">
      <selection activeCell="C37" sqref="C37:M37"/>
    </sheetView>
  </sheetViews>
  <sheetFormatPr defaultRowHeight="12.75"/>
  <cols>
    <col min="1" max="1" width="31.85546875" customWidth="1"/>
    <col min="2" max="14" width="7.140625" customWidth="1"/>
    <col min="15" max="15" width="18.28515625" customWidth="1"/>
  </cols>
  <sheetData>
    <row r="2" spans="1:14" ht="20.25">
      <c r="B2" s="681" t="s">
        <v>604</v>
      </c>
    </row>
    <row r="4" spans="1:14">
      <c r="A4" s="550"/>
      <c r="B4" s="682">
        <v>2001</v>
      </c>
      <c r="C4" s="682">
        <v>2002</v>
      </c>
      <c r="D4" s="682">
        <v>2003</v>
      </c>
      <c r="E4" s="682">
        <v>2004</v>
      </c>
      <c r="F4" s="682">
        <v>2005</v>
      </c>
      <c r="G4" s="682">
        <v>2006</v>
      </c>
      <c r="H4" s="682">
        <v>2007</v>
      </c>
      <c r="I4" s="682">
        <v>2008</v>
      </c>
      <c r="J4" s="682">
        <v>2009</v>
      </c>
      <c r="K4" s="682">
        <v>2010</v>
      </c>
      <c r="L4" s="682">
        <v>2011</v>
      </c>
      <c r="M4" s="682">
        <v>2012</v>
      </c>
      <c r="N4" s="682">
        <v>2013</v>
      </c>
    </row>
    <row r="5" spans="1:14">
      <c r="A5" s="433" t="s">
        <v>576</v>
      </c>
      <c r="B5" s="695">
        <f>'Cost Trends'!G103</f>
        <v>66003.754964618871</v>
      </c>
      <c r="C5" s="695">
        <f>'Cost Trends'!H103</f>
        <v>75748.388958783995</v>
      </c>
      <c r="D5" s="695">
        <f>'Cost Trends'!I103</f>
        <v>73085.4995113162</v>
      </c>
      <c r="E5" s="695">
        <f>'Cost Trends'!J103</f>
        <v>82035</v>
      </c>
      <c r="F5" s="695">
        <f>'Cost Trends'!K103</f>
        <v>82829.326253093925</v>
      </c>
      <c r="G5" s="695">
        <f>'Cost Trends'!L103</f>
        <v>88828</v>
      </c>
      <c r="H5" s="695">
        <f>'Cost Trends'!M103</f>
        <v>92211.7999895299</v>
      </c>
      <c r="I5" s="695">
        <f>'Cost Trends'!N103</f>
        <v>99146.488212752593</v>
      </c>
      <c r="J5" s="695">
        <f>'Cost Trends'!O103</f>
        <v>112721.20367903885</v>
      </c>
      <c r="K5" s="695">
        <f>'Cost Trends'!P103</f>
        <v>113649.52340035603</v>
      </c>
      <c r="L5" s="695">
        <f>'Cost Trends'!Q103</f>
        <v>123418.7529832047</v>
      </c>
      <c r="M5" s="695">
        <f>'Cost Trends'!R103</f>
        <v>134596.85354937724</v>
      </c>
      <c r="N5" s="695">
        <f>'Cost Trends'!S103</f>
        <v>128510</v>
      </c>
    </row>
    <row r="6" spans="1:14">
      <c r="A6" s="433"/>
      <c r="B6" s="695"/>
      <c r="C6" s="695"/>
      <c r="D6" s="695"/>
      <c r="E6" s="695"/>
      <c r="F6" s="695"/>
      <c r="G6" s="695"/>
      <c r="H6" s="695"/>
      <c r="I6" s="695"/>
      <c r="J6" s="695"/>
      <c r="K6" s="695"/>
      <c r="L6" s="695"/>
      <c r="M6" s="695"/>
      <c r="N6" s="695"/>
    </row>
    <row r="7" spans="1:14">
      <c r="A7" s="550"/>
      <c r="B7" s="682">
        <v>2001</v>
      </c>
      <c r="C7" s="682">
        <v>2002</v>
      </c>
      <c r="D7" s="682">
        <v>2003</v>
      </c>
      <c r="E7" s="682">
        <v>2004</v>
      </c>
      <c r="F7" s="682">
        <v>2005</v>
      </c>
      <c r="G7" s="682">
        <v>2006</v>
      </c>
      <c r="H7" s="682">
        <v>2007</v>
      </c>
      <c r="I7" s="682">
        <v>2008</v>
      </c>
      <c r="J7" s="682">
        <v>2009</v>
      </c>
      <c r="K7" s="682">
        <v>2010</v>
      </c>
      <c r="L7" s="682">
        <v>2011</v>
      </c>
      <c r="M7" s="682">
        <v>2012</v>
      </c>
      <c r="N7" s="682">
        <v>2013</v>
      </c>
    </row>
    <row r="8" spans="1:14">
      <c r="A8" s="433" t="s">
        <v>576</v>
      </c>
      <c r="B8" s="683">
        <f>'Cost Trends'!G103</f>
        <v>66003.754964618871</v>
      </c>
      <c r="C8" s="683">
        <f>'Cost Trends'!H103</f>
        <v>75748.388958783995</v>
      </c>
      <c r="D8" s="683">
        <f>'Cost Trends'!I103</f>
        <v>73085.4995113162</v>
      </c>
      <c r="E8" s="683">
        <f>'Cost Trends'!J103</f>
        <v>82035</v>
      </c>
      <c r="F8" s="683">
        <f>'Cost Trends'!K103</f>
        <v>82829.326253093925</v>
      </c>
      <c r="G8" s="683">
        <f>'Cost Trends'!L103</f>
        <v>88828</v>
      </c>
      <c r="H8" s="683">
        <f>'Cost Trends'!M103</f>
        <v>92211.7999895299</v>
      </c>
      <c r="I8" s="683">
        <f>'Cost Trends'!N103</f>
        <v>99146.488212752593</v>
      </c>
      <c r="K8" s="683"/>
      <c r="L8" s="683"/>
      <c r="M8" s="683"/>
      <c r="N8" s="683">
        <f>'Cost Trends'!S103</f>
        <v>128510</v>
      </c>
    </row>
    <row r="9" spans="1:14">
      <c r="A9" s="433" t="s">
        <v>613</v>
      </c>
      <c r="B9" s="735"/>
      <c r="C9" s="735"/>
      <c r="D9" s="735"/>
      <c r="E9" s="735"/>
      <c r="F9" s="735"/>
      <c r="G9" s="735"/>
      <c r="H9" s="736"/>
      <c r="I9" s="735"/>
      <c r="J9" s="736">
        <f>'Cost Trends'!O103</f>
        <v>112721.20367903885</v>
      </c>
      <c r="K9" s="736">
        <f>'Cost Trends'!P103</f>
        <v>113649.52340035603</v>
      </c>
      <c r="L9" s="736">
        <f>'Cost Trends'!Q103</f>
        <v>123418.7529832047</v>
      </c>
      <c r="M9" s="736">
        <f>'Cost Trends'!R103</f>
        <v>134596.85354937724</v>
      </c>
      <c r="N9" s="735"/>
    </row>
    <row r="10" spans="1:14">
      <c r="A10" s="550"/>
      <c r="B10" s="550"/>
      <c r="C10" s="550"/>
      <c r="D10" s="550"/>
      <c r="E10" s="550"/>
      <c r="F10" s="550"/>
      <c r="G10" s="550"/>
      <c r="H10" s="683"/>
      <c r="I10" s="550"/>
      <c r="J10" s="550"/>
      <c r="K10" s="550"/>
      <c r="L10" s="550"/>
      <c r="M10" s="550"/>
      <c r="N10" s="550"/>
    </row>
    <row r="11" spans="1:14">
      <c r="A11" s="550"/>
      <c r="B11" s="550"/>
      <c r="C11" s="550"/>
      <c r="D11" s="550"/>
      <c r="E11" s="550"/>
      <c r="F11" s="550"/>
      <c r="G11" s="550"/>
      <c r="H11" s="550"/>
      <c r="I11" s="550"/>
      <c r="J11" s="550"/>
      <c r="K11" s="550"/>
      <c r="L11" s="550"/>
      <c r="M11" s="550"/>
      <c r="N11" s="550"/>
    </row>
    <row r="12" spans="1:14">
      <c r="A12" s="550"/>
      <c r="B12" s="682" t="s">
        <v>621</v>
      </c>
      <c r="C12" s="687"/>
      <c r="D12" s="687" t="s">
        <v>99</v>
      </c>
      <c r="E12" s="700" t="s">
        <v>607</v>
      </c>
      <c r="F12" s="550"/>
      <c r="G12" s="550"/>
      <c r="H12" s="550"/>
      <c r="I12" s="550"/>
      <c r="J12" s="550"/>
      <c r="K12" s="550"/>
      <c r="L12" s="550"/>
      <c r="M12" s="550"/>
      <c r="N12" s="550"/>
    </row>
    <row r="13" spans="1:14">
      <c r="A13" s="433" t="s">
        <v>605</v>
      </c>
      <c r="B13" s="692">
        <v>5690</v>
      </c>
      <c r="C13" s="691"/>
      <c r="D13" s="688">
        <f>B13/N5</f>
        <v>4.427670998365886E-2</v>
      </c>
      <c r="E13" s="701"/>
      <c r="F13" s="550"/>
      <c r="G13" s="550"/>
      <c r="H13" s="550"/>
      <c r="I13" s="550"/>
      <c r="J13" s="550"/>
      <c r="K13" s="550"/>
      <c r="L13" s="550"/>
      <c r="M13" s="550"/>
      <c r="N13" s="550"/>
    </row>
    <row r="14" spans="1:14">
      <c r="A14" s="433" t="s">
        <v>606</v>
      </c>
      <c r="B14" s="693">
        <v>6803</v>
      </c>
      <c r="C14" s="689"/>
      <c r="D14" s="689">
        <f>B14/N5</f>
        <v>5.2937514590304255E-2</v>
      </c>
      <c r="E14" s="702"/>
      <c r="F14" s="550"/>
      <c r="G14" s="550"/>
      <c r="H14" s="550"/>
      <c r="I14" s="550"/>
      <c r="J14" s="550"/>
      <c r="K14" s="550"/>
      <c r="L14" s="550"/>
      <c r="M14" s="550"/>
      <c r="N14" s="550"/>
    </row>
    <row r="15" spans="1:14" ht="13.5" thickBot="1">
      <c r="A15" s="433" t="s">
        <v>608</v>
      </c>
      <c r="B15" s="693">
        <v>4979.2</v>
      </c>
      <c r="C15" s="689"/>
      <c r="D15" s="689">
        <f>B15/N8</f>
        <v>3.8745622908723056E-2</v>
      </c>
      <c r="E15" s="744">
        <f>2*D15</f>
        <v>7.7491245817446111E-2</v>
      </c>
      <c r="F15" t="s">
        <v>619</v>
      </c>
    </row>
    <row r="16" spans="1:14" ht="13.5" thickBot="1">
      <c r="A16" s="433" t="s">
        <v>615</v>
      </c>
      <c r="D16" s="735">
        <f>0.04</f>
        <v>0.04</v>
      </c>
      <c r="E16" s="738">
        <f>D16*2</f>
        <v>0.08</v>
      </c>
      <c r="F16" t="s">
        <v>620</v>
      </c>
    </row>
  </sheetData>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132"/>
  <sheetViews>
    <sheetView topLeftCell="A163" zoomScaleNormal="100" zoomScaleSheetLayoutView="100" workbookViewId="0">
      <selection activeCell="O169" sqref="O169"/>
    </sheetView>
  </sheetViews>
  <sheetFormatPr defaultColWidth="12.42578125" defaultRowHeight="12"/>
  <cols>
    <col min="1" max="1" width="3.85546875" style="40" customWidth="1"/>
    <col min="2" max="2" width="3.42578125" style="40" customWidth="1"/>
    <col min="3" max="3" width="3" style="40" customWidth="1"/>
    <col min="4" max="4" width="22.5703125" style="40" customWidth="1"/>
    <col min="5" max="5" width="8.85546875" style="40" bestFit="1" customWidth="1"/>
    <col min="6" max="6" width="8.42578125" style="41" hidden="1" customWidth="1"/>
    <col min="7" max="7" width="11.7109375" style="266" customWidth="1"/>
    <col min="8" max="10" width="8.85546875" style="266" customWidth="1"/>
    <col min="11" max="11" width="8.85546875" style="41" customWidth="1"/>
    <col min="12" max="14" width="8.85546875" style="266" customWidth="1"/>
    <col min="15" max="17" width="10" style="266" customWidth="1"/>
    <col min="18" max="18" width="9.140625" style="40" customWidth="1"/>
    <col min="19" max="19" width="9.85546875" style="41" customWidth="1"/>
    <col min="20" max="16384" width="12.42578125" style="40"/>
  </cols>
  <sheetData>
    <row r="1" spans="1:21" ht="23.45" customHeight="1">
      <c r="A1" s="769"/>
      <c r="B1" s="769"/>
      <c r="C1" s="769"/>
      <c r="D1" s="769"/>
      <c r="E1" s="769"/>
      <c r="F1" s="769"/>
      <c r="G1" s="769"/>
      <c r="H1" s="769"/>
      <c r="I1" s="769"/>
      <c r="J1" s="769"/>
      <c r="K1" s="769"/>
      <c r="L1" s="769"/>
      <c r="M1" s="769"/>
      <c r="N1" s="769"/>
      <c r="O1" s="769"/>
      <c r="P1" s="769"/>
      <c r="Q1" s="769"/>
      <c r="R1" s="769"/>
    </row>
    <row r="2" spans="1:21" ht="23.25" customHeight="1">
      <c r="A2" s="773" t="s">
        <v>559</v>
      </c>
      <c r="B2" s="773"/>
      <c r="C2" s="773"/>
      <c r="D2" s="773"/>
      <c r="E2" s="773"/>
      <c r="F2" s="773"/>
      <c r="G2" s="773"/>
      <c r="H2" s="773"/>
      <c r="I2" s="773"/>
      <c r="J2" s="773"/>
      <c r="K2" s="773"/>
      <c r="L2" s="773"/>
      <c r="M2" s="773"/>
      <c r="N2" s="773"/>
      <c r="O2" s="773"/>
      <c r="P2" s="773"/>
      <c r="Q2" s="773"/>
      <c r="R2" s="773"/>
    </row>
    <row r="3" spans="1:21" ht="10.9" customHeight="1">
      <c r="A3" s="533"/>
      <c r="B3" s="533"/>
      <c r="C3" s="533"/>
      <c r="D3" s="533"/>
      <c r="E3" s="533"/>
      <c r="F3" s="533"/>
      <c r="G3" s="533"/>
      <c r="H3" s="533"/>
      <c r="I3" s="533"/>
      <c r="J3" s="533"/>
      <c r="K3" s="533"/>
      <c r="L3" s="533"/>
      <c r="M3" s="533"/>
      <c r="N3" s="533"/>
      <c r="O3" s="533"/>
      <c r="P3" s="533"/>
      <c r="Q3" s="533"/>
      <c r="R3" s="533"/>
    </row>
    <row r="4" spans="1:21" ht="12.75" customHeight="1">
      <c r="A4" s="390" t="s">
        <v>94</v>
      </c>
      <c r="E4" s="776" t="s">
        <v>439</v>
      </c>
      <c r="F4" s="776"/>
      <c r="G4" s="776"/>
      <c r="H4" s="776"/>
      <c r="I4" s="777"/>
      <c r="J4" s="776"/>
      <c r="K4" s="776"/>
      <c r="L4" s="776"/>
      <c r="M4" s="776"/>
      <c r="N4" s="776"/>
      <c r="O4" s="776"/>
      <c r="P4" s="776"/>
      <c r="Q4" s="776"/>
      <c r="R4" s="776"/>
    </row>
    <row r="5" spans="1:21" ht="15" customHeight="1">
      <c r="A5" s="390" t="s">
        <v>568</v>
      </c>
      <c r="F5" s="535"/>
      <c r="G5" s="535"/>
      <c r="H5" s="535"/>
      <c r="I5" s="535"/>
      <c r="J5" s="535"/>
      <c r="K5" s="535"/>
      <c r="L5" s="535"/>
      <c r="M5" s="535"/>
      <c r="N5" s="535"/>
      <c r="O5" s="535"/>
      <c r="P5" s="535"/>
      <c r="Q5" s="535"/>
      <c r="R5" s="535"/>
    </row>
    <row r="6" spans="1:21" ht="10.5" customHeight="1">
      <c r="G6" s="41"/>
      <c r="H6" s="41"/>
      <c r="I6" s="41"/>
      <c r="J6" s="41"/>
      <c r="L6" s="41"/>
      <c r="M6" s="41"/>
      <c r="N6" s="41"/>
      <c r="O6" s="41"/>
      <c r="P6" s="41"/>
      <c r="Q6" s="41"/>
    </row>
    <row r="7" spans="1:21">
      <c r="A7" s="390" t="s">
        <v>93</v>
      </c>
      <c r="F7" s="772"/>
      <c r="G7" s="772"/>
      <c r="H7" s="772"/>
      <c r="I7" s="772"/>
      <c r="J7" s="772"/>
      <c r="K7" s="772"/>
      <c r="L7" s="772"/>
      <c r="M7" s="772"/>
      <c r="N7" s="772"/>
      <c r="O7" s="772"/>
      <c r="P7" s="772"/>
      <c r="Q7" s="42"/>
    </row>
    <row r="8" spans="1:21">
      <c r="A8" s="63" t="s">
        <v>3</v>
      </c>
      <c r="F8" s="217">
        <v>2000</v>
      </c>
      <c r="G8" s="217">
        <v>2001</v>
      </c>
      <c r="H8" s="217">
        <v>2002</v>
      </c>
      <c r="I8" s="217">
        <v>2003</v>
      </c>
      <c r="J8" s="217">
        <v>2004</v>
      </c>
      <c r="K8" s="217">
        <v>2005</v>
      </c>
      <c r="L8" s="217">
        <v>2006</v>
      </c>
      <c r="M8" s="217">
        <v>2007</v>
      </c>
      <c r="N8" s="217">
        <v>2008</v>
      </c>
      <c r="O8" s="217">
        <v>2009</v>
      </c>
      <c r="P8" s="217">
        <v>2010</v>
      </c>
      <c r="Q8" s="217">
        <v>2011</v>
      </c>
      <c r="R8" s="217">
        <v>2012</v>
      </c>
      <c r="S8" s="217">
        <v>2013</v>
      </c>
      <c r="T8" s="178"/>
      <c r="U8" s="218"/>
    </row>
    <row r="9" spans="1:21">
      <c r="A9" s="63" t="s">
        <v>90</v>
      </c>
      <c r="B9" s="40" t="s">
        <v>86</v>
      </c>
      <c r="F9" s="42"/>
      <c r="G9" s="42"/>
      <c r="H9" s="42"/>
      <c r="I9" s="42"/>
      <c r="J9" s="42"/>
      <c r="K9" s="387"/>
      <c r="L9" s="42"/>
      <c r="M9" s="42"/>
      <c r="N9" s="42"/>
      <c r="O9" s="42"/>
      <c r="P9" s="42"/>
      <c r="Q9" s="42"/>
      <c r="S9" s="40"/>
      <c r="T9" s="178"/>
    </row>
    <row r="10" spans="1:21">
      <c r="A10" s="63">
        <v>1</v>
      </c>
      <c r="B10" s="40" t="s">
        <v>85</v>
      </c>
      <c r="F10" s="220">
        <f>'CBR Hist'!F13</f>
        <v>242529</v>
      </c>
      <c r="G10" s="220">
        <f>'CBR Hist'!G13</f>
        <v>258201</v>
      </c>
      <c r="H10" s="220">
        <f>'CBR Hist'!H13</f>
        <v>273318</v>
      </c>
      <c r="I10" s="220">
        <f>'CBR Hist'!I13</f>
        <v>283356</v>
      </c>
      <c r="J10" s="220">
        <f>'CBR Hist'!J13</f>
        <v>285399</v>
      </c>
      <c r="K10" s="220">
        <f>'CBR Hist'!K13</f>
        <v>289216</v>
      </c>
      <c r="L10" s="220">
        <f>'CBR Hist'!L13</f>
        <v>321929</v>
      </c>
      <c r="M10" s="220">
        <f>'CBR Hist'!M13</f>
        <v>326335</v>
      </c>
      <c r="N10" s="220">
        <f>'CBR Hist'!N13</f>
        <v>365425</v>
      </c>
      <c r="O10" s="220">
        <f>'CBR Hist'!O13</f>
        <v>402618</v>
      </c>
      <c r="P10" s="220">
        <f>'CBR Hist'!P13</f>
        <v>415739.9703632</v>
      </c>
      <c r="Q10" s="220">
        <f>'CBR Hist'!Q13</f>
        <v>451837</v>
      </c>
      <c r="R10" s="220">
        <f>'CBR Hist'!R13-816-113</f>
        <v>459266</v>
      </c>
      <c r="S10" s="220">
        <f>'CBR Hist'!S13</f>
        <v>468006</v>
      </c>
      <c r="T10" s="178"/>
    </row>
    <row r="11" spans="1:21">
      <c r="A11" s="63">
        <v>2</v>
      </c>
      <c r="B11" s="40" t="s">
        <v>84</v>
      </c>
      <c r="F11" s="219">
        <f>'CBR Hist'!F14</f>
        <v>546</v>
      </c>
      <c r="G11" s="219">
        <f>'CBR Hist'!G14</f>
        <v>528</v>
      </c>
      <c r="H11" s="219">
        <f>'CBR Hist'!H14</f>
        <v>791</v>
      </c>
      <c r="I11" s="219">
        <f>'CBR Hist'!I14</f>
        <v>752</v>
      </c>
      <c r="J11" s="219">
        <f>'CBR Hist'!J14</f>
        <v>752</v>
      </c>
      <c r="K11" s="219">
        <f>'CBR Hist'!K14</f>
        <v>713</v>
      </c>
      <c r="L11" s="219">
        <f>'CBR Hist'!L14</f>
        <v>733</v>
      </c>
      <c r="M11" s="219">
        <f>'CBR Hist'!M14</f>
        <v>739</v>
      </c>
      <c r="N11" s="219">
        <f>'CBR Hist'!N14</f>
        <v>820</v>
      </c>
      <c r="O11" s="219">
        <f>'CBR Hist'!O14</f>
        <v>871.54909999999995</v>
      </c>
      <c r="P11" s="219">
        <f>'CBR Hist'!P14</f>
        <v>790</v>
      </c>
      <c r="Q11" s="219">
        <f>'CBR Hist'!Q14</f>
        <v>820</v>
      </c>
      <c r="R11" s="219">
        <f>'CBR Hist'!R14+816+113</f>
        <v>816</v>
      </c>
      <c r="S11" s="219">
        <f>'CBR Hist'!S14</f>
        <v>884</v>
      </c>
      <c r="T11" s="178"/>
    </row>
    <row r="12" spans="1:21">
      <c r="A12" s="63">
        <v>3</v>
      </c>
      <c r="B12" s="40" t="s">
        <v>83</v>
      </c>
      <c r="F12" s="219">
        <f>'CBR Hist'!F15</f>
        <v>137117</v>
      </c>
      <c r="G12" s="219">
        <f>'CBR Hist'!G15</f>
        <v>91388</v>
      </c>
      <c r="H12" s="219">
        <f>'CBR Hist'!H15</f>
        <v>29918</v>
      </c>
      <c r="I12" s="219">
        <f>'CBR Hist'!I15</f>
        <v>35252</v>
      </c>
      <c r="J12" s="219">
        <f>'CBR Hist'!J15</f>
        <v>40460</v>
      </c>
      <c r="K12" s="219">
        <f>'CBR Hist'!K15</f>
        <v>44718</v>
      </c>
      <c r="L12" s="219">
        <f>'CBR Hist'!L15</f>
        <v>35380</v>
      </c>
      <c r="M12" s="219">
        <f>'CBR Hist'!M15</f>
        <v>34954</v>
      </c>
      <c r="N12" s="219">
        <f>'CBR Hist'!N15</f>
        <v>46848</v>
      </c>
      <c r="O12" s="219">
        <f>'CBR Hist'!O15</f>
        <v>31491</v>
      </c>
      <c r="P12" s="219">
        <f>'CBR Hist'!P15</f>
        <v>133479</v>
      </c>
      <c r="Q12" s="219">
        <f>'CBR Hist'!Q15</f>
        <v>52604</v>
      </c>
      <c r="R12" s="219">
        <f>'CBR Hist'!R15</f>
        <v>54549</v>
      </c>
      <c r="S12" s="219">
        <f>'CBR Hist'!S15</f>
        <v>75349</v>
      </c>
      <c r="T12" s="178"/>
    </row>
    <row r="13" spans="1:21">
      <c r="A13" s="63">
        <v>4</v>
      </c>
      <c r="B13" s="40" t="s">
        <v>82</v>
      </c>
      <c r="F13" s="461">
        <f>SUM(F10:F12)</f>
        <v>380192</v>
      </c>
      <c r="G13" s="461">
        <f t="shared" ref="G13:R13" si="0">SUM(G10:G12)</f>
        <v>350117</v>
      </c>
      <c r="H13" s="461">
        <f t="shared" si="0"/>
        <v>304027</v>
      </c>
      <c r="I13" s="461">
        <f t="shared" si="0"/>
        <v>319360</v>
      </c>
      <c r="J13" s="461">
        <f t="shared" si="0"/>
        <v>326611</v>
      </c>
      <c r="K13" s="461">
        <f t="shared" si="0"/>
        <v>334647</v>
      </c>
      <c r="L13" s="461">
        <f t="shared" si="0"/>
        <v>358042</v>
      </c>
      <c r="M13" s="461">
        <f t="shared" si="0"/>
        <v>362028</v>
      </c>
      <c r="N13" s="461">
        <f t="shared" si="0"/>
        <v>413093</v>
      </c>
      <c r="O13" s="461">
        <f t="shared" si="0"/>
        <v>434980.5491</v>
      </c>
      <c r="P13" s="461">
        <f t="shared" si="0"/>
        <v>550008.97036319994</v>
      </c>
      <c r="Q13" s="461">
        <f t="shared" si="0"/>
        <v>505261</v>
      </c>
      <c r="R13" s="461">
        <f t="shared" si="0"/>
        <v>514631</v>
      </c>
      <c r="S13" s="461">
        <f t="shared" ref="S13" si="1">SUM(S10:S12)</f>
        <v>544239</v>
      </c>
      <c r="T13" s="178"/>
    </row>
    <row r="14" spans="1:21">
      <c r="A14" s="63">
        <v>5</v>
      </c>
      <c r="B14" s="40" t="s">
        <v>81</v>
      </c>
      <c r="F14" s="219">
        <f>'CBR Hist'!F17</f>
        <v>13062</v>
      </c>
      <c r="G14" s="219">
        <f>'CBR Hist'!G17</f>
        <v>14305</v>
      </c>
      <c r="H14" s="219">
        <f>'CBR Hist'!H17</f>
        <v>34274</v>
      </c>
      <c r="I14" s="219">
        <f>'CBR Hist'!I17</f>
        <v>57244</v>
      </c>
      <c r="J14" s="219">
        <f>'CBR Hist'!J17</f>
        <v>8587</v>
      </c>
      <c r="K14" s="219">
        <f>'CBR Hist'!K17</f>
        <v>10259</v>
      </c>
      <c r="L14" s="219">
        <f>'CBR Hist'!L17</f>
        <v>10178</v>
      </c>
      <c r="M14" s="219">
        <f>'CBR Hist'!M17</f>
        <v>10170</v>
      </c>
      <c r="N14" s="219">
        <f>'CBR Hist'!N17</f>
        <v>10927</v>
      </c>
      <c r="O14" s="219">
        <f>'CBR Hist'!O17</f>
        <v>9395</v>
      </c>
      <c r="P14" s="219">
        <f>'CBR Hist'!P17</f>
        <v>11786</v>
      </c>
      <c r="Q14" s="219">
        <f>'CBR Hist'!Q17</f>
        <v>13666</v>
      </c>
      <c r="R14" s="219">
        <f>'CBR Hist'!R17</f>
        <v>13089</v>
      </c>
      <c r="S14" s="219">
        <f>'CBR Hist'!S17</f>
        <v>13408</v>
      </c>
      <c r="T14" s="178"/>
    </row>
    <row r="15" spans="1:21">
      <c r="A15" s="63">
        <v>6</v>
      </c>
      <c r="B15" s="40" t="s">
        <v>80</v>
      </c>
      <c r="F15" s="461">
        <f>SUM(F13:F14)</f>
        <v>393254</v>
      </c>
      <c r="G15" s="461">
        <f t="shared" ref="G15:R15" si="2">SUM(G13:G14)</f>
        <v>364422</v>
      </c>
      <c r="H15" s="461">
        <f t="shared" si="2"/>
        <v>338301</v>
      </c>
      <c r="I15" s="461">
        <f t="shared" si="2"/>
        <v>376604</v>
      </c>
      <c r="J15" s="461">
        <f t="shared" si="2"/>
        <v>335198</v>
      </c>
      <c r="K15" s="461">
        <f t="shared" si="2"/>
        <v>344906</v>
      </c>
      <c r="L15" s="461">
        <f t="shared" si="2"/>
        <v>368220</v>
      </c>
      <c r="M15" s="461">
        <f t="shared" si="2"/>
        <v>372198</v>
      </c>
      <c r="N15" s="461">
        <f t="shared" si="2"/>
        <v>424020</v>
      </c>
      <c r="O15" s="461">
        <f t="shared" si="2"/>
        <v>444375.5491</v>
      </c>
      <c r="P15" s="461">
        <f t="shared" si="2"/>
        <v>561794.97036319994</v>
      </c>
      <c r="Q15" s="461">
        <f t="shared" si="2"/>
        <v>518927</v>
      </c>
      <c r="R15" s="461">
        <f t="shared" si="2"/>
        <v>527720</v>
      </c>
      <c r="S15" s="461">
        <f t="shared" ref="S15" si="3">SUM(S13:S14)</f>
        <v>557647</v>
      </c>
      <c r="T15" s="178"/>
    </row>
    <row r="16" spans="1:21" ht="6.75" customHeight="1">
      <c r="A16" s="63"/>
      <c r="F16" s="44"/>
      <c r="G16" s="44"/>
      <c r="H16" s="44"/>
      <c r="I16" s="44"/>
      <c r="J16" s="44"/>
      <c r="K16" s="44"/>
      <c r="L16" s="44"/>
      <c r="M16" s="44"/>
      <c r="N16" s="44"/>
      <c r="O16" s="44"/>
      <c r="P16" s="44"/>
      <c r="Q16" s="44"/>
      <c r="R16" s="44"/>
      <c r="S16" s="44"/>
      <c r="T16" s="178"/>
    </row>
    <row r="17" spans="1:20">
      <c r="A17" s="63"/>
      <c r="B17" s="40" t="s">
        <v>79</v>
      </c>
      <c r="F17" s="44"/>
      <c r="G17" s="44"/>
      <c r="H17" s="44"/>
      <c r="I17" s="44"/>
      <c r="J17" s="44"/>
      <c r="K17" s="44"/>
      <c r="L17" s="44"/>
      <c r="M17" s="44"/>
      <c r="N17" s="44"/>
      <c r="O17" s="44"/>
      <c r="P17" s="44"/>
      <c r="Q17" s="44"/>
      <c r="R17" s="44"/>
      <c r="S17" s="44"/>
      <c r="T17" s="178"/>
    </row>
    <row r="18" spans="1:20">
      <c r="A18" s="63"/>
      <c r="B18" s="40" t="s">
        <v>78</v>
      </c>
      <c r="F18" s="44"/>
      <c r="G18" s="44"/>
      <c r="H18" s="44"/>
      <c r="I18" s="44"/>
      <c r="J18" s="44"/>
      <c r="K18" s="44"/>
      <c r="L18" s="44"/>
      <c r="M18" s="44"/>
      <c r="N18" s="44"/>
      <c r="O18" s="44"/>
      <c r="P18" s="44"/>
      <c r="Q18" s="44"/>
      <c r="R18" s="44"/>
      <c r="S18" s="44"/>
      <c r="T18" s="178"/>
    </row>
    <row r="19" spans="1:20">
      <c r="A19" s="63">
        <v>7</v>
      </c>
      <c r="C19" s="40" t="s">
        <v>70</v>
      </c>
      <c r="F19" s="219">
        <f>'CBR Hist'!F22</f>
        <v>78721</v>
      </c>
      <c r="G19" s="219">
        <f>'CBR Hist'!G22</f>
        <v>47157</v>
      </c>
      <c r="H19" s="219">
        <f>'CBR Hist'!H22</f>
        <v>101475</v>
      </c>
      <c r="I19" s="219">
        <f>'CBR Hist'!I22</f>
        <v>132098</v>
      </c>
      <c r="J19" s="219">
        <f>'CBR Hist'!J22</f>
        <v>101545</v>
      </c>
      <c r="K19" s="219">
        <f>'CBR Hist'!K22</f>
        <v>105374</v>
      </c>
      <c r="L19" s="219">
        <f>'CBR Hist'!L22</f>
        <v>104260</v>
      </c>
      <c r="M19" s="219">
        <f>'CBR Hist'!M22</f>
        <v>102890</v>
      </c>
      <c r="N19" s="219">
        <f>'CBR Hist'!N22</f>
        <v>117123</v>
      </c>
      <c r="O19" s="219">
        <f>'CBR Hist'!O22</f>
        <v>87599</v>
      </c>
      <c r="P19" s="219">
        <f>'CBR Hist'!P22</f>
        <v>147107</v>
      </c>
      <c r="Q19" s="219">
        <f>'CBR Hist'!Q22</f>
        <v>145634</v>
      </c>
      <c r="R19" s="219">
        <f>'CBR Hist'!R22</f>
        <v>131795</v>
      </c>
      <c r="S19" s="219">
        <f>'CBR Hist'!S22</f>
        <v>143904</v>
      </c>
      <c r="T19" s="178"/>
    </row>
    <row r="20" spans="1:20">
      <c r="A20" s="63">
        <v>8</v>
      </c>
      <c r="C20" s="40" t="s">
        <v>77</v>
      </c>
      <c r="F20" s="219">
        <f>'CBR Hist'!F23</f>
        <v>181189</v>
      </c>
      <c r="G20" s="219">
        <f>'CBR Hist'!G23</f>
        <v>132159</v>
      </c>
      <c r="H20" s="219">
        <f>'CBR Hist'!H23</f>
        <v>50769</v>
      </c>
      <c r="I20" s="219">
        <f>'CBR Hist'!I23</f>
        <v>46591</v>
      </c>
      <c r="J20" s="219">
        <f>'CBR Hist'!J23</f>
        <v>51042</v>
      </c>
      <c r="K20" s="219">
        <f>'CBR Hist'!K23</f>
        <v>55046</v>
      </c>
      <c r="L20" s="219">
        <f>'CBR Hist'!L23</f>
        <v>79146</v>
      </c>
      <c r="M20" s="219">
        <f>'CBR Hist'!M23</f>
        <v>65640</v>
      </c>
      <c r="N20" s="219">
        <f>'CBR Hist'!N23</f>
        <v>72508</v>
      </c>
      <c r="O20" s="219">
        <f>'CBR Hist'!O23</f>
        <v>104869</v>
      </c>
      <c r="P20" s="219">
        <f>'CBR Hist'!P23</f>
        <v>142197</v>
      </c>
      <c r="Q20" s="219">
        <f>'CBR Hist'!Q23</f>
        <v>91142</v>
      </c>
      <c r="R20" s="219">
        <f>'CBR Hist'!R23</f>
        <v>101283</v>
      </c>
      <c r="S20" s="219">
        <f>'CBR Hist'!S23</f>
        <v>109034</v>
      </c>
      <c r="T20" s="178"/>
    </row>
    <row r="21" spans="1:20">
      <c r="A21" s="63">
        <v>9</v>
      </c>
      <c r="C21" s="40" t="s">
        <v>139</v>
      </c>
      <c r="F21" s="219">
        <f>'CBR Hist'!F24+'CBR Hist'!F25-F22</f>
        <v>14850</v>
      </c>
      <c r="G21" s="219">
        <f>'CBR Hist'!G24+'CBR Hist'!G25-G22</f>
        <v>15202</v>
      </c>
      <c r="H21" s="219">
        <f>'CBR Hist'!H24+'CBR Hist'!H25-H22</f>
        <v>20157</v>
      </c>
      <c r="I21" s="219">
        <f>'CBR Hist'!I24+'CBR Hist'!I25-I22</f>
        <v>20523</v>
      </c>
      <c r="J21" s="219">
        <f>'CBR Hist'!J24+'CBR Hist'!J25-J22</f>
        <v>22312</v>
      </c>
      <c r="K21" s="219">
        <f>'CBR Hist'!K24+'CBR Hist'!K25-K22</f>
        <v>22629</v>
      </c>
      <c r="L21" s="219">
        <f>'CBR Hist'!L24+'CBR Hist'!L25-L22</f>
        <v>24577</v>
      </c>
      <c r="M21" s="219">
        <f>'CBR Hist'!M24+'CBR Hist'!M25-M22</f>
        <v>24877</v>
      </c>
      <c r="N21" s="219">
        <f>'CBR Hist'!N24+'CBR Hist'!N25-N22</f>
        <v>23076</v>
      </c>
      <c r="O21" s="219">
        <f>'CBR Hist'!O24+'CBR Hist'!O25-O22</f>
        <v>23969</v>
      </c>
      <c r="P21" s="219">
        <f>'CBR Hist'!P24+'CBR Hist'!P25-P22</f>
        <v>25008</v>
      </c>
      <c r="Q21" s="219">
        <f>'CBR Hist'!Q24+'CBR Hist'!Q25-Q22</f>
        <v>25158</v>
      </c>
      <c r="R21" s="219">
        <f>'CBR Hist'!R24+'CBR Hist'!R25-R22</f>
        <v>25680</v>
      </c>
      <c r="S21" s="219">
        <f>'CBR Hist'!S24+'CBR Hist'!S25-S22</f>
        <v>23287</v>
      </c>
      <c r="T21" s="178"/>
    </row>
    <row r="22" spans="1:20">
      <c r="A22" s="63">
        <v>10</v>
      </c>
      <c r="C22" s="40" t="s">
        <v>140</v>
      </c>
      <c r="F22" s="219">
        <f>'Reg Amorts'!E42</f>
        <v>-17964</v>
      </c>
      <c r="G22" s="219">
        <f>'Reg Amorts'!F42</f>
        <v>-6050</v>
      </c>
      <c r="H22" s="219">
        <f>'Reg Amorts'!G42</f>
        <v>-6349</v>
      </c>
      <c r="I22" s="219">
        <f>'Reg Amorts'!H42</f>
        <v>-5608</v>
      </c>
      <c r="J22" s="219">
        <f>'Reg Amorts'!I42</f>
        <v>567</v>
      </c>
      <c r="K22" s="219">
        <f>'Reg Amorts'!J42</f>
        <v>-8817</v>
      </c>
      <c r="L22" s="219">
        <f>'Reg Amorts'!K42</f>
        <v>1168</v>
      </c>
      <c r="M22" s="219">
        <f>'Reg Amorts'!L42</f>
        <v>-3082</v>
      </c>
      <c r="N22" s="219">
        <f>'Reg Amorts'!M42</f>
        <v>-1076</v>
      </c>
      <c r="O22" s="219">
        <f>'Reg Amorts'!N42</f>
        <v>-1703</v>
      </c>
      <c r="P22" s="219">
        <f>'Reg Amorts'!O42</f>
        <v>-2879</v>
      </c>
      <c r="Q22" s="219">
        <f>'Reg Amorts'!P42</f>
        <v>403</v>
      </c>
      <c r="R22" s="219">
        <f>'Reg Amorts'!Q42</f>
        <v>-7744</v>
      </c>
      <c r="S22" s="219">
        <f>'Reg Amorts'!R42</f>
        <v>8626</v>
      </c>
      <c r="T22" s="178"/>
    </row>
    <row r="23" spans="1:20">
      <c r="A23" s="63">
        <v>11</v>
      </c>
      <c r="C23" s="40" t="s">
        <v>69</v>
      </c>
      <c r="F23" s="219">
        <f>'CBR Hist'!F26</f>
        <v>9346</v>
      </c>
      <c r="G23" s="219">
        <f>'CBR Hist'!G26</f>
        <v>5139</v>
      </c>
      <c r="H23" s="219">
        <f>'CBR Hist'!H26</f>
        <v>7164</v>
      </c>
      <c r="I23" s="219">
        <f>'CBR Hist'!I26</f>
        <v>6722</v>
      </c>
      <c r="J23" s="219">
        <f>'CBR Hist'!J26</f>
        <v>7283</v>
      </c>
      <c r="K23" s="219">
        <f>'CBR Hist'!K26</f>
        <v>9900</v>
      </c>
      <c r="L23" s="219">
        <f>'CBR Hist'!L26</f>
        <v>9115</v>
      </c>
      <c r="M23" s="219">
        <f>'CBR Hist'!M26</f>
        <v>8319</v>
      </c>
      <c r="N23" s="219">
        <f>'CBR Hist'!N26</f>
        <v>8146</v>
      </c>
      <c r="O23" s="219">
        <f>'CBR Hist'!O26</f>
        <v>9014</v>
      </c>
      <c r="P23" s="219">
        <f>'CBR Hist'!P26</f>
        <v>9955</v>
      </c>
      <c r="Q23" s="219">
        <f>'CBR Hist'!Q26</f>
        <v>10846</v>
      </c>
      <c r="R23" s="219">
        <f>'CBR Hist'!R26</f>
        <v>11456</v>
      </c>
      <c r="S23" s="219">
        <f>'CBR Hist'!S26</f>
        <v>12913</v>
      </c>
      <c r="T23" s="178"/>
    </row>
    <row r="24" spans="1:20">
      <c r="A24" s="63">
        <v>12</v>
      </c>
      <c r="B24" s="40" t="s">
        <v>76</v>
      </c>
      <c r="F24" s="462">
        <f>SUM(F19:F23)</f>
        <v>266142</v>
      </c>
      <c r="G24" s="462">
        <f t="shared" ref="G24:R24" si="4">SUM(G19:G23)</f>
        <v>193607</v>
      </c>
      <c r="H24" s="462">
        <f t="shared" si="4"/>
        <v>173216</v>
      </c>
      <c r="I24" s="462">
        <f t="shared" si="4"/>
        <v>200326</v>
      </c>
      <c r="J24" s="462">
        <f t="shared" si="4"/>
        <v>182749</v>
      </c>
      <c r="K24" s="462">
        <f t="shared" si="4"/>
        <v>184132</v>
      </c>
      <c r="L24" s="462">
        <f t="shared" si="4"/>
        <v>218266</v>
      </c>
      <c r="M24" s="462">
        <f t="shared" si="4"/>
        <v>198644</v>
      </c>
      <c r="N24" s="462">
        <f t="shared" si="4"/>
        <v>219777</v>
      </c>
      <c r="O24" s="462">
        <f t="shared" si="4"/>
        <v>223748</v>
      </c>
      <c r="P24" s="462">
        <f t="shared" si="4"/>
        <v>321388</v>
      </c>
      <c r="Q24" s="462">
        <f t="shared" si="4"/>
        <v>273183</v>
      </c>
      <c r="R24" s="462">
        <f t="shared" si="4"/>
        <v>262470</v>
      </c>
      <c r="S24" s="462">
        <f t="shared" ref="S24" si="5">SUM(S19:S23)</f>
        <v>297764</v>
      </c>
      <c r="T24" s="178"/>
    </row>
    <row r="25" spans="1:20" ht="6.75" customHeight="1">
      <c r="A25" s="63"/>
      <c r="F25" s="44"/>
      <c r="G25" s="44"/>
      <c r="H25" s="44"/>
      <c r="I25" s="44"/>
      <c r="J25" s="44"/>
      <c r="K25" s="44"/>
      <c r="L25" s="44"/>
      <c r="M25" s="44"/>
      <c r="N25" s="44"/>
      <c r="O25" s="44"/>
      <c r="P25" s="44"/>
      <c r="Q25" s="44"/>
      <c r="R25" s="44"/>
      <c r="S25" s="44"/>
      <c r="T25" s="178"/>
    </row>
    <row r="26" spans="1:20">
      <c r="A26" s="63"/>
      <c r="B26" s="40" t="s">
        <v>56</v>
      </c>
      <c r="F26" s="44"/>
      <c r="G26" s="44"/>
      <c r="H26" s="44"/>
      <c r="I26" s="44"/>
      <c r="J26" s="44"/>
      <c r="K26" s="44"/>
      <c r="L26" s="44"/>
      <c r="M26" s="44"/>
      <c r="N26" s="44"/>
      <c r="O26" s="44"/>
      <c r="P26" s="44"/>
      <c r="Q26" s="44"/>
      <c r="R26" s="44"/>
      <c r="S26" s="44"/>
      <c r="T26" s="178"/>
    </row>
    <row r="27" spans="1:20">
      <c r="A27" s="63">
        <v>13</v>
      </c>
      <c r="C27" s="40" t="s">
        <v>70</v>
      </c>
      <c r="F27" s="219">
        <f>'CBR Hist'!F30</f>
        <v>9418</v>
      </c>
      <c r="G27" s="219">
        <f>'CBR Hist'!G30</f>
        <v>10560</v>
      </c>
      <c r="H27" s="219">
        <f>'CBR Hist'!H30</f>
        <v>9631</v>
      </c>
      <c r="I27" s="219">
        <f>'CBR Hist'!I30</f>
        <v>10171</v>
      </c>
      <c r="J27" s="219">
        <f>'CBR Hist'!J30</f>
        <v>12016</v>
      </c>
      <c r="K27" s="219">
        <f>'CBR Hist'!K30</f>
        <v>14263</v>
      </c>
      <c r="L27" s="219">
        <f>'CBR Hist'!L30</f>
        <v>15485</v>
      </c>
      <c r="M27" s="219">
        <f>'CBR Hist'!M30</f>
        <v>14563</v>
      </c>
      <c r="N27" s="219">
        <f>'CBR Hist'!N30</f>
        <v>17329</v>
      </c>
      <c r="O27" s="219">
        <f>'CBR Hist'!O30</f>
        <v>17267</v>
      </c>
      <c r="P27" s="219">
        <f>'CBR Hist'!P30</f>
        <v>18354</v>
      </c>
      <c r="Q27" s="219">
        <f>'CBR Hist'!Q30</f>
        <v>19081</v>
      </c>
      <c r="R27" s="219">
        <f>'CBR Hist'!R30</f>
        <v>21152</v>
      </c>
      <c r="S27" s="219">
        <f>'CBR Hist'!S30</f>
        <v>20878</v>
      </c>
      <c r="T27" s="178"/>
    </row>
    <row r="28" spans="1:20">
      <c r="A28" s="63">
        <v>14</v>
      </c>
      <c r="C28" s="40" t="s">
        <v>141</v>
      </c>
      <c r="F28" s="219">
        <f>'CBR Hist'!F31</f>
        <v>9056</v>
      </c>
      <c r="G28" s="219">
        <f>'CBR Hist'!G31</f>
        <v>9178</v>
      </c>
      <c r="H28" s="219">
        <f>'CBR Hist'!H31</f>
        <v>9427</v>
      </c>
      <c r="I28" s="219">
        <f>'CBR Hist'!I31</f>
        <v>9752</v>
      </c>
      <c r="J28" s="219">
        <f>'CBR Hist'!J31</f>
        <v>10067</v>
      </c>
      <c r="K28" s="219">
        <f>'CBR Hist'!K31</f>
        <v>10399</v>
      </c>
      <c r="L28" s="219">
        <f>'CBR Hist'!L31</f>
        <v>10776</v>
      </c>
      <c r="M28" s="219">
        <f>'CBR Hist'!M31</f>
        <v>11333</v>
      </c>
      <c r="N28" s="219">
        <f>'CBR Hist'!N31</f>
        <v>15611</v>
      </c>
      <c r="O28" s="219">
        <f>'CBR Hist'!O31</f>
        <v>16809</v>
      </c>
      <c r="P28" s="219">
        <f>'CBR Hist'!P31</f>
        <v>17985</v>
      </c>
      <c r="Q28" s="219">
        <f>'CBR Hist'!Q31</f>
        <v>19240</v>
      </c>
      <c r="R28" s="219">
        <f>'CBR Hist'!R31</f>
        <v>20749</v>
      </c>
      <c r="S28" s="219">
        <f>'CBR Hist'!S31</f>
        <v>22303</v>
      </c>
      <c r="T28" s="178"/>
    </row>
    <row r="29" spans="1:20">
      <c r="A29" s="63">
        <v>15</v>
      </c>
      <c r="C29" s="40" t="s">
        <v>69</v>
      </c>
      <c r="F29" s="219">
        <f>'CBR Hist'!F32</f>
        <v>11693</v>
      </c>
      <c r="G29" s="219">
        <f>'CBR Hist'!G32</f>
        <v>15462</v>
      </c>
      <c r="H29" s="219">
        <f>'CBR Hist'!H32</f>
        <v>16996</v>
      </c>
      <c r="I29" s="219">
        <f>'CBR Hist'!I32</f>
        <v>17286</v>
      </c>
      <c r="J29" s="219">
        <f>'CBR Hist'!J32</f>
        <v>17401</v>
      </c>
      <c r="K29" s="219">
        <f>'CBR Hist'!K32</f>
        <v>14988</v>
      </c>
      <c r="L29" s="219">
        <f>'CBR Hist'!L32</f>
        <v>16307</v>
      </c>
      <c r="M29" s="219">
        <f>'CBR Hist'!M32</f>
        <v>16156</v>
      </c>
      <c r="N29" s="219">
        <f>'CBR Hist'!N32</f>
        <v>17416</v>
      </c>
      <c r="O29" s="219">
        <f>'CBR Hist'!O32</f>
        <v>18207</v>
      </c>
      <c r="P29" s="219">
        <f>'CBR Hist'!P32</f>
        <v>19990</v>
      </c>
      <c r="Q29" s="219">
        <f>'CBR Hist'!Q32</f>
        <v>22393.453812</v>
      </c>
      <c r="R29" s="219">
        <f>'CBR Hist'!R32</f>
        <v>22594.925350000001</v>
      </c>
      <c r="S29" s="219">
        <f>'CBR Hist'!S32</f>
        <v>23288</v>
      </c>
      <c r="T29" s="178"/>
    </row>
    <row r="30" spans="1:20">
      <c r="A30" s="63">
        <v>16</v>
      </c>
      <c r="B30" s="40" t="s">
        <v>75</v>
      </c>
      <c r="F30" s="462">
        <f>SUM(F27:F29)</f>
        <v>30167</v>
      </c>
      <c r="G30" s="462">
        <f t="shared" ref="G30:R30" si="6">SUM(G27:G29)</f>
        <v>35200</v>
      </c>
      <c r="H30" s="462">
        <f t="shared" si="6"/>
        <v>36054</v>
      </c>
      <c r="I30" s="462">
        <f t="shared" si="6"/>
        <v>37209</v>
      </c>
      <c r="J30" s="462">
        <f t="shared" si="6"/>
        <v>39484</v>
      </c>
      <c r="K30" s="462">
        <f t="shared" si="6"/>
        <v>39650</v>
      </c>
      <c r="L30" s="462">
        <f t="shared" si="6"/>
        <v>42568</v>
      </c>
      <c r="M30" s="462">
        <f t="shared" si="6"/>
        <v>42052</v>
      </c>
      <c r="N30" s="462">
        <f t="shared" si="6"/>
        <v>50356</v>
      </c>
      <c r="O30" s="462">
        <f t="shared" si="6"/>
        <v>52283</v>
      </c>
      <c r="P30" s="462">
        <f t="shared" si="6"/>
        <v>56329</v>
      </c>
      <c r="Q30" s="462">
        <f t="shared" si="6"/>
        <v>60714.453812</v>
      </c>
      <c r="R30" s="462">
        <f t="shared" si="6"/>
        <v>64495.925350000005</v>
      </c>
      <c r="S30" s="462">
        <f t="shared" ref="S30" si="7">SUM(S27:S29)</f>
        <v>66469</v>
      </c>
      <c r="T30" s="178"/>
    </row>
    <row r="31" spans="1:20" ht="4.5" customHeight="1">
      <c r="A31" s="63"/>
      <c r="F31" s="44"/>
      <c r="G31" s="44"/>
      <c r="H31" s="44"/>
      <c r="I31" s="44"/>
      <c r="J31" s="44"/>
      <c r="K31" s="44"/>
      <c r="L31" s="44"/>
      <c r="M31" s="44"/>
      <c r="N31" s="44"/>
      <c r="O31" s="44"/>
      <c r="P31" s="44"/>
      <c r="Q31" s="44"/>
      <c r="R31" s="44"/>
      <c r="S31" s="44"/>
      <c r="T31" s="178"/>
    </row>
    <row r="32" spans="1:20">
      <c r="A32" s="63">
        <v>17</v>
      </c>
      <c r="B32" s="40" t="s">
        <v>74</v>
      </c>
      <c r="F32" s="219">
        <f>'CBR Hist'!F35</f>
        <v>5768</v>
      </c>
      <c r="G32" s="219">
        <f>'CBR Hist'!G35</f>
        <v>6196</v>
      </c>
      <c r="H32" s="219">
        <f>'CBR Hist'!H35</f>
        <v>7113</v>
      </c>
      <c r="I32" s="219">
        <f>'CBR Hist'!I35</f>
        <v>7129</v>
      </c>
      <c r="J32" s="219">
        <f>'CBR Hist'!J35</f>
        <v>7352</v>
      </c>
      <c r="K32" s="219">
        <f>'CBR Hist'!K35</f>
        <v>7156</v>
      </c>
      <c r="L32" s="219">
        <f>'CBR Hist'!L35</f>
        <v>7097</v>
      </c>
      <c r="M32" s="219">
        <f>'CBR Hist'!M35</f>
        <v>7514</v>
      </c>
      <c r="N32" s="219">
        <f>'CBR Hist'!N35</f>
        <v>7919</v>
      </c>
      <c r="O32" s="219">
        <f>'CBR Hist'!O35</f>
        <v>9646</v>
      </c>
      <c r="P32" s="219">
        <f>'CBR Hist'!P35</f>
        <v>9261</v>
      </c>
      <c r="Q32" s="219">
        <f>'CBR Hist'!Q35</f>
        <v>10274.701588</v>
      </c>
      <c r="R32" s="219">
        <f>'CBR Hist'!R35</f>
        <v>10335.791302</v>
      </c>
      <c r="S32" s="219">
        <f>'CBR Hist'!S35</f>
        <v>11334</v>
      </c>
      <c r="T32" s="178"/>
    </row>
    <row r="33" spans="1:20">
      <c r="A33" s="63">
        <v>18</v>
      </c>
      <c r="B33" s="40" t="s">
        <v>73</v>
      </c>
      <c r="F33" s="219">
        <f>'CBR Hist'!F36</f>
        <v>5704</v>
      </c>
      <c r="G33" s="219">
        <f>'CBR Hist'!G36</f>
        <v>5381</v>
      </c>
      <c r="H33" s="219">
        <f>'CBR Hist'!H36</f>
        <v>6261</v>
      </c>
      <c r="I33" s="219">
        <f>'CBR Hist'!I36</f>
        <v>6620</v>
      </c>
      <c r="J33" s="219">
        <f>'CBR Hist'!J36</f>
        <v>266</v>
      </c>
      <c r="K33" s="219">
        <f>'CBR Hist'!K36</f>
        <v>7127</v>
      </c>
      <c r="L33" s="219">
        <f>'CBR Hist'!L36</f>
        <v>1159</v>
      </c>
      <c r="M33" s="219">
        <f>'CBR Hist'!M36</f>
        <v>7472</v>
      </c>
      <c r="N33" s="219">
        <f>'CBR Hist'!N36</f>
        <v>12847</v>
      </c>
      <c r="O33" s="219">
        <f>'CBR Hist'!O36</f>
        <v>19736</v>
      </c>
      <c r="P33" s="219">
        <f>'CBR Hist'!P36</f>
        <v>20832</v>
      </c>
      <c r="Q33" s="219">
        <f>'CBR Hist'!Q36</f>
        <v>21292</v>
      </c>
      <c r="R33" s="219">
        <f>'CBR Hist'!R36</f>
        <v>18487</v>
      </c>
      <c r="S33" s="219">
        <f>'CBR Hist'!S36</f>
        <v>1516</v>
      </c>
      <c r="T33" s="178"/>
    </row>
    <row r="34" spans="1:20">
      <c r="A34" s="63">
        <v>19</v>
      </c>
      <c r="B34" s="40" t="s">
        <v>72</v>
      </c>
      <c r="F34" s="219">
        <f>'CBR Hist'!F37</f>
        <v>1071</v>
      </c>
      <c r="G34" s="219">
        <f>'CBR Hist'!G37</f>
        <v>734</v>
      </c>
      <c r="H34" s="219">
        <f>'CBR Hist'!H37</f>
        <v>628</v>
      </c>
      <c r="I34" s="219">
        <f>'CBR Hist'!I37</f>
        <v>734</v>
      </c>
      <c r="J34" s="219">
        <f>'CBR Hist'!J37</f>
        <v>686</v>
      </c>
      <c r="K34" s="219">
        <f>'CBR Hist'!K37</f>
        <v>430</v>
      </c>
      <c r="L34" s="219">
        <f>'CBR Hist'!L37</f>
        <v>657</v>
      </c>
      <c r="M34" s="219">
        <f>'CBR Hist'!M37</f>
        <v>682</v>
      </c>
      <c r="N34" s="219">
        <f>'CBR Hist'!N37</f>
        <v>571</v>
      </c>
      <c r="O34" s="219">
        <f>'CBR Hist'!O37</f>
        <v>660</v>
      </c>
      <c r="P34" s="219">
        <f>'CBR Hist'!P37</f>
        <v>176</v>
      </c>
      <c r="Q34" s="219">
        <f>'CBR Hist'!Q37</f>
        <v>4</v>
      </c>
      <c r="R34" s="219">
        <f>'CBR Hist'!R37</f>
        <v>5</v>
      </c>
      <c r="S34" s="219">
        <f>'CBR Hist'!S37</f>
        <v>5</v>
      </c>
      <c r="T34" s="178"/>
    </row>
    <row r="35" spans="1:20" ht="6.75" customHeight="1">
      <c r="A35" s="63"/>
      <c r="F35" s="44"/>
      <c r="G35" s="44"/>
      <c r="H35" s="44"/>
      <c r="I35" s="44"/>
      <c r="J35" s="44"/>
      <c r="K35" s="44"/>
      <c r="L35" s="44"/>
      <c r="M35" s="44"/>
      <c r="N35" s="44"/>
      <c r="O35" s="44"/>
      <c r="P35" s="44"/>
      <c r="Q35" s="44"/>
      <c r="R35" s="44"/>
      <c r="S35" s="44"/>
      <c r="T35" s="178"/>
    </row>
    <row r="36" spans="1:20">
      <c r="A36" s="63"/>
      <c r="B36" s="40" t="s">
        <v>71</v>
      </c>
      <c r="F36" s="44"/>
      <c r="G36" s="44"/>
      <c r="H36" s="44"/>
      <c r="I36" s="44"/>
      <c r="J36" s="44"/>
      <c r="K36" s="44"/>
      <c r="L36" s="44"/>
      <c r="M36" s="44"/>
      <c r="N36" s="44"/>
      <c r="O36" s="44"/>
      <c r="P36" s="44"/>
      <c r="Q36" s="44"/>
      <c r="R36" s="44"/>
      <c r="S36" s="44"/>
      <c r="T36" s="178"/>
    </row>
    <row r="37" spans="1:20">
      <c r="A37" s="63">
        <v>20</v>
      </c>
      <c r="C37" s="40" t="s">
        <v>70</v>
      </c>
      <c r="F37" s="219">
        <f>'CBR Hist'!F40</f>
        <v>30350</v>
      </c>
      <c r="G37" s="219">
        <f>'CBR Hist'!G40</f>
        <v>25102</v>
      </c>
      <c r="H37" s="219">
        <f>'CBR Hist'!H40</f>
        <v>30304</v>
      </c>
      <c r="I37" s="219">
        <f>'CBR Hist'!I40</f>
        <v>30153</v>
      </c>
      <c r="J37" s="219">
        <f>'CBR Hist'!J40</f>
        <v>31927</v>
      </c>
      <c r="K37" s="219">
        <f>'CBR Hist'!K40</f>
        <v>33143</v>
      </c>
      <c r="L37" s="219">
        <f>'CBR Hist'!L40</f>
        <v>33148</v>
      </c>
      <c r="M37" s="219">
        <f>'CBR Hist'!M40</f>
        <v>35844</v>
      </c>
      <c r="N37" s="219">
        <f>'CBR Hist'!N40</f>
        <v>35982</v>
      </c>
      <c r="O37" s="219">
        <f>'CBR Hist'!O40</f>
        <v>38461</v>
      </c>
      <c r="P37" s="219">
        <f>'CBR Hist'!P40</f>
        <v>44662</v>
      </c>
      <c r="Q37" s="219">
        <f>'CBR Hist'!Q40</f>
        <v>44779.252</v>
      </c>
      <c r="R37" s="219">
        <f>'CBR Hist'!R40</f>
        <v>49333.396000000001</v>
      </c>
      <c r="S37" s="219">
        <f>'CBR Hist'!S40</f>
        <v>43310</v>
      </c>
      <c r="T37" s="178"/>
    </row>
    <row r="38" spans="1:20">
      <c r="A38" s="63">
        <v>21</v>
      </c>
      <c r="C38" s="40" t="s">
        <v>141</v>
      </c>
      <c r="F38" s="219">
        <f>'CBR Hist'!F41</f>
        <v>3998</v>
      </c>
      <c r="G38" s="219">
        <f>'CBR Hist'!G41</f>
        <v>4414</v>
      </c>
      <c r="H38" s="219">
        <f>'CBR Hist'!H41</f>
        <v>6606</v>
      </c>
      <c r="I38" s="219">
        <f>'CBR Hist'!I41</f>
        <v>6659</v>
      </c>
      <c r="J38" s="219">
        <f>'CBR Hist'!J41</f>
        <v>6072</v>
      </c>
      <c r="K38" s="219">
        <f>'CBR Hist'!K41</f>
        <v>6537</v>
      </c>
      <c r="L38" s="219">
        <f>'CBR Hist'!L41</f>
        <v>6459</v>
      </c>
      <c r="M38" s="219">
        <f>'CBR Hist'!M41</f>
        <v>6739</v>
      </c>
      <c r="N38" s="219">
        <f>'CBR Hist'!N41</f>
        <v>7187</v>
      </c>
      <c r="O38" s="219">
        <f>'CBR Hist'!O41</f>
        <v>7688</v>
      </c>
      <c r="P38" s="219">
        <f>'CBR Hist'!P41</f>
        <v>9277</v>
      </c>
      <c r="Q38" s="219">
        <f>'CBR Hist'!Q41</f>
        <v>10906</v>
      </c>
      <c r="R38" s="219">
        <f>'CBR Hist'!R41</f>
        <v>12517</v>
      </c>
      <c r="S38" s="219">
        <f>'CBR Hist'!S41</f>
        <v>14721</v>
      </c>
      <c r="T38" s="178"/>
    </row>
    <row r="39" spans="1:20">
      <c r="A39" s="63">
        <v>22</v>
      </c>
      <c r="C39" s="40" t="s">
        <v>69</v>
      </c>
      <c r="F39" s="219">
        <f>'CBR Hist'!F42</f>
        <v>5</v>
      </c>
      <c r="G39" s="219">
        <f>'CBR Hist'!G42</f>
        <v>2</v>
      </c>
      <c r="H39" s="219">
        <f>'CBR Hist'!H42</f>
        <v>1</v>
      </c>
      <c r="I39" s="219">
        <f>'CBR Hist'!I42</f>
        <v>2</v>
      </c>
      <c r="J39" s="219">
        <f>'CBR Hist'!J42</f>
        <v>3</v>
      </c>
      <c r="K39" s="219">
        <f>'CBR Hist'!K42</f>
        <v>-4</v>
      </c>
      <c r="L39" s="219">
        <f>'CBR Hist'!L42</f>
        <v>0</v>
      </c>
      <c r="M39" s="219">
        <f>'CBR Hist'!M42</f>
        <v>-9</v>
      </c>
      <c r="N39" s="219">
        <f>'CBR Hist'!N42</f>
        <v>-3</v>
      </c>
      <c r="O39" s="219">
        <f>'CBR Hist'!O42</f>
        <v>-3</v>
      </c>
      <c r="P39" s="219">
        <f>'CBR Hist'!P42</f>
        <v>2</v>
      </c>
      <c r="Q39" s="219">
        <f>'CBR Hist'!Q42</f>
        <v>0</v>
      </c>
      <c r="R39" s="219">
        <f>'CBR Hist'!R42</f>
        <v>-4</v>
      </c>
      <c r="S39" s="219">
        <f>'CBR Hist'!S42</f>
        <v>0</v>
      </c>
      <c r="T39" s="178"/>
    </row>
    <row r="40" spans="1:20">
      <c r="A40" s="63">
        <v>23</v>
      </c>
      <c r="B40" s="40" t="s">
        <v>68</v>
      </c>
      <c r="F40" s="462">
        <f>SUM(F37:F39)</f>
        <v>34353</v>
      </c>
      <c r="G40" s="462">
        <f t="shared" ref="G40:R40" si="8">SUM(G37:G39)</f>
        <v>29518</v>
      </c>
      <c r="H40" s="462">
        <f t="shared" si="8"/>
        <v>36911</v>
      </c>
      <c r="I40" s="462">
        <f t="shared" si="8"/>
        <v>36814</v>
      </c>
      <c r="J40" s="462">
        <f t="shared" si="8"/>
        <v>38002</v>
      </c>
      <c r="K40" s="462">
        <f t="shared" si="8"/>
        <v>39676</v>
      </c>
      <c r="L40" s="462">
        <f t="shared" si="8"/>
        <v>39607</v>
      </c>
      <c r="M40" s="462">
        <f t="shared" si="8"/>
        <v>42574</v>
      </c>
      <c r="N40" s="462">
        <f t="shared" si="8"/>
        <v>43166</v>
      </c>
      <c r="O40" s="462">
        <f t="shared" si="8"/>
        <v>46146</v>
      </c>
      <c r="P40" s="462">
        <f t="shared" si="8"/>
        <v>53941</v>
      </c>
      <c r="Q40" s="462">
        <f t="shared" si="8"/>
        <v>55685.252</v>
      </c>
      <c r="R40" s="462">
        <f t="shared" si="8"/>
        <v>61846.396000000001</v>
      </c>
      <c r="S40" s="462">
        <f t="shared" ref="S40" si="9">SUM(S37:S39)</f>
        <v>58031</v>
      </c>
      <c r="T40" s="178"/>
    </row>
    <row r="41" spans="1:20">
      <c r="A41" s="63">
        <v>24</v>
      </c>
      <c r="B41" s="40" t="s">
        <v>67</v>
      </c>
      <c r="F41" s="462">
        <f>F24+F30+F32+F33+F34+F40</f>
        <v>343205</v>
      </c>
      <c r="G41" s="462">
        <f t="shared" ref="G41:R41" si="10">G24+G30+G32+G33+G34+G40</f>
        <v>270636</v>
      </c>
      <c r="H41" s="462">
        <f t="shared" si="10"/>
        <v>260183</v>
      </c>
      <c r="I41" s="462">
        <f t="shared" si="10"/>
        <v>288832</v>
      </c>
      <c r="J41" s="462">
        <f t="shared" si="10"/>
        <v>268539</v>
      </c>
      <c r="K41" s="462">
        <f t="shared" si="10"/>
        <v>278171</v>
      </c>
      <c r="L41" s="462">
        <f t="shared" si="10"/>
        <v>309354</v>
      </c>
      <c r="M41" s="462">
        <f t="shared" si="10"/>
        <v>298938</v>
      </c>
      <c r="N41" s="462">
        <f t="shared" si="10"/>
        <v>334636</v>
      </c>
      <c r="O41" s="462">
        <f t="shared" si="10"/>
        <v>352219</v>
      </c>
      <c r="P41" s="462">
        <f t="shared" si="10"/>
        <v>461927</v>
      </c>
      <c r="Q41" s="462">
        <f t="shared" si="10"/>
        <v>421153.40739999997</v>
      </c>
      <c r="R41" s="462">
        <f t="shared" si="10"/>
        <v>417640.11265200004</v>
      </c>
      <c r="S41" s="462">
        <f t="shared" ref="S41" si="11">S24+S30+S32+S33+S34+S40</f>
        <v>435119</v>
      </c>
      <c r="T41" s="178"/>
    </row>
    <row r="42" spans="1:20" ht="6.75" customHeight="1">
      <c r="A42" s="63"/>
      <c r="F42" s="192"/>
      <c r="G42" s="192"/>
      <c r="H42" s="192"/>
      <c r="I42" s="192"/>
      <c r="J42" s="192"/>
      <c r="K42" s="192"/>
      <c r="L42" s="192"/>
      <c r="M42" s="192"/>
      <c r="N42" s="192"/>
      <c r="O42" s="192"/>
      <c r="P42" s="192"/>
      <c r="Q42" s="192"/>
      <c r="R42" s="192"/>
      <c r="S42" s="192"/>
      <c r="T42" s="178"/>
    </row>
    <row r="43" spans="1:20">
      <c r="A43" s="63">
        <v>25</v>
      </c>
      <c r="B43" s="40" t="s">
        <v>66</v>
      </c>
      <c r="F43" s="462">
        <f>F15-F41</f>
        <v>50049</v>
      </c>
      <c r="G43" s="462">
        <f t="shared" ref="G43:R43" si="12">G15-G41</f>
        <v>93786</v>
      </c>
      <c r="H43" s="462">
        <f t="shared" si="12"/>
        <v>78118</v>
      </c>
      <c r="I43" s="462">
        <f t="shared" si="12"/>
        <v>87772</v>
      </c>
      <c r="J43" s="462">
        <f t="shared" si="12"/>
        <v>66659</v>
      </c>
      <c r="K43" s="462">
        <f t="shared" si="12"/>
        <v>66735</v>
      </c>
      <c r="L43" s="462">
        <f t="shared" si="12"/>
        <v>58866</v>
      </c>
      <c r="M43" s="462">
        <f t="shared" si="12"/>
        <v>73260</v>
      </c>
      <c r="N43" s="462">
        <f t="shared" si="12"/>
        <v>89384</v>
      </c>
      <c r="O43" s="462">
        <f t="shared" si="12"/>
        <v>92156.549100000004</v>
      </c>
      <c r="P43" s="462">
        <f t="shared" si="12"/>
        <v>99867.970363199944</v>
      </c>
      <c r="Q43" s="462">
        <f t="shared" si="12"/>
        <v>97773.592600000033</v>
      </c>
      <c r="R43" s="462">
        <f t="shared" si="12"/>
        <v>110079.88734799996</v>
      </c>
      <c r="S43" s="462">
        <f t="shared" ref="S43" si="13">S15-S41</f>
        <v>122528</v>
      </c>
      <c r="T43" s="178"/>
    </row>
    <row r="44" spans="1:20" ht="6.75" customHeight="1">
      <c r="A44" s="63"/>
      <c r="F44" s="44"/>
      <c r="G44" s="44"/>
      <c r="H44" s="44"/>
      <c r="I44" s="44"/>
      <c r="J44" s="44"/>
      <c r="K44" s="44"/>
      <c r="L44" s="44"/>
      <c r="M44" s="44"/>
      <c r="N44" s="44"/>
      <c r="O44" s="44"/>
      <c r="P44" s="44"/>
      <c r="Q44" s="44"/>
      <c r="R44" s="44"/>
      <c r="S44" s="44"/>
      <c r="T44" s="178"/>
    </row>
    <row r="45" spans="1:20">
      <c r="A45" s="63"/>
      <c r="B45" s="40" t="s">
        <v>65</v>
      </c>
      <c r="F45" s="44"/>
      <c r="G45" s="44"/>
      <c r="H45" s="44"/>
      <c r="I45" s="44"/>
      <c r="J45" s="44"/>
      <c r="K45" s="44"/>
      <c r="L45" s="44"/>
      <c r="M45" s="44"/>
      <c r="N45" s="44"/>
      <c r="O45" s="44"/>
      <c r="P45" s="44"/>
      <c r="Q45" s="44"/>
      <c r="R45" s="44"/>
      <c r="S45" s="44"/>
      <c r="T45" s="178"/>
    </row>
    <row r="46" spans="1:20">
      <c r="A46" s="63">
        <v>26</v>
      </c>
      <c r="B46" s="40" t="s">
        <v>142</v>
      </c>
      <c r="F46" s="219">
        <f>'CBR Hist'!F49</f>
        <v>13500</v>
      </c>
      <c r="G46" s="219">
        <f>'CBR Hist'!G49</f>
        <v>7802.6454399910144</v>
      </c>
      <c r="H46" s="219">
        <f>'CBR Hist'!H49</f>
        <v>12532.4934614427</v>
      </c>
      <c r="I46" s="219">
        <f>'CBR Hist'!I49</f>
        <v>18199.38094551977</v>
      </c>
      <c r="J46" s="219">
        <f>'CBR Hist'!J49</f>
        <v>10602.745932108257</v>
      </c>
      <c r="K46" s="219">
        <f>'CBR Hist'!K49</f>
        <v>6760.4768703774607</v>
      </c>
      <c r="L46" s="219">
        <f>'CBR Hist'!L49</f>
        <v>3583.5198936206907</v>
      </c>
      <c r="M46" s="219">
        <f>'CBR Hist'!M49</f>
        <v>5069.5165750000015</v>
      </c>
      <c r="N46" s="219">
        <f>'CBR Hist'!N49</f>
        <v>-6217.1202000000012</v>
      </c>
      <c r="O46" s="219">
        <f>'CBR Hist'!O49</f>
        <v>-1846</v>
      </c>
      <c r="P46" s="219">
        <f>'CBR Hist'!P49</f>
        <v>9263</v>
      </c>
      <c r="Q46" s="219">
        <f>'CBR Hist'!Q49</f>
        <v>6568.9074099999998</v>
      </c>
      <c r="R46" s="219">
        <f>'CBR Hist'!R49</f>
        <v>11499.260571799998</v>
      </c>
      <c r="S46" s="219">
        <f>'CBR Hist'!S49</f>
        <v>19267</v>
      </c>
      <c r="T46" s="178"/>
    </row>
    <row r="47" spans="1:20">
      <c r="A47" s="63">
        <v>27</v>
      </c>
      <c r="B47" s="40" t="s">
        <v>143</v>
      </c>
      <c r="F47" s="219">
        <f>'CBR Hist'!F50</f>
        <v>0</v>
      </c>
      <c r="G47" s="219">
        <f>'CBR Hist'!G50</f>
        <v>0</v>
      </c>
      <c r="H47" s="219">
        <f>'CBR Hist'!H50</f>
        <v>0</v>
      </c>
      <c r="I47" s="219">
        <f>'CBR Hist'!I50</f>
        <v>0</v>
      </c>
      <c r="J47" s="219">
        <f>'CBR Hist'!J50</f>
        <v>0</v>
      </c>
      <c r="K47" s="219">
        <f>'CBR Hist'!K50</f>
        <v>0</v>
      </c>
      <c r="L47" s="219">
        <f>'CBR Hist'!L50</f>
        <v>0</v>
      </c>
      <c r="M47" s="219">
        <f>'CBR Hist'!M50</f>
        <v>0</v>
      </c>
      <c r="N47" s="219">
        <f>'CBR Hist'!N50</f>
        <v>0</v>
      </c>
      <c r="O47" s="219">
        <f>'CBR Hist'!O50</f>
        <v>0</v>
      </c>
      <c r="P47" s="219">
        <f>'CBR Hist'!P50</f>
        <v>0</v>
      </c>
      <c r="Q47" s="219">
        <f>'CBR Hist'!Q50</f>
        <v>206.8288</v>
      </c>
      <c r="R47" s="219">
        <f>'CBR Hist'!R50</f>
        <v>70.410550000000001</v>
      </c>
      <c r="S47" s="219">
        <f>'CBR Hist'!S50</f>
        <v>1</v>
      </c>
      <c r="T47" s="178"/>
    </row>
    <row r="48" spans="1:20">
      <c r="A48" s="63">
        <v>28</v>
      </c>
      <c r="B48" s="40" t="s">
        <v>64</v>
      </c>
      <c r="F48" s="219">
        <f>'CBR Hist'!F51</f>
        <v>3549</v>
      </c>
      <c r="G48" s="219">
        <f>'CBR Hist'!G51</f>
        <v>16107</v>
      </c>
      <c r="H48" s="219">
        <f>'CBR Hist'!H51</f>
        <v>3470</v>
      </c>
      <c r="I48" s="219">
        <f>'CBR Hist'!I51</f>
        <v>1284</v>
      </c>
      <c r="J48" s="219">
        <f>'CBR Hist'!J51</f>
        <v>608</v>
      </c>
      <c r="K48" s="219">
        <f>'CBR Hist'!K51</f>
        <v>3867</v>
      </c>
      <c r="L48" s="219">
        <f>'CBR Hist'!L51</f>
        <v>3975</v>
      </c>
      <c r="M48" s="219">
        <f>'CBR Hist'!M51</f>
        <v>6497</v>
      </c>
      <c r="N48" s="219">
        <f>'CBR Hist'!N51</f>
        <v>26634</v>
      </c>
      <c r="O48" s="219">
        <f>'CBR Hist'!O51</f>
        <v>23983</v>
      </c>
      <c r="P48" s="219">
        <f>'CBR Hist'!P51</f>
        <v>13823</v>
      </c>
      <c r="Q48" s="219">
        <f>'CBR Hist'!Q51</f>
        <v>16402</v>
      </c>
      <c r="R48" s="219">
        <f>'CBR Hist'!R51</f>
        <v>15684</v>
      </c>
      <c r="S48" s="219">
        <f>'CBR Hist'!S51</f>
        <v>10613</v>
      </c>
      <c r="T48" s="178"/>
    </row>
    <row r="49" spans="1:21">
      <c r="A49" s="63">
        <v>29</v>
      </c>
      <c r="B49" s="40" t="s">
        <v>63</v>
      </c>
      <c r="F49" s="219">
        <f>'CBR Hist'!F52</f>
        <v>0</v>
      </c>
      <c r="G49" s="219">
        <f>'CBR Hist'!G52</f>
        <v>0</v>
      </c>
      <c r="H49" s="219">
        <f>'CBR Hist'!H52</f>
        <v>0</v>
      </c>
      <c r="I49" s="219">
        <f>'CBR Hist'!I52</f>
        <v>0</v>
      </c>
      <c r="J49" s="219">
        <f>'CBR Hist'!J52</f>
        <v>0</v>
      </c>
      <c r="K49" s="219">
        <f>'CBR Hist'!K52</f>
        <v>0</v>
      </c>
      <c r="L49" s="219">
        <f>'CBR Hist'!L52</f>
        <v>0</v>
      </c>
      <c r="M49" s="219">
        <f>'CBR Hist'!M52</f>
        <v>0</v>
      </c>
      <c r="N49" s="219">
        <f>'CBR Hist'!N52</f>
        <v>0</v>
      </c>
      <c r="O49" s="219">
        <f>'CBR Hist'!O52</f>
        <v>-58</v>
      </c>
      <c r="P49" s="219">
        <f>'CBR Hist'!P52</f>
        <v>-83</v>
      </c>
      <c r="Q49" s="219">
        <f>'CBR Hist'!Q52</f>
        <v>-99</v>
      </c>
      <c r="R49" s="219">
        <f>'CBR Hist'!R52</f>
        <v>-128</v>
      </c>
      <c r="S49" s="219">
        <f>'CBR Hist'!S52</f>
        <v>-130</v>
      </c>
      <c r="T49" s="178"/>
    </row>
    <row r="50" spans="1:21" s="218" customFormat="1">
      <c r="A50" s="63">
        <v>30</v>
      </c>
      <c r="B50" s="218" t="s">
        <v>304</v>
      </c>
      <c r="F50" s="219">
        <f>'CBR Hist'!F53</f>
        <v>5683</v>
      </c>
      <c r="G50" s="219">
        <f>'CBR Hist'!G53</f>
        <v>5369</v>
      </c>
      <c r="H50" s="219">
        <f>'CBR Hist'!H53</f>
        <v>0</v>
      </c>
      <c r="I50" s="219">
        <f>'CBR Hist'!I53</f>
        <v>0</v>
      </c>
      <c r="J50" s="219">
        <f>'CBR Hist'!J53</f>
        <v>0</v>
      </c>
      <c r="K50" s="219">
        <f>'CBR Hist'!K53</f>
        <v>0</v>
      </c>
      <c r="L50" s="219">
        <f>'CBR Hist'!L53</f>
        <v>0</v>
      </c>
      <c r="M50" s="219">
        <f>'CBR Hist'!M53</f>
        <v>0</v>
      </c>
      <c r="N50" s="219">
        <f>'CBR Hist'!N53</f>
        <v>0</v>
      </c>
      <c r="O50" s="219">
        <f>'CBR Hist'!O53</f>
        <v>0</v>
      </c>
      <c r="P50" s="219">
        <f>'CBR Hist'!P53</f>
        <v>0</v>
      </c>
      <c r="Q50" s="219">
        <f>'CBR Hist'!Q53</f>
        <v>0</v>
      </c>
      <c r="R50" s="219">
        <f>'CBR Hist'!R53</f>
        <v>0</v>
      </c>
      <c r="S50" s="219">
        <f>'CBR Hist'!S53</f>
        <v>0</v>
      </c>
      <c r="T50" s="178"/>
      <c r="U50" s="40"/>
    </row>
    <row r="51" spans="1:21" ht="12.75" thickBot="1">
      <c r="A51" s="63">
        <v>31</v>
      </c>
      <c r="B51" s="40" t="s">
        <v>62</v>
      </c>
      <c r="F51" s="463">
        <f>F43-SUM(F46:F50)</f>
        <v>27317</v>
      </c>
      <c r="G51" s="463">
        <f t="shared" ref="G51:R51" si="14">G43-SUM(G46:G50)</f>
        <v>64507.354560008986</v>
      </c>
      <c r="H51" s="463">
        <f t="shared" si="14"/>
        <v>62115.506538557296</v>
      </c>
      <c r="I51" s="463">
        <f t="shared" si="14"/>
        <v>68288.619054480223</v>
      </c>
      <c r="J51" s="463">
        <f t="shared" si="14"/>
        <v>55448.254067891743</v>
      </c>
      <c r="K51" s="463">
        <f t="shared" si="14"/>
        <v>56107.523129622539</v>
      </c>
      <c r="L51" s="463">
        <f t="shared" si="14"/>
        <v>51307.480106379313</v>
      </c>
      <c r="M51" s="463">
        <f t="shared" si="14"/>
        <v>61693.483424999999</v>
      </c>
      <c r="N51" s="463">
        <f t="shared" si="14"/>
        <v>68967.120200000005</v>
      </c>
      <c r="O51" s="463">
        <f t="shared" si="14"/>
        <v>70077.549100000004</v>
      </c>
      <c r="P51" s="463">
        <f t="shared" si="14"/>
        <v>76864.970363199944</v>
      </c>
      <c r="Q51" s="463">
        <f t="shared" si="14"/>
        <v>74694.85639000003</v>
      </c>
      <c r="R51" s="463">
        <f t="shared" si="14"/>
        <v>82954.216226199962</v>
      </c>
      <c r="S51" s="463">
        <f t="shared" ref="S51" si="15">S43-SUM(S46:S50)</f>
        <v>92777</v>
      </c>
      <c r="T51" s="178"/>
    </row>
    <row r="52" spans="1:21" ht="12.75" thickTop="1">
      <c r="A52" s="63"/>
      <c r="F52" s="541"/>
      <c r="G52" s="541"/>
      <c r="H52" s="541"/>
      <c r="I52" s="541"/>
      <c r="J52" s="541"/>
      <c r="K52" s="541"/>
      <c r="L52" s="541"/>
      <c r="M52" s="541"/>
      <c r="N52" s="541"/>
      <c r="O52" s="541"/>
      <c r="P52" s="541"/>
      <c r="Q52" s="541"/>
      <c r="R52" s="541"/>
      <c r="S52" s="178"/>
      <c r="T52" s="178"/>
    </row>
    <row r="53" spans="1:21">
      <c r="A53" s="63"/>
      <c r="C53" s="545" t="s">
        <v>486</v>
      </c>
      <c r="F53" s="217"/>
      <c r="G53" s="217"/>
      <c r="H53" s="217"/>
      <c r="I53" s="217"/>
      <c r="J53" s="217"/>
      <c r="K53" s="217"/>
      <c r="L53" s="217"/>
      <c r="M53" s="217"/>
      <c r="N53" s="217"/>
      <c r="O53" s="217"/>
      <c r="P53" s="217"/>
      <c r="Q53" s="217"/>
      <c r="R53" s="217"/>
      <c r="S53" s="178"/>
      <c r="T53" s="178"/>
      <c r="U53" s="218"/>
    </row>
    <row r="54" spans="1:21" ht="24.6" customHeight="1">
      <c r="A54" s="774"/>
      <c r="B54" s="774"/>
      <c r="C54" s="774"/>
      <c r="D54" s="774"/>
      <c r="E54" s="774"/>
      <c r="F54" s="774"/>
      <c r="G54" s="774"/>
      <c r="H54" s="774"/>
      <c r="I54" s="774"/>
      <c r="J54" s="774"/>
      <c r="K54" s="774"/>
      <c r="L54" s="774"/>
      <c r="M54" s="774"/>
      <c r="N54" s="774"/>
      <c r="O54" s="774"/>
      <c r="P54" s="774"/>
      <c r="Q54" s="774"/>
      <c r="R54" s="774"/>
    </row>
    <row r="55" spans="1:21" ht="23.25" customHeight="1">
      <c r="A55" s="538" t="str">
        <f>A4</f>
        <v xml:space="preserve">AVISTA UTILITIES  </v>
      </c>
      <c r="E55" s="776" t="str">
        <f>E4</f>
        <v>Commission Basis Results of Operations</v>
      </c>
      <c r="F55" s="776"/>
      <c r="G55" s="776"/>
      <c r="H55" s="776"/>
      <c r="I55" s="776"/>
      <c r="J55" s="776"/>
      <c r="K55" s="776"/>
      <c r="L55" s="776"/>
      <c r="M55" s="776"/>
      <c r="N55" s="776"/>
      <c r="O55" s="776"/>
      <c r="P55" s="776"/>
      <c r="Q55" s="776"/>
      <c r="R55" s="776"/>
      <c r="S55" s="178"/>
      <c r="T55" s="178"/>
      <c r="U55" s="218"/>
    </row>
    <row r="56" spans="1:21">
      <c r="A56" s="538" t="str">
        <f>A5</f>
        <v>Twelve Months Ended December 31, 2013</v>
      </c>
      <c r="G56" s="217"/>
      <c r="H56" s="217"/>
      <c r="I56" s="217"/>
      <c r="J56" s="217"/>
      <c r="K56" s="217"/>
      <c r="L56" s="217"/>
      <c r="M56" s="217"/>
      <c r="N56" s="217"/>
      <c r="O56" s="217"/>
      <c r="P56" s="217"/>
      <c r="Q56" s="217"/>
      <c r="R56" s="217"/>
      <c r="S56" s="178"/>
      <c r="T56" s="178"/>
      <c r="U56" s="218"/>
    </row>
    <row r="57" spans="1:21">
      <c r="A57" s="538"/>
      <c r="G57" s="217"/>
      <c r="H57" s="217"/>
      <c r="I57" s="217"/>
      <c r="J57" s="217"/>
      <c r="K57" s="217"/>
      <c r="L57" s="217"/>
      <c r="M57" s="217"/>
      <c r="N57" s="217"/>
      <c r="O57" s="217"/>
      <c r="P57" s="217"/>
      <c r="Q57" s="217"/>
      <c r="R57" s="217"/>
      <c r="S57" s="178"/>
      <c r="T57" s="178"/>
      <c r="U57" s="218"/>
    </row>
    <row r="58" spans="1:21">
      <c r="A58" s="538" t="str">
        <f>A7</f>
        <v xml:space="preserve">(000'S OF DOLLARS)  </v>
      </c>
      <c r="F58" s="217"/>
      <c r="G58" s="217"/>
      <c r="H58" s="217"/>
      <c r="I58" s="217"/>
      <c r="J58" s="217"/>
      <c r="K58" s="217"/>
      <c r="L58" s="217"/>
      <c r="M58" s="217"/>
      <c r="N58" s="217"/>
      <c r="O58" s="217"/>
      <c r="P58" s="217"/>
      <c r="Q58" s="217"/>
      <c r="R58" s="217"/>
      <c r="S58" s="178"/>
      <c r="T58" s="178"/>
      <c r="U58" s="218"/>
    </row>
    <row r="59" spans="1:21">
      <c r="A59" s="63" t="s">
        <v>3</v>
      </c>
      <c r="F59" s="217">
        <f>F8</f>
        <v>2000</v>
      </c>
      <c r="G59" s="217">
        <f t="shared" ref="G59:R59" si="16">G8</f>
        <v>2001</v>
      </c>
      <c r="H59" s="217">
        <f t="shared" si="16"/>
        <v>2002</v>
      </c>
      <c r="I59" s="217">
        <f t="shared" si="16"/>
        <v>2003</v>
      </c>
      <c r="J59" s="217">
        <f t="shared" si="16"/>
        <v>2004</v>
      </c>
      <c r="K59" s="217">
        <f t="shared" si="16"/>
        <v>2005</v>
      </c>
      <c r="L59" s="217">
        <f t="shared" si="16"/>
        <v>2006</v>
      </c>
      <c r="M59" s="217">
        <f t="shared" si="16"/>
        <v>2007</v>
      </c>
      <c r="N59" s="217">
        <f t="shared" si="16"/>
        <v>2008</v>
      </c>
      <c r="O59" s="217">
        <f t="shared" si="16"/>
        <v>2009</v>
      </c>
      <c r="P59" s="217">
        <f t="shared" si="16"/>
        <v>2010</v>
      </c>
      <c r="Q59" s="217">
        <f t="shared" si="16"/>
        <v>2011</v>
      </c>
      <c r="R59" s="217">
        <f t="shared" si="16"/>
        <v>2012</v>
      </c>
      <c r="S59" s="217">
        <f t="shared" ref="S59" si="17">S8</f>
        <v>2013</v>
      </c>
      <c r="T59" s="178"/>
      <c r="U59" s="218"/>
    </row>
    <row r="60" spans="1:21">
      <c r="A60" s="63" t="s">
        <v>482</v>
      </c>
      <c r="B60" s="40" t="s">
        <v>61</v>
      </c>
      <c r="G60" s="41"/>
      <c r="H60" s="41"/>
      <c r="I60" s="41"/>
      <c r="J60" s="41"/>
      <c r="L60" s="41"/>
      <c r="M60" s="41"/>
      <c r="N60" s="41"/>
      <c r="O60" s="41"/>
      <c r="P60" s="41"/>
      <c r="Q60" s="41"/>
      <c r="R60" s="41"/>
      <c r="T60" s="178"/>
    </row>
    <row r="61" spans="1:21">
      <c r="A61" s="63"/>
      <c r="B61" s="40" t="s">
        <v>60</v>
      </c>
      <c r="G61" s="41"/>
      <c r="H61" s="41"/>
      <c r="I61" s="41"/>
      <c r="J61" s="41"/>
      <c r="L61" s="41"/>
      <c r="M61" s="41"/>
      <c r="N61" s="41"/>
      <c r="O61" s="41"/>
      <c r="P61" s="41"/>
      <c r="Q61" s="41"/>
      <c r="R61" s="41"/>
      <c r="T61" s="178"/>
    </row>
    <row r="62" spans="1:21">
      <c r="A62" s="63">
        <v>32</v>
      </c>
      <c r="C62" s="40" t="s">
        <v>59</v>
      </c>
      <c r="F62" s="220">
        <f>'Reg Amorts'!E52</f>
        <v>15127</v>
      </c>
      <c r="G62" s="220">
        <f>'Reg Amorts'!F52</f>
        <v>16340</v>
      </c>
      <c r="H62" s="220">
        <f>'Reg Amorts'!G52</f>
        <v>20910</v>
      </c>
      <c r="I62" s="220">
        <f>'Reg Amorts'!H52</f>
        <v>21299</v>
      </c>
      <c r="J62" s="220">
        <f>'Reg Amorts'!I52</f>
        <v>21374</v>
      </c>
      <c r="K62" s="220">
        <f>'Reg Amorts'!J52</f>
        <v>22459</v>
      </c>
      <c r="L62" s="220">
        <f>'Reg Amorts'!K52</f>
        <v>23458</v>
      </c>
      <c r="M62" s="220">
        <f>'Reg Amorts'!L52</f>
        <v>20632</v>
      </c>
      <c r="N62" s="220">
        <f>'Reg Amorts'!M52</f>
        <v>23321</v>
      </c>
      <c r="O62" s="220">
        <f>'Reg Amorts'!N52</f>
        <v>57116</v>
      </c>
      <c r="P62" s="220">
        <f>'Reg Amorts'!O52</f>
        <v>81955</v>
      </c>
      <c r="Q62" s="220">
        <f>'Reg Amorts'!P52</f>
        <v>84081</v>
      </c>
      <c r="R62" s="220">
        <f>'Reg Amorts'!Q52</f>
        <v>85247</v>
      </c>
      <c r="S62" s="220">
        <f>'Reg Amorts'!R52</f>
        <v>91466</v>
      </c>
      <c r="T62" s="178"/>
    </row>
    <row r="63" spans="1:21">
      <c r="A63" s="63">
        <v>33</v>
      </c>
      <c r="C63" s="40" t="s">
        <v>58</v>
      </c>
      <c r="F63" s="219">
        <f>'Reg Amorts'!E53-'Reg Amorts'!E103</f>
        <v>455498</v>
      </c>
      <c r="G63" s="219">
        <f>'Reg Amorts'!F53-'Reg Amorts'!F103</f>
        <v>460292</v>
      </c>
      <c r="H63" s="219">
        <f>'Reg Amorts'!G53-'Reg Amorts'!G103</f>
        <v>545002</v>
      </c>
      <c r="I63" s="219">
        <f>'Reg Amorts'!H53-'Reg Amorts'!H103</f>
        <v>556067</v>
      </c>
      <c r="J63" s="219">
        <f>'Reg Amorts'!I53-'Reg Amorts'!I103</f>
        <v>598268</v>
      </c>
      <c r="K63" s="219">
        <f>'Reg Amorts'!J53-'Reg Amorts'!J103</f>
        <v>615624</v>
      </c>
      <c r="L63" s="219">
        <f>'Reg Amorts'!K53-'Reg Amorts'!K103</f>
        <v>649965</v>
      </c>
      <c r="M63" s="219">
        <f>'Reg Amorts'!L53-'Reg Amorts'!L103</f>
        <v>645576</v>
      </c>
      <c r="N63" s="219">
        <f>'Reg Amorts'!M53-'Reg Amorts'!M103</f>
        <v>657099</v>
      </c>
      <c r="O63" s="219">
        <f>'Reg Amorts'!N53-'Reg Amorts'!N103</f>
        <v>677646</v>
      </c>
      <c r="P63" s="219">
        <f>'Reg Amorts'!O53-'Reg Amorts'!O103</f>
        <v>692689</v>
      </c>
      <c r="Q63" s="219">
        <f>'Reg Amorts'!P53</f>
        <v>706894</v>
      </c>
      <c r="R63" s="219">
        <f>'Reg Amorts'!Q53</f>
        <v>717448</v>
      </c>
      <c r="S63" s="219">
        <f>'Reg Amorts'!R53</f>
        <v>738315</v>
      </c>
      <c r="T63" s="178"/>
    </row>
    <row r="64" spans="1:21">
      <c r="A64" s="63">
        <v>34</v>
      </c>
      <c r="C64" s="40" t="s">
        <v>57</v>
      </c>
      <c r="F64" s="219">
        <f>'Reg Amorts'!E54</f>
        <v>181627</v>
      </c>
      <c r="G64" s="219">
        <f>'Reg Amorts'!F54</f>
        <v>191517</v>
      </c>
      <c r="H64" s="219">
        <f>'Reg Amorts'!G54</f>
        <v>186550</v>
      </c>
      <c r="I64" s="219">
        <f>'Reg Amorts'!H54</f>
        <v>196937</v>
      </c>
      <c r="J64" s="219">
        <f>'Reg Amorts'!I54</f>
        <v>213539</v>
      </c>
      <c r="K64" s="219">
        <f>'Reg Amorts'!J54</f>
        <v>224696</v>
      </c>
      <c r="L64" s="219">
        <f>'Reg Amorts'!K54</f>
        <v>244435</v>
      </c>
      <c r="M64" s="219">
        <f>'Reg Amorts'!L54</f>
        <v>259532</v>
      </c>
      <c r="N64" s="219">
        <f>'Reg Amorts'!M54</f>
        <v>289302</v>
      </c>
      <c r="O64" s="219">
        <f>'Reg Amorts'!N54</f>
        <v>301090</v>
      </c>
      <c r="P64" s="219">
        <f>'Reg Amorts'!O54</f>
        <v>312505</v>
      </c>
      <c r="Q64" s="219">
        <f>'Reg Amorts'!P54</f>
        <v>328012</v>
      </c>
      <c r="R64" s="219">
        <f>'Reg Amorts'!Q54</f>
        <v>342382</v>
      </c>
      <c r="S64" s="219">
        <f>'Reg Amorts'!R54</f>
        <v>359941</v>
      </c>
      <c r="T64" s="178"/>
    </row>
    <row r="65" spans="1:21">
      <c r="A65" s="63">
        <v>35</v>
      </c>
      <c r="C65" s="40" t="s">
        <v>56</v>
      </c>
      <c r="F65" s="219">
        <f>'Reg Amorts'!E55-'Reg Amorts'!E104</f>
        <v>398952</v>
      </c>
      <c r="G65" s="219">
        <f>'Reg Amorts'!F55-'Reg Amorts'!F104</f>
        <v>416914</v>
      </c>
      <c r="H65" s="219">
        <f>'Reg Amorts'!G55-'Reg Amorts'!G104</f>
        <v>429987</v>
      </c>
      <c r="I65" s="219">
        <f>'Reg Amorts'!H55-'Reg Amorts'!H104</f>
        <v>443649</v>
      </c>
      <c r="J65" s="219">
        <f>'Reg Amorts'!I55-'Reg Amorts'!I104</f>
        <v>459739</v>
      </c>
      <c r="K65" s="219">
        <f>'Reg Amorts'!J55-'Reg Amorts'!J104</f>
        <v>480886</v>
      </c>
      <c r="L65" s="219">
        <f>'Reg Amorts'!K55-'Reg Amorts'!K104</f>
        <v>502838</v>
      </c>
      <c r="M65" s="219">
        <f>'Reg Amorts'!L55-'Reg Amorts'!L104</f>
        <v>529067</v>
      </c>
      <c r="N65" s="219">
        <f>'Reg Amorts'!M55-'Reg Amorts'!M104</f>
        <v>561248</v>
      </c>
      <c r="O65" s="219">
        <f>'Reg Amorts'!N55-'Reg Amorts'!N104</f>
        <v>602201</v>
      </c>
      <c r="P65" s="219">
        <f>'Reg Amorts'!O55-'Reg Amorts'!O104</f>
        <v>642143</v>
      </c>
      <c r="Q65" s="219">
        <f>'Reg Amorts'!P55</f>
        <v>696082</v>
      </c>
      <c r="R65" s="219">
        <f>'Reg Amorts'!Q55</f>
        <v>743732</v>
      </c>
      <c r="S65" s="219">
        <f>'Reg Amorts'!R55</f>
        <v>796640</v>
      </c>
      <c r="T65" s="178"/>
    </row>
    <row r="66" spans="1:21">
      <c r="A66" s="63">
        <v>36</v>
      </c>
      <c r="C66" s="40" t="s">
        <v>55</v>
      </c>
      <c r="F66" s="219">
        <f>'Reg Amorts'!E56</f>
        <v>58402</v>
      </c>
      <c r="G66" s="219">
        <f>'Reg Amorts'!F56</f>
        <v>59846</v>
      </c>
      <c r="H66" s="219">
        <f>'Reg Amorts'!G56</f>
        <v>59771</v>
      </c>
      <c r="I66" s="219">
        <f>'Reg Amorts'!H56</f>
        <v>60444</v>
      </c>
      <c r="J66" s="219">
        <f>'Reg Amorts'!I56</f>
        <v>63155</v>
      </c>
      <c r="K66" s="219">
        <f>'Reg Amorts'!J56</f>
        <v>65299</v>
      </c>
      <c r="L66" s="219">
        <f>'Reg Amorts'!K56</f>
        <v>80110</v>
      </c>
      <c r="M66" s="219">
        <f>'Reg Amorts'!L56</f>
        <v>81368</v>
      </c>
      <c r="N66" s="219">
        <f>'Reg Amorts'!M56</f>
        <v>91205</v>
      </c>
      <c r="O66" s="219">
        <f>'Reg Amorts'!N56</f>
        <v>98727</v>
      </c>
      <c r="P66" s="219">
        <f>'Reg Amorts'!O56</f>
        <v>120996</v>
      </c>
      <c r="Q66" s="219">
        <f>'Reg Amorts'!P56</f>
        <v>140218</v>
      </c>
      <c r="R66" s="219">
        <f>'Reg Amorts'!Q56</f>
        <v>155104</v>
      </c>
      <c r="S66" s="219">
        <f>'Reg Amorts'!R56</f>
        <v>179134</v>
      </c>
    </row>
    <row r="67" spans="1:21">
      <c r="A67" s="63">
        <v>37</v>
      </c>
      <c r="B67" s="40" t="s">
        <v>54</v>
      </c>
      <c r="F67" s="462">
        <f>SUM(F62:F66)</f>
        <v>1109606</v>
      </c>
      <c r="G67" s="462">
        <f t="shared" ref="G67:R67" si="18">SUM(G62:G66)</f>
        <v>1144909</v>
      </c>
      <c r="H67" s="462">
        <f t="shared" si="18"/>
        <v>1242220</v>
      </c>
      <c r="I67" s="462">
        <f t="shared" si="18"/>
        <v>1278396</v>
      </c>
      <c r="J67" s="462">
        <f t="shared" si="18"/>
        <v>1356075</v>
      </c>
      <c r="K67" s="462">
        <f t="shared" si="18"/>
        <v>1408964</v>
      </c>
      <c r="L67" s="462">
        <f t="shared" si="18"/>
        <v>1500806</v>
      </c>
      <c r="M67" s="462">
        <f t="shared" si="18"/>
        <v>1536175</v>
      </c>
      <c r="N67" s="462">
        <f t="shared" si="18"/>
        <v>1622175</v>
      </c>
      <c r="O67" s="462">
        <f t="shared" si="18"/>
        <v>1736780</v>
      </c>
      <c r="P67" s="462">
        <f t="shared" si="18"/>
        <v>1850288</v>
      </c>
      <c r="Q67" s="462">
        <f t="shared" si="18"/>
        <v>1955287</v>
      </c>
      <c r="R67" s="462">
        <f t="shared" si="18"/>
        <v>2043913</v>
      </c>
      <c r="S67" s="462">
        <f t="shared" ref="S67" si="19">SUM(S62:S66)</f>
        <v>2165496</v>
      </c>
    </row>
    <row r="68" spans="1:21">
      <c r="A68" s="63"/>
      <c r="B68" s="40" t="s">
        <v>144</v>
      </c>
      <c r="G68" s="41"/>
      <c r="H68" s="41"/>
      <c r="I68" s="41"/>
      <c r="J68" s="41"/>
      <c r="L68" s="41"/>
      <c r="M68" s="41"/>
      <c r="N68" s="41"/>
      <c r="O68" s="41"/>
      <c r="P68" s="41"/>
      <c r="Q68" s="41"/>
      <c r="R68" s="41"/>
    </row>
    <row r="69" spans="1:21">
      <c r="A69" s="63">
        <v>38</v>
      </c>
      <c r="C69" s="40" t="s">
        <v>59</v>
      </c>
      <c r="F69" s="221" t="s">
        <v>284</v>
      </c>
      <c r="G69" s="221" t="s">
        <v>284</v>
      </c>
      <c r="H69" s="221" t="s">
        <v>284</v>
      </c>
      <c r="I69" s="221" t="s">
        <v>284</v>
      </c>
      <c r="J69" s="221" t="s">
        <v>284</v>
      </c>
      <c r="K69" s="221" t="s">
        <v>284</v>
      </c>
      <c r="L69" s="221" t="s">
        <v>284</v>
      </c>
      <c r="M69" s="221" t="s">
        <v>284</v>
      </c>
      <c r="N69" s="221" t="s">
        <v>284</v>
      </c>
      <c r="O69" s="221" t="s">
        <v>284</v>
      </c>
      <c r="P69" s="221" t="s">
        <v>284</v>
      </c>
      <c r="Q69" s="219">
        <f>'Reg Amorts'!P59</f>
        <v>3744</v>
      </c>
      <c r="R69" s="219">
        <f>'Reg Amorts'!Q59</f>
        <v>4369</v>
      </c>
      <c r="S69" s="219">
        <f>'Reg Amorts'!R59</f>
        <v>17667</v>
      </c>
    </row>
    <row r="70" spans="1:21" ht="12.75" customHeight="1">
      <c r="A70" s="63">
        <v>39</v>
      </c>
      <c r="C70" s="40" t="s">
        <v>58</v>
      </c>
      <c r="F70" s="221" t="s">
        <v>284</v>
      </c>
      <c r="G70" s="221" t="s">
        <v>284</v>
      </c>
      <c r="H70" s="221" t="s">
        <v>284</v>
      </c>
      <c r="I70" s="221" t="s">
        <v>284</v>
      </c>
      <c r="J70" s="221" t="s">
        <v>284</v>
      </c>
      <c r="K70" s="221" t="s">
        <v>284</v>
      </c>
      <c r="L70" s="221" t="s">
        <v>284</v>
      </c>
      <c r="M70" s="221" t="s">
        <v>284</v>
      </c>
      <c r="N70" s="221" t="s">
        <v>284</v>
      </c>
      <c r="O70" s="221" t="s">
        <v>284</v>
      </c>
      <c r="P70" s="221" t="s">
        <v>284</v>
      </c>
      <c r="Q70" s="219">
        <f>'Reg Amorts'!P60</f>
        <v>286300</v>
      </c>
      <c r="R70" s="219">
        <f>'Reg Amorts'!Q60</f>
        <v>300170</v>
      </c>
      <c r="S70" s="219">
        <f>'Reg Amorts'!R60</f>
        <v>314599</v>
      </c>
    </row>
    <row r="71" spans="1:21" ht="12.75" customHeight="1">
      <c r="A71" s="63">
        <v>40</v>
      </c>
      <c r="C71" s="40" t="s">
        <v>57</v>
      </c>
      <c r="F71" s="221" t="s">
        <v>284</v>
      </c>
      <c r="G71" s="221" t="s">
        <v>284</v>
      </c>
      <c r="H71" s="221" t="s">
        <v>284</v>
      </c>
      <c r="I71" s="221" t="s">
        <v>284</v>
      </c>
      <c r="J71" s="221" t="s">
        <v>284</v>
      </c>
      <c r="K71" s="221" t="s">
        <v>284</v>
      </c>
      <c r="L71" s="221" t="s">
        <v>284</v>
      </c>
      <c r="M71" s="221" t="s">
        <v>284</v>
      </c>
      <c r="N71" s="221" t="s">
        <v>284</v>
      </c>
      <c r="O71" s="221" t="s">
        <v>284</v>
      </c>
      <c r="P71" s="221" t="s">
        <v>284</v>
      </c>
      <c r="Q71" s="219">
        <f>'Reg Amorts'!P61</f>
        <v>111144</v>
      </c>
      <c r="R71" s="219">
        <f>'Reg Amorts'!Q61</f>
        <v>116316</v>
      </c>
      <c r="S71" s="219">
        <f>'Reg Amorts'!R61</f>
        <v>122308</v>
      </c>
    </row>
    <row r="72" spans="1:21" ht="12.75" customHeight="1">
      <c r="A72" s="63">
        <v>41</v>
      </c>
      <c r="C72" s="40" t="s">
        <v>56</v>
      </c>
      <c r="F72" s="221" t="s">
        <v>284</v>
      </c>
      <c r="G72" s="221" t="s">
        <v>284</v>
      </c>
      <c r="H72" s="221" t="s">
        <v>284</v>
      </c>
      <c r="I72" s="221" t="s">
        <v>284</v>
      </c>
      <c r="J72" s="221" t="s">
        <v>284</v>
      </c>
      <c r="K72" s="221" t="s">
        <v>284</v>
      </c>
      <c r="L72" s="221" t="s">
        <v>284</v>
      </c>
      <c r="M72" s="221" t="s">
        <v>284</v>
      </c>
      <c r="N72" s="221" t="s">
        <v>284</v>
      </c>
      <c r="O72" s="221" t="s">
        <v>284</v>
      </c>
      <c r="P72" s="221" t="s">
        <v>284</v>
      </c>
      <c r="Q72" s="219">
        <f>'Reg Amorts'!P62</f>
        <v>209101</v>
      </c>
      <c r="R72" s="219">
        <f>'Reg Amorts'!Q62</f>
        <v>221408</v>
      </c>
      <c r="S72" s="219">
        <f>'Reg Amorts'!R62</f>
        <v>236201</v>
      </c>
    </row>
    <row r="73" spans="1:21" ht="12.75" customHeight="1">
      <c r="A73" s="63">
        <v>42</v>
      </c>
      <c r="C73" s="40" t="s">
        <v>55</v>
      </c>
      <c r="F73" s="221" t="s">
        <v>284</v>
      </c>
      <c r="G73" s="221" t="s">
        <v>284</v>
      </c>
      <c r="H73" s="221" t="s">
        <v>284</v>
      </c>
      <c r="I73" s="221" t="s">
        <v>284</v>
      </c>
      <c r="J73" s="221" t="s">
        <v>284</v>
      </c>
      <c r="K73" s="221" t="s">
        <v>284</v>
      </c>
      <c r="L73" s="221" t="s">
        <v>284</v>
      </c>
      <c r="M73" s="221" t="s">
        <v>284</v>
      </c>
      <c r="N73" s="221" t="s">
        <v>284</v>
      </c>
      <c r="O73" s="221" t="s">
        <v>284</v>
      </c>
      <c r="P73" s="221" t="s">
        <v>284</v>
      </c>
      <c r="Q73" s="219">
        <f>'Reg Amorts'!P63</f>
        <v>56694</v>
      </c>
      <c r="R73" s="219">
        <f>'Reg Amorts'!Q63</f>
        <v>61871</v>
      </c>
      <c r="S73" s="219">
        <f>'Reg Amorts'!R63</f>
        <v>58357</v>
      </c>
    </row>
    <row r="74" spans="1:21" ht="12.75" customHeight="1">
      <c r="A74" s="63">
        <v>43</v>
      </c>
      <c r="B74" s="40" t="s">
        <v>145</v>
      </c>
      <c r="F74" s="219">
        <f>'Reg Amorts'!E64--'Reg Amorts'!E105</f>
        <v>354682</v>
      </c>
      <c r="G74" s="219">
        <f>'Reg Amorts'!F64--'Reg Amorts'!F105</f>
        <v>373090</v>
      </c>
      <c r="H74" s="219">
        <f>'Reg Amorts'!G64--'Reg Amorts'!G105</f>
        <v>391351</v>
      </c>
      <c r="I74" s="219">
        <f>'Reg Amorts'!H64--'Reg Amorts'!H105</f>
        <v>422390</v>
      </c>
      <c r="J74" s="219">
        <f>'Reg Amorts'!I64--'Reg Amorts'!I105</f>
        <v>447359</v>
      </c>
      <c r="K74" s="219">
        <f>'Reg Amorts'!J64--'Reg Amorts'!J105</f>
        <v>474906</v>
      </c>
      <c r="L74" s="219">
        <f>'Reg Amorts'!K64--'Reg Amorts'!K105</f>
        <v>506599</v>
      </c>
      <c r="M74" s="219">
        <f>'Reg Amorts'!L64--'Reg Amorts'!L105</f>
        <v>526307</v>
      </c>
      <c r="N74" s="219">
        <f>'Reg Amorts'!M64--'Reg Amorts'!M105</f>
        <v>557426</v>
      </c>
      <c r="O74" s="219">
        <f>'Reg Amorts'!N64--'Reg Amorts'!N105</f>
        <v>585821</v>
      </c>
      <c r="P74" s="219">
        <f>'Reg Amorts'!O64--'Reg Amorts'!O105</f>
        <v>629399</v>
      </c>
      <c r="Q74" s="219">
        <f>SUM(Q69:Q73)</f>
        <v>666983</v>
      </c>
      <c r="R74" s="219">
        <f>SUM(R69:R73)</f>
        <v>704134</v>
      </c>
      <c r="S74" s="219">
        <f>SUM(S69:S73)</f>
        <v>749132</v>
      </c>
    </row>
    <row r="75" spans="1:21" ht="12.75" customHeight="1">
      <c r="A75" s="63">
        <v>44</v>
      </c>
      <c r="B75" s="40" t="s">
        <v>146</v>
      </c>
      <c r="F75" s="461">
        <f t="shared" ref="F75:R75" si="20">F67-F74</f>
        <v>754924</v>
      </c>
      <c r="G75" s="461">
        <f t="shared" si="20"/>
        <v>771819</v>
      </c>
      <c r="H75" s="461">
        <f t="shared" si="20"/>
        <v>850869</v>
      </c>
      <c r="I75" s="461">
        <f t="shared" si="20"/>
        <v>856006</v>
      </c>
      <c r="J75" s="461">
        <f t="shared" si="20"/>
        <v>908716</v>
      </c>
      <c r="K75" s="461">
        <f t="shared" si="20"/>
        <v>934058</v>
      </c>
      <c r="L75" s="461">
        <f t="shared" si="20"/>
        <v>994207</v>
      </c>
      <c r="M75" s="461">
        <f t="shared" si="20"/>
        <v>1009868</v>
      </c>
      <c r="N75" s="461">
        <f t="shared" si="20"/>
        <v>1064749</v>
      </c>
      <c r="O75" s="461">
        <f t="shared" si="20"/>
        <v>1150959</v>
      </c>
      <c r="P75" s="461">
        <f t="shared" si="20"/>
        <v>1220889</v>
      </c>
      <c r="Q75" s="461">
        <f>Q67-Q74</f>
        <v>1288304</v>
      </c>
      <c r="R75" s="461">
        <f t="shared" si="20"/>
        <v>1339779</v>
      </c>
      <c r="S75" s="461">
        <f t="shared" ref="S75" si="21">S67-S74</f>
        <v>1416364</v>
      </c>
      <c r="U75" s="40" t="s">
        <v>537</v>
      </c>
    </row>
    <row r="76" spans="1:21">
      <c r="A76" s="63"/>
      <c r="F76" s="219"/>
      <c r="G76" s="219"/>
      <c r="H76" s="219"/>
      <c r="I76" s="219"/>
      <c r="J76" s="219"/>
      <c r="K76" s="219"/>
      <c r="L76" s="219"/>
      <c r="M76" s="219"/>
      <c r="N76" s="219"/>
      <c r="O76" s="219"/>
      <c r="P76" s="219"/>
      <c r="Q76" s="219"/>
      <c r="R76" s="219"/>
      <c r="S76" s="219"/>
    </row>
    <row r="77" spans="1:21">
      <c r="A77" s="63">
        <v>45</v>
      </c>
      <c r="B77" s="40" t="s">
        <v>52</v>
      </c>
      <c r="F77" s="44">
        <f>'Reg Amorts'!E67-'Reg Amorts'!E106</f>
        <v>-105775</v>
      </c>
      <c r="G77" s="44">
        <f>'Reg Amorts'!F67-'Reg Amorts'!F106</f>
        <v>-109541</v>
      </c>
      <c r="H77" s="44">
        <f>'Reg Amorts'!G67-'Reg Amorts'!G106</f>
        <v>-111367</v>
      </c>
      <c r="I77" s="44">
        <f>'Reg Amorts'!H67-'Reg Amorts'!H106</f>
        <v>-135404</v>
      </c>
      <c r="J77" s="44">
        <f>'Reg Amorts'!I67-'Reg Amorts'!I106</f>
        <v>-150960</v>
      </c>
      <c r="K77" s="44">
        <f>'Reg Amorts'!J67-'Reg Amorts'!J106</f>
        <v>-134967</v>
      </c>
      <c r="L77" s="44">
        <f>'Reg Amorts'!K67-'Reg Amorts'!K106</f>
        <v>-138495</v>
      </c>
      <c r="M77" s="44">
        <f>'Reg Amorts'!L67-'Reg Amorts'!L106</f>
        <v>-139033</v>
      </c>
      <c r="N77" s="44">
        <f>'Reg Amorts'!M67-'Reg Amorts'!M106</f>
        <v>-147502</v>
      </c>
      <c r="O77" s="44">
        <f>'Reg Amorts'!N67-'Reg Amorts'!N106</f>
        <v>-163716</v>
      </c>
      <c r="P77" s="44">
        <f>'Reg Amorts'!O67-'Reg Amorts'!O106</f>
        <v>-184825</v>
      </c>
      <c r="Q77" s="44">
        <f>'Reg Amorts'!P67</f>
        <v>-201163</v>
      </c>
      <c r="R77" s="44">
        <f>'Reg Amorts'!Q67</f>
        <v>-208209</v>
      </c>
      <c r="S77" s="44">
        <f>'Reg Amorts'!R67</f>
        <v>-221354</v>
      </c>
    </row>
    <row r="78" spans="1:21">
      <c r="A78" s="63">
        <v>46</v>
      </c>
      <c r="C78" s="390" t="s">
        <v>299</v>
      </c>
      <c r="D78" s="390"/>
      <c r="E78" s="390"/>
      <c r="F78" s="464">
        <f t="shared" ref="F78:P78" si="22">F75+F77</f>
        <v>649149</v>
      </c>
      <c r="G78" s="464">
        <f t="shared" si="22"/>
        <v>662278</v>
      </c>
      <c r="H78" s="464">
        <f t="shared" si="22"/>
        <v>739502</v>
      </c>
      <c r="I78" s="464">
        <f t="shared" si="22"/>
        <v>720602</v>
      </c>
      <c r="J78" s="464">
        <f t="shared" si="22"/>
        <v>757756</v>
      </c>
      <c r="K78" s="464">
        <f t="shared" si="22"/>
        <v>799091</v>
      </c>
      <c r="L78" s="464">
        <f t="shared" si="22"/>
        <v>855712</v>
      </c>
      <c r="M78" s="464">
        <f t="shared" si="22"/>
        <v>870835</v>
      </c>
      <c r="N78" s="464">
        <f t="shared" si="22"/>
        <v>917247</v>
      </c>
      <c r="O78" s="464">
        <f t="shared" si="22"/>
        <v>987243</v>
      </c>
      <c r="P78" s="464">
        <f t="shared" si="22"/>
        <v>1036064</v>
      </c>
      <c r="Q78" s="464">
        <f>Q75+Q77</f>
        <v>1087141</v>
      </c>
      <c r="R78" s="464">
        <f>R75+R77</f>
        <v>1131570</v>
      </c>
      <c r="S78" s="464">
        <f>S75+S77</f>
        <v>1195010</v>
      </c>
    </row>
    <row r="79" spans="1:21">
      <c r="A79" s="63">
        <v>47</v>
      </c>
      <c r="B79" s="40" t="s">
        <v>148</v>
      </c>
      <c r="F79" s="219">
        <f>'Reg Amorts'!E102</f>
        <v>-80657</v>
      </c>
      <c r="G79" s="219">
        <f>'Reg Amorts'!F102</f>
        <v>-64763</v>
      </c>
      <c r="H79" s="219">
        <f>'Reg Amorts'!G102</f>
        <v>22356</v>
      </c>
      <c r="I79" s="219">
        <f>'Reg Amorts'!H102</f>
        <v>21841</v>
      </c>
      <c r="J79" s="219">
        <f>'Reg Amorts'!I102</f>
        <v>20255</v>
      </c>
      <c r="K79" s="219">
        <f>'Reg Amorts'!J102</f>
        <v>20751</v>
      </c>
      <c r="L79" s="219">
        <f>'Reg Amorts'!K102</f>
        <v>18799</v>
      </c>
      <c r="M79" s="219">
        <f>'Reg Amorts'!L102</f>
        <v>21020</v>
      </c>
      <c r="N79" s="219">
        <f>'Reg Amorts'!M102</f>
        <v>19593</v>
      </c>
      <c r="O79" s="219">
        <f>'Reg Amorts'!N102</f>
        <v>17776</v>
      </c>
      <c r="P79" s="219">
        <f>'Reg Amorts'!O102</f>
        <v>17776</v>
      </c>
      <c r="Q79" s="219">
        <f>'Reg Amorts'!P102</f>
        <v>18845</v>
      </c>
      <c r="R79" s="219">
        <f>'Reg Amorts'!Q102</f>
        <v>16438</v>
      </c>
      <c r="S79" s="219">
        <f>'Reg Amorts'!R102</f>
        <v>14761</v>
      </c>
    </row>
    <row r="80" spans="1:21">
      <c r="A80" s="63">
        <v>48</v>
      </c>
      <c r="B80" s="40" t="s">
        <v>53</v>
      </c>
      <c r="F80" s="219">
        <f>'Reg Amorts'!E70</f>
        <v>0</v>
      </c>
      <c r="G80" s="219">
        <f>'Reg Amorts'!F70</f>
        <v>0</v>
      </c>
      <c r="H80" s="219">
        <f>'Reg Amorts'!G70</f>
        <v>0</v>
      </c>
      <c r="I80" s="219">
        <f>'Reg Amorts'!H70</f>
        <v>0</v>
      </c>
      <c r="J80" s="219">
        <f>'Reg Amorts'!I70</f>
        <v>0</v>
      </c>
      <c r="K80" s="219">
        <f>'Reg Amorts'!J70</f>
        <v>0</v>
      </c>
      <c r="L80" s="219">
        <f>'Reg Amorts'!K70</f>
        <v>0</v>
      </c>
      <c r="M80" s="219">
        <f>'Reg Amorts'!L70</f>
        <v>0</v>
      </c>
      <c r="N80" s="219">
        <f>'Reg Amorts'!M70</f>
        <v>0</v>
      </c>
      <c r="O80" s="219">
        <f>'Reg Amorts'!N70</f>
        <v>0</v>
      </c>
      <c r="P80" s="219">
        <f>'Reg Amorts'!O70</f>
        <v>18188</v>
      </c>
      <c r="Q80" s="219">
        <f>'Reg Amorts'!P70+'Reg Amorts'!P110</f>
        <v>31877</v>
      </c>
      <c r="R80" s="219">
        <f>'Reg Amorts'!Q70</f>
        <v>10967</v>
      </c>
      <c r="S80" s="219">
        <f>'Reg Amorts'!R70</f>
        <v>16281</v>
      </c>
    </row>
    <row r="81" spans="1:19">
      <c r="A81" s="63"/>
      <c r="G81" s="41"/>
      <c r="H81" s="41"/>
      <c r="I81" s="41"/>
      <c r="J81" s="41"/>
      <c r="L81" s="41"/>
      <c r="M81" s="41"/>
      <c r="N81" s="41"/>
      <c r="O81" s="41"/>
      <c r="P81" s="41"/>
      <c r="Q81" s="219"/>
      <c r="R81" s="219"/>
      <c r="S81" s="219"/>
    </row>
    <row r="82" spans="1:19" ht="12.75" thickBot="1">
      <c r="A82" s="63">
        <v>49</v>
      </c>
      <c r="B82" s="40" t="s">
        <v>51</v>
      </c>
      <c r="F82" s="463">
        <f>'CBR Hist'!F78</f>
        <v>568492</v>
      </c>
      <c r="G82" s="463">
        <f>'CBR Hist'!G78</f>
        <v>597515</v>
      </c>
      <c r="H82" s="463">
        <f>'CBR Hist'!H78</f>
        <v>761858</v>
      </c>
      <c r="I82" s="463">
        <f>'CBR Hist'!I78</f>
        <v>742443</v>
      </c>
      <c r="J82" s="463">
        <f>'CBR Hist'!J78</f>
        <v>778011</v>
      </c>
      <c r="K82" s="463">
        <f>'CBR Hist'!K78</f>
        <v>819842</v>
      </c>
      <c r="L82" s="463">
        <f>'CBR Hist'!L78</f>
        <v>874511</v>
      </c>
      <c r="M82" s="463">
        <f>'CBR Hist'!M78</f>
        <v>891855</v>
      </c>
      <c r="N82" s="463">
        <f>'CBR Hist'!N78</f>
        <v>936840</v>
      </c>
      <c r="O82" s="463">
        <f>'CBR Hist'!O78</f>
        <v>1005019</v>
      </c>
      <c r="P82" s="463">
        <f>'CBR Hist'!P78</f>
        <v>1072028</v>
      </c>
      <c r="Q82" s="463">
        <f>'CBR Hist'!Q78</f>
        <v>1137863</v>
      </c>
      <c r="R82" s="463">
        <f>'CBR Hist'!R78</f>
        <v>1158975</v>
      </c>
      <c r="S82" s="463">
        <f>'CBR Hist'!S78</f>
        <v>1226052</v>
      </c>
    </row>
    <row r="83" spans="1:19" ht="12.75" thickTop="1">
      <c r="A83" s="63"/>
      <c r="F83" s="541">
        <f>F78+F79+F80-F82</f>
        <v>0</v>
      </c>
      <c r="G83" s="541">
        <f t="shared" ref="G83:P83" si="23">G78+G79+G80-G82</f>
        <v>0</v>
      </c>
      <c r="H83" s="541">
        <f t="shared" si="23"/>
        <v>0</v>
      </c>
      <c r="I83" s="541">
        <f t="shared" si="23"/>
        <v>0</v>
      </c>
      <c r="J83" s="541">
        <f t="shared" si="23"/>
        <v>0</v>
      </c>
      <c r="K83" s="541">
        <f t="shared" si="23"/>
        <v>0</v>
      </c>
      <c r="L83" s="541">
        <f t="shared" si="23"/>
        <v>0</v>
      </c>
      <c r="M83" s="541">
        <f t="shared" si="23"/>
        <v>0</v>
      </c>
      <c r="N83" s="541">
        <f t="shared" si="23"/>
        <v>0</v>
      </c>
      <c r="O83" s="541">
        <f t="shared" si="23"/>
        <v>0</v>
      </c>
      <c r="P83" s="541">
        <f t="shared" si="23"/>
        <v>0</v>
      </c>
      <c r="Q83" s="541">
        <f>Q78+Q79+Q80-Q82</f>
        <v>0</v>
      </c>
      <c r="R83" s="541">
        <f t="shared" ref="R83:S83" si="24">R78+R79+R80-R82</f>
        <v>0</v>
      </c>
      <c r="S83" s="541">
        <f t="shared" si="24"/>
        <v>0</v>
      </c>
    </row>
    <row r="84" spans="1:19">
      <c r="A84" s="63"/>
      <c r="C84" s="545" t="s">
        <v>485</v>
      </c>
      <c r="F84" s="541"/>
      <c r="G84" s="541"/>
      <c r="H84" s="541"/>
      <c r="I84" s="541"/>
      <c r="J84" s="541"/>
      <c r="K84" s="541"/>
      <c r="L84" s="541"/>
      <c r="M84" s="541"/>
      <c r="N84" s="541"/>
      <c r="O84" s="541"/>
      <c r="P84" s="541"/>
      <c r="Q84" s="541"/>
      <c r="R84" s="541"/>
      <c r="S84" s="178"/>
    </row>
    <row r="85" spans="1:19">
      <c r="A85" s="555" t="s">
        <v>94</v>
      </c>
      <c r="B85" s="545"/>
      <c r="C85" s="545"/>
      <c r="F85" s="541"/>
      <c r="G85" s="541"/>
      <c r="H85" s="541"/>
      <c r="I85" s="541"/>
      <c r="J85" s="541"/>
      <c r="K85" s="541"/>
      <c r="L85" s="541"/>
      <c r="M85" s="541"/>
      <c r="N85" s="541"/>
      <c r="O85" s="541"/>
      <c r="P85" s="541"/>
      <c r="Q85" s="541"/>
      <c r="R85" s="541"/>
      <c r="S85" s="178"/>
    </row>
    <row r="86" spans="1:19">
      <c r="A86" s="555" t="s">
        <v>136</v>
      </c>
      <c r="B86" s="545"/>
      <c r="C86" s="545"/>
      <c r="F86" s="541"/>
      <c r="G86" s="541"/>
      <c r="H86" s="541"/>
      <c r="I86" s="541"/>
      <c r="J86" s="541"/>
      <c r="K86" s="541"/>
      <c r="L86" s="541"/>
      <c r="M86" s="541"/>
      <c r="N86" s="541"/>
      <c r="O86" s="541"/>
      <c r="P86" s="541"/>
      <c r="Q86" s="541"/>
      <c r="R86" s="541"/>
      <c r="S86" s="178"/>
    </row>
    <row r="87" spans="1:19" ht="4.5" customHeight="1">
      <c r="A87" s="63"/>
      <c r="C87" s="545"/>
      <c r="F87" s="541"/>
      <c r="G87" s="541"/>
      <c r="H87" s="541"/>
      <c r="I87" s="541"/>
      <c r="J87" s="541"/>
      <c r="K87" s="541"/>
      <c r="L87" s="541"/>
      <c r="M87" s="541"/>
      <c r="N87" s="541"/>
      <c r="O87" s="541"/>
      <c r="P87" s="541"/>
      <c r="Q87" s="541"/>
      <c r="R87" s="541"/>
      <c r="S87" s="178"/>
    </row>
    <row r="88" spans="1:19" ht="15.75">
      <c r="A88" s="556" t="str">
        <f>A58</f>
        <v xml:space="preserve">(000'S OF DOLLARS)  </v>
      </c>
      <c r="E88" s="771" t="s">
        <v>521</v>
      </c>
      <c r="F88" s="771"/>
      <c r="G88" s="771"/>
      <c r="H88" s="771"/>
      <c r="I88" s="771"/>
      <c r="J88" s="771"/>
      <c r="K88" s="771"/>
      <c r="L88" s="771"/>
      <c r="M88" s="771"/>
      <c r="N88" s="771"/>
      <c r="O88" s="771"/>
      <c r="P88" s="771"/>
      <c r="Q88" s="771"/>
      <c r="R88" s="771"/>
      <c r="S88" s="178"/>
    </row>
    <row r="89" spans="1:19" ht="3" customHeight="1">
      <c r="A89" s="63"/>
      <c r="F89" s="534"/>
      <c r="G89" s="534"/>
      <c r="H89" s="534"/>
      <c r="I89" s="534"/>
      <c r="J89" s="534"/>
      <c r="K89" s="534"/>
      <c r="L89" s="534"/>
      <c r="M89" s="534"/>
      <c r="N89" s="534"/>
      <c r="O89" s="534"/>
      <c r="P89" s="534"/>
      <c r="Q89" s="534"/>
      <c r="R89" s="534"/>
      <c r="S89" s="178"/>
    </row>
    <row r="90" spans="1:19" ht="12" customHeight="1">
      <c r="A90" s="63"/>
      <c r="F90" s="217">
        <f>F8</f>
        <v>2000</v>
      </c>
      <c r="G90" s="217">
        <f t="shared" ref="G90:R90" si="25">G8</f>
        <v>2001</v>
      </c>
      <c r="H90" s="217">
        <f t="shared" si="25"/>
        <v>2002</v>
      </c>
      <c r="I90" s="217">
        <f t="shared" si="25"/>
        <v>2003</v>
      </c>
      <c r="J90" s="217">
        <f t="shared" si="25"/>
        <v>2004</v>
      </c>
      <c r="K90" s="217">
        <f t="shared" si="25"/>
        <v>2005</v>
      </c>
      <c r="L90" s="217">
        <f t="shared" si="25"/>
        <v>2006</v>
      </c>
      <c r="M90" s="217">
        <f t="shared" si="25"/>
        <v>2007</v>
      </c>
      <c r="N90" s="217">
        <f t="shared" si="25"/>
        <v>2008</v>
      </c>
      <c r="O90" s="217">
        <f t="shared" si="25"/>
        <v>2009</v>
      </c>
      <c r="P90" s="217">
        <f t="shared" si="25"/>
        <v>2010</v>
      </c>
      <c r="Q90" s="217">
        <f t="shared" si="25"/>
        <v>2011</v>
      </c>
      <c r="R90" s="217">
        <f t="shared" si="25"/>
        <v>2012</v>
      </c>
      <c r="S90" s="217">
        <f t="shared" ref="S90" si="26">S8</f>
        <v>2013</v>
      </c>
    </row>
    <row r="91" spans="1:19" ht="25.9" customHeight="1">
      <c r="A91" s="604" t="s">
        <v>528</v>
      </c>
      <c r="D91" s="40" t="s">
        <v>483</v>
      </c>
      <c r="F91" s="534"/>
      <c r="G91" s="534"/>
      <c r="H91" s="534"/>
      <c r="I91" s="534"/>
      <c r="J91" s="534"/>
      <c r="K91" s="534"/>
      <c r="L91" s="534"/>
      <c r="M91" s="534"/>
      <c r="N91" s="534"/>
      <c r="O91" s="534"/>
      <c r="P91" s="534"/>
      <c r="Q91" s="534"/>
      <c r="R91" s="534"/>
      <c r="S91" s="611"/>
    </row>
    <row r="92" spans="1:19" ht="12" customHeight="1">
      <c r="A92" s="63">
        <v>1</v>
      </c>
      <c r="B92" s="40" t="s">
        <v>444</v>
      </c>
      <c r="E92" s="376" t="s">
        <v>460</v>
      </c>
      <c r="F92" s="219">
        <f>F19</f>
        <v>78721</v>
      </c>
      <c r="G92" s="219">
        <f t="shared" ref="G92:R92" si="27">G19</f>
        <v>47157</v>
      </c>
      <c r="H92" s="219">
        <f t="shared" si="27"/>
        <v>101475</v>
      </c>
      <c r="I92" s="219">
        <f t="shared" si="27"/>
        <v>132098</v>
      </c>
      <c r="J92" s="219">
        <f t="shared" si="27"/>
        <v>101545</v>
      </c>
      <c r="K92" s="219">
        <f t="shared" si="27"/>
        <v>105374</v>
      </c>
      <c r="L92" s="219">
        <f t="shared" si="27"/>
        <v>104260</v>
      </c>
      <c r="M92" s="219">
        <f t="shared" si="27"/>
        <v>102890</v>
      </c>
      <c r="N92" s="219">
        <f t="shared" si="27"/>
        <v>117123</v>
      </c>
      <c r="O92" s="219">
        <f t="shared" si="27"/>
        <v>87599</v>
      </c>
      <c r="P92" s="219">
        <f t="shared" si="27"/>
        <v>147107</v>
      </c>
      <c r="Q92" s="219">
        <f t="shared" si="27"/>
        <v>145634</v>
      </c>
      <c r="R92" s="219">
        <f t="shared" si="27"/>
        <v>131795</v>
      </c>
      <c r="S92" s="219">
        <f>S19</f>
        <v>143904</v>
      </c>
    </row>
    <row r="93" spans="1:19" ht="12" customHeight="1">
      <c r="A93" s="63">
        <v>2</v>
      </c>
      <c r="B93" s="40" t="s">
        <v>445</v>
      </c>
      <c r="E93" s="376" t="s">
        <v>461</v>
      </c>
      <c r="F93" s="219">
        <f>F20</f>
        <v>181189</v>
      </c>
      <c r="G93" s="219">
        <f t="shared" ref="G93:R93" si="28">G20</f>
        <v>132159</v>
      </c>
      <c r="H93" s="219">
        <f t="shared" si="28"/>
        <v>50769</v>
      </c>
      <c r="I93" s="219">
        <f t="shared" si="28"/>
        <v>46591</v>
      </c>
      <c r="J93" s="219">
        <f t="shared" si="28"/>
        <v>51042</v>
      </c>
      <c r="K93" s="219">
        <f t="shared" si="28"/>
        <v>55046</v>
      </c>
      <c r="L93" s="219">
        <f t="shared" si="28"/>
        <v>79146</v>
      </c>
      <c r="M93" s="219">
        <f t="shared" si="28"/>
        <v>65640</v>
      </c>
      <c r="N93" s="219">
        <f t="shared" si="28"/>
        <v>72508</v>
      </c>
      <c r="O93" s="219">
        <f t="shared" si="28"/>
        <v>104869</v>
      </c>
      <c r="P93" s="219">
        <f t="shared" si="28"/>
        <v>142197</v>
      </c>
      <c r="Q93" s="219">
        <f t="shared" si="28"/>
        <v>91142</v>
      </c>
      <c r="R93" s="219">
        <f t="shared" si="28"/>
        <v>101283</v>
      </c>
      <c r="S93" s="219">
        <f t="shared" ref="S93" si="29">S20</f>
        <v>109034</v>
      </c>
    </row>
    <row r="94" spans="1:19" ht="12" customHeight="1">
      <c r="A94" s="63">
        <v>3</v>
      </c>
      <c r="B94" s="40" t="s">
        <v>446</v>
      </c>
      <c r="E94" s="376" t="s">
        <v>462</v>
      </c>
      <c r="F94" s="219">
        <f>F27</f>
        <v>9418</v>
      </c>
      <c r="G94" s="219">
        <f t="shared" ref="G94:R94" si="30">G27</f>
        <v>10560</v>
      </c>
      <c r="H94" s="219">
        <f t="shared" si="30"/>
        <v>9631</v>
      </c>
      <c r="I94" s="219">
        <f t="shared" si="30"/>
        <v>10171</v>
      </c>
      <c r="J94" s="219">
        <f t="shared" si="30"/>
        <v>12016</v>
      </c>
      <c r="K94" s="219">
        <f t="shared" si="30"/>
        <v>14263</v>
      </c>
      <c r="L94" s="219">
        <f t="shared" si="30"/>
        <v>15485</v>
      </c>
      <c r="M94" s="219">
        <f t="shared" si="30"/>
        <v>14563</v>
      </c>
      <c r="N94" s="219">
        <f t="shared" si="30"/>
        <v>17329</v>
      </c>
      <c r="O94" s="219">
        <f t="shared" si="30"/>
        <v>17267</v>
      </c>
      <c r="P94" s="219">
        <f t="shared" si="30"/>
        <v>18354</v>
      </c>
      <c r="Q94" s="219">
        <f t="shared" si="30"/>
        <v>19081</v>
      </c>
      <c r="R94" s="219">
        <f t="shared" si="30"/>
        <v>21152</v>
      </c>
      <c r="S94" s="219">
        <f t="shared" ref="S94" si="31">S27</f>
        <v>20878</v>
      </c>
    </row>
    <row r="95" spans="1:19" ht="12" customHeight="1">
      <c r="A95" s="63">
        <v>4</v>
      </c>
      <c r="B95" s="40" t="s">
        <v>447</v>
      </c>
      <c r="E95" s="376" t="s">
        <v>463</v>
      </c>
      <c r="F95" s="219">
        <f>F32</f>
        <v>5768</v>
      </c>
      <c r="G95" s="219">
        <f t="shared" ref="G95:R95" si="32">G32</f>
        <v>6196</v>
      </c>
      <c r="H95" s="219">
        <f t="shared" si="32"/>
        <v>7113</v>
      </c>
      <c r="I95" s="219">
        <f t="shared" si="32"/>
        <v>7129</v>
      </c>
      <c r="J95" s="219">
        <f t="shared" si="32"/>
        <v>7352</v>
      </c>
      <c r="K95" s="219">
        <f t="shared" si="32"/>
        <v>7156</v>
      </c>
      <c r="L95" s="219">
        <f t="shared" si="32"/>
        <v>7097</v>
      </c>
      <c r="M95" s="219">
        <f t="shared" si="32"/>
        <v>7514</v>
      </c>
      <c r="N95" s="219">
        <f t="shared" si="32"/>
        <v>7919</v>
      </c>
      <c r="O95" s="219">
        <f t="shared" si="32"/>
        <v>9646</v>
      </c>
      <c r="P95" s="219">
        <f t="shared" si="32"/>
        <v>9261</v>
      </c>
      <c r="Q95" s="219">
        <f t="shared" si="32"/>
        <v>10274.701588</v>
      </c>
      <c r="R95" s="219">
        <f t="shared" si="32"/>
        <v>10335.791302</v>
      </c>
      <c r="S95" s="219">
        <f t="shared" ref="S95" si="33">S32</f>
        <v>11334</v>
      </c>
    </row>
    <row r="96" spans="1:19" ht="12" customHeight="1">
      <c r="A96" s="63">
        <v>5</v>
      </c>
      <c r="B96" s="40" t="s">
        <v>448</v>
      </c>
      <c r="E96" s="376" t="s">
        <v>464</v>
      </c>
      <c r="F96" s="219">
        <f>F33</f>
        <v>5704</v>
      </c>
      <c r="G96" s="219">
        <f t="shared" ref="G96:R96" si="34">G33</f>
        <v>5381</v>
      </c>
      <c r="H96" s="219">
        <f t="shared" si="34"/>
        <v>6261</v>
      </c>
      <c r="I96" s="219">
        <f t="shared" si="34"/>
        <v>6620</v>
      </c>
      <c r="J96" s="219">
        <f t="shared" si="34"/>
        <v>266</v>
      </c>
      <c r="K96" s="219">
        <f t="shared" si="34"/>
        <v>7127</v>
      </c>
      <c r="L96" s="219">
        <f t="shared" si="34"/>
        <v>1159</v>
      </c>
      <c r="M96" s="219">
        <f t="shared" si="34"/>
        <v>7472</v>
      </c>
      <c r="N96" s="219">
        <f t="shared" si="34"/>
        <v>12847</v>
      </c>
      <c r="O96" s="219">
        <f t="shared" si="34"/>
        <v>19736</v>
      </c>
      <c r="P96" s="219">
        <f t="shared" si="34"/>
        <v>20832</v>
      </c>
      <c r="Q96" s="219">
        <f t="shared" si="34"/>
        <v>21292</v>
      </c>
      <c r="R96" s="219">
        <f t="shared" si="34"/>
        <v>18487</v>
      </c>
      <c r="S96" s="219">
        <f t="shared" ref="S96" si="35">S33</f>
        <v>1516</v>
      </c>
    </row>
    <row r="97" spans="1:19" ht="12" customHeight="1">
      <c r="A97" s="63">
        <v>6</v>
      </c>
      <c r="B97" s="40" t="s">
        <v>449</v>
      </c>
      <c r="E97" s="376" t="s">
        <v>465</v>
      </c>
      <c r="F97" s="219">
        <f>F34</f>
        <v>1071</v>
      </c>
      <c r="G97" s="219">
        <f t="shared" ref="G97:R97" si="36">G34</f>
        <v>734</v>
      </c>
      <c r="H97" s="219">
        <f t="shared" si="36"/>
        <v>628</v>
      </c>
      <c r="I97" s="219">
        <f t="shared" si="36"/>
        <v>734</v>
      </c>
      <c r="J97" s="219">
        <f t="shared" si="36"/>
        <v>686</v>
      </c>
      <c r="K97" s="219">
        <f t="shared" si="36"/>
        <v>430</v>
      </c>
      <c r="L97" s="219">
        <f t="shared" si="36"/>
        <v>657</v>
      </c>
      <c r="M97" s="219">
        <f t="shared" si="36"/>
        <v>682</v>
      </c>
      <c r="N97" s="219">
        <f t="shared" si="36"/>
        <v>571</v>
      </c>
      <c r="O97" s="219">
        <f t="shared" si="36"/>
        <v>660</v>
      </c>
      <c r="P97" s="219">
        <f t="shared" si="36"/>
        <v>176</v>
      </c>
      <c r="Q97" s="219">
        <f t="shared" si="36"/>
        <v>4</v>
      </c>
      <c r="R97" s="219">
        <f t="shared" si="36"/>
        <v>5</v>
      </c>
      <c r="S97" s="219">
        <f t="shared" ref="S97" si="37">S34</f>
        <v>5</v>
      </c>
    </row>
    <row r="98" spans="1:19" ht="12" customHeight="1">
      <c r="A98" s="63">
        <v>7</v>
      </c>
      <c r="B98" s="40" t="s">
        <v>450</v>
      </c>
      <c r="E98" s="376" t="s">
        <v>466</v>
      </c>
      <c r="F98" s="219">
        <f>F37</f>
        <v>30350</v>
      </c>
      <c r="G98" s="219">
        <f t="shared" ref="G98:R98" si="38">G37</f>
        <v>25102</v>
      </c>
      <c r="H98" s="219">
        <f t="shared" si="38"/>
        <v>30304</v>
      </c>
      <c r="I98" s="219">
        <f t="shared" si="38"/>
        <v>30153</v>
      </c>
      <c r="J98" s="219">
        <f t="shared" si="38"/>
        <v>31927</v>
      </c>
      <c r="K98" s="219">
        <f t="shared" si="38"/>
        <v>33143</v>
      </c>
      <c r="L98" s="219">
        <f t="shared" si="38"/>
        <v>33148</v>
      </c>
      <c r="M98" s="219">
        <f t="shared" si="38"/>
        <v>35844</v>
      </c>
      <c r="N98" s="219">
        <f t="shared" si="38"/>
        <v>35982</v>
      </c>
      <c r="O98" s="219">
        <f t="shared" si="38"/>
        <v>38461</v>
      </c>
      <c r="P98" s="219">
        <f t="shared" si="38"/>
        <v>44662</v>
      </c>
      <c r="Q98" s="219">
        <f t="shared" si="38"/>
        <v>44779.252</v>
      </c>
      <c r="R98" s="219">
        <f t="shared" si="38"/>
        <v>49333.396000000001</v>
      </c>
      <c r="S98" s="219">
        <f t="shared" ref="S98" si="39">S37</f>
        <v>43310</v>
      </c>
    </row>
    <row r="99" spans="1:19" ht="12" customHeight="1">
      <c r="A99" s="63">
        <v>8</v>
      </c>
      <c r="B99" s="102" t="s">
        <v>451</v>
      </c>
      <c r="C99" s="63"/>
      <c r="D99" s="63"/>
      <c r="E99" s="63"/>
      <c r="F99" s="461">
        <f>SUM(F92:F98)</f>
        <v>312221</v>
      </c>
      <c r="G99" s="461">
        <f t="shared" ref="G99:R99" si="40">SUM(G92:G98)</f>
        <v>227289</v>
      </c>
      <c r="H99" s="461">
        <f t="shared" si="40"/>
        <v>206181</v>
      </c>
      <c r="I99" s="461">
        <f t="shared" si="40"/>
        <v>233496</v>
      </c>
      <c r="J99" s="461">
        <f t="shared" si="40"/>
        <v>204834</v>
      </c>
      <c r="K99" s="461">
        <f t="shared" si="40"/>
        <v>222539</v>
      </c>
      <c r="L99" s="461">
        <f t="shared" si="40"/>
        <v>240952</v>
      </c>
      <c r="M99" s="461">
        <f t="shared" si="40"/>
        <v>234605</v>
      </c>
      <c r="N99" s="461">
        <f t="shared" si="40"/>
        <v>264279</v>
      </c>
      <c r="O99" s="461">
        <f t="shared" si="40"/>
        <v>278238</v>
      </c>
      <c r="P99" s="461">
        <f t="shared" si="40"/>
        <v>382589</v>
      </c>
      <c r="Q99" s="461">
        <f t="shared" si="40"/>
        <v>332206.95358799997</v>
      </c>
      <c r="R99" s="461">
        <f t="shared" si="40"/>
        <v>332391.18730200001</v>
      </c>
      <c r="S99" s="461">
        <f t="shared" ref="S99" si="41">SUM(S92:S98)</f>
        <v>329981</v>
      </c>
    </row>
    <row r="100" spans="1:19">
      <c r="A100" s="63">
        <v>9</v>
      </c>
      <c r="B100" s="63"/>
      <c r="C100" s="102" t="s">
        <v>443</v>
      </c>
      <c r="D100" s="63"/>
      <c r="E100" s="63"/>
      <c r="F100" s="219">
        <f>-'PS Consolidated'!E29</f>
        <v>-234785.2591</v>
      </c>
      <c r="G100" s="219">
        <f>-'PS Consolidated'!F29</f>
        <v>-156185</v>
      </c>
      <c r="H100" s="219">
        <f>-'PS Consolidated'!G29</f>
        <v>-124379</v>
      </c>
      <c r="I100" s="219">
        <f>-'PS Consolidated'!H29</f>
        <v>-154282</v>
      </c>
      <c r="J100" s="219">
        <f>-'PS Consolidated'!I29</f>
        <v>-122799</v>
      </c>
      <c r="K100" s="219">
        <f>-'PS Consolidated'!J29</f>
        <v>-133120.12169999999</v>
      </c>
      <c r="L100" s="219">
        <f>-'PS Consolidated'!K29</f>
        <v>-152124</v>
      </c>
      <c r="M100" s="219">
        <f>-'PS Consolidated'!L29</f>
        <v>-135719</v>
      </c>
      <c r="N100" s="219">
        <f>-'PS Consolidated'!M29</f>
        <v>-152984</v>
      </c>
      <c r="O100" s="219">
        <f>-'PS Consolidated'!N29</f>
        <v>-146538.0865</v>
      </c>
      <c r="P100" s="219">
        <f>-'PS Consolidated'!O29</f>
        <v>-249368.62319999994</v>
      </c>
      <c r="Q100" s="219">
        <f>-'PS Consolidated'!P29</f>
        <v>-188583.39639999997</v>
      </c>
      <c r="R100" s="219">
        <f>-'PS Consolidated'!Q29</f>
        <v>-180833.76630000002</v>
      </c>
      <c r="S100" s="219">
        <f>-'PS Consolidated'!R29</f>
        <v>-201471</v>
      </c>
    </row>
    <row r="101" spans="1:19">
      <c r="A101" s="63">
        <v>10</v>
      </c>
      <c r="B101" s="63"/>
      <c r="C101" s="102" t="s">
        <v>440</v>
      </c>
      <c r="D101" s="63"/>
      <c r="E101" s="63"/>
      <c r="F101" s="219">
        <f>SUM(DSM!I34:I39)</f>
        <v>-3467.7024758931702</v>
      </c>
      <c r="G101" s="219">
        <f>SUM(DSM!J34:J39)</f>
        <v>-5110.4044039157561</v>
      </c>
      <c r="H101" s="219">
        <f>SUM(DSM!K34:K39)</f>
        <v>-6107.5073522556449</v>
      </c>
      <c r="I101" s="219">
        <f>SUM(DSM!L34:L39)</f>
        <v>-6173.9808821449706</v>
      </c>
      <c r="J101" s="219">
        <v>0</v>
      </c>
      <c r="K101" s="219">
        <f>SUM(DSM!N34:N39)</f>
        <v>-6651.8503863469796</v>
      </c>
      <c r="L101" s="219">
        <v>0</v>
      </c>
      <c r="M101" s="219">
        <f>SUM(DSM!P34:P39)</f>
        <v>-6711.241907653648</v>
      </c>
      <c r="N101" s="219">
        <f>SUM(DSM!Q34:Q39)</f>
        <v>-12172.241960004189</v>
      </c>
      <c r="O101" s="219">
        <f>SUM(DSM!R34:R39)</f>
        <v>-19005.286818134227</v>
      </c>
      <c r="P101" s="219">
        <f>SUM(DSM!S34:S39)</f>
        <v>-19612.288298607476</v>
      </c>
      <c r="Q101" s="219">
        <f>SUM(DSM!T34:T39)</f>
        <v>-20235.39595435033</v>
      </c>
      <c r="R101" s="219">
        <f>SUM(DSM!U34:U39)</f>
        <v>-17018.187444246676</v>
      </c>
      <c r="S101" s="219">
        <f>SUM(DSM!V34:V39)</f>
        <v>0</v>
      </c>
    </row>
    <row r="102" spans="1:19">
      <c r="A102" s="63">
        <v>11</v>
      </c>
      <c r="B102" s="63"/>
      <c r="C102" s="102" t="s">
        <v>441</v>
      </c>
      <c r="D102" s="63"/>
      <c r="E102" s="63"/>
      <c r="F102" s="219">
        <f>SUM(ResX!I34:I39)</f>
        <v>119.41562845365358</v>
      </c>
      <c r="G102" s="219">
        <f>SUM(ResX!J34:J39)</f>
        <v>10.159368534629508</v>
      </c>
      <c r="H102" s="219">
        <f>SUM(ResX!K34:K39)</f>
        <v>53.896311039644672</v>
      </c>
      <c r="I102" s="219">
        <f>SUM(ResX!L34:L39)</f>
        <v>45.480393461169804</v>
      </c>
      <c r="J102" s="219">
        <v>0</v>
      </c>
      <c r="K102" s="219">
        <f>SUM(ResX!N34:N39)</f>
        <v>62.298339440896243</v>
      </c>
      <c r="L102" s="219">
        <v>0</v>
      </c>
      <c r="M102" s="219">
        <f>SUM(ResX!P34:P39)</f>
        <v>37.041897183540996</v>
      </c>
      <c r="N102" s="219">
        <f>SUM(ResX!Q34:Q39)</f>
        <v>23.730172756779396</v>
      </c>
      <c r="O102" s="219">
        <f>SUM(ResX!R34:R39)</f>
        <v>26.576997173070886</v>
      </c>
      <c r="P102" s="219">
        <f>SUM(ResX!S34:S39)</f>
        <v>41.434898963459318</v>
      </c>
      <c r="Q102" s="219">
        <f>SUM(ResX!T34:T39)</f>
        <v>30.591749555020414</v>
      </c>
      <c r="R102" s="219">
        <f>SUM(ResX!U34:U39)</f>
        <v>57.619991623913734</v>
      </c>
      <c r="S102" s="219">
        <f>SUM(ResX!V34:V39)</f>
        <v>0</v>
      </c>
    </row>
    <row r="103" spans="1:19" ht="12.75" thickBot="1">
      <c r="A103" s="63">
        <v>12</v>
      </c>
      <c r="B103" s="538" t="s">
        <v>442</v>
      </c>
      <c r="C103" s="63"/>
      <c r="D103" s="63"/>
      <c r="E103" s="63"/>
      <c r="F103" s="536">
        <f>SUM(F99:F102)</f>
        <v>74087.454052560497</v>
      </c>
      <c r="G103" s="536">
        <f t="shared" ref="G103:R103" si="42">SUM(G99:G102)</f>
        <v>66003.754964618871</v>
      </c>
      <c r="H103" s="536">
        <f t="shared" si="42"/>
        <v>75748.388958783995</v>
      </c>
      <c r="I103" s="536">
        <f t="shared" si="42"/>
        <v>73085.4995113162</v>
      </c>
      <c r="J103" s="536">
        <f t="shared" si="42"/>
        <v>82035</v>
      </c>
      <c r="K103" s="536">
        <f t="shared" si="42"/>
        <v>82829.326253093925</v>
      </c>
      <c r="L103" s="536">
        <f t="shared" si="42"/>
        <v>88828</v>
      </c>
      <c r="M103" s="536">
        <f t="shared" si="42"/>
        <v>92211.7999895299</v>
      </c>
      <c r="N103" s="536">
        <f t="shared" si="42"/>
        <v>99146.488212752593</v>
      </c>
      <c r="O103" s="536">
        <f t="shared" si="42"/>
        <v>112721.20367903885</v>
      </c>
      <c r="P103" s="536">
        <f t="shared" si="42"/>
        <v>113649.52340035603</v>
      </c>
      <c r="Q103" s="536">
        <f t="shared" si="42"/>
        <v>123418.7529832047</v>
      </c>
      <c r="R103" s="536">
        <f t="shared" si="42"/>
        <v>134596.85354937724</v>
      </c>
      <c r="S103" s="536">
        <f t="shared" ref="S103" si="43">SUM(S99:S102)</f>
        <v>128510</v>
      </c>
    </row>
    <row r="104" spans="1:19" ht="12.75" thickTop="1">
      <c r="A104" s="63"/>
      <c r="B104" s="63"/>
      <c r="C104" s="63"/>
      <c r="D104" s="63"/>
      <c r="E104" s="63"/>
      <c r="F104" s="219"/>
      <c r="G104" s="537">
        <f>(G103-F103)/F103</f>
        <v>-0.10911022913821196</v>
      </c>
      <c r="H104" s="537">
        <f t="shared" ref="H104:S104" si="44">(H103-G103)/G103</f>
        <v>0.14763757000474759</v>
      </c>
      <c r="I104" s="537">
        <f t="shared" si="44"/>
        <v>-3.515440373150007E-2</v>
      </c>
      <c r="J104" s="537">
        <f t="shared" si="44"/>
        <v>0.12245247755744083</v>
      </c>
      <c r="K104" s="537">
        <f t="shared" si="44"/>
        <v>9.6827726347769195E-3</v>
      </c>
      <c r="L104" s="537">
        <f t="shared" si="44"/>
        <v>7.242209997672179E-2</v>
      </c>
      <c r="M104" s="537">
        <f t="shared" si="44"/>
        <v>3.809384416546472E-2</v>
      </c>
      <c r="N104" s="537">
        <f t="shared" si="44"/>
        <v>7.5203913425506114E-2</v>
      </c>
      <c r="O104" s="537">
        <f t="shared" si="44"/>
        <v>0.13691574669954099</v>
      </c>
      <c r="P104" s="537">
        <f t="shared" si="44"/>
        <v>8.2355376896122243E-3</v>
      </c>
      <c r="Q104" s="537">
        <f t="shared" si="44"/>
        <v>8.595926573694776E-2</v>
      </c>
      <c r="R104" s="537">
        <f t="shared" si="44"/>
        <v>9.0570519438757366E-2</v>
      </c>
      <c r="S104" s="537">
        <f t="shared" si="44"/>
        <v>-4.5222851715060755E-2</v>
      </c>
    </row>
    <row r="105" spans="1:19" ht="5.25" customHeight="1">
      <c r="A105" s="63"/>
      <c r="B105" s="63"/>
      <c r="C105" s="63"/>
      <c r="D105" s="63"/>
      <c r="E105" s="63"/>
      <c r="F105" s="219"/>
      <c r="G105" s="219"/>
      <c r="H105" s="219"/>
      <c r="I105" s="219"/>
      <c r="J105" s="219"/>
      <c r="K105" s="219"/>
      <c r="L105" s="219"/>
      <c r="M105" s="219"/>
      <c r="N105" s="219"/>
      <c r="O105" s="219"/>
      <c r="P105" s="219"/>
      <c r="Q105" s="219"/>
      <c r="R105" s="219"/>
      <c r="S105" s="219"/>
    </row>
    <row r="106" spans="1:19">
      <c r="A106" s="63"/>
      <c r="B106" s="63"/>
      <c r="C106" s="63"/>
      <c r="D106" s="102" t="s">
        <v>141</v>
      </c>
      <c r="E106" s="63"/>
      <c r="F106" s="219"/>
      <c r="G106" s="219"/>
      <c r="H106" s="219"/>
      <c r="I106" s="219"/>
      <c r="J106" s="219"/>
      <c r="K106" s="219"/>
      <c r="L106" s="219"/>
      <c r="M106" s="219"/>
      <c r="N106" s="219"/>
      <c r="O106" s="219"/>
      <c r="P106" s="219"/>
      <c r="Q106" s="219"/>
      <c r="R106" s="219"/>
      <c r="S106" s="219"/>
    </row>
    <row r="107" spans="1:19">
      <c r="A107" s="63">
        <v>13</v>
      </c>
      <c r="B107" s="102" t="s">
        <v>444</v>
      </c>
      <c r="C107" s="63"/>
      <c r="D107" s="63"/>
      <c r="E107" s="376" t="s">
        <v>467</v>
      </c>
      <c r="F107" s="219">
        <f>F21</f>
        <v>14850</v>
      </c>
      <c r="G107" s="219">
        <f t="shared" ref="G107:R107" si="45">G21</f>
        <v>15202</v>
      </c>
      <c r="H107" s="219">
        <f t="shared" si="45"/>
        <v>20157</v>
      </c>
      <c r="I107" s="219">
        <f t="shared" si="45"/>
        <v>20523</v>
      </c>
      <c r="J107" s="219">
        <f t="shared" si="45"/>
        <v>22312</v>
      </c>
      <c r="K107" s="219">
        <f t="shared" si="45"/>
        <v>22629</v>
      </c>
      <c r="L107" s="219">
        <f t="shared" si="45"/>
        <v>24577</v>
      </c>
      <c r="M107" s="219">
        <f t="shared" si="45"/>
        <v>24877</v>
      </c>
      <c r="N107" s="219">
        <f t="shared" si="45"/>
        <v>23076</v>
      </c>
      <c r="O107" s="219">
        <f t="shared" si="45"/>
        <v>23969</v>
      </c>
      <c r="P107" s="219">
        <f t="shared" si="45"/>
        <v>25008</v>
      </c>
      <c r="Q107" s="219">
        <f t="shared" si="45"/>
        <v>25158</v>
      </c>
      <c r="R107" s="219">
        <f t="shared" si="45"/>
        <v>25680</v>
      </c>
      <c r="S107" s="219">
        <f t="shared" ref="S107" si="46">S21</f>
        <v>23287</v>
      </c>
    </row>
    <row r="108" spans="1:19">
      <c r="A108" s="63">
        <v>14</v>
      </c>
      <c r="B108" s="102" t="s">
        <v>446</v>
      </c>
      <c r="C108" s="63"/>
      <c r="D108" s="63"/>
      <c r="E108" s="376" t="s">
        <v>468</v>
      </c>
      <c r="F108" s="219">
        <f>F28</f>
        <v>9056</v>
      </c>
      <c r="G108" s="219">
        <f t="shared" ref="G108:R108" si="47">G28</f>
        <v>9178</v>
      </c>
      <c r="H108" s="219">
        <f t="shared" si="47"/>
        <v>9427</v>
      </c>
      <c r="I108" s="219">
        <f t="shared" si="47"/>
        <v>9752</v>
      </c>
      <c r="J108" s="219">
        <f t="shared" si="47"/>
        <v>10067</v>
      </c>
      <c r="K108" s="219">
        <f t="shared" si="47"/>
        <v>10399</v>
      </c>
      <c r="L108" s="219">
        <f t="shared" si="47"/>
        <v>10776</v>
      </c>
      <c r="M108" s="219">
        <f t="shared" si="47"/>
        <v>11333</v>
      </c>
      <c r="N108" s="219">
        <f t="shared" si="47"/>
        <v>15611</v>
      </c>
      <c r="O108" s="219">
        <f t="shared" si="47"/>
        <v>16809</v>
      </c>
      <c r="P108" s="219">
        <f t="shared" si="47"/>
        <v>17985</v>
      </c>
      <c r="Q108" s="219">
        <f t="shared" si="47"/>
        <v>19240</v>
      </c>
      <c r="R108" s="219">
        <f t="shared" si="47"/>
        <v>20749</v>
      </c>
      <c r="S108" s="219">
        <f t="shared" ref="S108" si="48">S28</f>
        <v>22303</v>
      </c>
    </row>
    <row r="109" spans="1:19">
      <c r="A109" s="63">
        <v>15</v>
      </c>
      <c r="B109" s="40" t="s">
        <v>450</v>
      </c>
      <c r="C109" s="63"/>
      <c r="D109" s="63"/>
      <c r="E109" s="376" t="s">
        <v>469</v>
      </c>
      <c r="F109" s="219">
        <f>F38</f>
        <v>3998</v>
      </c>
      <c r="G109" s="219">
        <f t="shared" ref="G109:R109" si="49">G38</f>
        <v>4414</v>
      </c>
      <c r="H109" s="219">
        <f t="shared" si="49"/>
        <v>6606</v>
      </c>
      <c r="I109" s="219">
        <f t="shared" si="49"/>
        <v>6659</v>
      </c>
      <c r="J109" s="219">
        <f t="shared" si="49"/>
        <v>6072</v>
      </c>
      <c r="K109" s="219">
        <f t="shared" si="49"/>
        <v>6537</v>
      </c>
      <c r="L109" s="219">
        <f t="shared" si="49"/>
        <v>6459</v>
      </c>
      <c r="M109" s="219">
        <f t="shared" si="49"/>
        <v>6739</v>
      </c>
      <c r="N109" s="219">
        <f t="shared" si="49"/>
        <v>7187</v>
      </c>
      <c r="O109" s="219">
        <f t="shared" si="49"/>
        <v>7688</v>
      </c>
      <c r="P109" s="219">
        <f t="shared" si="49"/>
        <v>9277</v>
      </c>
      <c r="Q109" s="219">
        <f t="shared" si="49"/>
        <v>10906</v>
      </c>
      <c r="R109" s="219">
        <f t="shared" si="49"/>
        <v>12517</v>
      </c>
      <c r="S109" s="219">
        <f t="shared" ref="S109" si="50">S38</f>
        <v>14721</v>
      </c>
    </row>
    <row r="110" spans="1:19" ht="12.75" thickBot="1">
      <c r="A110" s="63">
        <v>16</v>
      </c>
      <c r="B110" s="538" t="s">
        <v>452</v>
      </c>
      <c r="C110" s="63"/>
      <c r="D110" s="63"/>
      <c r="E110" s="63"/>
      <c r="F110" s="536">
        <f>SUM(F107:F109)</f>
        <v>27904</v>
      </c>
      <c r="G110" s="536">
        <f t="shared" ref="G110:R110" si="51">SUM(G107:G109)</f>
        <v>28794</v>
      </c>
      <c r="H110" s="536">
        <f t="shared" si="51"/>
        <v>36190</v>
      </c>
      <c r="I110" s="536">
        <f t="shared" si="51"/>
        <v>36934</v>
      </c>
      <c r="J110" s="536">
        <f t="shared" si="51"/>
        <v>38451</v>
      </c>
      <c r="K110" s="536">
        <f t="shared" si="51"/>
        <v>39565</v>
      </c>
      <c r="L110" s="536">
        <f t="shared" si="51"/>
        <v>41812</v>
      </c>
      <c r="M110" s="536">
        <f t="shared" si="51"/>
        <v>42949</v>
      </c>
      <c r="N110" s="536">
        <f t="shared" si="51"/>
        <v>45874</v>
      </c>
      <c r="O110" s="536">
        <f t="shared" si="51"/>
        <v>48466</v>
      </c>
      <c r="P110" s="536">
        <f t="shared" si="51"/>
        <v>52270</v>
      </c>
      <c r="Q110" s="536">
        <f t="shared" si="51"/>
        <v>55304</v>
      </c>
      <c r="R110" s="536">
        <f t="shared" si="51"/>
        <v>58946</v>
      </c>
      <c r="S110" s="536">
        <f t="shared" ref="S110" si="52">SUM(S107:S109)</f>
        <v>60311</v>
      </c>
    </row>
    <row r="111" spans="1:19" ht="12.75" thickTop="1">
      <c r="A111" s="63"/>
      <c r="B111" s="63"/>
      <c r="C111" s="63"/>
      <c r="D111" s="63"/>
      <c r="E111" s="63"/>
      <c r="F111" s="219"/>
      <c r="G111" s="537">
        <f>(G110-F110)/F110</f>
        <v>3.1895068807339451E-2</v>
      </c>
      <c r="H111" s="537">
        <f t="shared" ref="H111:S111" si="53">(H110-G110)/G110</f>
        <v>0.25685906786135998</v>
      </c>
      <c r="I111" s="537">
        <f t="shared" si="53"/>
        <v>2.0558165239016303E-2</v>
      </c>
      <c r="J111" s="537">
        <f t="shared" si="53"/>
        <v>4.1073265825526617E-2</v>
      </c>
      <c r="K111" s="537">
        <f t="shared" si="53"/>
        <v>2.8971938311097241E-2</v>
      </c>
      <c r="L111" s="537">
        <f t="shared" si="53"/>
        <v>5.6792619739668898E-2</v>
      </c>
      <c r="M111" s="537">
        <f t="shared" si="53"/>
        <v>2.7193150291782264E-2</v>
      </c>
      <c r="N111" s="537">
        <f t="shared" si="53"/>
        <v>6.8104030361591655E-2</v>
      </c>
      <c r="O111" s="537">
        <f t="shared" si="53"/>
        <v>5.6502594061995905E-2</v>
      </c>
      <c r="P111" s="537">
        <f t="shared" si="53"/>
        <v>7.8488012214748479E-2</v>
      </c>
      <c r="Q111" s="537">
        <f t="shared" si="53"/>
        <v>5.8044767553089724E-2</v>
      </c>
      <c r="R111" s="537">
        <f t="shared" si="53"/>
        <v>6.5854187762187183E-2</v>
      </c>
      <c r="S111" s="537">
        <f t="shared" si="53"/>
        <v>2.3156787568282836E-2</v>
      </c>
    </row>
    <row r="112" spans="1:19">
      <c r="A112" s="63"/>
      <c r="B112" s="63"/>
      <c r="C112" s="63"/>
      <c r="D112" s="63"/>
      <c r="E112" s="63"/>
      <c r="F112" s="219"/>
      <c r="G112" s="219"/>
      <c r="H112" s="219"/>
      <c r="I112" s="219"/>
      <c r="J112" s="219"/>
      <c r="K112" s="219"/>
      <c r="L112" s="219"/>
      <c r="M112" s="219"/>
      <c r="N112" s="219"/>
      <c r="O112" s="219"/>
      <c r="P112" s="219"/>
      <c r="Q112" s="219"/>
      <c r="R112" s="219"/>
      <c r="S112" s="219"/>
    </row>
    <row r="113" spans="1:19">
      <c r="A113" s="63"/>
      <c r="B113" s="63"/>
      <c r="C113" s="63"/>
      <c r="D113" s="102" t="s">
        <v>484</v>
      </c>
      <c r="E113" s="63"/>
      <c r="F113" s="219"/>
      <c r="G113" s="219"/>
      <c r="H113" s="219"/>
      <c r="I113" s="219"/>
      <c r="J113" s="219"/>
      <c r="K113" s="219"/>
      <c r="L113" s="219"/>
      <c r="M113" s="219"/>
      <c r="N113" s="219"/>
      <c r="O113" s="219"/>
      <c r="P113" s="219"/>
      <c r="Q113" s="219"/>
      <c r="R113" s="219"/>
      <c r="S113" s="219"/>
    </row>
    <row r="114" spans="1:19">
      <c r="A114" s="63">
        <v>17</v>
      </c>
      <c r="B114" s="102" t="s">
        <v>335</v>
      </c>
      <c r="C114" s="63"/>
      <c r="D114" s="63"/>
      <c r="E114" s="376" t="s">
        <v>470</v>
      </c>
      <c r="F114" s="219">
        <f>F22</f>
        <v>-17964</v>
      </c>
      <c r="G114" s="219">
        <f t="shared" ref="G114:R114" si="54">G22</f>
        <v>-6050</v>
      </c>
      <c r="H114" s="219">
        <f t="shared" si="54"/>
        <v>-6349</v>
      </c>
      <c r="I114" s="219">
        <f t="shared" si="54"/>
        <v>-5608</v>
      </c>
      <c r="J114" s="219">
        <f t="shared" si="54"/>
        <v>567</v>
      </c>
      <c r="K114" s="219">
        <f t="shared" si="54"/>
        <v>-8817</v>
      </c>
      <c r="L114" s="219">
        <f t="shared" si="54"/>
        <v>1168</v>
      </c>
      <c r="M114" s="219">
        <f t="shared" si="54"/>
        <v>-3082</v>
      </c>
      <c r="N114" s="219">
        <f t="shared" si="54"/>
        <v>-1076</v>
      </c>
      <c r="O114" s="219">
        <f t="shared" si="54"/>
        <v>-1703</v>
      </c>
      <c r="P114" s="219">
        <f t="shared" si="54"/>
        <v>-2879</v>
      </c>
      <c r="Q114" s="219">
        <f t="shared" si="54"/>
        <v>403</v>
      </c>
      <c r="R114" s="219">
        <f t="shared" si="54"/>
        <v>-7744</v>
      </c>
      <c r="S114" s="219">
        <f t="shared" ref="S114" si="55">S22</f>
        <v>8626</v>
      </c>
    </row>
    <row r="115" spans="1:19">
      <c r="A115" s="63">
        <v>18</v>
      </c>
      <c r="B115" s="63"/>
      <c r="C115" s="102" t="s">
        <v>487</v>
      </c>
      <c r="D115" s="63"/>
      <c r="E115" s="63"/>
      <c r="F115" s="219">
        <f>ResX!I24</f>
        <v>16644</v>
      </c>
      <c r="G115" s="219">
        <f>ResX!J24</f>
        <v>1416</v>
      </c>
      <c r="H115" s="219">
        <f>ResX!K24</f>
        <v>7512</v>
      </c>
      <c r="I115" s="219">
        <f>ResX!L24</f>
        <v>6339</v>
      </c>
      <c r="J115" s="219">
        <v>0</v>
      </c>
      <c r="K115" s="219">
        <f>ResX!N24</f>
        <v>9388</v>
      </c>
      <c r="L115" s="219">
        <v>0</v>
      </c>
      <c r="M115" s="219">
        <f>ResX!P24</f>
        <v>5582</v>
      </c>
      <c r="N115" s="219">
        <f>ResX!Q24</f>
        <v>3576</v>
      </c>
      <c r="O115" s="219">
        <f>ResX!R24</f>
        <v>4005</v>
      </c>
      <c r="P115" s="219">
        <f>ResX!S24</f>
        <v>6244</v>
      </c>
      <c r="Q115" s="219">
        <f>ResX!T24</f>
        <v>4610</v>
      </c>
      <c r="R115" s="219">
        <f>ResX!U24</f>
        <v>8683</v>
      </c>
      <c r="S115" s="219">
        <f>ResX!V24</f>
        <v>0</v>
      </c>
    </row>
    <row r="116" spans="1:19" ht="12.75" thickBot="1">
      <c r="A116" s="63">
        <v>19</v>
      </c>
      <c r="B116" s="538" t="s">
        <v>336</v>
      </c>
      <c r="C116" s="63"/>
      <c r="D116" s="63"/>
      <c r="E116" s="63"/>
      <c r="F116" s="536">
        <f>SUM(F114:F115)</f>
        <v>-1320</v>
      </c>
      <c r="G116" s="536">
        <f t="shared" ref="G116:R116" si="56">SUM(G114:G115)</f>
        <v>-4634</v>
      </c>
      <c r="H116" s="536">
        <f t="shared" si="56"/>
        <v>1163</v>
      </c>
      <c r="I116" s="536">
        <f t="shared" si="56"/>
        <v>731</v>
      </c>
      <c r="J116" s="536">
        <f t="shared" si="56"/>
        <v>567</v>
      </c>
      <c r="K116" s="536">
        <f t="shared" si="56"/>
        <v>571</v>
      </c>
      <c r="L116" s="536">
        <f t="shared" si="56"/>
        <v>1168</v>
      </c>
      <c r="M116" s="536">
        <f t="shared" si="56"/>
        <v>2500</v>
      </c>
      <c r="N116" s="536">
        <f t="shared" si="56"/>
        <v>2500</v>
      </c>
      <c r="O116" s="536">
        <f t="shared" si="56"/>
        <v>2302</v>
      </c>
      <c r="P116" s="536">
        <f t="shared" si="56"/>
        <v>3365</v>
      </c>
      <c r="Q116" s="536">
        <f t="shared" si="56"/>
        <v>5013</v>
      </c>
      <c r="R116" s="536">
        <f t="shared" si="56"/>
        <v>939</v>
      </c>
      <c r="S116" s="536">
        <f t="shared" ref="S116" si="57">SUM(S114:S115)</f>
        <v>8626</v>
      </c>
    </row>
    <row r="117" spans="1:19" ht="6" customHeight="1" thickTop="1">
      <c r="A117" s="63"/>
      <c r="B117" s="63"/>
      <c r="C117" s="63"/>
      <c r="D117" s="63"/>
      <c r="E117" s="63"/>
      <c r="F117" s="219"/>
      <c r="G117" s="537"/>
      <c r="H117" s="537"/>
      <c r="I117" s="537"/>
      <c r="J117" s="537"/>
      <c r="K117" s="537"/>
      <c r="L117" s="537"/>
      <c r="M117" s="537"/>
      <c r="N117" s="537"/>
      <c r="O117" s="537"/>
      <c r="P117" s="537"/>
      <c r="Q117" s="537"/>
      <c r="R117" s="537"/>
      <c r="S117" s="537"/>
    </row>
    <row r="118" spans="1:19" ht="5.25" customHeight="1">
      <c r="A118" s="63"/>
      <c r="B118" s="63"/>
      <c r="C118" s="63"/>
      <c r="D118" s="63"/>
      <c r="E118" s="63"/>
      <c r="F118" s="219"/>
      <c r="G118" s="219"/>
      <c r="H118" s="219"/>
      <c r="I118" s="219"/>
      <c r="J118" s="219"/>
      <c r="K118" s="219"/>
      <c r="L118" s="219"/>
      <c r="M118" s="219"/>
      <c r="N118" s="219"/>
      <c r="O118" s="219"/>
      <c r="P118" s="219"/>
      <c r="Q118" s="219"/>
      <c r="R118" s="219"/>
      <c r="S118" s="219"/>
    </row>
    <row r="119" spans="1:19">
      <c r="A119" s="63"/>
      <c r="B119" s="102"/>
      <c r="C119" s="63"/>
      <c r="D119" s="102" t="s">
        <v>529</v>
      </c>
      <c r="E119" s="63"/>
      <c r="F119" s="219"/>
      <c r="G119" s="219"/>
      <c r="H119" s="219"/>
      <c r="I119" s="219"/>
      <c r="J119" s="219"/>
      <c r="K119" s="219"/>
      <c r="L119" s="219"/>
      <c r="M119" s="219"/>
      <c r="N119" s="219"/>
      <c r="O119" s="219"/>
      <c r="P119" s="219"/>
      <c r="Q119" s="219"/>
      <c r="R119" s="219"/>
      <c r="S119" s="219"/>
    </row>
    <row r="120" spans="1:19">
      <c r="A120" s="63">
        <v>20</v>
      </c>
      <c r="B120" s="102" t="s">
        <v>444</v>
      </c>
      <c r="C120" s="63"/>
      <c r="D120" s="63"/>
      <c r="E120" s="376" t="s">
        <v>471</v>
      </c>
      <c r="F120" s="219">
        <f>F23</f>
        <v>9346</v>
      </c>
      <c r="G120" s="219">
        <f t="shared" ref="G120:M120" si="58">G23</f>
        <v>5139</v>
      </c>
      <c r="H120" s="219">
        <f t="shared" si="58"/>
        <v>7164</v>
      </c>
      <c r="I120" s="219">
        <f t="shared" si="58"/>
        <v>6722</v>
      </c>
      <c r="J120" s="219">
        <f t="shared" si="58"/>
        <v>7283</v>
      </c>
      <c r="K120" s="219">
        <f t="shared" si="58"/>
        <v>9900</v>
      </c>
      <c r="L120" s="219">
        <f t="shared" si="58"/>
        <v>9115</v>
      </c>
      <c r="M120" s="219">
        <f t="shared" si="58"/>
        <v>8319</v>
      </c>
      <c r="N120" s="219">
        <f>N23</f>
        <v>8146</v>
      </c>
      <c r="O120" s="219">
        <f t="shared" ref="O120:R120" si="59">O23</f>
        <v>9014</v>
      </c>
      <c r="P120" s="219">
        <f t="shared" si="59"/>
        <v>9955</v>
      </c>
      <c r="Q120" s="219">
        <f t="shared" si="59"/>
        <v>10846</v>
      </c>
      <c r="R120" s="219">
        <f t="shared" si="59"/>
        <v>11456</v>
      </c>
      <c r="S120" s="219">
        <f t="shared" ref="S120" si="60">S23</f>
        <v>12913</v>
      </c>
    </row>
    <row r="121" spans="1:19">
      <c r="A121" s="63">
        <v>21</v>
      </c>
      <c r="B121" s="102" t="s">
        <v>446</v>
      </c>
      <c r="C121" s="63"/>
      <c r="D121" s="63"/>
      <c r="E121" s="376" t="s">
        <v>472</v>
      </c>
      <c r="F121" s="219">
        <f>F29</f>
        <v>11693</v>
      </c>
      <c r="G121" s="219">
        <f t="shared" ref="G121:M121" si="61">G29</f>
        <v>15462</v>
      </c>
      <c r="H121" s="219">
        <f t="shared" si="61"/>
        <v>16996</v>
      </c>
      <c r="I121" s="219">
        <f t="shared" si="61"/>
        <v>17286</v>
      </c>
      <c r="J121" s="219">
        <f t="shared" si="61"/>
        <v>17401</v>
      </c>
      <c r="K121" s="219">
        <f t="shared" si="61"/>
        <v>14988</v>
      </c>
      <c r="L121" s="219">
        <f t="shared" si="61"/>
        <v>16307</v>
      </c>
      <c r="M121" s="219">
        <f t="shared" si="61"/>
        <v>16156</v>
      </c>
      <c r="N121" s="219">
        <f>N29</f>
        <v>17416</v>
      </c>
      <c r="O121" s="219">
        <f t="shared" ref="O121:R121" si="62">O29</f>
        <v>18207</v>
      </c>
      <c r="P121" s="219">
        <f t="shared" si="62"/>
        <v>19990</v>
      </c>
      <c r="Q121" s="219">
        <f t="shared" si="62"/>
        <v>22393.453812</v>
      </c>
      <c r="R121" s="219">
        <f t="shared" si="62"/>
        <v>22594.925350000001</v>
      </c>
      <c r="S121" s="219">
        <f t="shared" ref="S121" si="63">S29</f>
        <v>23288</v>
      </c>
    </row>
    <row r="122" spans="1:19">
      <c r="A122" s="63">
        <v>22</v>
      </c>
      <c r="B122" s="40" t="s">
        <v>450</v>
      </c>
      <c r="C122" s="63"/>
      <c r="D122" s="63"/>
      <c r="E122" s="376" t="s">
        <v>473</v>
      </c>
      <c r="F122" s="219">
        <f>F39</f>
        <v>5</v>
      </c>
      <c r="G122" s="219">
        <f t="shared" ref="G122:M122" si="64">G39</f>
        <v>2</v>
      </c>
      <c r="H122" s="219">
        <f t="shared" si="64"/>
        <v>1</v>
      </c>
      <c r="I122" s="219">
        <f t="shared" si="64"/>
        <v>2</v>
      </c>
      <c r="J122" s="219">
        <f t="shared" si="64"/>
        <v>3</v>
      </c>
      <c r="K122" s="219">
        <f t="shared" si="64"/>
        <v>-4</v>
      </c>
      <c r="L122" s="219">
        <f t="shared" si="64"/>
        <v>0</v>
      </c>
      <c r="M122" s="219">
        <f t="shared" si="64"/>
        <v>-9</v>
      </c>
      <c r="N122" s="219">
        <f>N39</f>
        <v>-3</v>
      </c>
      <c r="O122" s="219">
        <f t="shared" ref="O122:R122" si="65">O39</f>
        <v>-3</v>
      </c>
      <c r="P122" s="219">
        <f t="shared" si="65"/>
        <v>2</v>
      </c>
      <c r="Q122" s="219">
        <f t="shared" si="65"/>
        <v>0</v>
      </c>
      <c r="R122" s="219">
        <f t="shared" si="65"/>
        <v>-4</v>
      </c>
      <c r="S122" s="219">
        <f t="shared" ref="S122" si="66">S39</f>
        <v>0</v>
      </c>
    </row>
    <row r="123" spans="1:19">
      <c r="A123" s="63">
        <v>23</v>
      </c>
      <c r="B123" s="102" t="s">
        <v>453</v>
      </c>
      <c r="C123" s="63"/>
      <c r="D123" s="63"/>
      <c r="E123" s="63"/>
      <c r="F123" s="461">
        <f>SUM(F120:F122)</f>
        <v>21044</v>
      </c>
      <c r="G123" s="461">
        <f t="shared" ref="G123:M123" si="67">SUM(G120:G122)</f>
        <v>20603</v>
      </c>
      <c r="H123" s="461">
        <f t="shared" si="67"/>
        <v>24161</v>
      </c>
      <c r="I123" s="461">
        <f t="shared" si="67"/>
        <v>24010</v>
      </c>
      <c r="J123" s="461">
        <f t="shared" si="67"/>
        <v>24687</v>
      </c>
      <c r="K123" s="461">
        <f t="shared" si="67"/>
        <v>24884</v>
      </c>
      <c r="L123" s="461">
        <f t="shared" si="67"/>
        <v>25422</v>
      </c>
      <c r="M123" s="461">
        <f t="shared" si="67"/>
        <v>24466</v>
      </c>
      <c r="N123" s="461">
        <f>SUM(N120:N122)</f>
        <v>25559</v>
      </c>
      <c r="O123" s="461">
        <f t="shared" ref="O123" si="68">SUM(O120:O122)</f>
        <v>27218</v>
      </c>
      <c r="P123" s="461">
        <f t="shared" ref="P123" si="69">SUM(P120:P122)</f>
        <v>29947</v>
      </c>
      <c r="Q123" s="461">
        <f t="shared" ref="Q123" si="70">SUM(Q120:Q122)</f>
        <v>33239.453812</v>
      </c>
      <c r="R123" s="461">
        <f t="shared" ref="R123:S123" si="71">SUM(R120:R122)</f>
        <v>34046.925350000005</v>
      </c>
      <c r="S123" s="461">
        <f t="shared" si="71"/>
        <v>36201</v>
      </c>
    </row>
    <row r="124" spans="1:19">
      <c r="A124" s="63">
        <v>24</v>
      </c>
      <c r="B124" s="63"/>
      <c r="C124" s="102" t="s">
        <v>454</v>
      </c>
      <c r="D124" s="63"/>
      <c r="E124" s="63"/>
      <c r="F124" s="219">
        <f>DSM!I31</f>
        <v>-139.02491396965235</v>
      </c>
      <c r="G124" s="219">
        <f>DSM!J31</f>
        <v>-204.88307100842752</v>
      </c>
      <c r="H124" s="219">
        <f>DSM!K31</f>
        <v>-244.8582858878803</v>
      </c>
      <c r="I124" s="219">
        <f>DSM!L31</f>
        <v>-247.52330021317715</v>
      </c>
      <c r="J124" s="219">
        <v>0</v>
      </c>
      <c r="K124" s="219">
        <f>DSM!N31</f>
        <v>-266.79687571981992</v>
      </c>
      <c r="L124" s="219">
        <v>0</v>
      </c>
      <c r="M124" s="219">
        <f>DSM!P31</f>
        <v>-269.17899068160403</v>
      </c>
      <c r="N124" s="219">
        <f>DSM!Q31</f>
        <v>-488.21244267615958</v>
      </c>
      <c r="O124" s="219">
        <f>DSM!R31</f>
        <v>-762.2767877709141</v>
      </c>
      <c r="P124" s="219">
        <f>DSM!S31</f>
        <v>-786.62281017694488</v>
      </c>
      <c r="Q124" s="219">
        <f>DSM!T31</f>
        <v>-811.61482986074759</v>
      </c>
      <c r="R124" s="219">
        <f>DSM!U31</f>
        <v>-682.57687362579838</v>
      </c>
      <c r="S124" s="219">
        <f>DSM!V31</f>
        <v>0</v>
      </c>
    </row>
    <row r="125" spans="1:19">
      <c r="A125" s="63">
        <v>25</v>
      </c>
      <c r="B125" s="63"/>
      <c r="C125" s="102" t="s">
        <v>455</v>
      </c>
      <c r="D125" s="63"/>
      <c r="E125" s="63"/>
      <c r="F125" s="219">
        <f>ResX!I31</f>
        <v>672.06815803395102</v>
      </c>
      <c r="G125" s="219">
        <f>ResX!J31</f>
        <v>57.176670979096066</v>
      </c>
      <c r="H125" s="219">
        <f>ResX!K31</f>
        <v>303.32708502469603</v>
      </c>
      <c r="I125" s="219">
        <f>ResX!L31</f>
        <v>255.96251224328384</v>
      </c>
      <c r="J125" s="219">
        <v>0</v>
      </c>
      <c r="K125" s="219">
        <f>ResX!N31</f>
        <v>379.03890273269815</v>
      </c>
      <c r="L125" s="219">
        <v>0</v>
      </c>
      <c r="M125" s="219">
        <f>ResX!P31</f>
        <v>225.37230028269292</v>
      </c>
      <c r="N125" s="219">
        <f>ResX!Q31</f>
        <v>144.3803915820333</v>
      </c>
      <c r="O125" s="219">
        <f>ResX!R31</f>
        <v>161.701193592294</v>
      </c>
      <c r="P125" s="219">
        <f>ResX!S31</f>
        <v>252.10043765050779</v>
      </c>
      <c r="Q125" s="219">
        <f>ResX!T31</f>
        <v>186.12796565804626</v>
      </c>
      <c r="R125" s="219">
        <f>ResX!U31</f>
        <v>350.57464768087112</v>
      </c>
      <c r="S125" s="219">
        <f>ResX!V31</f>
        <v>0</v>
      </c>
    </row>
    <row r="126" spans="1:19" ht="12.75" thickBot="1">
      <c r="A126" s="63">
        <v>26</v>
      </c>
      <c r="B126" s="538" t="s">
        <v>456</v>
      </c>
      <c r="C126" s="63"/>
      <c r="D126" s="63"/>
      <c r="E126" s="63"/>
      <c r="F126" s="536">
        <f>SUM(F123:F125)</f>
        <v>21577.043244064298</v>
      </c>
      <c r="G126" s="536">
        <f t="shared" ref="G126:R126" si="72">SUM(G123:G125)</f>
        <v>20455.293599970671</v>
      </c>
      <c r="H126" s="536">
        <f t="shared" si="72"/>
        <v>24219.468799136816</v>
      </c>
      <c r="I126" s="536">
        <f t="shared" si="72"/>
        <v>24018.439212030109</v>
      </c>
      <c r="J126" s="536">
        <f t="shared" si="72"/>
        <v>24687</v>
      </c>
      <c r="K126" s="536">
        <f t="shared" si="72"/>
        <v>24996.242027012875</v>
      </c>
      <c r="L126" s="536">
        <f t="shared" si="72"/>
        <v>25422</v>
      </c>
      <c r="M126" s="536">
        <f t="shared" si="72"/>
        <v>24422.193309601087</v>
      </c>
      <c r="N126" s="536">
        <f t="shared" si="72"/>
        <v>25215.167948905873</v>
      </c>
      <c r="O126" s="536">
        <f t="shared" si="72"/>
        <v>26617.424405821377</v>
      </c>
      <c r="P126" s="536">
        <f t="shared" si="72"/>
        <v>29412.477627473563</v>
      </c>
      <c r="Q126" s="536">
        <f t="shared" si="72"/>
        <v>32613.966947797297</v>
      </c>
      <c r="R126" s="536">
        <f t="shared" si="72"/>
        <v>33714.92312405508</v>
      </c>
      <c r="S126" s="536">
        <f t="shared" ref="S126" si="73">SUM(S123:S125)</f>
        <v>36201</v>
      </c>
    </row>
    <row r="127" spans="1:19" ht="12.75" thickTop="1">
      <c r="A127" s="63"/>
      <c r="B127" s="63"/>
      <c r="C127" s="63"/>
      <c r="D127" s="63"/>
      <c r="E127" s="63"/>
      <c r="F127" s="219"/>
      <c r="G127" s="537">
        <f>(G126-F126)/F126</f>
        <v>-5.1988107518031346E-2</v>
      </c>
      <c r="H127" s="537">
        <f t="shared" ref="H127:S127" si="74">(H126-G126)/G126</f>
        <v>0.18401961236926664</v>
      </c>
      <c r="I127" s="537">
        <f t="shared" si="74"/>
        <v>-8.3003301506708177E-3</v>
      </c>
      <c r="J127" s="537">
        <f t="shared" si="74"/>
        <v>2.7835313613343748E-2</v>
      </c>
      <c r="K127" s="537">
        <f t="shared" si="74"/>
        <v>1.2526513023570099E-2</v>
      </c>
      <c r="L127" s="537">
        <f t="shared" si="74"/>
        <v>1.7032879283494611E-2</v>
      </c>
      <c r="M127" s="537">
        <f t="shared" si="74"/>
        <v>-3.9328404153839702E-2</v>
      </c>
      <c r="N127" s="537">
        <f t="shared" si="74"/>
        <v>3.2469427673928221E-2</v>
      </c>
      <c r="O127" s="537">
        <f t="shared" si="74"/>
        <v>5.5611624707673224E-2</v>
      </c>
      <c r="P127" s="537">
        <f t="shared" si="74"/>
        <v>0.10500840273038936</v>
      </c>
      <c r="Q127" s="537">
        <f t="shared" si="74"/>
        <v>0.10884799848800535</v>
      </c>
      <c r="R127" s="537">
        <f t="shared" si="74"/>
        <v>3.3757199117175785E-2</v>
      </c>
      <c r="S127" s="537">
        <f t="shared" si="74"/>
        <v>7.3738174244008359E-2</v>
      </c>
    </row>
    <row r="128" spans="1:19">
      <c r="A128" s="63"/>
      <c r="B128" s="102"/>
      <c r="C128" s="63"/>
      <c r="D128" s="63"/>
      <c r="E128" s="63"/>
      <c r="F128" s="219"/>
      <c r="G128" s="219"/>
      <c r="H128" s="219"/>
      <c r="I128" s="219"/>
      <c r="J128" s="219"/>
      <c r="K128" s="219"/>
      <c r="L128" s="219"/>
      <c r="M128" s="219"/>
      <c r="N128" s="219"/>
      <c r="O128" s="219"/>
      <c r="P128" s="219"/>
      <c r="Q128" s="219"/>
      <c r="R128" s="219"/>
      <c r="S128" s="219"/>
    </row>
    <row r="129" spans="1:19" ht="12.75" thickBot="1">
      <c r="A129" s="63">
        <v>27</v>
      </c>
      <c r="B129" s="538" t="s">
        <v>457</v>
      </c>
      <c r="C129" s="63"/>
      <c r="D129" s="63"/>
      <c r="E129" s="376" t="s">
        <v>474</v>
      </c>
      <c r="F129" s="536">
        <f>F78</f>
        <v>649149</v>
      </c>
      <c r="G129" s="536">
        <f t="shared" ref="G129:R129" si="75">G78</f>
        <v>662278</v>
      </c>
      <c r="H129" s="536">
        <f t="shared" si="75"/>
        <v>739502</v>
      </c>
      <c r="I129" s="536">
        <f t="shared" si="75"/>
        <v>720602</v>
      </c>
      <c r="J129" s="536">
        <f t="shared" si="75"/>
        <v>757756</v>
      </c>
      <c r="K129" s="536">
        <f t="shared" si="75"/>
        <v>799091</v>
      </c>
      <c r="L129" s="536">
        <f t="shared" si="75"/>
        <v>855712</v>
      </c>
      <c r="M129" s="536">
        <f t="shared" si="75"/>
        <v>870835</v>
      </c>
      <c r="N129" s="536">
        <f t="shared" si="75"/>
        <v>917247</v>
      </c>
      <c r="O129" s="536">
        <f t="shared" si="75"/>
        <v>987243</v>
      </c>
      <c r="P129" s="536">
        <f t="shared" si="75"/>
        <v>1036064</v>
      </c>
      <c r="Q129" s="536">
        <f t="shared" si="75"/>
        <v>1087141</v>
      </c>
      <c r="R129" s="536">
        <f t="shared" si="75"/>
        <v>1131570</v>
      </c>
      <c r="S129" s="536">
        <f t="shared" ref="S129" si="76">S78</f>
        <v>1195010</v>
      </c>
    </row>
    <row r="130" spans="1:19" ht="12.75" thickTop="1">
      <c r="A130" s="63"/>
      <c r="B130" s="63"/>
      <c r="C130" s="63"/>
      <c r="D130" s="63"/>
      <c r="E130" s="63"/>
      <c r="F130" s="219"/>
      <c r="G130" s="537">
        <f>(G129-F129)/F129</f>
        <v>2.0224940653070404E-2</v>
      </c>
      <c r="H130" s="537">
        <f t="shared" ref="H130:S130" si="77">(H129-G129)/G129</f>
        <v>0.11660360150873199</v>
      </c>
      <c r="I130" s="537">
        <f t="shared" si="77"/>
        <v>-2.5557740208951428E-2</v>
      </c>
      <c r="J130" s="537">
        <f t="shared" si="77"/>
        <v>5.1559668166338703E-2</v>
      </c>
      <c r="K130" s="537">
        <f t="shared" si="77"/>
        <v>5.4549221649185228E-2</v>
      </c>
      <c r="L130" s="537">
        <f t="shared" si="77"/>
        <v>7.0856760994680204E-2</v>
      </c>
      <c r="M130" s="537">
        <f t="shared" si="77"/>
        <v>1.7673002131558282E-2</v>
      </c>
      <c r="N130" s="537">
        <f t="shared" si="77"/>
        <v>5.3295974553158751E-2</v>
      </c>
      <c r="O130" s="537">
        <f t="shared" si="77"/>
        <v>7.6310960951630258E-2</v>
      </c>
      <c r="P130" s="537">
        <f t="shared" si="77"/>
        <v>4.9451857344139184E-2</v>
      </c>
      <c r="Q130" s="537">
        <f t="shared" si="77"/>
        <v>4.9299078049232482E-2</v>
      </c>
      <c r="R130" s="537">
        <f t="shared" si="77"/>
        <v>4.0867743926500798E-2</v>
      </c>
      <c r="S130" s="537">
        <f t="shared" si="77"/>
        <v>5.6063699108318529E-2</v>
      </c>
    </row>
    <row r="131" spans="1:19">
      <c r="A131" s="63"/>
      <c r="B131" s="538"/>
      <c r="C131" s="63"/>
      <c r="D131" s="63"/>
      <c r="E131" s="376"/>
      <c r="F131" s="219"/>
      <c r="G131" s="219"/>
      <c r="H131" s="219"/>
      <c r="I131" s="219"/>
      <c r="J131" s="219"/>
      <c r="K131" s="219"/>
      <c r="L131" s="219"/>
      <c r="M131" s="219"/>
      <c r="N131" s="219"/>
      <c r="O131" s="219"/>
      <c r="P131" s="219"/>
      <c r="Q131" s="219"/>
      <c r="R131" s="219"/>
      <c r="S131" s="219"/>
    </row>
    <row r="132" spans="1:19" ht="12.75" thickBot="1">
      <c r="A132" s="63">
        <v>28</v>
      </c>
      <c r="B132" s="538" t="s">
        <v>458</v>
      </c>
      <c r="C132" s="63"/>
      <c r="D132" s="63"/>
      <c r="E132" s="376" t="s">
        <v>475</v>
      </c>
      <c r="F132" s="536">
        <f>F82</f>
        <v>568492</v>
      </c>
      <c r="G132" s="536">
        <f t="shared" ref="G132:R132" si="78">G82</f>
        <v>597515</v>
      </c>
      <c r="H132" s="536">
        <f t="shared" si="78"/>
        <v>761858</v>
      </c>
      <c r="I132" s="536">
        <f t="shared" si="78"/>
        <v>742443</v>
      </c>
      <c r="J132" s="536">
        <f t="shared" si="78"/>
        <v>778011</v>
      </c>
      <c r="K132" s="536">
        <f t="shared" si="78"/>
        <v>819842</v>
      </c>
      <c r="L132" s="536">
        <f t="shared" si="78"/>
        <v>874511</v>
      </c>
      <c r="M132" s="536">
        <f t="shared" si="78"/>
        <v>891855</v>
      </c>
      <c r="N132" s="536">
        <f t="shared" si="78"/>
        <v>936840</v>
      </c>
      <c r="O132" s="536">
        <f t="shared" si="78"/>
        <v>1005019</v>
      </c>
      <c r="P132" s="536">
        <f t="shared" si="78"/>
        <v>1072028</v>
      </c>
      <c r="Q132" s="536">
        <f t="shared" si="78"/>
        <v>1137863</v>
      </c>
      <c r="R132" s="536">
        <f t="shared" si="78"/>
        <v>1158975</v>
      </c>
      <c r="S132" s="536">
        <f t="shared" ref="S132" si="79">S82</f>
        <v>1226052</v>
      </c>
    </row>
    <row r="133" spans="1:19" ht="12.75" thickTop="1">
      <c r="A133" s="63"/>
      <c r="B133" s="63"/>
      <c r="C133" s="63"/>
      <c r="D133" s="63"/>
      <c r="E133" s="63"/>
      <c r="F133" s="219"/>
      <c r="G133" s="537">
        <f>(G132-F132)/F132</f>
        <v>5.1052609359498465E-2</v>
      </c>
      <c r="H133" s="537">
        <f t="shared" ref="H133:S133" si="80">(H132-G132)/G132</f>
        <v>0.27504414115126818</v>
      </c>
      <c r="I133" s="537">
        <f t="shared" si="80"/>
        <v>-2.5483751565252316E-2</v>
      </c>
      <c r="J133" s="537">
        <f t="shared" si="80"/>
        <v>4.7906707989704263E-2</v>
      </c>
      <c r="K133" s="537">
        <f t="shared" si="80"/>
        <v>5.3766591989059281E-2</v>
      </c>
      <c r="L133" s="537">
        <f t="shared" si="80"/>
        <v>6.6682360747558678E-2</v>
      </c>
      <c r="M133" s="537">
        <f t="shared" si="80"/>
        <v>1.9832797986531901E-2</v>
      </c>
      <c r="N133" s="537">
        <f t="shared" si="80"/>
        <v>5.0439813646837209E-2</v>
      </c>
      <c r="O133" s="537">
        <f t="shared" si="80"/>
        <v>7.2775500619102512E-2</v>
      </c>
      <c r="P133" s="537">
        <f t="shared" si="80"/>
        <v>6.6674361380232611E-2</v>
      </c>
      <c r="Q133" s="537">
        <f t="shared" si="80"/>
        <v>6.1411642233225254E-2</v>
      </c>
      <c r="R133" s="537">
        <f t="shared" si="80"/>
        <v>1.855407900599633E-2</v>
      </c>
      <c r="S133" s="537">
        <f t="shared" si="80"/>
        <v>5.7876140555231992E-2</v>
      </c>
    </row>
    <row r="134" spans="1:19" ht="8.25" customHeight="1">
      <c r="A134" s="63"/>
      <c r="B134" s="63"/>
      <c r="C134" s="63"/>
      <c r="D134" s="63"/>
      <c r="E134" s="63"/>
      <c r="F134" s="219"/>
      <c r="G134" s="219"/>
      <c r="H134" s="219"/>
      <c r="I134" s="219"/>
      <c r="J134" s="219"/>
      <c r="K134" s="219"/>
      <c r="L134" s="219"/>
      <c r="M134" s="219"/>
      <c r="N134" s="219"/>
      <c r="O134" s="219"/>
      <c r="P134" s="219"/>
      <c r="Q134" s="219"/>
      <c r="R134" s="219"/>
      <c r="S134" s="219"/>
    </row>
    <row r="135" spans="1:19">
      <c r="A135" s="63"/>
      <c r="B135" s="102" t="s">
        <v>459</v>
      </c>
      <c r="C135" s="63"/>
      <c r="D135" s="63"/>
      <c r="E135" s="63"/>
      <c r="F135" s="219"/>
      <c r="G135" s="219"/>
      <c r="H135" s="219"/>
      <c r="I135" s="219"/>
      <c r="J135" s="219"/>
      <c r="K135" s="219"/>
      <c r="L135" s="219"/>
      <c r="M135" s="219"/>
      <c r="N135" s="219"/>
      <c r="O135" s="219"/>
      <c r="P135" s="219"/>
      <c r="Q135" s="219"/>
      <c r="R135" s="219"/>
      <c r="S135" s="219"/>
    </row>
    <row r="136" spans="1:19">
      <c r="A136" s="63">
        <v>29</v>
      </c>
      <c r="B136" s="102" t="s">
        <v>476</v>
      </c>
      <c r="C136" s="63"/>
      <c r="D136" s="63"/>
      <c r="E136" s="376" t="s">
        <v>477</v>
      </c>
      <c r="F136" s="219">
        <f>F14</f>
        <v>13062</v>
      </c>
      <c r="G136" s="219">
        <f t="shared" ref="G136:R136" si="81">G14</f>
        <v>14305</v>
      </c>
      <c r="H136" s="219">
        <f t="shared" si="81"/>
        <v>34274</v>
      </c>
      <c r="I136" s="219">
        <f t="shared" si="81"/>
        <v>57244</v>
      </c>
      <c r="J136" s="219">
        <f t="shared" si="81"/>
        <v>8587</v>
      </c>
      <c r="K136" s="219">
        <f t="shared" si="81"/>
        <v>10259</v>
      </c>
      <c r="L136" s="219">
        <f t="shared" si="81"/>
        <v>10178</v>
      </c>
      <c r="M136" s="219">
        <f t="shared" si="81"/>
        <v>10170</v>
      </c>
      <c r="N136" s="219">
        <f t="shared" si="81"/>
        <v>10927</v>
      </c>
      <c r="O136" s="219">
        <f t="shared" si="81"/>
        <v>9395</v>
      </c>
      <c r="P136" s="219">
        <f t="shared" si="81"/>
        <v>11786</v>
      </c>
      <c r="Q136" s="219">
        <f t="shared" si="81"/>
        <v>13666</v>
      </c>
      <c r="R136" s="219">
        <f t="shared" si="81"/>
        <v>13089</v>
      </c>
      <c r="S136" s="219">
        <f t="shared" ref="S136" si="82">S14</f>
        <v>13408</v>
      </c>
    </row>
    <row r="137" spans="1:19">
      <c r="A137" s="63">
        <v>30</v>
      </c>
      <c r="B137" s="102"/>
      <c r="C137" s="102" t="s">
        <v>478</v>
      </c>
      <c r="D137" s="63"/>
      <c r="E137" s="63"/>
      <c r="F137" s="219">
        <f>-'Other Rev'!E16</f>
        <v>-7824</v>
      </c>
      <c r="G137" s="219">
        <f>-'Other Rev'!F19</f>
        <v>-2251</v>
      </c>
      <c r="H137" s="219">
        <f>-'Other Rev'!G19</f>
        <v>-25293</v>
      </c>
      <c r="I137" s="219">
        <f>-'Other Rev'!H19</f>
        <v>-47139</v>
      </c>
      <c r="J137" s="219">
        <f>-'Other Rev'!I19</f>
        <v>-285</v>
      </c>
      <c r="K137" s="219">
        <f>-'Other Rev'!J19</f>
        <v>-179.11379999999997</v>
      </c>
      <c r="L137" s="219">
        <f>-'Other Rev'!K19</f>
        <v>-198</v>
      </c>
      <c r="M137" s="219">
        <f>-'Other Rev'!L19</f>
        <v>-221</v>
      </c>
      <c r="N137" s="219">
        <f>-'Other Rev'!M19</f>
        <v>-1839</v>
      </c>
      <c r="O137" s="219">
        <f>-'Other Rev'!N19</f>
        <v>-448.37979999999999</v>
      </c>
      <c r="P137" s="219">
        <f>-'Other Rev'!O19</f>
        <v>-639.87119999999993</v>
      </c>
      <c r="Q137" s="219">
        <f>-'Other Rev'!P19</f>
        <v>-1751.694</v>
      </c>
      <c r="R137" s="219">
        <f>-'Other Rev'!Q19</f>
        <v>-1489.3194000000001</v>
      </c>
      <c r="S137" s="219">
        <f>-'Other Rev'!R19</f>
        <v>-282</v>
      </c>
    </row>
    <row r="138" spans="1:19">
      <c r="A138" s="63">
        <v>31</v>
      </c>
      <c r="B138" s="102"/>
      <c r="C138" s="102" t="s">
        <v>479</v>
      </c>
      <c r="D138" s="63"/>
      <c r="E138" s="63"/>
      <c r="F138" s="219">
        <f>-'Other Rev'!E19</f>
        <v>-3487.7256000000007</v>
      </c>
      <c r="G138" s="219">
        <f>-'Other Rev'!F16</f>
        <v>-9892</v>
      </c>
      <c r="H138" s="219">
        <f>-'Other Rev'!G16</f>
        <v>-7115</v>
      </c>
      <c r="I138" s="219">
        <f>-'Other Rev'!H16</f>
        <v>-7569</v>
      </c>
      <c r="J138" s="219">
        <f>-'Other Rev'!I16</f>
        <v>-5523</v>
      </c>
      <c r="K138" s="219">
        <f>-'Other Rev'!J16</f>
        <v>-6637</v>
      </c>
      <c r="L138" s="219">
        <f>-'Other Rev'!K16</f>
        <v>-7024</v>
      </c>
      <c r="M138" s="219">
        <f>-'Other Rev'!L16</f>
        <v>-6876</v>
      </c>
      <c r="N138" s="219">
        <f>-'Other Rev'!M16</f>
        <v>-6213</v>
      </c>
      <c r="O138" s="219">
        <f>-'Other Rev'!N16</f>
        <v>-6133</v>
      </c>
      <c r="P138" s="219">
        <f>-'Other Rev'!O16</f>
        <v>-8333</v>
      </c>
      <c r="Q138" s="219">
        <f>-'Other Rev'!P16</f>
        <v>-9102</v>
      </c>
      <c r="R138" s="219">
        <f>-'Other Rev'!Q16</f>
        <v>-8285</v>
      </c>
      <c r="S138" s="219">
        <f>-'Other Rev'!R16</f>
        <v>-9662</v>
      </c>
    </row>
    <row r="139" spans="1:19" ht="12.75" thickBot="1">
      <c r="A139" s="63">
        <v>32</v>
      </c>
      <c r="B139" s="538" t="s">
        <v>390</v>
      </c>
      <c r="C139" s="102"/>
      <c r="D139" s="63"/>
      <c r="E139" s="63"/>
      <c r="F139" s="536">
        <f>SUM(F136:F138)</f>
        <v>1750.2743999999993</v>
      </c>
      <c r="G139" s="536">
        <f t="shared" ref="G139:R139" si="83">SUM(G136:G138)</f>
        <v>2162</v>
      </c>
      <c r="H139" s="536">
        <f t="shared" si="83"/>
        <v>1866</v>
      </c>
      <c r="I139" s="536">
        <f t="shared" si="83"/>
        <v>2536</v>
      </c>
      <c r="J139" s="536">
        <f t="shared" si="83"/>
        <v>2779</v>
      </c>
      <c r="K139" s="536">
        <f t="shared" si="83"/>
        <v>3442.8862000000008</v>
      </c>
      <c r="L139" s="536">
        <f t="shared" si="83"/>
        <v>2956</v>
      </c>
      <c r="M139" s="536">
        <f t="shared" si="83"/>
        <v>3073</v>
      </c>
      <c r="N139" s="536">
        <f t="shared" si="83"/>
        <v>2875</v>
      </c>
      <c r="O139" s="536">
        <f t="shared" si="83"/>
        <v>2813.6201999999994</v>
      </c>
      <c r="P139" s="536">
        <f t="shared" si="83"/>
        <v>2813.1288000000004</v>
      </c>
      <c r="Q139" s="536">
        <f t="shared" si="83"/>
        <v>2812.3060000000005</v>
      </c>
      <c r="R139" s="536">
        <f t="shared" si="83"/>
        <v>3314.6805999999997</v>
      </c>
      <c r="S139" s="536">
        <f t="shared" ref="S139" si="84">SUM(S136:S138)</f>
        <v>3464</v>
      </c>
    </row>
    <row r="140" spans="1:19" ht="12.75" thickTop="1">
      <c r="A140" s="63"/>
      <c r="F140" s="89"/>
      <c r="G140" s="537">
        <f>(G139-F139)/F139</f>
        <v>0.23523488659835329</v>
      </c>
      <c r="H140" s="537">
        <f t="shared" ref="H140:S140" si="85">(H139-G139)/G139</f>
        <v>-0.13691026827012026</v>
      </c>
      <c r="I140" s="537">
        <f t="shared" si="85"/>
        <v>0.35905680600214362</v>
      </c>
      <c r="J140" s="537">
        <f t="shared" si="85"/>
        <v>9.5820189274447951E-2</v>
      </c>
      <c r="K140" s="537">
        <f t="shared" si="85"/>
        <v>0.23889391867578294</v>
      </c>
      <c r="L140" s="537">
        <f t="shared" si="85"/>
        <v>-0.14141803467102709</v>
      </c>
      <c r="M140" s="537">
        <f t="shared" si="85"/>
        <v>3.9580514208389712E-2</v>
      </c>
      <c r="N140" s="537">
        <f t="shared" si="85"/>
        <v>-6.4432150992515452E-2</v>
      </c>
      <c r="O140" s="537">
        <f t="shared" si="85"/>
        <v>-2.1349495652174127E-2</v>
      </c>
      <c r="P140" s="537">
        <f t="shared" si="85"/>
        <v>-1.7465043789455863E-4</v>
      </c>
      <c r="Q140" s="537">
        <f t="shared" si="85"/>
        <v>-2.9248571910390862E-4</v>
      </c>
      <c r="R140" s="537">
        <f t="shared" si="85"/>
        <v>0.17863440180407078</v>
      </c>
      <c r="S140" s="537">
        <f t="shared" si="85"/>
        <v>4.5047899939439209E-2</v>
      </c>
    </row>
    <row r="141" spans="1:19" ht="4.5" hidden="1" customHeight="1">
      <c r="A141" s="63"/>
      <c r="F141" s="89"/>
      <c r="G141" s="537"/>
      <c r="H141" s="537"/>
      <c r="I141" s="537"/>
      <c r="J141" s="537"/>
      <c r="K141" s="537"/>
      <c r="L141" s="537"/>
      <c r="M141" s="537"/>
      <c r="N141" s="537"/>
      <c r="O141" s="537"/>
      <c r="P141" s="537"/>
      <c r="Q141" s="537"/>
      <c r="R141" s="537"/>
      <c r="S141" s="178"/>
    </row>
    <row r="142" spans="1:19" ht="14.25" customHeight="1">
      <c r="A142" s="63"/>
      <c r="B142" s="545"/>
      <c r="C142" s="545"/>
      <c r="D142" s="775"/>
      <c r="E142" s="775"/>
      <c r="F142" s="775"/>
      <c r="G142" s="775"/>
      <c r="H142" s="775"/>
      <c r="I142" s="775"/>
      <c r="J142" s="775"/>
      <c r="K142" s="775"/>
      <c r="L142" s="775"/>
      <c r="M142" s="775"/>
      <c r="N142" s="775"/>
      <c r="O142" s="775"/>
      <c r="P142" s="775"/>
      <c r="Q142" s="775"/>
      <c r="R142" s="775"/>
      <c r="S142" s="178"/>
    </row>
    <row r="143" spans="1:19" ht="4.9000000000000004" customHeight="1">
      <c r="A143" s="63"/>
      <c r="F143" s="89"/>
      <c r="G143" s="537"/>
      <c r="H143" s="537"/>
      <c r="I143" s="537"/>
      <c r="J143" s="537"/>
      <c r="K143" s="537"/>
      <c r="L143" s="537"/>
      <c r="M143" s="537"/>
      <c r="N143" s="537"/>
      <c r="O143" s="537"/>
      <c r="P143" s="537"/>
      <c r="Q143" s="537"/>
      <c r="R143" s="537"/>
      <c r="S143" s="178"/>
    </row>
    <row r="144" spans="1:19">
      <c r="A144" s="603" t="s">
        <v>117</v>
      </c>
      <c r="F144" s="89"/>
      <c r="G144" s="537"/>
      <c r="H144" s="537"/>
      <c r="I144" s="537"/>
      <c r="J144" s="537"/>
      <c r="K144" s="537"/>
      <c r="L144" s="537"/>
      <c r="M144" s="537"/>
      <c r="N144" s="537"/>
      <c r="O144" s="537"/>
      <c r="P144" s="537"/>
      <c r="Q144" s="537"/>
      <c r="R144" s="537"/>
      <c r="S144" s="178"/>
    </row>
    <row r="145" spans="1:20">
      <c r="A145" s="603" t="s">
        <v>489</v>
      </c>
      <c r="F145" s="89"/>
      <c r="G145" s="537"/>
      <c r="H145" s="537"/>
      <c r="I145" s="537"/>
      <c r="J145" s="537"/>
      <c r="K145" s="537"/>
      <c r="L145" s="537"/>
      <c r="M145" s="537"/>
      <c r="N145" s="537"/>
      <c r="O145" s="537"/>
      <c r="P145" s="537"/>
      <c r="Q145" s="537"/>
      <c r="R145" s="537"/>
      <c r="S145" s="178"/>
    </row>
    <row r="146" spans="1:20">
      <c r="A146" s="603" t="s">
        <v>488</v>
      </c>
      <c r="F146" s="89"/>
      <c r="G146" s="537"/>
      <c r="H146" s="537"/>
      <c r="I146" s="537"/>
      <c r="J146" s="537"/>
      <c r="K146" s="537"/>
      <c r="L146" s="537"/>
      <c r="M146" s="537"/>
      <c r="N146" s="537"/>
      <c r="O146" s="537"/>
      <c r="P146" s="537"/>
      <c r="Q146" s="537"/>
      <c r="R146" s="537"/>
      <c r="S146" s="178"/>
    </row>
    <row r="147" spans="1:20" ht="0.6" customHeight="1">
      <c r="A147" s="63"/>
      <c r="G147" s="41"/>
      <c r="H147" s="41"/>
      <c r="I147" s="41"/>
      <c r="J147" s="41"/>
      <c r="L147" s="41"/>
      <c r="M147" s="41"/>
      <c r="N147" s="41"/>
      <c r="O147" s="41"/>
      <c r="P147" s="41"/>
      <c r="Q147" s="41"/>
      <c r="R147" s="41"/>
    </row>
    <row r="148" spans="1:20" ht="15.75">
      <c r="E148" s="771" t="s">
        <v>518</v>
      </c>
      <c r="F148" s="771"/>
      <c r="G148" s="771"/>
      <c r="H148" s="771"/>
      <c r="I148" s="771"/>
      <c r="J148" s="771"/>
      <c r="K148" s="771"/>
      <c r="L148" s="771"/>
      <c r="M148" s="771"/>
      <c r="N148" s="771"/>
      <c r="O148" s="771"/>
      <c r="P148" s="771"/>
      <c r="Q148" s="771"/>
      <c r="R148" s="771"/>
    </row>
    <row r="149" spans="1:20" ht="12.75">
      <c r="A149" s="424" t="s">
        <v>3</v>
      </c>
      <c r="B149"/>
      <c r="C149"/>
      <c r="D149"/>
      <c r="E149"/>
      <c r="F149" s="40"/>
      <c r="G149" s="40"/>
      <c r="H149" s="40"/>
      <c r="I149" s="40"/>
      <c r="J149" s="40"/>
      <c r="K149" s="40"/>
      <c r="L149" s="40"/>
      <c r="M149" s="40"/>
      <c r="N149" s="40"/>
      <c r="O149" s="40"/>
      <c r="P149" s="40"/>
      <c r="Q149" s="40"/>
      <c r="S149" s="40"/>
      <c r="T149" s="102"/>
    </row>
    <row r="150" spans="1:20" ht="12.75">
      <c r="A150" s="426" t="s">
        <v>90</v>
      </c>
      <c r="B150" s="427" t="s">
        <v>374</v>
      </c>
      <c r="C150" s="427"/>
      <c r="D150" s="428"/>
      <c r="E150" s="429"/>
      <c r="F150" s="429"/>
      <c r="G150" s="605"/>
      <c r="H150" s="605" t="s">
        <v>375</v>
      </c>
      <c r="I150" s="605" t="s">
        <v>376</v>
      </c>
      <c r="J150" s="605" t="s">
        <v>377</v>
      </c>
      <c r="K150" s="605" t="s">
        <v>378</v>
      </c>
      <c r="L150" s="605" t="s">
        <v>379</v>
      </c>
      <c r="M150" s="605" t="s">
        <v>380</v>
      </c>
      <c r="N150" s="605" t="s">
        <v>381</v>
      </c>
      <c r="O150" s="605" t="s">
        <v>382</v>
      </c>
      <c r="P150" s="605" t="s">
        <v>383</v>
      </c>
      <c r="Q150" s="605" t="s">
        <v>384</v>
      </c>
      <c r="R150" s="605" t="s">
        <v>385</v>
      </c>
      <c r="S150" s="605" t="s">
        <v>538</v>
      </c>
      <c r="T150" s="102"/>
    </row>
    <row r="151" spans="1:20" ht="12.75">
      <c r="A151" s="430"/>
      <c r="B151"/>
      <c r="C151"/>
      <c r="D151"/>
      <c r="E151"/>
      <c r="F151"/>
      <c r="G151" s="550"/>
      <c r="H151" s="550"/>
      <c r="I151" s="550"/>
      <c r="J151" s="550"/>
      <c r="K151" s="550"/>
      <c r="L151" s="550"/>
      <c r="M151" s="550"/>
      <c r="N151" s="550"/>
      <c r="O151" s="550"/>
      <c r="P151" s="425"/>
      <c r="Q151" s="425"/>
      <c r="R151" s="425"/>
      <c r="S151" s="425"/>
      <c r="T151" s="102"/>
    </row>
    <row r="152" spans="1:20" ht="12.75">
      <c r="A152" s="430">
        <v>1</v>
      </c>
      <c r="B152" s="431" t="s">
        <v>386</v>
      </c>
      <c r="C152"/>
      <c r="D152"/>
      <c r="E152"/>
      <c r="F152"/>
      <c r="G152" s="551"/>
      <c r="H152" s="551">
        <f t="shared" ref="H152:Q152" si="86">(H103-G103)/G103</f>
        <v>0.14763757000474759</v>
      </c>
      <c r="I152" s="551">
        <f t="shared" si="86"/>
        <v>-3.515440373150007E-2</v>
      </c>
      <c r="J152" s="551">
        <f t="shared" si="86"/>
        <v>0.12245247755744083</v>
      </c>
      <c r="K152" s="551">
        <f t="shared" si="86"/>
        <v>9.6827726347769195E-3</v>
      </c>
      <c r="L152" s="551">
        <f t="shared" si="86"/>
        <v>7.242209997672179E-2</v>
      </c>
      <c r="M152" s="551">
        <f t="shared" si="86"/>
        <v>3.809384416546472E-2</v>
      </c>
      <c r="N152" s="551">
        <f t="shared" si="86"/>
        <v>7.5203913425506114E-2</v>
      </c>
      <c r="O152" s="551">
        <f t="shared" si="86"/>
        <v>0.13691574669954099</v>
      </c>
      <c r="P152" s="551">
        <f t="shared" si="86"/>
        <v>8.2355376896122243E-3</v>
      </c>
      <c r="Q152" s="551">
        <f t="shared" si="86"/>
        <v>8.595926573694776E-2</v>
      </c>
      <c r="R152" s="551">
        <f>(R103-Q103)/Q103</f>
        <v>9.0570519438757366E-2</v>
      </c>
      <c r="S152" s="551">
        <f>(S103-R103)/R103</f>
        <v>-4.5222851715060755E-2</v>
      </c>
      <c r="T152" s="102"/>
    </row>
    <row r="153" spans="1:20" ht="12.75">
      <c r="A153" s="430"/>
      <c r="B153"/>
      <c r="C153"/>
      <c r="D153"/>
      <c r="E153"/>
      <c r="F153"/>
      <c r="G153" s="550"/>
      <c r="H153" s="550"/>
      <c r="I153" s="550"/>
      <c r="J153" s="550"/>
      <c r="K153" s="550"/>
      <c r="L153" s="550"/>
      <c r="M153" s="550"/>
      <c r="N153" s="550"/>
      <c r="O153" s="550"/>
      <c r="P153" s="550"/>
      <c r="Q153" s="550"/>
      <c r="R153" s="550"/>
      <c r="S153" s="550"/>
      <c r="T153" s="102"/>
    </row>
    <row r="154" spans="1:20" ht="12.75">
      <c r="A154" s="430">
        <v>2</v>
      </c>
      <c r="B154" s="431" t="s">
        <v>481</v>
      </c>
      <c r="C154"/>
      <c r="D154"/>
      <c r="E154"/>
      <c r="F154"/>
      <c r="G154" s="551"/>
      <c r="H154" s="551">
        <f t="shared" ref="H154:R154" si="87">(H110-G110)/G110</f>
        <v>0.25685906786135998</v>
      </c>
      <c r="I154" s="551">
        <f t="shared" si="87"/>
        <v>2.0558165239016303E-2</v>
      </c>
      <c r="J154" s="551">
        <f t="shared" si="87"/>
        <v>4.1073265825526617E-2</v>
      </c>
      <c r="K154" s="551">
        <f t="shared" si="87"/>
        <v>2.8971938311097241E-2</v>
      </c>
      <c r="L154" s="551">
        <f t="shared" si="87"/>
        <v>5.6792619739668898E-2</v>
      </c>
      <c r="M154" s="551">
        <f t="shared" si="87"/>
        <v>2.7193150291782264E-2</v>
      </c>
      <c r="N154" s="551">
        <f t="shared" si="87"/>
        <v>6.8104030361591655E-2</v>
      </c>
      <c r="O154" s="551">
        <f t="shared" si="87"/>
        <v>5.6502594061995905E-2</v>
      </c>
      <c r="P154" s="551">
        <f t="shared" si="87"/>
        <v>7.8488012214748479E-2</v>
      </c>
      <c r="Q154" s="551">
        <f t="shared" si="87"/>
        <v>5.8044767553089724E-2</v>
      </c>
      <c r="R154" s="551">
        <f t="shared" si="87"/>
        <v>6.5854187762187183E-2</v>
      </c>
      <c r="S154" s="551">
        <f>(S110-R110)/R110</f>
        <v>2.3156787568282836E-2</v>
      </c>
      <c r="T154" s="102"/>
    </row>
    <row r="155" spans="1:20" ht="12.75">
      <c r="A155" s="430"/>
      <c r="B155"/>
      <c r="C155"/>
      <c r="D155"/>
      <c r="E155"/>
      <c r="F155"/>
      <c r="G155" s="550"/>
      <c r="H155" s="550"/>
      <c r="I155" s="550"/>
      <c r="J155" s="550"/>
      <c r="K155" s="550"/>
      <c r="L155" s="550"/>
      <c r="M155" s="550"/>
      <c r="N155" s="550"/>
      <c r="O155" s="550"/>
      <c r="P155" s="425"/>
      <c r="Q155" s="425"/>
      <c r="R155" s="425"/>
      <c r="S155" s="425"/>
      <c r="T155" s="102"/>
    </row>
    <row r="156" spans="1:20" ht="12.75">
      <c r="A156" s="430">
        <v>3</v>
      </c>
      <c r="B156" s="432" t="s">
        <v>388</v>
      </c>
      <c r="C156"/>
      <c r="D156"/>
      <c r="E156"/>
      <c r="F156"/>
      <c r="G156" s="551"/>
      <c r="H156" s="551">
        <f t="shared" ref="H156:S156" si="88">(H126-G126)/G126</f>
        <v>0.18401961236926664</v>
      </c>
      <c r="I156" s="551">
        <f t="shared" si="88"/>
        <v>-8.3003301506708177E-3</v>
      </c>
      <c r="J156" s="551">
        <f t="shared" si="88"/>
        <v>2.7835313613343748E-2</v>
      </c>
      <c r="K156" s="551">
        <f t="shared" si="88"/>
        <v>1.2526513023570099E-2</v>
      </c>
      <c r="L156" s="551">
        <f>(L126-K126)/K126</f>
        <v>1.7032879283494611E-2</v>
      </c>
      <c r="M156" s="551">
        <f t="shared" si="88"/>
        <v>-3.9328404153839702E-2</v>
      </c>
      <c r="N156" s="551">
        <f t="shared" si="88"/>
        <v>3.2469427673928221E-2</v>
      </c>
      <c r="O156" s="551">
        <f t="shared" si="88"/>
        <v>5.5611624707673224E-2</v>
      </c>
      <c r="P156" s="551">
        <f t="shared" si="88"/>
        <v>0.10500840273038936</v>
      </c>
      <c r="Q156" s="551">
        <f t="shared" si="88"/>
        <v>0.10884799848800535</v>
      </c>
      <c r="R156" s="551">
        <f t="shared" si="88"/>
        <v>3.3757199117175785E-2</v>
      </c>
      <c r="S156" s="551">
        <f t="shared" si="88"/>
        <v>7.3738174244008359E-2</v>
      </c>
      <c r="T156" s="102"/>
    </row>
    <row r="157" spans="1:20" ht="12.75">
      <c r="A157" s="430"/>
      <c r="B157"/>
      <c r="C157"/>
      <c r="D157"/>
      <c r="E157"/>
      <c r="F157"/>
      <c r="G157" s="550"/>
      <c r="H157" s="550"/>
      <c r="I157" s="550"/>
      <c r="J157" s="550"/>
      <c r="K157" s="550"/>
      <c r="L157" s="550"/>
      <c r="M157" s="550"/>
      <c r="N157" s="550"/>
      <c r="O157" s="550"/>
      <c r="P157" s="425"/>
      <c r="Q157" s="425"/>
      <c r="R157" s="425"/>
      <c r="S157" s="425"/>
      <c r="T157" s="102"/>
    </row>
    <row r="158" spans="1:20" ht="12.75">
      <c r="A158" s="430">
        <v>4</v>
      </c>
      <c r="B158" s="433" t="s">
        <v>299</v>
      </c>
      <c r="C158"/>
      <c r="D158"/>
      <c r="E158"/>
      <c r="F158"/>
      <c r="G158" s="551"/>
      <c r="H158" s="551">
        <f t="shared" ref="H158:S158" si="89">(H129-G129)/G129</f>
        <v>0.11660360150873199</v>
      </c>
      <c r="I158" s="551">
        <f t="shared" si="89"/>
        <v>-2.5557740208951428E-2</v>
      </c>
      <c r="J158" s="551">
        <f t="shared" si="89"/>
        <v>5.1559668166338703E-2</v>
      </c>
      <c r="K158" s="551">
        <f t="shared" si="89"/>
        <v>5.4549221649185228E-2</v>
      </c>
      <c r="L158" s="551">
        <f t="shared" si="89"/>
        <v>7.0856760994680204E-2</v>
      </c>
      <c r="M158" s="551">
        <f t="shared" si="89"/>
        <v>1.7673002131558282E-2</v>
      </c>
      <c r="N158" s="551">
        <f t="shared" si="89"/>
        <v>5.3295974553158751E-2</v>
      </c>
      <c r="O158" s="551">
        <f t="shared" si="89"/>
        <v>7.6310960951630258E-2</v>
      </c>
      <c r="P158" s="551">
        <f t="shared" si="89"/>
        <v>4.9451857344139184E-2</v>
      </c>
      <c r="Q158" s="551">
        <f t="shared" si="89"/>
        <v>4.9299078049232482E-2</v>
      </c>
      <c r="R158" s="551">
        <f t="shared" si="89"/>
        <v>4.0867743926500798E-2</v>
      </c>
      <c r="S158" s="551">
        <f t="shared" si="89"/>
        <v>5.6063699108318529E-2</v>
      </c>
      <c r="T158" s="102"/>
    </row>
    <row r="159" spans="1:20" ht="12.75">
      <c r="A159" s="430"/>
      <c r="B159"/>
      <c r="C159"/>
      <c r="D159"/>
      <c r="E159"/>
      <c r="F159"/>
      <c r="G159" s="550"/>
      <c r="H159" s="550"/>
      <c r="I159" s="550"/>
      <c r="J159" s="550"/>
      <c r="K159" s="550"/>
      <c r="L159" s="550"/>
      <c r="M159" s="550"/>
      <c r="N159" s="550"/>
      <c r="O159" s="550"/>
      <c r="P159" s="550"/>
      <c r="Q159" s="550"/>
      <c r="R159" s="550"/>
      <c r="S159" s="550"/>
      <c r="T159" s="102"/>
    </row>
    <row r="160" spans="1:20" ht="12.75">
      <c r="A160" s="430">
        <v>5</v>
      </c>
      <c r="B160" s="433" t="s">
        <v>458</v>
      </c>
      <c r="C160"/>
      <c r="D160"/>
      <c r="E160"/>
      <c r="F160"/>
      <c r="G160" s="551"/>
      <c r="H160" s="551">
        <f t="shared" ref="H160:S160" si="90">(H132-G132)/G132</f>
        <v>0.27504414115126818</v>
      </c>
      <c r="I160" s="551">
        <f t="shared" si="90"/>
        <v>-2.5483751565252316E-2</v>
      </c>
      <c r="J160" s="551">
        <f t="shared" si="90"/>
        <v>4.7906707989704263E-2</v>
      </c>
      <c r="K160" s="551">
        <f t="shared" si="90"/>
        <v>5.3766591989059281E-2</v>
      </c>
      <c r="L160" s="551">
        <f t="shared" si="90"/>
        <v>6.6682360747558678E-2</v>
      </c>
      <c r="M160" s="551">
        <f t="shared" si="90"/>
        <v>1.9832797986531901E-2</v>
      </c>
      <c r="N160" s="551">
        <f t="shared" si="90"/>
        <v>5.0439813646837209E-2</v>
      </c>
      <c r="O160" s="551">
        <f t="shared" si="90"/>
        <v>7.2775500619102512E-2</v>
      </c>
      <c r="P160" s="551">
        <f t="shared" si="90"/>
        <v>6.6674361380232611E-2</v>
      </c>
      <c r="Q160" s="551">
        <f t="shared" si="90"/>
        <v>6.1411642233225254E-2</v>
      </c>
      <c r="R160" s="551">
        <f t="shared" si="90"/>
        <v>1.855407900599633E-2</v>
      </c>
      <c r="S160" s="551">
        <f t="shared" si="90"/>
        <v>5.7876140555231992E-2</v>
      </c>
      <c r="T160" s="102"/>
    </row>
    <row r="161" spans="1:22" ht="12.75">
      <c r="A161" s="430"/>
      <c r="B161" s="433"/>
      <c r="C161"/>
      <c r="D161"/>
      <c r="E161"/>
      <c r="F161"/>
      <c r="G161" s="551"/>
      <c r="H161" s="551"/>
      <c r="I161" s="551"/>
      <c r="J161" s="551"/>
      <c r="K161" s="551"/>
      <c r="L161" s="551"/>
      <c r="M161" s="551"/>
      <c r="N161" s="551"/>
      <c r="O161" s="551"/>
      <c r="P161" s="551"/>
      <c r="Q161" s="551"/>
      <c r="R161" s="551"/>
      <c r="S161" s="551"/>
      <c r="T161" s="102"/>
    </row>
    <row r="162" spans="1:22" ht="12.75">
      <c r="A162" s="430">
        <v>6</v>
      </c>
      <c r="B162" s="433" t="s">
        <v>390</v>
      </c>
      <c r="C162"/>
      <c r="D162"/>
      <c r="E162"/>
      <c r="F162"/>
      <c r="G162" s="551"/>
      <c r="H162" s="551">
        <f t="shared" ref="H162:S162" si="91">(H139-G139)/G139</f>
        <v>-0.13691026827012026</v>
      </c>
      <c r="I162" s="551">
        <f t="shared" si="91"/>
        <v>0.35905680600214362</v>
      </c>
      <c r="J162" s="551">
        <f t="shared" si="91"/>
        <v>9.5820189274447951E-2</v>
      </c>
      <c r="K162" s="551">
        <f t="shared" si="91"/>
        <v>0.23889391867578294</v>
      </c>
      <c r="L162" s="551">
        <f t="shared" si="91"/>
        <v>-0.14141803467102709</v>
      </c>
      <c r="M162" s="551">
        <f t="shared" si="91"/>
        <v>3.9580514208389712E-2</v>
      </c>
      <c r="N162" s="551">
        <f t="shared" si="91"/>
        <v>-6.4432150992515452E-2</v>
      </c>
      <c r="O162" s="551">
        <f t="shared" si="91"/>
        <v>-2.1349495652174127E-2</v>
      </c>
      <c r="P162" s="551">
        <f t="shared" si="91"/>
        <v>-1.7465043789455863E-4</v>
      </c>
      <c r="Q162" s="551">
        <f t="shared" si="91"/>
        <v>-2.9248571910390862E-4</v>
      </c>
      <c r="R162" s="551">
        <f t="shared" si="91"/>
        <v>0.17863440180407078</v>
      </c>
      <c r="S162" s="551">
        <f t="shared" si="91"/>
        <v>4.5047899939439209E-2</v>
      </c>
      <c r="T162" s="102"/>
    </row>
    <row r="163" spans="1:22" ht="12.75">
      <c r="A163" s="430"/>
      <c r="B163"/>
      <c r="C163"/>
      <c r="D163"/>
      <c r="E163"/>
      <c r="F163"/>
      <c r="G163"/>
      <c r="H163"/>
      <c r="I163"/>
      <c r="J163"/>
      <c r="K163"/>
      <c r="L163"/>
      <c r="M163"/>
      <c r="N163"/>
      <c r="O163"/>
      <c r="P163" s="425"/>
      <c r="Q163" s="425"/>
      <c r="R163" s="425"/>
      <c r="S163" s="40"/>
      <c r="T163" s="102"/>
    </row>
    <row r="164" spans="1:22" ht="13.5" thickBot="1">
      <c r="A164" s="430"/>
      <c r="B164"/>
      <c r="C164"/>
      <c r="D164"/>
      <c r="E164"/>
      <c r="F164"/>
      <c r="G164"/>
      <c r="H164"/>
      <c r="I164"/>
      <c r="J164"/>
      <c r="K164"/>
      <c r="L164" s="540"/>
      <c r="M164"/>
      <c r="N164" s="540"/>
      <c r="O164"/>
      <c r="P164" s="540"/>
      <c r="Q164" s="425"/>
      <c r="R164" s="425"/>
      <c r="S164" s="40"/>
      <c r="T164" s="102"/>
    </row>
    <row r="165" spans="1:22" ht="12.75">
      <c r="A165" s="430"/>
      <c r="B165" s="427" t="s">
        <v>539</v>
      </c>
      <c r="C165" s="427"/>
      <c r="D165" s="428"/>
      <c r="E165" s="429"/>
      <c r="F165" s="429"/>
      <c r="G165" s="664" t="s">
        <v>592</v>
      </c>
      <c r="H165" s="605" t="s">
        <v>540</v>
      </c>
      <c r="I165" s="605" t="s">
        <v>541</v>
      </c>
      <c r="J165" s="605" t="s">
        <v>542</v>
      </c>
      <c r="K165" s="605" t="s">
        <v>543</v>
      </c>
      <c r="L165" s="605" t="s">
        <v>544</v>
      </c>
      <c r="M165" s="605" t="s">
        <v>545</v>
      </c>
      <c r="N165" s="605" t="s">
        <v>546</v>
      </c>
      <c r="O165" s="605" t="s">
        <v>547</v>
      </c>
      <c r="P165" s="605" t="s">
        <v>548</v>
      </c>
      <c r="Q165" s="605" t="s">
        <v>549</v>
      </c>
      <c r="R165" s="605" t="s">
        <v>550</v>
      </c>
      <c r="S165" s="605" t="s">
        <v>538</v>
      </c>
      <c r="T165" s="605" t="s">
        <v>577</v>
      </c>
      <c r="U165" s="605" t="s">
        <v>578</v>
      </c>
      <c r="V165" s="662" t="s">
        <v>587</v>
      </c>
    </row>
    <row r="166" spans="1:22" ht="12.75">
      <c r="A166" s="430"/>
      <c r="B166"/>
      <c r="C166"/>
      <c r="D166"/>
      <c r="E166"/>
      <c r="F166"/>
      <c r="G166" s="665"/>
      <c r="H166" s="552"/>
      <c r="I166" s="552"/>
      <c r="J166" s="552"/>
      <c r="K166" s="552"/>
      <c r="L166" s="552"/>
      <c r="M166" s="552"/>
      <c r="N166" s="552"/>
      <c r="O166" s="552"/>
      <c r="P166" s="425"/>
      <c r="Q166" s="425"/>
      <c r="R166" s="425"/>
      <c r="S166" s="63"/>
      <c r="T166" s="102"/>
      <c r="V166" s="659"/>
    </row>
    <row r="167" spans="1:22" ht="12.75">
      <c r="A167" s="430">
        <v>7</v>
      </c>
      <c r="B167" s="431" t="s">
        <v>386</v>
      </c>
      <c r="C167"/>
      <c r="D167"/>
      <c r="E167"/>
      <c r="F167"/>
      <c r="G167" s="677">
        <f>HLOOKUP(Summary!$O$18, H165:V179, 3, FALSE)</f>
        <v>4.8607112286981558E-2</v>
      </c>
      <c r="H167" s="675">
        <f>RATE(12,,-G103,$S103)</f>
        <v>5.7095011468596017E-2</v>
      </c>
      <c r="I167" s="675">
        <f>RATE(11,,-H103,$S103)</f>
        <v>4.9226887230523771E-2</v>
      </c>
      <c r="J167" s="675">
        <f>RATE(10,,-I103,$S103)</f>
        <v>5.8060668091772349E-2</v>
      </c>
      <c r="K167" s="675">
        <f>RATE(9,,-J103,$S103)</f>
        <v>5.1138029862917621E-2</v>
      </c>
      <c r="L167" s="675">
        <f>RATE(8,,-K103,$S103)</f>
        <v>5.6438206758069653E-2</v>
      </c>
      <c r="M167" s="675">
        <f>RATE(7,,-L103,$S103)</f>
        <v>5.4174324312996659E-2</v>
      </c>
      <c r="N167" s="676">
        <f>RATE(6,,-M103,$S103)</f>
        <v>5.6878518235045278E-2</v>
      </c>
      <c r="O167" s="675">
        <f>RATE(5,,-N103,$S103)</f>
        <v>5.3251090647050352E-2</v>
      </c>
      <c r="P167" s="675">
        <f>RATE(4,,-O103,$S103)</f>
        <v>3.3315220452201241E-2</v>
      </c>
      <c r="Q167" s="675">
        <f>RATE(3,,-P103,$S103)</f>
        <v>4.181299015185868E-2</v>
      </c>
      <c r="R167" s="675">
        <f>RATE(2,,-Q103,$S103)</f>
        <v>2.0417468761370173E-2</v>
      </c>
      <c r="S167" s="675">
        <f>RATE(1,,-R103,$S103)</f>
        <v>-4.5222851715060713E-2</v>
      </c>
      <c r="T167" s="437">
        <f>'Trends - Adj Op Exp'!D13</f>
        <v>4.427670998365886E-2</v>
      </c>
      <c r="U167" s="46">
        <f>'Trends - Adj Op Exp'!D14</f>
        <v>5.2937514590304255E-2</v>
      </c>
      <c r="V167" s="706">
        <f>AVERAGE(T167,U167)</f>
        <v>4.8607112286981558E-2</v>
      </c>
    </row>
    <row r="168" spans="1:22" ht="12.75">
      <c r="A168" s="430"/>
      <c r="B168" s="431"/>
      <c r="C168"/>
      <c r="D168"/>
      <c r="E168"/>
      <c r="F168"/>
      <c r="G168" s="677"/>
      <c r="H168" s="675"/>
      <c r="I168" s="675"/>
      <c r="J168" s="675"/>
      <c r="K168" s="675"/>
      <c r="L168" s="675"/>
      <c r="M168" s="675"/>
      <c r="N168" s="676"/>
      <c r="O168" s="675"/>
      <c r="P168" s="675"/>
      <c r="Q168" s="675"/>
      <c r="R168" s="675"/>
      <c r="S168" s="675"/>
      <c r="T168" s="437"/>
      <c r="U168" s="46"/>
      <c r="V168" s="659"/>
    </row>
    <row r="169" spans="1:22" ht="12.75">
      <c r="A169" s="430" t="s">
        <v>519</v>
      </c>
      <c r="B169" s="431" t="s">
        <v>524</v>
      </c>
      <c r="C169"/>
      <c r="D169"/>
      <c r="E169"/>
      <c r="F169"/>
      <c r="G169" s="677">
        <f>HLOOKUP(Summary!$O$18, H165:V179, 5, FALSE)</f>
        <v>0.04</v>
      </c>
      <c r="H169" s="675">
        <f>IF(Summary!$Q$18="Alternative", 4%, IF(Summary!$Q$18="Best", 'Trends - Adj Op Exp'!$D$15, H167))</f>
        <v>0.04</v>
      </c>
      <c r="I169" s="675">
        <f>IF(Summary!$Q$18="Alternative", 4%, IF(Summary!$Q$18="Best", 'Trends - Adj Op Exp'!$D$15, I167))</f>
        <v>0.04</v>
      </c>
      <c r="J169" s="675">
        <f>IF(Summary!$Q$18="Alternative", 4%, IF(Summary!$Q$18="Best", 'Trends - Adj Op Exp'!$D$15, J167))</f>
        <v>0.04</v>
      </c>
      <c r="K169" s="675">
        <f>IF(Summary!$Q$18="Alternative", 4%, IF(Summary!$Q$18="Best", 'Trends - Adj Op Exp'!$D$15, K167))</f>
        <v>0.04</v>
      </c>
      <c r="L169" s="675">
        <f>IF(Summary!$Q$18="Alternative", 4%, IF(Summary!$Q$18="Best", 'Trends - Adj Op Exp'!$D$15, L167))</f>
        <v>0.04</v>
      </c>
      <c r="M169" s="675">
        <f>IF(Summary!$Q$18="Alternative", 4%, IF(Summary!$Q$18="Best", 'Trends - Adj Op Exp'!$D$15, M167))</f>
        <v>0.04</v>
      </c>
      <c r="N169" s="676">
        <f>IF(Summary!$Q$18="Alternative", 4%, IF(Summary!$Q$18="Best", 'Trends - Adj Op Exp'!$D$15, N167))</f>
        <v>0.04</v>
      </c>
      <c r="O169" s="675">
        <f>IF(Summary!$Q$18="Alternative", 4%, IF(Summary!$Q$18="Best", 'Trends - Adj Op Exp'!$D$15, O167))</f>
        <v>0.04</v>
      </c>
      <c r="P169" s="675">
        <f>IF(Summary!$Q$18="Alternative", 4%, IF(Summary!$Q$18="Best", 'Trends - Adj Op Exp'!$D$15, P167))</f>
        <v>0.04</v>
      </c>
      <c r="Q169" s="675">
        <f>IF(Summary!$Q$18="Alternative", 4%, IF(Summary!$Q$18="Best", 'Trends - Adj Op Exp'!$D$15, Q167))</f>
        <v>0.04</v>
      </c>
      <c r="R169" s="675">
        <f>IF(Summary!$Q$18="Alternative", 4%, IF(Summary!$Q$18="Best", 'Trends - Adj Op Exp'!$D$15, R167))</f>
        <v>0.04</v>
      </c>
      <c r="S169" s="675">
        <f>IF(Summary!$Q$18="Alternative", 4%, IF(Summary!$Q$18="Best", 'Trends - Adj Op Exp'!$D$15, S167))</f>
        <v>0.04</v>
      </c>
      <c r="T169" s="675">
        <f>IF(Summary!$Q$18="Alternative", 4%, IF(Summary!$Q$18="Best", 'Trends - Adj Op Exp'!$D$15, T167))</f>
        <v>0.04</v>
      </c>
      <c r="U169" s="675">
        <f>IF(Summary!$Q$18="Alternative", 4%, IF(Summary!$Q$18="Best", 'Trends - Adj Op Exp'!$D$15, U167))</f>
        <v>0.04</v>
      </c>
      <c r="V169" s="706">
        <f>IF(Summary!$Q$18="Alternative", 4%, IF(Summary!$Q$18="Best", 'Trends - Adj Op Exp'!$D$15, V167))</f>
        <v>0.04</v>
      </c>
    </row>
    <row r="170" spans="1:22" ht="12.75">
      <c r="A170" s="430"/>
      <c r="B170" s="431"/>
      <c r="C170"/>
      <c r="D170"/>
      <c r="E170"/>
      <c r="F170"/>
      <c r="G170" s="677"/>
      <c r="H170" s="675"/>
      <c r="I170" s="675"/>
      <c r="J170" s="675"/>
      <c r="K170" s="675"/>
      <c r="L170" s="675"/>
      <c r="M170" s="675"/>
      <c r="N170" s="676"/>
      <c r="O170" s="675"/>
      <c r="P170" s="675"/>
      <c r="Q170" s="675"/>
      <c r="R170" s="675"/>
      <c r="S170" s="675"/>
      <c r="T170" s="437"/>
      <c r="U170" s="46"/>
      <c r="V170" s="659"/>
    </row>
    <row r="171" spans="1:22" ht="12.75">
      <c r="A171" s="430">
        <v>8</v>
      </c>
      <c r="B171" s="431" t="s">
        <v>481</v>
      </c>
      <c r="C171"/>
      <c r="D171"/>
      <c r="E171"/>
      <c r="F171"/>
      <c r="G171" s="677">
        <f>HLOOKUP(Summary!$O$18, H165:V179, 7, FALSE)</f>
        <v>4.521480326971862E-2</v>
      </c>
      <c r="H171" s="675">
        <f>RATE(12,,-G110,$S110)</f>
        <v>6.354991550885937E-2</v>
      </c>
      <c r="I171" s="675">
        <f t="shared" ref="I171" si="92">RATE(11,,-H110,$S110)</f>
        <v>4.7524908874103933E-2</v>
      </c>
      <c r="J171" s="675">
        <f>RATE(10,,-I110,$S110)</f>
        <v>5.0260467014469269E-2</v>
      </c>
      <c r="K171" s="675">
        <f>RATE(9,,-J110,$S110)</f>
        <v>5.1286258724004212E-2</v>
      </c>
      <c r="L171" s="675">
        <f>RATE(8,,-K110,$S110)</f>
        <v>5.4109360585329565E-2</v>
      </c>
      <c r="M171" s="675">
        <f>RATE(7,,-L110,$S110)</f>
        <v>5.3726594412459618E-2</v>
      </c>
      <c r="N171" s="676">
        <f>RATE(6,,-M110,$S110)</f>
        <v>5.8214997291318078E-2</v>
      </c>
      <c r="O171" s="675">
        <f>RATE(5,,-N110,$S110)</f>
        <v>5.6248204821284106E-2</v>
      </c>
      <c r="P171" s="675">
        <f>RATE(4,,-O110,$S110)</f>
        <v>5.6184617082449824E-2</v>
      </c>
      <c r="Q171" s="675">
        <f>RATE(3,,-P110,$S110)</f>
        <v>4.8853124882195106E-2</v>
      </c>
      <c r="R171" s="675">
        <f>RATE(2,,-Q110,$S110)</f>
        <v>4.4287291298686915E-2</v>
      </c>
      <c r="S171" s="675">
        <f>RATE(1,,-R110,$S110)</f>
        <v>2.3156787568282749E-2</v>
      </c>
      <c r="T171" s="437">
        <f>'Trends - Dep Amort'!D10</f>
        <v>4.0055711230123858E-2</v>
      </c>
      <c r="U171" s="46">
        <f>'Trends - Dep Amort'!D11</f>
        <v>5.0373895309313389E-2</v>
      </c>
      <c r="V171" s="706">
        <f>AVERAGE(T171,U171)</f>
        <v>4.521480326971862E-2</v>
      </c>
    </row>
    <row r="172" spans="1:22" ht="12.75">
      <c r="A172" s="430"/>
      <c r="B172" s="431"/>
      <c r="C172"/>
      <c r="D172" s="13"/>
      <c r="E172"/>
      <c r="F172"/>
      <c r="G172" s="666"/>
      <c r="H172" s="434"/>
      <c r="I172" s="434"/>
      <c r="J172" s="434"/>
      <c r="K172" s="434"/>
      <c r="L172" s="434"/>
      <c r="M172" s="434"/>
      <c r="N172" s="661"/>
      <c r="O172" s="434"/>
      <c r="P172" s="434"/>
      <c r="Q172" s="434"/>
      <c r="R172" s="434"/>
      <c r="S172" s="434"/>
      <c r="T172" s="102"/>
      <c r="V172" s="659"/>
    </row>
    <row r="173" spans="1:22" ht="12.75">
      <c r="A173" s="430">
        <v>9</v>
      </c>
      <c r="B173" s="432" t="s">
        <v>388</v>
      </c>
      <c r="C173"/>
      <c r="D173"/>
      <c r="E173"/>
      <c r="F173"/>
      <c r="G173" s="677">
        <f>HLOOKUP(Summary!$O$18, H165:V179, 9, FALSE)</f>
        <v>4.3451838347006985E-2</v>
      </c>
      <c r="H173" s="675">
        <f>RATE(12,,-G126,$S126)</f>
        <v>4.8720049214256669E-2</v>
      </c>
      <c r="I173" s="675">
        <f t="shared" ref="I173" si="93">RATE(11,,-H126,$S126)</f>
        <v>3.7214842975131029E-2</v>
      </c>
      <c r="J173" s="675">
        <f>RATE(10,,-I126,$S126)</f>
        <v>4.1879705292428029E-2</v>
      </c>
      <c r="K173" s="675">
        <f>RATE(9,,-J126,$S126)</f>
        <v>4.3451991484145143E-2</v>
      </c>
      <c r="L173" s="675">
        <f>RATE(8,,-K126,$S126)</f>
        <v>4.7383506879675186E-2</v>
      </c>
      <c r="M173" s="675">
        <f>RATE(7,,-L126,$S126)</f>
        <v>5.179262640829356E-2</v>
      </c>
      <c r="N173" s="676">
        <f>RATE(6,,-M126,$S126)</f>
        <v>6.7798526345999768E-2</v>
      </c>
      <c r="O173" s="675">
        <f>RATE(5,,-N126,$S126)</f>
        <v>7.5008109546895879E-2</v>
      </c>
      <c r="P173" s="675">
        <f>RATE(4,,-O126,$S126)</f>
        <v>7.9912665019911747E-2</v>
      </c>
      <c r="Q173" s="675">
        <f>RATE(3,,-P126,$S126)</f>
        <v>7.1674719303699147E-2</v>
      </c>
      <c r="R173" s="675">
        <f>RATE(2,,-Q126,$S126)</f>
        <v>5.3558051363049732E-2</v>
      </c>
      <c r="S173" s="675">
        <f>RATE(1,,-R126,$S126)</f>
        <v>7.3738174244008428E-2</v>
      </c>
      <c r="T173" s="437">
        <f>'Trends - Adj Taxes'!D10</f>
        <v>2.9363829728460539E-2</v>
      </c>
      <c r="U173" s="46">
        <f>'Trends - Adj Taxes'!D11</f>
        <v>5.7539846965553434E-2</v>
      </c>
      <c r="V173" s="706">
        <f>AVERAGE(T173,U173)</f>
        <v>4.3451838347006985E-2</v>
      </c>
    </row>
    <row r="174" spans="1:22" ht="12.75">
      <c r="A174" s="430"/>
      <c r="B174"/>
      <c r="C174"/>
      <c r="D174" s="13"/>
      <c r="E174"/>
      <c r="F174"/>
      <c r="G174" s="666"/>
      <c r="H174" s="434"/>
      <c r="I174" s="434"/>
      <c r="J174" s="434"/>
      <c r="K174" s="434"/>
      <c r="L174" s="434"/>
      <c r="M174" s="434"/>
      <c r="N174" s="661"/>
      <c r="O174" s="434"/>
      <c r="P174" s="434"/>
      <c r="Q174" s="434"/>
      <c r="R174" s="434"/>
      <c r="S174" s="434"/>
      <c r="T174" s="102"/>
      <c r="V174" s="659"/>
    </row>
    <row r="175" spans="1:22" ht="12.75">
      <c r="A175" s="430">
        <v>10</v>
      </c>
      <c r="B175" s="433" t="s">
        <v>299</v>
      </c>
      <c r="C175"/>
      <c r="D175"/>
      <c r="E175" s="425"/>
      <c r="F175" s="425"/>
      <c r="G175" s="677">
        <f>HLOOKUP(Summary!$O$18, H165:V179, 11, FALSE)</f>
        <v>4.0582505585727319E-2</v>
      </c>
      <c r="H175" s="551">
        <f>RATE(12,,-G129,$S129)</f>
        <v>5.0415046833043653E-2</v>
      </c>
      <c r="I175" s="551">
        <f t="shared" ref="I175" si="94">RATE(11,,-H129,$S129)</f>
        <v>4.4596053188958727E-2</v>
      </c>
      <c r="J175" s="551">
        <f>RATE(10,,-I129,$S129)</f>
        <v>5.1883414941838076E-2</v>
      </c>
      <c r="K175" s="551">
        <f>RATE(9,,-J129,$S129)</f>
        <v>5.1919392957867759E-2</v>
      </c>
      <c r="L175" s="551">
        <f>RATE(8,,-K129,$S129)</f>
        <v>5.1591125834303281E-2</v>
      </c>
      <c r="M175" s="551">
        <f>RATE(7,,-L129,$S129)</f>
        <v>4.8867333222666738E-2</v>
      </c>
      <c r="N175" s="676">
        <f>RATE(6,,-M129,$S129)</f>
        <v>5.4158570476300801E-2</v>
      </c>
      <c r="O175" s="551">
        <f>RATE(5,,-N129,$S129)</f>
        <v>5.4331174413100182E-2</v>
      </c>
      <c r="P175" s="551">
        <f>RATE(4,,-O129,$S129)</f>
        <v>4.8906723169188634E-2</v>
      </c>
      <c r="Q175" s="551">
        <f>RATE(3,,-P129,$S129)</f>
        <v>4.8725074711042947E-2</v>
      </c>
      <c r="R175" s="551">
        <f>RATE(2,,-Q129,$S129)</f>
        <v>4.8438190802657932E-2</v>
      </c>
      <c r="S175" s="551">
        <f>RATE(1,,-R129,$S129)</f>
        <v>5.6063699108318557E-2</v>
      </c>
      <c r="T175" s="658">
        <f>'Trends - Net Plant after DFIT'!D10</f>
        <v>3.630346189571635E-2</v>
      </c>
      <c r="U175" s="658">
        <f>'Trends - Net Plant after DFIT'!D11</f>
        <v>4.486154927573828E-2</v>
      </c>
      <c r="V175" s="706">
        <f>AVERAGE(T175,U175)</f>
        <v>4.0582505585727319E-2</v>
      </c>
    </row>
    <row r="176" spans="1:22" ht="12.75">
      <c r="A176" s="430"/>
      <c r="B176"/>
      <c r="C176"/>
      <c r="D176" s="13"/>
      <c r="E176"/>
      <c r="F176"/>
      <c r="G176" s="677"/>
      <c r="H176" s="434"/>
      <c r="I176" s="434"/>
      <c r="J176" s="434"/>
      <c r="K176" s="434"/>
      <c r="L176" s="434"/>
      <c r="M176" s="434"/>
      <c r="N176" s="661"/>
      <c r="O176" s="434"/>
      <c r="P176" s="434"/>
      <c r="Q176" s="434"/>
      <c r="R176" s="434"/>
      <c r="S176" s="434"/>
      <c r="T176" s="102"/>
      <c r="V176" s="659"/>
    </row>
    <row r="177" spans="1:22" ht="12.75">
      <c r="A177" s="430">
        <v>11</v>
      </c>
      <c r="B177" s="433" t="s">
        <v>389</v>
      </c>
      <c r="C177"/>
      <c r="D177"/>
      <c r="E177"/>
      <c r="F177"/>
      <c r="G177" s="678" t="s">
        <v>573</v>
      </c>
      <c r="H177" s="551">
        <f>RATE(12,,-G132,$S132)</f>
        <v>6.1728168815078879E-2</v>
      </c>
      <c r="I177" s="551">
        <f t="shared" ref="I177" si="95">RATE(11,,-H132,$S132)</f>
        <v>4.42031213462796E-2</v>
      </c>
      <c r="J177" s="551">
        <f>RATE(10,,-I132,$S132)</f>
        <v>5.1440199561529662E-2</v>
      </c>
      <c r="K177" s="551">
        <f>RATE(9,,-J132,$S132)</f>
        <v>5.1833544481880933E-2</v>
      </c>
      <c r="L177" s="551">
        <f>RATE(8,,-K132,$S132)</f>
        <v>5.1592163006213873E-2</v>
      </c>
      <c r="M177" s="551">
        <f>RATE(7,,-L132,$S132)</f>
        <v>4.9453918217344066E-2</v>
      </c>
      <c r="N177" s="676">
        <f>RATE(6,,-M132,$S132)</f>
        <v>5.447375048591941E-2</v>
      </c>
      <c r="O177" s="551">
        <f>RATE(5,,-N132,$S132)</f>
        <v>5.5282394905698487E-2</v>
      </c>
      <c r="P177" s="551">
        <f>RATE(4,,-O132,$S132)</f>
        <v>5.095387172527311E-2</v>
      </c>
      <c r="Q177" s="551">
        <f>RATE(3,,-P132,$S132)</f>
        <v>4.5765364006653479E-2</v>
      </c>
      <c r="R177" s="551">
        <f>RATE(2,,-Q132,$S132)</f>
        <v>3.8028929291304699E-2</v>
      </c>
      <c r="S177" s="551">
        <f>RATE(1,,-R132,$S132)</f>
        <v>5.787614055523211E-2</v>
      </c>
      <c r="T177" s="437" t="s">
        <v>573</v>
      </c>
      <c r="U177" s="437" t="s">
        <v>573</v>
      </c>
      <c r="V177" s="663" t="s">
        <v>573</v>
      </c>
    </row>
    <row r="178" spans="1:22" ht="12.75">
      <c r="A178" s="430"/>
      <c r="B178" s="435"/>
      <c r="C178" s="435"/>
      <c r="D178" s="13"/>
      <c r="E178" s="425"/>
      <c r="F178" s="425"/>
      <c r="G178" s="666"/>
      <c r="H178" s="434"/>
      <c r="I178" s="434"/>
      <c r="J178" s="434"/>
      <c r="K178" s="434"/>
      <c r="L178" s="434"/>
      <c r="M178" s="434"/>
      <c r="N178" s="661"/>
      <c r="O178" s="434"/>
      <c r="P178" s="434"/>
      <c r="Q178" s="434"/>
      <c r="R178" s="434"/>
      <c r="S178" s="434"/>
      <c r="V178" s="659"/>
    </row>
    <row r="179" spans="1:22" ht="13.5" thickBot="1">
      <c r="A179" s="430">
        <v>12</v>
      </c>
      <c r="B179" s="433" t="s">
        <v>390</v>
      </c>
      <c r="C179"/>
      <c r="D179"/>
      <c r="E179" s="425"/>
      <c r="F179" s="425"/>
      <c r="G179" s="679">
        <f>HLOOKUP(Summary!$O$18, H165:V179, 15, FALSE)</f>
        <v>2.2416281755196305E-2</v>
      </c>
      <c r="H179" s="551">
        <f>RATE(12,,-G139,$S139)</f>
        <v>4.0064283836261413E-2</v>
      </c>
      <c r="I179" s="551">
        <f t="shared" ref="I179" si="96">RATE(11,,-H139,$S139)</f>
        <v>5.785027671012672E-2</v>
      </c>
      <c r="J179" s="551">
        <f>RATE(10,,-I139,$S139)</f>
        <v>3.1674897278636101E-2</v>
      </c>
      <c r="K179" s="551">
        <f>RATE(9,,-J139,$S139)</f>
        <v>2.4783557277118475E-2</v>
      </c>
      <c r="L179" s="551">
        <f>RATE(8,,-K139,$S139)</f>
        <v>7.6452453532482238E-4</v>
      </c>
      <c r="M179" s="551">
        <f>RATE(7,,-L139,$S139)</f>
        <v>2.2913863932346165E-2</v>
      </c>
      <c r="N179" s="676">
        <f>RATE(6,,-M139,$S139)</f>
        <v>2.0162183334183296E-2</v>
      </c>
      <c r="O179" s="551">
        <f>RATE(5,,-N139,$S139)</f>
        <v>3.7977660971900459E-2</v>
      </c>
      <c r="P179" s="551">
        <f>RATE(4,,-O139,$S139)</f>
        <v>5.3363104485665891E-2</v>
      </c>
      <c r="Q179" s="551">
        <f>RATE(3,,-P139,$S139)</f>
        <v>7.1838671452410963E-2</v>
      </c>
      <c r="R179" s="551">
        <f>RATE(2,,-Q139,$S139)</f>
        <v>0.10983305339214028</v>
      </c>
      <c r="S179" s="551">
        <f>RATE(1,,-R139,$S139)</f>
        <v>4.5047899939439376E-2</v>
      </c>
      <c r="T179" s="437">
        <f>'Trends - Adj Other Rev'!D10</f>
        <v>2.3672055427251731E-2</v>
      </c>
      <c r="U179" s="46">
        <f>'Trends - Adj Other Rev'!D11</f>
        <v>2.1160508083140878E-2</v>
      </c>
      <c r="V179" s="707">
        <f>AVERAGE(T179,U179)</f>
        <v>2.2416281755196305E-2</v>
      </c>
    </row>
    <row r="180" spans="1:22" ht="12.75">
      <c r="A180" s="430"/>
      <c r="B180" s="435"/>
      <c r="C180" s="435"/>
      <c r="D180" s="13"/>
      <c r="E180" s="425"/>
      <c r="F180" s="425"/>
      <c r="G180" s="434"/>
      <c r="H180" s="434"/>
      <c r="I180" s="434"/>
      <c r="J180" s="434"/>
      <c r="K180" s="434"/>
      <c r="L180" s="434"/>
      <c r="M180" s="434"/>
      <c r="N180" s="434"/>
      <c r="O180" s="434"/>
      <c r="P180" s="434"/>
      <c r="Q180" s="434"/>
      <c r="R180" s="434"/>
      <c r="S180" s="40"/>
      <c r="T180" s="102"/>
    </row>
    <row r="181" spans="1:22">
      <c r="A181" s="430"/>
      <c r="B181" s="435"/>
      <c r="C181" s="435"/>
      <c r="D181" s="435"/>
      <c r="E181" s="436"/>
      <c r="F181" s="436"/>
      <c r="G181" s="425"/>
      <c r="H181" s="425"/>
      <c r="I181" s="425"/>
      <c r="J181" s="425"/>
      <c r="K181" s="425"/>
      <c r="L181" s="425"/>
      <c r="M181" s="425"/>
      <c r="N181" s="540"/>
      <c r="O181" s="425"/>
      <c r="P181" s="425"/>
      <c r="Q181" s="425"/>
      <c r="R181" s="435"/>
      <c r="S181" s="40"/>
      <c r="T181" s="102"/>
    </row>
    <row r="182" spans="1:22" ht="12.75">
      <c r="A182" s="430"/>
      <c r="B182" s="427" t="s">
        <v>436</v>
      </c>
      <c r="C182" s="427"/>
      <c r="D182" s="428"/>
      <c r="E182" s="429"/>
      <c r="F182" s="429"/>
      <c r="G182" s="664" t="s">
        <v>119</v>
      </c>
      <c r="H182" s="605" t="s">
        <v>540</v>
      </c>
      <c r="I182" s="605" t="s">
        <v>541</v>
      </c>
      <c r="J182" s="605" t="s">
        <v>542</v>
      </c>
      <c r="K182" s="605" t="s">
        <v>543</v>
      </c>
      <c r="L182" s="605" t="s">
        <v>544</v>
      </c>
      <c r="M182" s="605" t="s">
        <v>545</v>
      </c>
      <c r="N182" s="605" t="s">
        <v>546</v>
      </c>
      <c r="O182" s="605" t="s">
        <v>547</v>
      </c>
      <c r="P182" s="605" t="s">
        <v>548</v>
      </c>
      <c r="Q182" s="605" t="s">
        <v>549</v>
      </c>
      <c r="R182" s="605" t="s">
        <v>550</v>
      </c>
      <c r="S182" s="605" t="s">
        <v>538</v>
      </c>
      <c r="T182" s="102"/>
    </row>
    <row r="183" spans="1:22">
      <c r="A183" s="430"/>
      <c r="B183" s="435"/>
      <c r="C183" s="435"/>
      <c r="D183" s="435"/>
      <c r="E183" s="436"/>
      <c r="F183" s="436"/>
      <c r="G183" s="670"/>
      <c r="H183" s="553"/>
      <c r="I183" s="553"/>
      <c r="J183" s="553"/>
      <c r="K183" s="553"/>
      <c r="L183" s="553"/>
      <c r="M183" s="553"/>
      <c r="N183" s="553"/>
      <c r="O183" s="553"/>
      <c r="P183" s="553"/>
      <c r="Q183" s="553"/>
      <c r="R183" s="435"/>
      <c r="S183" s="63"/>
      <c r="T183" s="102"/>
    </row>
    <row r="184" spans="1:22">
      <c r="A184" s="430">
        <v>13</v>
      </c>
      <c r="B184" s="431" t="s">
        <v>386</v>
      </c>
      <c r="C184" s="435"/>
      <c r="D184" s="435"/>
      <c r="E184" s="436" t="s">
        <v>437</v>
      </c>
      <c r="G184" s="671">
        <f>IF(Summary!$O$15="Compounding", ((1+G167)^2-1), 2*G167)</f>
        <v>9.7214224573963115E-2</v>
      </c>
      <c r="H184" s="554">
        <f>(1+H167)^2-1</f>
        <v>0.11744986327179108</v>
      </c>
      <c r="I184" s="554">
        <f t="shared" ref="I184:S184" si="97">(1+I167)^2-1</f>
        <v>0.10087706088745407</v>
      </c>
      <c r="J184" s="554">
        <f t="shared" si="97"/>
        <v>0.1194923773628076</v>
      </c>
      <c r="K184" s="554">
        <f t="shared" si="97"/>
        <v>0.10489115782409586</v>
      </c>
      <c r="L184" s="554">
        <f t="shared" si="97"/>
        <v>0.1160616846982061</v>
      </c>
      <c r="M184" s="554">
        <f t="shared" si="97"/>
        <v>0.11128350604076309</v>
      </c>
      <c r="N184" s="667">
        <f>(1+N167)^2-1</f>
        <v>0.11699220230670493</v>
      </c>
      <c r="O184" s="554">
        <f t="shared" si="97"/>
        <v>0.10933785994920076</v>
      </c>
      <c r="P184" s="554">
        <f t="shared" si="97"/>
        <v>6.7740344818181031E-2</v>
      </c>
      <c r="Q184" s="554">
        <f t="shared" si="97"/>
        <v>8.5374306449156778E-2</v>
      </c>
      <c r="R184" s="554">
        <f t="shared" si="97"/>
        <v>4.125181055336169E-2</v>
      </c>
      <c r="S184" s="554">
        <f t="shared" si="97"/>
        <v>-8.8400597112878954E-2</v>
      </c>
      <c r="T184" s="437"/>
      <c r="U184" s="46"/>
    </row>
    <row r="185" spans="1:22" ht="12.75" thickBot="1">
      <c r="A185" s="430"/>
      <c r="B185" s="431"/>
      <c r="C185" s="435"/>
      <c r="D185" s="435"/>
      <c r="E185" s="436"/>
      <c r="G185" s="680"/>
      <c r="H185" s="554"/>
      <c r="I185" s="554"/>
      <c r="J185" s="554"/>
      <c r="K185" s="554"/>
      <c r="L185" s="554"/>
      <c r="M185" s="554"/>
      <c r="N185" s="667"/>
      <c r="O185" s="554"/>
      <c r="P185" s="554"/>
      <c r="Q185" s="554"/>
      <c r="R185" s="554"/>
      <c r="S185" s="46"/>
      <c r="T185" s="437"/>
      <c r="U185" s="46"/>
    </row>
    <row r="186" spans="1:22" ht="12.75" thickBot="1">
      <c r="A186" s="430" t="s">
        <v>520</v>
      </c>
      <c r="B186" s="431" t="s">
        <v>524</v>
      </c>
      <c r="C186" s="435"/>
      <c r="D186" s="435"/>
      <c r="E186" s="436" t="s">
        <v>437</v>
      </c>
      <c r="G186" s="715">
        <f>IF(Summary!$O$15="Compounding", ((1+G169)^2-1), 2*G169)</f>
        <v>0.08</v>
      </c>
      <c r="H186" s="554"/>
      <c r="I186" s="554"/>
      <c r="J186" s="554"/>
      <c r="K186" s="554"/>
      <c r="L186" s="554"/>
      <c r="M186" s="554"/>
      <c r="N186" s="667">
        <f>(1+N169)^2-1</f>
        <v>8.1600000000000117E-2</v>
      </c>
      <c r="O186" s="554"/>
      <c r="P186" s="554"/>
      <c r="Q186" s="554"/>
      <c r="R186" s="554"/>
      <c r="S186" s="46"/>
      <c r="T186" s="437"/>
      <c r="U186" s="46"/>
    </row>
    <row r="187" spans="1:22" ht="12.75" thickBot="1">
      <c r="A187" s="430"/>
      <c r="B187" s="431"/>
      <c r="C187" s="435"/>
      <c r="D187" s="435"/>
      <c r="E187" s="436"/>
      <c r="G187" s="671"/>
      <c r="H187" s="554"/>
      <c r="I187" s="554"/>
      <c r="J187" s="554"/>
      <c r="K187" s="554"/>
      <c r="L187" s="554"/>
      <c r="M187" s="554"/>
      <c r="N187" s="667"/>
      <c r="O187" s="554"/>
      <c r="P187" s="554"/>
      <c r="Q187" s="554"/>
      <c r="R187" s="554"/>
      <c r="S187" s="46"/>
      <c r="T187" s="437"/>
      <c r="U187" s="46"/>
    </row>
    <row r="188" spans="1:22" ht="12.75" thickBot="1">
      <c r="A188" s="430">
        <v>14</v>
      </c>
      <c r="B188" s="431" t="s">
        <v>387</v>
      </c>
      <c r="C188" s="435"/>
      <c r="D188" s="435"/>
      <c r="E188" s="436" t="s">
        <v>437</v>
      </c>
      <c r="G188" s="718">
        <f>IF(Summary!$O$15="Compounding", ((1+G171)^2-1), 2*G171)</f>
        <v>9.0429606539437241E-2</v>
      </c>
      <c r="H188" s="554">
        <f t="shared" ref="H188:R188" si="98">(1+H171)^2-1</f>
        <v>0.13113842277890209</v>
      </c>
      <c r="I188" s="554">
        <f t="shared" si="98"/>
        <v>9.7308434711699698E-2</v>
      </c>
      <c r="J188" s="554">
        <f t="shared" si="98"/>
        <v>0.10304704857345115</v>
      </c>
      <c r="K188" s="554">
        <f t="shared" si="98"/>
        <v>0.10520279778191388</v>
      </c>
      <c r="L188" s="554">
        <f t="shared" si="98"/>
        <v>0.11114654407361235</v>
      </c>
      <c r="M188" s="554">
        <f t="shared" si="98"/>
        <v>0.11033973577208012</v>
      </c>
      <c r="N188" s="667">
        <f t="shared" si="98"/>
        <v>0.11981898049226447</v>
      </c>
      <c r="O188" s="554">
        <f t="shared" si="98"/>
        <v>0.11566027018818503</v>
      </c>
      <c r="P188" s="554">
        <f t="shared" si="98"/>
        <v>0.1155259453616011</v>
      </c>
      <c r="Q188" s="554">
        <f t="shared" si="98"/>
        <v>0.10009287757514551</v>
      </c>
      <c r="R188" s="554">
        <f t="shared" si="98"/>
        <v>9.0535946767948516E-2</v>
      </c>
      <c r="S188" s="554">
        <f t="shared" ref="S188" si="99">(1+S171)^2-1</f>
        <v>4.6849811947048181E-2</v>
      </c>
      <c r="T188" s="437"/>
      <c r="U188" s="46"/>
    </row>
    <row r="189" spans="1:22" ht="12.75" thickBot="1">
      <c r="A189" s="430"/>
      <c r="B189" s="431"/>
      <c r="C189" s="435"/>
      <c r="D189" s="435"/>
      <c r="E189" s="436"/>
      <c r="G189" s="672"/>
      <c r="H189" s="553"/>
      <c r="I189" s="553"/>
      <c r="J189" s="553"/>
      <c r="K189" s="553"/>
      <c r="L189" s="553"/>
      <c r="M189" s="553"/>
      <c r="N189" s="668"/>
      <c r="O189" s="553"/>
      <c r="P189" s="553"/>
      <c r="Q189" s="553"/>
      <c r="R189" s="553"/>
      <c r="S189" s="553"/>
      <c r="T189" s="102"/>
    </row>
    <row r="190" spans="1:22" ht="12.75" thickBot="1">
      <c r="A190" s="430">
        <v>15</v>
      </c>
      <c r="B190" s="432" t="s">
        <v>388</v>
      </c>
      <c r="C190" s="435"/>
      <c r="D190" s="435"/>
      <c r="E190" s="436" t="s">
        <v>437</v>
      </c>
      <c r="G190" s="712">
        <f>IF(Summary!$O$15="Compounding", ((1+G173)^2-1), 2*G173)</f>
        <v>8.690367669401397E-2</v>
      </c>
      <c r="H190" s="554">
        <f t="shared" ref="H190:R190" si="100">(1+H173)^2-1</f>
        <v>9.9813741623953067E-2</v>
      </c>
      <c r="I190" s="554">
        <f t="shared" si="100"/>
        <v>7.5814630487925916E-2</v>
      </c>
      <c r="J190" s="554">
        <f t="shared" si="100"/>
        <v>8.5513320300236728E-2</v>
      </c>
      <c r="K190" s="554">
        <f t="shared" si="100"/>
        <v>8.8792058532228602E-2</v>
      </c>
      <c r="L190" s="554">
        <f t="shared" si="100"/>
        <v>9.7012210483566452E-2</v>
      </c>
      <c r="M190" s="554">
        <f t="shared" si="100"/>
        <v>0.1062677289668561</v>
      </c>
      <c r="N190" s="667">
        <f t="shared" si="100"/>
        <v>0.1401936928666887</v>
      </c>
      <c r="O190" s="554">
        <f t="shared" si="100"/>
        <v>0.15564243559159108</v>
      </c>
      <c r="P190" s="554">
        <f t="shared" si="100"/>
        <v>0.16621136407040815</v>
      </c>
      <c r="Q190" s="554">
        <f t="shared" si="100"/>
        <v>0.14848670399466224</v>
      </c>
      <c r="R190" s="554">
        <f t="shared" si="100"/>
        <v>0.10998456759190667</v>
      </c>
      <c r="S190" s="554">
        <f t="shared" ref="S190" si="101">(1+S173)^2-1</f>
        <v>0.15291366682885665</v>
      </c>
      <c r="T190" s="437"/>
      <c r="U190" s="46"/>
    </row>
    <row r="191" spans="1:22" ht="13.5" thickBot="1">
      <c r="A191" s="430"/>
      <c r="B191"/>
      <c r="C191" s="435"/>
      <c r="D191" s="435"/>
      <c r="E191" s="436"/>
      <c r="G191" s="672"/>
      <c r="H191" s="553"/>
      <c r="I191" s="553"/>
      <c r="J191" s="553"/>
      <c r="K191" s="553"/>
      <c r="L191" s="553"/>
      <c r="M191" s="553"/>
      <c r="N191" s="668"/>
      <c r="O191" s="553"/>
      <c r="P191" s="553"/>
      <c r="Q191" s="553"/>
      <c r="R191" s="553"/>
      <c r="S191" s="553"/>
      <c r="T191" s="102"/>
    </row>
    <row r="192" spans="1:22" ht="12.75" thickBot="1">
      <c r="A192" s="430">
        <v>16</v>
      </c>
      <c r="B192" s="433" t="s">
        <v>299</v>
      </c>
      <c r="C192" s="435"/>
      <c r="D192" s="435"/>
      <c r="E192" s="436" t="s">
        <v>437</v>
      </c>
      <c r="G192" s="716">
        <f>IF(Summary!$O$15="Compounding", ((1+G175)^2-1), 2*G175)</f>
        <v>8.1165011171454637E-2</v>
      </c>
      <c r="H192" s="554">
        <f t="shared" ref="H192:R192" si="102">(1+H175)^2-1</f>
        <v>0.10337177061326552</v>
      </c>
      <c r="I192" s="554">
        <f t="shared" si="102"/>
        <v>9.1180914337949837E-2</v>
      </c>
      <c r="J192" s="554">
        <f t="shared" si="102"/>
        <v>0.10645871862970324</v>
      </c>
      <c r="K192" s="554">
        <f t="shared" si="102"/>
        <v>0.10653440928084912</v>
      </c>
      <c r="L192" s="554">
        <f t="shared" si="102"/>
        <v>0.10584389593345755</v>
      </c>
      <c r="M192" s="554">
        <f t="shared" si="102"/>
        <v>0.10012268270162883</v>
      </c>
      <c r="N192" s="669">
        <f t="shared" si="102"/>
        <v>0.11125029170863798</v>
      </c>
      <c r="O192" s="554">
        <f t="shared" si="102"/>
        <v>0.11161422533930687</v>
      </c>
      <c r="P192" s="554">
        <f t="shared" si="102"/>
        <v>0.10020531390952492</v>
      </c>
      <c r="Q192" s="554">
        <f t="shared" si="102"/>
        <v>9.9824282327682701E-2</v>
      </c>
      <c r="R192" s="554">
        <f t="shared" si="102"/>
        <v>9.9222639933550516E-2</v>
      </c>
      <c r="S192" s="554">
        <f t="shared" ref="S192" si="103">(1+S175)^2-1</f>
        <v>0.11527053657434516</v>
      </c>
      <c r="T192" s="437"/>
      <c r="U192" s="46"/>
    </row>
    <row r="193" spans="1:21" ht="12.75">
      <c r="B193"/>
      <c r="E193" s="41"/>
      <c r="G193" s="673"/>
      <c r="H193" s="40"/>
      <c r="I193" s="40"/>
      <c r="J193" s="40"/>
      <c r="K193" s="40"/>
      <c r="L193" s="40"/>
      <c r="M193" s="40"/>
      <c r="N193" s="41"/>
      <c r="O193" s="40"/>
      <c r="P193" s="40"/>
      <c r="Q193" s="40"/>
      <c r="S193" s="40"/>
    </row>
    <row r="194" spans="1:21">
      <c r="A194" s="430">
        <v>17</v>
      </c>
      <c r="B194" s="433" t="s">
        <v>389</v>
      </c>
      <c r="E194" s="436" t="s">
        <v>437</v>
      </c>
      <c r="G194" s="674" t="s">
        <v>573</v>
      </c>
      <c r="H194" s="554">
        <f t="shared" ref="H194:R194" si="104">(1+H177)^2-1</f>
        <v>0.12726670445542054</v>
      </c>
      <c r="I194" s="554">
        <f t="shared" si="104"/>
        <v>9.0360158629313236E-2</v>
      </c>
      <c r="J194" s="554">
        <f t="shared" si="104"/>
        <v>0.10552649325398944</v>
      </c>
      <c r="K194" s="554">
        <f t="shared" si="104"/>
        <v>0.10635380529731697</v>
      </c>
      <c r="L194" s="554">
        <f t="shared" si="104"/>
        <v>0.10584607729608764</v>
      </c>
      <c r="M194" s="554">
        <f t="shared" si="104"/>
        <v>0.10135352646173601</v>
      </c>
      <c r="N194" s="667">
        <f t="shared" si="104"/>
        <v>0.11191489046384095</v>
      </c>
      <c r="O194" s="554">
        <f t="shared" si="104"/>
        <v>0.11362093299790632</v>
      </c>
      <c r="P194" s="554">
        <f t="shared" si="104"/>
        <v>0.10450404049434181</v>
      </c>
      <c r="Q194" s="554">
        <f t="shared" si="104"/>
        <v>9.3625196555968682E-2</v>
      </c>
      <c r="R194" s="554">
        <f t="shared" si="104"/>
        <v>7.7504058045652524E-2</v>
      </c>
      <c r="S194" s="554">
        <f t="shared" ref="S194" si="105">(1+S177)^2-1</f>
        <v>0.11910192875603332</v>
      </c>
      <c r="T194" s="437"/>
      <c r="U194" s="46"/>
    </row>
    <row r="195" spans="1:21" ht="13.5" thickBot="1">
      <c r="A195" s="430"/>
      <c r="B195"/>
      <c r="E195" s="41"/>
      <c r="G195" s="673"/>
      <c r="H195" s="40"/>
      <c r="I195" s="40"/>
      <c r="J195" s="40"/>
      <c r="K195" s="40"/>
      <c r="L195" s="40"/>
      <c r="M195" s="40"/>
      <c r="N195" s="41"/>
      <c r="O195" s="40"/>
      <c r="P195" s="40"/>
      <c r="Q195" s="40"/>
      <c r="S195" s="40"/>
    </row>
    <row r="196" spans="1:21" ht="12.75" thickBot="1">
      <c r="A196" s="430">
        <v>18</v>
      </c>
      <c r="B196" s="433" t="s">
        <v>390</v>
      </c>
      <c r="E196" s="436" t="s">
        <v>437</v>
      </c>
      <c r="G196" s="705">
        <f>IF(Summary!$O$15="Compounding", ((1+G179)^2-1), 2*G179)</f>
        <v>4.4832563510392609E-2</v>
      </c>
      <c r="H196" s="554">
        <f>(1+H179)^2-1</f>
        <v>8.1733714511835531E-2</v>
      </c>
      <c r="I196" s="554">
        <f t="shared" ref="I196:S196" si="106">(1+I179)^2-1</f>
        <v>0.11904720793569168</v>
      </c>
      <c r="J196" s="554">
        <f t="shared" si="106"/>
        <v>6.4353093674884176E-2</v>
      </c>
      <c r="K196" s="554">
        <f t="shared" si="106"/>
        <v>5.0181339265545022E-2</v>
      </c>
      <c r="L196" s="554">
        <f t="shared" si="106"/>
        <v>1.5296335684145124E-3</v>
      </c>
      <c r="M196" s="554">
        <f t="shared" si="106"/>
        <v>4.6352773025002181E-2</v>
      </c>
      <c r="N196" s="667">
        <f t="shared" si="106"/>
        <v>4.0730880305168027E-2</v>
      </c>
      <c r="O196" s="554">
        <f t="shared" si="106"/>
        <v>7.7397624676697641E-2</v>
      </c>
      <c r="P196" s="554">
        <f t="shared" si="106"/>
        <v>0.10957382989167996</v>
      </c>
      <c r="Q196" s="554">
        <f t="shared" si="106"/>
        <v>0.14883813762086961</v>
      </c>
      <c r="R196" s="554">
        <f t="shared" si="106"/>
        <v>0.23172940640172146</v>
      </c>
      <c r="S196" s="554">
        <f t="shared" si="106"/>
        <v>9.2125113167832673E-2</v>
      </c>
      <c r="T196" s="437"/>
      <c r="U196" s="46"/>
    </row>
    <row r="197" spans="1:21">
      <c r="A197" s="390"/>
      <c r="G197" s="40"/>
      <c r="H197" s="40"/>
      <c r="I197" s="40"/>
      <c r="J197" s="40"/>
      <c r="K197" s="40"/>
      <c r="L197" s="40"/>
      <c r="M197" s="40"/>
      <c r="N197" s="40"/>
      <c r="O197" s="40"/>
      <c r="P197" s="40"/>
      <c r="Q197" s="40"/>
    </row>
    <row r="198" spans="1:21">
      <c r="G198" s="40"/>
      <c r="H198" s="40"/>
      <c r="I198" s="40"/>
      <c r="J198" s="40"/>
      <c r="K198" s="40"/>
      <c r="L198" s="40"/>
      <c r="M198" s="40"/>
      <c r="N198" s="40"/>
      <c r="O198" s="40"/>
      <c r="P198" s="40"/>
      <c r="Q198" s="40"/>
    </row>
    <row r="199" spans="1:21">
      <c r="G199" s="40"/>
      <c r="H199" s="40"/>
      <c r="I199" s="40"/>
      <c r="J199" s="40"/>
      <c r="K199" s="40"/>
      <c r="L199" s="40"/>
      <c r="M199" s="40"/>
      <c r="N199" s="40"/>
      <c r="O199" s="40"/>
      <c r="P199" s="40"/>
      <c r="Q199" s="40"/>
    </row>
    <row r="200" spans="1:21">
      <c r="G200" s="40"/>
      <c r="H200" s="40"/>
      <c r="I200" s="40"/>
      <c r="J200" s="40"/>
      <c r="K200" s="40"/>
      <c r="L200" s="40"/>
      <c r="M200" s="40"/>
      <c r="N200" s="40"/>
      <c r="O200" s="40"/>
      <c r="P200" s="40"/>
      <c r="Q200" s="40"/>
    </row>
    <row r="201" spans="1:21">
      <c r="G201" s="40"/>
      <c r="H201" s="40"/>
      <c r="I201" s="40"/>
      <c r="J201" s="40"/>
      <c r="K201" s="40"/>
      <c r="L201" s="40"/>
      <c r="M201" s="40"/>
      <c r="N201" s="40"/>
      <c r="O201" s="40"/>
      <c r="P201" s="40"/>
      <c r="Q201" s="40"/>
    </row>
    <row r="202" spans="1:21">
      <c r="G202" s="40"/>
      <c r="H202" s="40"/>
      <c r="I202" s="40"/>
      <c r="J202" s="40"/>
      <c r="K202" s="40"/>
      <c r="L202" s="40"/>
      <c r="M202" s="40"/>
      <c r="N202" s="40"/>
      <c r="O202" s="40"/>
      <c r="P202" s="40"/>
      <c r="Q202" s="40"/>
    </row>
    <row r="203" spans="1:21">
      <c r="G203" s="40"/>
      <c r="H203" s="40"/>
      <c r="I203" s="40"/>
      <c r="J203" s="40"/>
      <c r="K203" s="40"/>
      <c r="L203" s="40"/>
      <c r="M203" s="40"/>
      <c r="N203" s="40"/>
      <c r="O203" s="40"/>
      <c r="P203" s="40"/>
      <c r="Q203" s="40"/>
    </row>
    <row r="204" spans="1:21">
      <c r="G204" s="40"/>
      <c r="H204" s="40"/>
      <c r="I204" s="40"/>
      <c r="J204" s="40"/>
      <c r="K204" s="40"/>
      <c r="L204" s="40"/>
      <c r="M204" s="40"/>
      <c r="N204" s="40"/>
      <c r="O204" s="40"/>
      <c r="P204" s="40"/>
      <c r="Q204" s="40"/>
    </row>
    <row r="205" spans="1:21">
      <c r="G205" s="40"/>
      <c r="H205" s="40"/>
      <c r="I205" s="40"/>
      <c r="J205" s="40"/>
      <c r="K205" s="40"/>
      <c r="L205" s="40"/>
      <c r="M205" s="40"/>
      <c r="N205" s="40"/>
      <c r="O205" s="40"/>
      <c r="P205" s="40"/>
      <c r="Q205" s="40"/>
    </row>
    <row r="206" spans="1:21">
      <c r="G206" s="40"/>
      <c r="H206" s="40"/>
      <c r="I206" s="40"/>
      <c r="J206" s="40"/>
      <c r="K206" s="40"/>
      <c r="L206" s="40"/>
      <c r="M206" s="40"/>
      <c r="N206" s="40"/>
      <c r="O206" s="40"/>
      <c r="P206" s="40"/>
      <c r="Q206" s="40"/>
    </row>
    <row r="207" spans="1:21">
      <c r="G207" s="40"/>
      <c r="H207" s="40"/>
      <c r="I207" s="40"/>
      <c r="J207" s="40"/>
      <c r="K207" s="40"/>
      <c r="L207" s="40"/>
      <c r="M207" s="40"/>
      <c r="N207" s="40"/>
      <c r="O207" s="40"/>
      <c r="P207" s="40"/>
      <c r="Q207" s="40"/>
    </row>
    <row r="208" spans="1:21">
      <c r="G208" s="40"/>
      <c r="H208" s="40"/>
      <c r="I208" s="40"/>
      <c r="J208" s="40"/>
      <c r="K208" s="40"/>
      <c r="L208" s="40"/>
      <c r="M208" s="40"/>
      <c r="N208" s="40"/>
      <c r="O208" s="40"/>
      <c r="P208" s="40"/>
      <c r="Q208" s="40"/>
    </row>
    <row r="209" spans="7:17">
      <c r="G209" s="40"/>
      <c r="H209" s="40"/>
      <c r="I209" s="40"/>
      <c r="J209" s="40"/>
      <c r="K209" s="40"/>
      <c r="L209" s="40"/>
      <c r="M209" s="40"/>
      <c r="N209" s="40"/>
      <c r="O209" s="40"/>
      <c r="P209" s="40"/>
      <c r="Q209" s="40"/>
    </row>
    <row r="210" spans="7:17">
      <c r="G210" s="40"/>
      <c r="H210" s="40"/>
      <c r="I210" s="40"/>
      <c r="J210" s="40"/>
      <c r="K210" s="40"/>
      <c r="L210" s="40"/>
      <c r="M210" s="40"/>
      <c r="N210" s="40"/>
      <c r="O210" s="40"/>
      <c r="P210" s="40"/>
      <c r="Q210" s="40"/>
    </row>
    <row r="211" spans="7:17">
      <c r="G211" s="40"/>
      <c r="H211" s="40"/>
      <c r="I211" s="40"/>
      <c r="J211" s="40"/>
      <c r="K211" s="40"/>
      <c r="L211" s="40"/>
      <c r="M211" s="40"/>
      <c r="N211" s="40"/>
      <c r="O211" s="40"/>
      <c r="P211" s="40"/>
      <c r="Q211" s="40"/>
    </row>
    <row r="212" spans="7:17">
      <c r="G212" s="40"/>
      <c r="H212" s="40"/>
      <c r="I212" s="40"/>
      <c r="J212" s="40"/>
      <c r="K212" s="40"/>
      <c r="L212" s="40"/>
      <c r="M212" s="40"/>
      <c r="N212" s="40"/>
      <c r="O212" s="40"/>
      <c r="P212" s="40"/>
      <c r="Q212" s="40"/>
    </row>
    <row r="213" spans="7:17">
      <c r="G213" s="40"/>
      <c r="H213" s="40"/>
      <c r="I213" s="40"/>
      <c r="J213" s="40"/>
      <c r="K213" s="40"/>
      <c r="L213" s="40"/>
      <c r="M213" s="40"/>
      <c r="N213" s="40"/>
      <c r="O213" s="40"/>
      <c r="P213" s="40"/>
      <c r="Q213" s="40"/>
    </row>
    <row r="214" spans="7:17">
      <c r="G214" s="40"/>
      <c r="H214" s="40"/>
      <c r="I214" s="40"/>
      <c r="J214" s="40"/>
      <c r="K214" s="40"/>
      <c r="L214" s="40"/>
      <c r="M214" s="40"/>
      <c r="N214" s="40"/>
      <c r="O214" s="40"/>
      <c r="P214" s="40"/>
      <c r="Q214" s="40"/>
    </row>
    <row r="215" spans="7:17">
      <c r="G215" s="40"/>
      <c r="H215" s="40"/>
      <c r="I215" s="40"/>
      <c r="J215" s="40"/>
      <c r="K215" s="40"/>
      <c r="L215" s="40"/>
      <c r="M215" s="40"/>
      <c r="N215" s="40"/>
      <c r="O215" s="40"/>
      <c r="P215" s="40"/>
      <c r="Q215" s="40"/>
    </row>
    <row r="216" spans="7:17">
      <c r="G216" s="40"/>
      <c r="H216" s="40"/>
      <c r="I216" s="40"/>
      <c r="J216" s="40"/>
      <c r="K216" s="40"/>
      <c r="L216" s="40"/>
      <c r="M216" s="40"/>
      <c r="N216" s="40"/>
      <c r="O216" s="40"/>
      <c r="P216" s="40"/>
      <c r="Q216" s="40"/>
    </row>
    <row r="217" spans="7:17">
      <c r="G217" s="40"/>
      <c r="H217" s="40"/>
      <c r="I217" s="40"/>
      <c r="J217" s="40"/>
      <c r="K217" s="40"/>
      <c r="L217" s="40"/>
      <c r="M217" s="40"/>
      <c r="N217" s="40"/>
      <c r="O217" s="40"/>
      <c r="P217" s="40"/>
      <c r="Q217" s="40"/>
    </row>
    <row r="218" spans="7:17">
      <c r="G218" s="40"/>
      <c r="H218" s="40"/>
      <c r="I218" s="40"/>
      <c r="J218" s="40"/>
      <c r="K218" s="40"/>
      <c r="L218" s="40"/>
      <c r="M218" s="40"/>
      <c r="N218" s="40"/>
      <c r="O218" s="40"/>
      <c r="P218" s="40"/>
      <c r="Q218" s="40"/>
    </row>
    <row r="219" spans="7:17">
      <c r="G219" s="40"/>
      <c r="H219" s="40"/>
      <c r="I219" s="40"/>
      <c r="J219" s="40"/>
      <c r="K219" s="40"/>
      <c r="L219" s="40"/>
      <c r="M219" s="40"/>
      <c r="N219" s="40"/>
      <c r="O219" s="40"/>
      <c r="P219" s="40"/>
      <c r="Q219" s="40"/>
    </row>
    <row r="220" spans="7:17">
      <c r="G220" s="40"/>
      <c r="H220" s="40"/>
      <c r="I220" s="40"/>
      <c r="J220" s="40"/>
      <c r="K220" s="40"/>
      <c r="L220" s="40"/>
      <c r="M220" s="40"/>
      <c r="N220" s="40"/>
      <c r="O220" s="40"/>
      <c r="P220" s="40"/>
      <c r="Q220" s="40"/>
    </row>
    <row r="221" spans="7:17">
      <c r="G221" s="40"/>
      <c r="H221" s="40"/>
      <c r="I221" s="40"/>
      <c r="J221" s="40"/>
      <c r="K221" s="40"/>
      <c r="L221" s="40"/>
      <c r="M221" s="40"/>
      <c r="N221" s="40"/>
      <c r="O221" s="40"/>
      <c r="P221" s="40"/>
      <c r="Q221" s="40"/>
    </row>
    <row r="222" spans="7:17">
      <c r="G222" s="40"/>
      <c r="H222" s="40"/>
      <c r="I222" s="40"/>
      <c r="J222" s="40"/>
      <c r="K222" s="40"/>
      <c r="L222" s="40"/>
      <c r="M222" s="40"/>
      <c r="N222" s="40"/>
      <c r="O222" s="40"/>
      <c r="P222" s="40"/>
      <c r="Q222" s="40"/>
    </row>
    <row r="223" spans="7:17">
      <c r="G223" s="40"/>
      <c r="H223" s="40"/>
      <c r="I223" s="40"/>
      <c r="J223" s="40"/>
      <c r="K223" s="40"/>
      <c r="L223" s="40"/>
      <c r="M223" s="40"/>
      <c r="N223" s="40"/>
      <c r="O223" s="40"/>
      <c r="P223" s="40"/>
      <c r="Q223" s="40"/>
    </row>
    <row r="224" spans="7:17">
      <c r="G224" s="40"/>
      <c r="H224" s="40"/>
      <c r="I224" s="40"/>
      <c r="J224" s="40"/>
      <c r="K224" s="40"/>
      <c r="L224" s="40"/>
      <c r="M224" s="40"/>
      <c r="N224" s="40"/>
      <c r="O224" s="40"/>
      <c r="P224" s="40"/>
      <c r="Q224" s="40"/>
    </row>
    <row r="225" spans="7:17">
      <c r="G225" s="40"/>
      <c r="H225" s="40"/>
      <c r="I225" s="40"/>
      <c r="J225" s="40"/>
      <c r="K225" s="40"/>
      <c r="L225" s="40"/>
      <c r="M225" s="40"/>
      <c r="N225" s="40"/>
      <c r="O225" s="40"/>
      <c r="P225" s="40"/>
      <c r="Q225" s="40"/>
    </row>
    <row r="226" spans="7:17">
      <c r="G226" s="40"/>
      <c r="H226" s="40"/>
      <c r="I226" s="40"/>
      <c r="J226" s="40"/>
      <c r="K226" s="40"/>
      <c r="L226" s="40"/>
      <c r="M226" s="40"/>
      <c r="N226" s="40"/>
      <c r="O226" s="40"/>
      <c r="P226" s="40"/>
      <c r="Q226" s="40"/>
    </row>
    <row r="227" spans="7:17">
      <c r="G227" s="40"/>
      <c r="H227" s="40"/>
      <c r="I227" s="40"/>
      <c r="J227" s="40"/>
      <c r="K227" s="40"/>
      <c r="L227" s="40"/>
      <c r="M227" s="40"/>
      <c r="N227" s="40"/>
      <c r="O227" s="40"/>
      <c r="P227" s="40"/>
      <c r="Q227" s="40"/>
    </row>
    <row r="228" spans="7:17">
      <c r="G228" s="40"/>
      <c r="H228" s="40"/>
      <c r="I228" s="40"/>
      <c r="J228" s="40"/>
      <c r="K228" s="40"/>
      <c r="L228" s="40"/>
      <c r="M228" s="40"/>
      <c r="N228" s="40"/>
      <c r="O228" s="40"/>
      <c r="P228" s="40"/>
      <c r="Q228" s="40"/>
    </row>
    <row r="229" spans="7:17">
      <c r="G229" s="40"/>
      <c r="H229" s="40"/>
      <c r="I229" s="40"/>
      <c r="J229" s="40"/>
      <c r="K229" s="40"/>
      <c r="L229" s="40"/>
      <c r="M229" s="40"/>
      <c r="N229" s="40"/>
      <c r="O229" s="40"/>
      <c r="P229" s="40"/>
      <c r="Q229" s="40"/>
    </row>
    <row r="230" spans="7:17">
      <c r="G230" s="40"/>
      <c r="H230" s="40"/>
      <c r="I230" s="40"/>
      <c r="J230" s="40"/>
      <c r="K230" s="40"/>
      <c r="L230" s="40"/>
      <c r="M230" s="40"/>
      <c r="N230" s="40"/>
      <c r="O230" s="40"/>
      <c r="P230" s="40"/>
      <c r="Q230" s="40"/>
    </row>
    <row r="231" spans="7:17">
      <c r="G231" s="40"/>
      <c r="H231" s="40"/>
      <c r="I231" s="40"/>
      <c r="J231" s="40"/>
      <c r="K231" s="40"/>
      <c r="L231" s="40"/>
      <c r="M231" s="40"/>
      <c r="N231" s="40"/>
      <c r="O231" s="40"/>
      <c r="P231" s="40"/>
      <c r="Q231" s="40"/>
    </row>
    <row r="232" spans="7:17">
      <c r="G232" s="40"/>
      <c r="H232" s="40"/>
      <c r="I232" s="40"/>
      <c r="J232" s="40"/>
      <c r="K232" s="40"/>
      <c r="L232" s="40"/>
      <c r="M232" s="40"/>
      <c r="N232" s="40"/>
      <c r="O232" s="40"/>
      <c r="P232" s="40"/>
      <c r="Q232" s="40"/>
    </row>
    <row r="233" spans="7:17">
      <c r="G233" s="40"/>
      <c r="H233" s="40"/>
      <c r="I233" s="40"/>
      <c r="J233" s="40"/>
      <c r="K233" s="40"/>
      <c r="L233" s="40"/>
      <c r="M233" s="40"/>
      <c r="N233" s="40"/>
      <c r="O233" s="40"/>
      <c r="P233" s="40"/>
      <c r="Q233" s="40"/>
    </row>
    <row r="234" spans="7:17">
      <c r="G234" s="40"/>
      <c r="H234" s="40"/>
      <c r="I234" s="40"/>
      <c r="J234" s="40"/>
      <c r="K234" s="40"/>
      <c r="L234" s="40"/>
      <c r="M234" s="40"/>
      <c r="N234" s="40"/>
      <c r="O234" s="40"/>
      <c r="P234" s="40"/>
      <c r="Q234" s="40"/>
    </row>
    <row r="235" spans="7:17">
      <c r="G235" s="40"/>
      <c r="H235" s="40"/>
      <c r="I235" s="40"/>
      <c r="J235" s="40"/>
      <c r="K235" s="40"/>
      <c r="L235" s="40"/>
      <c r="M235" s="40"/>
      <c r="N235" s="40"/>
      <c r="O235" s="40"/>
      <c r="P235" s="40"/>
      <c r="Q235" s="40"/>
    </row>
    <row r="236" spans="7:17">
      <c r="G236" s="40"/>
      <c r="H236" s="40"/>
      <c r="I236" s="40"/>
      <c r="J236" s="40"/>
      <c r="K236" s="40"/>
      <c r="L236" s="40"/>
      <c r="M236" s="40"/>
      <c r="N236" s="40"/>
      <c r="O236" s="40"/>
      <c r="P236" s="40"/>
      <c r="Q236" s="40"/>
    </row>
    <row r="237" spans="7:17">
      <c r="G237" s="40"/>
      <c r="H237" s="40"/>
      <c r="I237" s="40"/>
      <c r="J237" s="40"/>
      <c r="K237" s="40"/>
      <c r="L237" s="40"/>
      <c r="M237" s="40"/>
      <c r="N237" s="40"/>
      <c r="O237" s="40"/>
      <c r="P237" s="40"/>
      <c r="Q237" s="40"/>
    </row>
    <row r="238" spans="7:17">
      <c r="G238" s="40"/>
      <c r="H238" s="40"/>
      <c r="I238" s="40"/>
      <c r="J238" s="40"/>
      <c r="K238" s="40"/>
      <c r="L238" s="40"/>
      <c r="M238" s="40"/>
      <c r="N238" s="40"/>
      <c r="O238" s="40"/>
      <c r="P238" s="40"/>
      <c r="Q238" s="40"/>
    </row>
    <row r="239" spans="7:17">
      <c r="G239" s="40"/>
      <c r="H239" s="40"/>
      <c r="I239" s="40"/>
      <c r="J239" s="40"/>
      <c r="K239" s="40"/>
      <c r="L239" s="40"/>
      <c r="M239" s="40"/>
      <c r="N239" s="40"/>
      <c r="O239" s="40"/>
      <c r="P239" s="40"/>
      <c r="Q239" s="40"/>
    </row>
    <row r="240" spans="7:17">
      <c r="G240" s="40"/>
      <c r="H240" s="40"/>
      <c r="I240" s="40"/>
      <c r="J240" s="40"/>
      <c r="K240" s="40"/>
      <c r="L240" s="40"/>
      <c r="M240" s="40"/>
      <c r="N240" s="40"/>
      <c r="O240" s="40"/>
      <c r="P240" s="40"/>
      <c r="Q240" s="40"/>
    </row>
    <row r="241" spans="7:17">
      <c r="G241" s="40"/>
      <c r="H241" s="40"/>
      <c r="I241" s="40"/>
      <c r="J241" s="40"/>
      <c r="K241" s="40"/>
      <c r="L241" s="40"/>
      <c r="M241" s="40"/>
      <c r="N241" s="40"/>
      <c r="O241" s="40"/>
      <c r="P241" s="40"/>
      <c r="Q241" s="40"/>
    </row>
    <row r="242" spans="7:17">
      <c r="G242" s="40"/>
      <c r="H242" s="40"/>
      <c r="I242" s="40"/>
      <c r="J242" s="40"/>
      <c r="K242" s="40"/>
      <c r="L242" s="40"/>
      <c r="M242" s="40"/>
      <c r="N242" s="40"/>
      <c r="O242" s="40"/>
      <c r="P242" s="40"/>
      <c r="Q242" s="40"/>
    </row>
    <row r="243" spans="7:17">
      <c r="G243" s="40"/>
      <c r="H243" s="40"/>
      <c r="I243" s="40"/>
      <c r="J243" s="40"/>
      <c r="K243" s="40"/>
      <c r="L243" s="40"/>
      <c r="M243" s="40"/>
      <c r="N243" s="40"/>
      <c r="O243" s="40"/>
      <c r="P243" s="40"/>
      <c r="Q243" s="40"/>
    </row>
    <row r="244" spans="7:17">
      <c r="G244" s="40"/>
      <c r="H244" s="40"/>
      <c r="I244" s="40"/>
      <c r="J244" s="40"/>
      <c r="K244" s="40"/>
      <c r="L244" s="40"/>
      <c r="M244" s="40"/>
      <c r="N244" s="40"/>
      <c r="O244" s="40"/>
      <c r="P244" s="40"/>
      <c r="Q244" s="40"/>
    </row>
    <row r="245" spans="7:17">
      <c r="G245" s="40"/>
      <c r="H245" s="40"/>
      <c r="I245" s="40"/>
      <c r="J245" s="40"/>
      <c r="K245" s="40"/>
      <c r="L245" s="40"/>
      <c r="M245" s="40"/>
      <c r="N245" s="40"/>
      <c r="O245" s="40"/>
      <c r="P245" s="40"/>
      <c r="Q245" s="40"/>
    </row>
    <row r="246" spans="7:17">
      <c r="G246" s="40"/>
      <c r="H246" s="40"/>
      <c r="I246" s="40"/>
      <c r="J246" s="40"/>
      <c r="K246" s="40"/>
      <c r="L246" s="40"/>
      <c r="M246" s="40"/>
      <c r="N246" s="40"/>
      <c r="O246" s="40"/>
      <c r="P246" s="40"/>
      <c r="Q246" s="40"/>
    </row>
    <row r="247" spans="7:17">
      <c r="G247" s="40"/>
      <c r="H247" s="40"/>
      <c r="I247" s="40"/>
      <c r="J247" s="40"/>
      <c r="K247" s="40"/>
      <c r="L247" s="40"/>
      <c r="M247" s="40"/>
      <c r="N247" s="40"/>
      <c r="O247" s="40"/>
      <c r="P247" s="40"/>
      <c r="Q247" s="40"/>
    </row>
    <row r="248" spans="7:17">
      <c r="G248" s="40"/>
      <c r="H248" s="40"/>
      <c r="I248" s="40"/>
      <c r="J248" s="40"/>
      <c r="K248" s="40"/>
      <c r="L248" s="40"/>
      <c r="M248" s="40"/>
      <c r="N248" s="40"/>
      <c r="O248" s="40"/>
      <c r="P248" s="40"/>
      <c r="Q248" s="40"/>
    </row>
    <row r="249" spans="7:17">
      <c r="G249" s="40"/>
      <c r="H249" s="40"/>
      <c r="I249" s="40"/>
      <c r="J249" s="40"/>
      <c r="K249" s="40"/>
      <c r="L249" s="40"/>
      <c r="M249" s="40"/>
      <c r="N249" s="40"/>
      <c r="O249" s="40"/>
      <c r="P249" s="40"/>
      <c r="Q249" s="40"/>
    </row>
    <row r="250" spans="7:17">
      <c r="G250" s="40"/>
      <c r="H250" s="40"/>
      <c r="I250" s="40"/>
      <c r="J250" s="40"/>
      <c r="K250" s="40"/>
      <c r="L250" s="40"/>
      <c r="M250" s="40"/>
      <c r="N250" s="40"/>
      <c r="O250" s="40"/>
      <c r="P250" s="40"/>
      <c r="Q250" s="40"/>
    </row>
    <row r="251" spans="7:17">
      <c r="G251" s="40"/>
      <c r="H251" s="40"/>
      <c r="I251" s="40"/>
      <c r="J251" s="40"/>
      <c r="K251" s="40"/>
      <c r="L251" s="40"/>
      <c r="M251" s="40"/>
      <c r="N251" s="40"/>
      <c r="O251" s="40"/>
      <c r="P251" s="40"/>
      <c r="Q251" s="40"/>
    </row>
    <row r="252" spans="7:17">
      <c r="G252" s="40"/>
      <c r="H252" s="40"/>
      <c r="I252" s="40"/>
      <c r="J252" s="40"/>
      <c r="K252" s="40"/>
      <c r="L252" s="40"/>
      <c r="M252" s="40"/>
      <c r="N252" s="40"/>
      <c r="O252" s="40"/>
      <c r="P252" s="40"/>
      <c r="Q252" s="40"/>
    </row>
    <row r="253" spans="7:17">
      <c r="G253" s="40"/>
      <c r="H253" s="40"/>
      <c r="I253" s="40"/>
      <c r="J253" s="40"/>
      <c r="K253" s="40"/>
      <c r="L253" s="40"/>
      <c r="M253" s="40"/>
      <c r="N253" s="40"/>
      <c r="O253" s="40"/>
      <c r="P253" s="40"/>
      <c r="Q253" s="40"/>
    </row>
    <row r="254" spans="7:17">
      <c r="G254" s="40"/>
      <c r="H254" s="40"/>
      <c r="I254" s="40"/>
      <c r="J254" s="40"/>
      <c r="K254" s="40"/>
      <c r="L254" s="40"/>
      <c r="M254" s="40"/>
      <c r="N254" s="40"/>
      <c r="O254" s="40"/>
      <c r="P254" s="40"/>
      <c r="Q254" s="40"/>
    </row>
    <row r="255" spans="7:17">
      <c r="G255" s="40"/>
      <c r="H255" s="40"/>
      <c r="I255" s="40"/>
      <c r="J255" s="40"/>
      <c r="K255" s="40"/>
      <c r="L255" s="40"/>
      <c r="M255" s="40"/>
      <c r="N255" s="40"/>
      <c r="O255" s="40"/>
      <c r="P255" s="40"/>
      <c r="Q255" s="40"/>
    </row>
    <row r="256" spans="7:17">
      <c r="G256" s="40"/>
      <c r="H256" s="40"/>
      <c r="I256" s="40"/>
      <c r="J256" s="40"/>
      <c r="K256" s="40"/>
      <c r="L256" s="40"/>
      <c r="M256" s="40"/>
      <c r="N256" s="40"/>
      <c r="O256" s="40"/>
      <c r="P256" s="40"/>
      <c r="Q256" s="40"/>
    </row>
    <row r="257" spans="7:17">
      <c r="G257" s="40"/>
      <c r="H257" s="40"/>
      <c r="I257" s="40"/>
      <c r="J257" s="40"/>
      <c r="K257" s="40"/>
      <c r="L257" s="40"/>
      <c r="M257" s="40"/>
      <c r="N257" s="40"/>
      <c r="O257" s="40"/>
      <c r="P257" s="40"/>
      <c r="Q257" s="40"/>
    </row>
    <row r="258" spans="7:17">
      <c r="G258" s="40"/>
      <c r="H258" s="40"/>
      <c r="I258" s="40"/>
      <c r="J258" s="40"/>
      <c r="K258" s="40"/>
      <c r="L258" s="40"/>
      <c r="M258" s="40"/>
      <c r="N258" s="40"/>
      <c r="O258" s="40"/>
      <c r="P258" s="40"/>
      <c r="Q258" s="40"/>
    </row>
    <row r="259" spans="7:17">
      <c r="G259" s="40"/>
      <c r="H259" s="40"/>
      <c r="I259" s="40"/>
      <c r="J259" s="40"/>
      <c r="K259" s="40"/>
      <c r="L259" s="40"/>
      <c r="M259" s="40"/>
      <c r="N259" s="40"/>
      <c r="O259" s="40"/>
      <c r="P259" s="40"/>
      <c r="Q259" s="40"/>
    </row>
    <row r="260" spans="7:17">
      <c r="G260" s="40"/>
      <c r="H260" s="40"/>
      <c r="I260" s="40"/>
      <c r="J260" s="40"/>
      <c r="K260" s="40"/>
      <c r="L260" s="40"/>
      <c r="M260" s="40"/>
      <c r="N260" s="40"/>
      <c r="O260" s="40"/>
      <c r="P260" s="40"/>
      <c r="Q260" s="40"/>
    </row>
    <row r="261" spans="7:17">
      <c r="G261" s="40"/>
      <c r="H261" s="40"/>
      <c r="I261" s="40"/>
      <c r="J261" s="40"/>
      <c r="K261" s="40"/>
      <c r="L261" s="40"/>
      <c r="M261" s="40"/>
      <c r="N261" s="40"/>
      <c r="O261" s="40"/>
      <c r="P261" s="40"/>
      <c r="Q261" s="40"/>
    </row>
    <row r="262" spans="7:17">
      <c r="G262" s="40"/>
      <c r="H262" s="40"/>
      <c r="I262" s="40"/>
      <c r="J262" s="40"/>
      <c r="K262" s="40"/>
      <c r="L262" s="40"/>
      <c r="M262" s="40"/>
      <c r="N262" s="40"/>
      <c r="O262" s="40"/>
      <c r="P262" s="40"/>
      <c r="Q262" s="40"/>
    </row>
    <row r="263" spans="7:17">
      <c r="G263" s="40"/>
      <c r="H263" s="40"/>
      <c r="I263" s="40"/>
      <c r="J263" s="40"/>
      <c r="K263" s="40"/>
      <c r="L263" s="40"/>
      <c r="M263" s="40"/>
      <c r="N263" s="40"/>
      <c r="O263" s="40"/>
      <c r="P263" s="40"/>
      <c r="Q263" s="40"/>
    </row>
    <row r="264" spans="7:17">
      <c r="G264" s="40"/>
      <c r="H264" s="40"/>
      <c r="I264" s="40"/>
      <c r="J264" s="40"/>
      <c r="K264" s="40"/>
      <c r="L264" s="40"/>
      <c r="M264" s="40"/>
      <c r="N264" s="40"/>
      <c r="O264" s="40"/>
      <c r="P264" s="40"/>
      <c r="Q264" s="40"/>
    </row>
    <row r="265" spans="7:17">
      <c r="G265" s="40"/>
      <c r="H265" s="40"/>
      <c r="I265" s="40"/>
      <c r="J265" s="40"/>
      <c r="K265" s="40"/>
      <c r="L265" s="40"/>
      <c r="M265" s="40"/>
      <c r="N265" s="40"/>
      <c r="O265" s="40"/>
      <c r="P265" s="40"/>
      <c r="Q265" s="40"/>
    </row>
    <row r="266" spans="7:17">
      <c r="G266" s="40"/>
      <c r="H266" s="40"/>
      <c r="I266" s="40"/>
      <c r="J266" s="40"/>
      <c r="K266" s="40"/>
      <c r="L266" s="40"/>
      <c r="M266" s="40"/>
      <c r="N266" s="40"/>
      <c r="O266" s="40"/>
      <c r="P266" s="40"/>
      <c r="Q266" s="40"/>
    </row>
    <row r="267" spans="7:17">
      <c r="G267" s="40"/>
      <c r="H267" s="40"/>
      <c r="I267" s="40"/>
      <c r="J267" s="40"/>
      <c r="K267" s="40"/>
      <c r="L267" s="40"/>
      <c r="M267" s="40"/>
      <c r="N267" s="40"/>
      <c r="O267" s="40"/>
      <c r="P267" s="40"/>
      <c r="Q267" s="40"/>
    </row>
    <row r="268" spans="7:17">
      <c r="G268" s="40"/>
      <c r="H268" s="40"/>
      <c r="I268" s="40"/>
      <c r="J268" s="40"/>
      <c r="K268" s="40"/>
      <c r="L268" s="40"/>
      <c r="M268" s="40"/>
      <c r="N268" s="40"/>
      <c r="O268" s="40"/>
      <c r="P268" s="40"/>
      <c r="Q268" s="40"/>
    </row>
    <row r="269" spans="7:17">
      <c r="G269" s="40"/>
      <c r="H269" s="40"/>
      <c r="I269" s="40"/>
      <c r="J269" s="40"/>
      <c r="K269" s="40"/>
      <c r="L269" s="40"/>
      <c r="M269" s="40"/>
      <c r="N269" s="40"/>
      <c r="O269" s="40"/>
      <c r="P269" s="40"/>
      <c r="Q269" s="40"/>
    </row>
    <row r="270" spans="7:17">
      <c r="G270" s="40"/>
      <c r="H270" s="40"/>
      <c r="I270" s="40"/>
      <c r="J270" s="40"/>
      <c r="K270" s="40"/>
      <c r="L270" s="40"/>
      <c r="M270" s="40"/>
      <c r="N270" s="40"/>
      <c r="O270" s="40"/>
      <c r="P270" s="40"/>
      <c r="Q270" s="40"/>
    </row>
    <row r="271" spans="7:17">
      <c r="G271" s="40"/>
      <c r="H271" s="40"/>
      <c r="I271" s="40"/>
      <c r="J271" s="40"/>
      <c r="K271" s="40"/>
      <c r="L271" s="40"/>
      <c r="M271" s="40"/>
      <c r="N271" s="40"/>
      <c r="O271" s="40"/>
      <c r="P271" s="40"/>
      <c r="Q271" s="40"/>
    </row>
    <row r="272" spans="7:17">
      <c r="G272" s="40"/>
      <c r="H272" s="40"/>
      <c r="I272" s="40"/>
      <c r="J272" s="40"/>
      <c r="K272" s="40"/>
      <c r="L272" s="40"/>
      <c r="M272" s="40"/>
      <c r="N272" s="40"/>
      <c r="O272" s="40"/>
      <c r="P272" s="40"/>
      <c r="Q272" s="40"/>
    </row>
    <row r="273" spans="7:17">
      <c r="G273" s="40"/>
      <c r="H273" s="40"/>
      <c r="I273" s="40"/>
      <c r="J273" s="40"/>
      <c r="K273" s="40"/>
      <c r="L273" s="40"/>
      <c r="M273" s="40"/>
      <c r="N273" s="40"/>
      <c r="O273" s="40"/>
      <c r="P273" s="40"/>
      <c r="Q273" s="40"/>
    </row>
    <row r="274" spans="7:17">
      <c r="G274" s="40"/>
      <c r="H274" s="40"/>
      <c r="I274" s="40"/>
      <c r="J274" s="40"/>
      <c r="K274" s="40"/>
      <c r="L274" s="40"/>
      <c r="M274" s="40"/>
      <c r="N274" s="40"/>
      <c r="O274" s="40"/>
      <c r="P274" s="40"/>
      <c r="Q274" s="40"/>
    </row>
    <row r="275" spans="7:17">
      <c r="G275" s="40"/>
      <c r="H275" s="40"/>
      <c r="I275" s="40"/>
      <c r="J275" s="40"/>
      <c r="K275" s="40"/>
      <c r="L275" s="40"/>
      <c r="M275" s="40"/>
      <c r="N275" s="40"/>
      <c r="O275" s="40"/>
      <c r="P275" s="40"/>
      <c r="Q275" s="40"/>
    </row>
    <row r="276" spans="7:17">
      <c r="G276" s="40"/>
      <c r="H276" s="40"/>
      <c r="I276" s="40"/>
      <c r="J276" s="40"/>
      <c r="K276" s="40"/>
      <c r="L276" s="40"/>
      <c r="M276" s="40"/>
      <c r="N276" s="40"/>
      <c r="O276" s="40"/>
      <c r="P276" s="40"/>
      <c r="Q276" s="40"/>
    </row>
    <row r="277" spans="7:17">
      <c r="G277" s="40"/>
      <c r="H277" s="40"/>
      <c r="I277" s="40"/>
      <c r="J277" s="40"/>
      <c r="K277" s="40"/>
      <c r="L277" s="40"/>
      <c r="M277" s="40"/>
      <c r="N277" s="40"/>
      <c r="O277" s="40"/>
      <c r="P277" s="40"/>
      <c r="Q277" s="40"/>
    </row>
    <row r="278" spans="7:17">
      <c r="G278" s="40"/>
      <c r="H278" s="40"/>
      <c r="I278" s="40"/>
      <c r="J278" s="40"/>
      <c r="K278" s="40"/>
      <c r="L278" s="40"/>
      <c r="M278" s="40"/>
      <c r="N278" s="40"/>
      <c r="O278" s="40"/>
      <c r="P278" s="40"/>
      <c r="Q278" s="40"/>
    </row>
    <row r="279" spans="7:17">
      <c r="G279" s="40"/>
      <c r="H279" s="40"/>
      <c r="I279" s="40"/>
      <c r="J279" s="40"/>
      <c r="K279" s="40"/>
      <c r="L279" s="40"/>
      <c r="M279" s="40"/>
      <c r="N279" s="40"/>
      <c r="O279" s="40"/>
      <c r="P279" s="40"/>
      <c r="Q279" s="40"/>
    </row>
    <row r="280" spans="7:17">
      <c r="G280" s="40"/>
      <c r="H280" s="40"/>
      <c r="I280" s="40"/>
      <c r="J280" s="40"/>
      <c r="K280" s="40"/>
      <c r="L280" s="40"/>
      <c r="M280" s="40"/>
      <c r="N280" s="40"/>
      <c r="O280" s="40"/>
      <c r="P280" s="40"/>
      <c r="Q280" s="40"/>
    </row>
    <row r="281" spans="7:17">
      <c r="G281" s="40"/>
      <c r="H281" s="40"/>
      <c r="I281" s="40"/>
      <c r="J281" s="40"/>
      <c r="K281" s="40"/>
      <c r="L281" s="40"/>
      <c r="M281" s="40"/>
      <c r="N281" s="40"/>
      <c r="O281" s="40"/>
      <c r="P281" s="40"/>
      <c r="Q281" s="40"/>
    </row>
    <row r="282" spans="7:17">
      <c r="G282" s="40"/>
      <c r="H282" s="40"/>
      <c r="I282" s="40"/>
      <c r="J282" s="40"/>
      <c r="K282" s="40"/>
      <c r="L282" s="40"/>
      <c r="M282" s="40"/>
      <c r="N282" s="40"/>
      <c r="O282" s="40"/>
      <c r="P282" s="40"/>
      <c r="Q282" s="40"/>
    </row>
    <row r="283" spans="7:17">
      <c r="G283" s="40"/>
      <c r="H283" s="40"/>
      <c r="I283" s="40"/>
      <c r="J283" s="40"/>
      <c r="K283" s="40"/>
      <c r="L283" s="40"/>
      <c r="M283" s="40"/>
      <c r="N283" s="40"/>
      <c r="O283" s="40"/>
      <c r="P283" s="40"/>
      <c r="Q283" s="40"/>
    </row>
    <row r="284" spans="7:17">
      <c r="G284" s="40"/>
      <c r="H284" s="40"/>
      <c r="I284" s="40"/>
      <c r="J284" s="40"/>
      <c r="K284" s="40"/>
      <c r="L284" s="40"/>
      <c r="M284" s="40"/>
      <c r="N284" s="40"/>
      <c r="O284" s="40"/>
      <c r="P284" s="40"/>
      <c r="Q284" s="40"/>
    </row>
    <row r="285" spans="7:17">
      <c r="G285" s="40"/>
      <c r="H285" s="40"/>
      <c r="I285" s="40"/>
      <c r="J285" s="40"/>
      <c r="K285" s="40"/>
      <c r="L285" s="40"/>
      <c r="M285" s="40"/>
      <c r="N285" s="40"/>
      <c r="O285" s="40"/>
      <c r="P285" s="40"/>
      <c r="Q285" s="40"/>
    </row>
    <row r="286" spans="7:17">
      <c r="G286" s="40"/>
      <c r="H286" s="40"/>
      <c r="I286" s="40"/>
      <c r="J286" s="40"/>
      <c r="K286" s="40"/>
      <c r="L286" s="40"/>
      <c r="M286" s="40"/>
      <c r="N286" s="40"/>
      <c r="O286" s="40"/>
      <c r="P286" s="40"/>
      <c r="Q286" s="40"/>
    </row>
    <row r="287" spans="7:17">
      <c r="G287" s="40"/>
      <c r="H287" s="40"/>
      <c r="I287" s="40"/>
      <c r="J287" s="40"/>
      <c r="K287" s="40"/>
      <c r="L287" s="40"/>
      <c r="M287" s="40"/>
      <c r="N287" s="40"/>
      <c r="O287" s="40"/>
      <c r="P287" s="40"/>
      <c r="Q287" s="40"/>
    </row>
    <row r="288" spans="7:17">
      <c r="G288" s="40"/>
      <c r="H288" s="40"/>
      <c r="I288" s="40"/>
      <c r="J288" s="40"/>
      <c r="K288" s="40"/>
      <c r="L288" s="40"/>
      <c r="M288" s="40"/>
      <c r="N288" s="40"/>
      <c r="O288" s="40"/>
      <c r="P288" s="40"/>
      <c r="Q288" s="40"/>
    </row>
    <row r="289" spans="7:17">
      <c r="G289" s="40"/>
      <c r="H289" s="40"/>
      <c r="I289" s="40"/>
      <c r="J289" s="40"/>
      <c r="K289" s="40"/>
      <c r="L289" s="40"/>
      <c r="M289" s="40"/>
      <c r="N289" s="40"/>
      <c r="O289" s="40"/>
      <c r="P289" s="40"/>
      <c r="Q289" s="40"/>
    </row>
    <row r="290" spans="7:17">
      <c r="G290" s="40"/>
      <c r="H290" s="40"/>
      <c r="I290" s="40"/>
      <c r="J290" s="40"/>
      <c r="K290" s="40"/>
      <c r="L290" s="40"/>
      <c r="M290" s="40"/>
      <c r="N290" s="40"/>
      <c r="O290" s="40"/>
      <c r="P290" s="40"/>
      <c r="Q290" s="40"/>
    </row>
    <row r="291" spans="7:17">
      <c r="G291" s="40"/>
      <c r="H291" s="40"/>
      <c r="I291" s="40"/>
      <c r="J291" s="40"/>
      <c r="K291" s="40"/>
      <c r="L291" s="40"/>
      <c r="M291" s="40"/>
      <c r="N291" s="40"/>
      <c r="O291" s="40"/>
      <c r="P291" s="40"/>
      <c r="Q291" s="40"/>
    </row>
    <row r="292" spans="7:17">
      <c r="G292" s="40"/>
      <c r="H292" s="40"/>
      <c r="I292" s="40"/>
      <c r="J292" s="40"/>
      <c r="K292" s="40"/>
      <c r="L292" s="40"/>
      <c r="M292" s="40"/>
      <c r="N292" s="40"/>
      <c r="O292" s="40"/>
      <c r="P292" s="40"/>
      <c r="Q292" s="40"/>
    </row>
    <row r="293" spans="7:17">
      <c r="G293" s="40"/>
      <c r="H293" s="40"/>
      <c r="I293" s="40"/>
      <c r="J293" s="40"/>
      <c r="K293" s="40"/>
      <c r="L293" s="40"/>
      <c r="M293" s="40"/>
      <c r="N293" s="40"/>
      <c r="O293" s="40"/>
      <c r="P293" s="40"/>
      <c r="Q293" s="40"/>
    </row>
    <row r="294" spans="7:17">
      <c r="G294" s="40"/>
      <c r="H294" s="40"/>
      <c r="I294" s="40"/>
      <c r="J294" s="40"/>
      <c r="K294" s="40"/>
      <c r="L294" s="40"/>
      <c r="M294" s="40"/>
      <c r="N294" s="40"/>
      <c r="O294" s="40"/>
      <c r="P294" s="40"/>
      <c r="Q294" s="40"/>
    </row>
    <row r="295" spans="7:17">
      <c r="G295" s="40"/>
      <c r="H295" s="40"/>
      <c r="I295" s="40"/>
      <c r="J295" s="40"/>
      <c r="K295" s="40"/>
      <c r="L295" s="40"/>
      <c r="M295" s="40"/>
      <c r="N295" s="40"/>
      <c r="O295" s="40"/>
      <c r="P295" s="40"/>
      <c r="Q295" s="40"/>
    </row>
    <row r="296" spans="7:17">
      <c r="G296" s="40"/>
      <c r="H296" s="40"/>
      <c r="I296" s="40"/>
      <c r="J296" s="40"/>
      <c r="K296" s="40"/>
      <c r="L296" s="40"/>
      <c r="M296" s="40"/>
      <c r="N296" s="40"/>
      <c r="O296" s="40"/>
      <c r="P296" s="40"/>
      <c r="Q296" s="40"/>
    </row>
    <row r="297" spans="7:17">
      <c r="G297" s="40"/>
      <c r="H297" s="40"/>
      <c r="I297" s="40"/>
      <c r="J297" s="40"/>
      <c r="K297" s="40"/>
      <c r="L297" s="40"/>
      <c r="M297" s="40"/>
      <c r="N297" s="40"/>
      <c r="O297" s="40"/>
      <c r="P297" s="40"/>
      <c r="Q297" s="40"/>
    </row>
    <row r="298" spans="7:17">
      <c r="G298" s="40"/>
      <c r="H298" s="40"/>
      <c r="I298" s="40"/>
      <c r="J298" s="40"/>
      <c r="K298" s="40"/>
      <c r="L298" s="40"/>
      <c r="M298" s="40"/>
      <c r="N298" s="40"/>
      <c r="O298" s="40"/>
      <c r="P298" s="40"/>
      <c r="Q298" s="40"/>
    </row>
    <row r="299" spans="7:17">
      <c r="G299" s="40"/>
      <c r="H299" s="40"/>
      <c r="I299" s="40"/>
      <c r="J299" s="40"/>
      <c r="K299" s="40"/>
      <c r="L299" s="40"/>
      <c r="M299" s="40"/>
      <c r="N299" s="40"/>
      <c r="O299" s="40"/>
      <c r="P299" s="40"/>
      <c r="Q299" s="40"/>
    </row>
    <row r="300" spans="7:17">
      <c r="G300" s="40"/>
      <c r="H300" s="40"/>
      <c r="I300" s="40"/>
      <c r="J300" s="40"/>
      <c r="K300" s="40"/>
      <c r="L300" s="40"/>
      <c r="M300" s="40"/>
      <c r="N300" s="40"/>
      <c r="O300" s="40"/>
      <c r="P300" s="40"/>
      <c r="Q300" s="40"/>
    </row>
    <row r="301" spans="7:17">
      <c r="G301" s="40"/>
      <c r="H301" s="40"/>
      <c r="I301" s="40"/>
      <c r="J301" s="40"/>
      <c r="K301" s="40"/>
      <c r="L301" s="40"/>
      <c r="M301" s="40"/>
      <c r="N301" s="40"/>
      <c r="O301" s="40"/>
      <c r="P301" s="40"/>
      <c r="Q301" s="40"/>
    </row>
    <row r="302" spans="7:17">
      <c r="G302" s="40"/>
      <c r="H302" s="40"/>
      <c r="I302" s="40"/>
      <c r="J302" s="40"/>
      <c r="K302" s="40"/>
      <c r="L302" s="40"/>
      <c r="M302" s="40"/>
      <c r="N302" s="40"/>
      <c r="O302" s="40"/>
      <c r="P302" s="40"/>
      <c r="Q302" s="40"/>
    </row>
    <row r="303" spans="7:17">
      <c r="G303" s="40"/>
      <c r="H303" s="40"/>
      <c r="I303" s="40"/>
      <c r="J303" s="40"/>
      <c r="K303" s="40"/>
      <c r="L303" s="40"/>
      <c r="M303" s="40"/>
      <c r="N303" s="40"/>
      <c r="O303" s="40"/>
      <c r="P303" s="40"/>
      <c r="Q303" s="40"/>
    </row>
    <row r="304" spans="7:17">
      <c r="G304" s="40"/>
      <c r="H304" s="40"/>
      <c r="I304" s="40"/>
      <c r="J304" s="40"/>
      <c r="K304" s="40"/>
      <c r="L304" s="40"/>
      <c r="M304" s="40"/>
      <c r="N304" s="40"/>
      <c r="O304" s="40"/>
      <c r="P304" s="40"/>
      <c r="Q304" s="40"/>
    </row>
    <row r="305" spans="7:17">
      <c r="G305" s="40"/>
      <c r="H305" s="40"/>
      <c r="I305" s="40"/>
      <c r="J305" s="40"/>
      <c r="K305" s="40"/>
      <c r="L305" s="40"/>
      <c r="M305" s="40"/>
      <c r="N305" s="40"/>
      <c r="O305" s="40"/>
      <c r="P305" s="40"/>
      <c r="Q305" s="40"/>
    </row>
    <row r="306" spans="7:17">
      <c r="G306" s="40"/>
      <c r="H306" s="40"/>
      <c r="I306" s="40"/>
      <c r="J306" s="40"/>
      <c r="K306" s="40"/>
      <c r="L306" s="40"/>
      <c r="M306" s="40"/>
      <c r="N306" s="40"/>
      <c r="O306" s="40"/>
      <c r="P306" s="40"/>
      <c r="Q306" s="40"/>
    </row>
    <row r="307" spans="7:17">
      <c r="G307" s="40"/>
      <c r="H307" s="40"/>
      <c r="I307" s="40"/>
      <c r="J307" s="40"/>
      <c r="K307" s="40"/>
      <c r="L307" s="40"/>
      <c r="M307" s="40"/>
      <c r="N307" s="40"/>
      <c r="O307" s="40"/>
      <c r="P307" s="40"/>
      <c r="Q307" s="40"/>
    </row>
    <row r="308" spans="7:17">
      <c r="G308" s="40"/>
      <c r="H308" s="40"/>
      <c r="I308" s="40"/>
      <c r="J308" s="40"/>
      <c r="K308" s="40"/>
      <c r="L308" s="40"/>
      <c r="M308" s="40"/>
      <c r="N308" s="40"/>
      <c r="O308" s="40"/>
      <c r="P308" s="40"/>
      <c r="Q308" s="40"/>
    </row>
    <row r="309" spans="7:17">
      <c r="G309" s="40"/>
      <c r="H309" s="40"/>
      <c r="I309" s="40"/>
      <c r="J309" s="40"/>
      <c r="K309" s="40"/>
      <c r="L309" s="40"/>
      <c r="M309" s="40"/>
      <c r="N309" s="40"/>
      <c r="O309" s="40"/>
      <c r="P309" s="40"/>
      <c r="Q309" s="40"/>
    </row>
    <row r="310" spans="7:17">
      <c r="G310" s="40"/>
      <c r="H310" s="40"/>
      <c r="I310" s="40"/>
      <c r="J310" s="40"/>
      <c r="K310" s="40"/>
      <c r="L310" s="40"/>
      <c r="M310" s="40"/>
      <c r="N310" s="40"/>
      <c r="O310" s="40"/>
      <c r="P310" s="40"/>
      <c r="Q310" s="40"/>
    </row>
    <row r="311" spans="7:17">
      <c r="G311" s="40"/>
      <c r="H311" s="40"/>
      <c r="I311" s="40"/>
      <c r="J311" s="40"/>
      <c r="K311" s="40"/>
      <c r="L311" s="40"/>
      <c r="M311" s="40"/>
      <c r="N311" s="40"/>
      <c r="O311" s="40"/>
      <c r="P311" s="40"/>
      <c r="Q311" s="40"/>
    </row>
    <row r="312" spans="7:17">
      <c r="G312" s="40"/>
      <c r="H312" s="40"/>
      <c r="I312" s="40"/>
      <c r="J312" s="40"/>
      <c r="K312" s="40"/>
      <c r="L312" s="40"/>
      <c r="M312" s="40"/>
      <c r="N312" s="40"/>
      <c r="O312" s="40"/>
      <c r="P312" s="40"/>
      <c r="Q312" s="40"/>
    </row>
    <row r="313" spans="7:17">
      <c r="G313" s="40"/>
      <c r="H313" s="40"/>
      <c r="I313" s="40"/>
      <c r="J313" s="40"/>
      <c r="K313" s="40"/>
      <c r="L313" s="40"/>
      <c r="M313" s="40"/>
      <c r="N313" s="40"/>
      <c r="O313" s="40"/>
      <c r="P313" s="40"/>
      <c r="Q313" s="40"/>
    </row>
    <row r="314" spans="7:17">
      <c r="G314" s="40"/>
      <c r="H314" s="40"/>
      <c r="I314" s="40"/>
      <c r="J314" s="40"/>
      <c r="K314" s="40"/>
      <c r="L314" s="40"/>
      <c r="M314" s="40"/>
      <c r="N314" s="40"/>
      <c r="O314" s="40"/>
      <c r="P314" s="40"/>
      <c r="Q314" s="40"/>
    </row>
    <row r="315" spans="7:17">
      <c r="G315" s="40"/>
      <c r="H315" s="40"/>
      <c r="I315" s="40"/>
      <c r="J315" s="40"/>
      <c r="K315" s="40"/>
      <c r="L315" s="40"/>
      <c r="M315" s="40"/>
      <c r="N315" s="40"/>
      <c r="O315" s="40"/>
      <c r="P315" s="40"/>
      <c r="Q315" s="40"/>
    </row>
    <row r="316" spans="7:17">
      <c r="G316" s="40"/>
      <c r="H316" s="40"/>
      <c r="I316" s="40"/>
      <c r="J316" s="40"/>
      <c r="K316" s="40"/>
      <c r="L316" s="40"/>
      <c r="M316" s="40"/>
      <c r="N316" s="40"/>
      <c r="O316" s="40"/>
      <c r="P316" s="40"/>
      <c r="Q316" s="40"/>
    </row>
    <row r="317" spans="7:17">
      <c r="G317" s="40"/>
      <c r="H317" s="40"/>
      <c r="I317" s="40"/>
      <c r="J317" s="40"/>
      <c r="K317" s="40"/>
      <c r="L317" s="40"/>
      <c r="M317" s="40"/>
      <c r="N317" s="40"/>
      <c r="O317" s="40"/>
      <c r="P317" s="40"/>
      <c r="Q317" s="40"/>
    </row>
    <row r="318" spans="7:17">
      <c r="G318" s="40"/>
      <c r="H318" s="40"/>
      <c r="I318" s="40"/>
      <c r="J318" s="40"/>
      <c r="K318" s="40"/>
      <c r="L318" s="40"/>
      <c r="M318" s="40"/>
      <c r="N318" s="40"/>
      <c r="O318" s="40"/>
      <c r="P318" s="40"/>
      <c r="Q318" s="40"/>
    </row>
    <row r="319" spans="7:17">
      <c r="G319" s="40"/>
      <c r="H319" s="40"/>
      <c r="I319" s="40"/>
      <c r="J319" s="40"/>
      <c r="K319" s="40"/>
      <c r="L319" s="40"/>
      <c r="M319" s="40"/>
      <c r="N319" s="40"/>
      <c r="O319" s="40"/>
      <c r="P319" s="40"/>
      <c r="Q319" s="40"/>
    </row>
    <row r="320" spans="7:17">
      <c r="G320" s="40"/>
      <c r="H320" s="40"/>
      <c r="I320" s="40"/>
      <c r="J320" s="40"/>
      <c r="K320" s="40"/>
      <c r="L320" s="40"/>
      <c r="M320" s="40"/>
      <c r="N320" s="40"/>
      <c r="O320" s="40"/>
      <c r="P320" s="40"/>
      <c r="Q320" s="40"/>
    </row>
    <row r="321" spans="7:17">
      <c r="G321" s="40"/>
      <c r="H321" s="40"/>
      <c r="I321" s="40"/>
      <c r="J321" s="40"/>
      <c r="K321" s="40"/>
      <c r="L321" s="40"/>
      <c r="M321" s="40"/>
      <c r="N321" s="40"/>
      <c r="O321" s="40"/>
      <c r="P321" s="40"/>
      <c r="Q321" s="40"/>
    </row>
    <row r="322" spans="7:17">
      <c r="G322" s="40"/>
      <c r="H322" s="40"/>
      <c r="I322" s="40"/>
      <c r="J322" s="40"/>
      <c r="K322" s="40"/>
      <c r="L322" s="40"/>
      <c r="M322" s="40"/>
      <c r="N322" s="40"/>
      <c r="O322" s="40"/>
      <c r="P322" s="40"/>
      <c r="Q322" s="40"/>
    </row>
    <row r="323" spans="7:17">
      <c r="G323" s="40"/>
      <c r="H323" s="40"/>
      <c r="I323" s="40"/>
      <c r="J323" s="40"/>
      <c r="K323" s="40"/>
      <c r="L323" s="40"/>
      <c r="M323" s="40"/>
      <c r="N323" s="40"/>
      <c r="O323" s="40"/>
      <c r="P323" s="40"/>
      <c r="Q323" s="40"/>
    </row>
    <row r="324" spans="7:17">
      <c r="G324" s="40"/>
      <c r="H324" s="40"/>
      <c r="I324" s="40"/>
      <c r="J324" s="40"/>
      <c r="K324" s="40"/>
      <c r="L324" s="40"/>
      <c r="M324" s="40"/>
      <c r="N324" s="40"/>
      <c r="O324" s="40"/>
      <c r="P324" s="40"/>
      <c r="Q324" s="40"/>
    </row>
    <row r="325" spans="7:17">
      <c r="G325" s="40"/>
      <c r="H325" s="40"/>
      <c r="I325" s="40"/>
      <c r="J325" s="40"/>
      <c r="K325" s="40"/>
      <c r="L325" s="40"/>
      <c r="M325" s="40"/>
      <c r="N325" s="40"/>
      <c r="O325" s="40"/>
      <c r="P325" s="40"/>
      <c r="Q325" s="40"/>
    </row>
    <row r="326" spans="7:17">
      <c r="G326" s="40"/>
      <c r="H326" s="40"/>
      <c r="I326" s="40"/>
      <c r="J326" s="40"/>
      <c r="K326" s="40"/>
      <c r="L326" s="40"/>
      <c r="M326" s="40"/>
      <c r="N326" s="40"/>
      <c r="O326" s="40"/>
      <c r="P326" s="40"/>
      <c r="Q326" s="40"/>
    </row>
    <row r="327" spans="7:17">
      <c r="G327" s="40"/>
      <c r="H327" s="40"/>
      <c r="I327" s="40"/>
      <c r="J327" s="40"/>
      <c r="K327" s="40"/>
      <c r="L327" s="40"/>
      <c r="M327" s="40"/>
      <c r="N327" s="40"/>
      <c r="O327" s="40"/>
      <c r="P327" s="40"/>
      <c r="Q327" s="40"/>
    </row>
    <row r="328" spans="7:17">
      <c r="G328" s="40"/>
      <c r="H328" s="40"/>
      <c r="I328" s="40"/>
      <c r="J328" s="40"/>
      <c r="K328" s="40"/>
      <c r="L328" s="40"/>
      <c r="M328" s="40"/>
      <c r="N328" s="40"/>
      <c r="O328" s="40"/>
      <c r="P328" s="40"/>
      <c r="Q328" s="40"/>
    </row>
    <row r="329" spans="7:17">
      <c r="G329" s="40"/>
      <c r="H329" s="40"/>
      <c r="I329" s="40"/>
      <c r="J329" s="40"/>
      <c r="K329" s="40"/>
      <c r="L329" s="40"/>
      <c r="M329" s="40"/>
      <c r="N329" s="40"/>
      <c r="O329" s="40"/>
      <c r="P329" s="40"/>
      <c r="Q329" s="40"/>
    </row>
    <row r="330" spans="7:17">
      <c r="G330" s="40"/>
      <c r="H330" s="40"/>
      <c r="I330" s="40"/>
      <c r="J330" s="40"/>
      <c r="K330" s="40"/>
      <c r="L330" s="40"/>
      <c r="M330" s="40"/>
      <c r="N330" s="40"/>
      <c r="O330" s="40"/>
      <c r="P330" s="40"/>
      <c r="Q330" s="40"/>
    </row>
    <row r="331" spans="7:17">
      <c r="G331" s="40"/>
      <c r="H331" s="40"/>
      <c r="I331" s="40"/>
      <c r="J331" s="40"/>
      <c r="K331" s="40"/>
      <c r="L331" s="40"/>
      <c r="M331" s="40"/>
      <c r="N331" s="40"/>
      <c r="O331" s="40"/>
      <c r="P331" s="40"/>
      <c r="Q331" s="40"/>
    </row>
    <row r="332" spans="7:17">
      <c r="G332" s="40"/>
      <c r="H332" s="40"/>
      <c r="I332" s="40"/>
      <c r="J332" s="40"/>
      <c r="K332" s="40"/>
      <c r="L332" s="40"/>
      <c r="M332" s="40"/>
      <c r="N332" s="40"/>
      <c r="O332" s="40"/>
      <c r="P332" s="40"/>
      <c r="Q332" s="40"/>
    </row>
    <row r="333" spans="7:17">
      <c r="G333" s="40"/>
      <c r="H333" s="40"/>
      <c r="I333" s="40"/>
      <c r="J333" s="40"/>
      <c r="K333" s="40"/>
      <c r="L333" s="40"/>
      <c r="M333" s="40"/>
      <c r="N333" s="40"/>
      <c r="O333" s="40"/>
      <c r="P333" s="40"/>
      <c r="Q333" s="40"/>
    </row>
    <row r="334" spans="7:17">
      <c r="G334" s="40"/>
      <c r="H334" s="40"/>
      <c r="I334" s="40"/>
      <c r="J334" s="40"/>
      <c r="K334" s="40"/>
      <c r="L334" s="40"/>
      <c r="M334" s="40"/>
      <c r="N334" s="40"/>
      <c r="O334" s="40"/>
      <c r="P334" s="40"/>
      <c r="Q334" s="40"/>
    </row>
    <row r="335" spans="7:17">
      <c r="G335" s="40"/>
      <c r="H335" s="40"/>
      <c r="I335" s="40"/>
      <c r="J335" s="40"/>
      <c r="K335" s="40"/>
      <c r="L335" s="40"/>
      <c r="M335" s="40"/>
      <c r="N335" s="40"/>
      <c r="O335" s="40"/>
      <c r="P335" s="40"/>
      <c r="Q335" s="40"/>
    </row>
    <row r="336" spans="7:17">
      <c r="G336" s="40"/>
      <c r="H336" s="40"/>
      <c r="I336" s="40"/>
      <c r="J336" s="40"/>
      <c r="K336" s="40"/>
      <c r="L336" s="40"/>
      <c r="M336" s="40"/>
      <c r="N336" s="40"/>
      <c r="O336" s="40"/>
      <c r="P336" s="40"/>
      <c r="Q336" s="40"/>
    </row>
    <row r="337" spans="7:17">
      <c r="G337" s="40"/>
      <c r="H337" s="40"/>
      <c r="I337" s="40"/>
      <c r="J337" s="40"/>
      <c r="K337" s="40"/>
      <c r="L337" s="40"/>
      <c r="M337" s="40"/>
      <c r="N337" s="40"/>
      <c r="O337" s="40"/>
      <c r="P337" s="40"/>
      <c r="Q337" s="40"/>
    </row>
    <row r="338" spans="7:17">
      <c r="G338" s="40"/>
      <c r="H338" s="40"/>
      <c r="I338" s="40"/>
      <c r="J338" s="40"/>
      <c r="K338" s="40"/>
      <c r="L338" s="40"/>
      <c r="M338" s="40"/>
      <c r="N338" s="40"/>
      <c r="O338" s="40"/>
      <c r="P338" s="40"/>
      <c r="Q338" s="40"/>
    </row>
    <row r="339" spans="7:17">
      <c r="G339" s="40"/>
      <c r="H339" s="40"/>
      <c r="I339" s="40"/>
      <c r="J339" s="40"/>
      <c r="K339" s="40"/>
      <c r="L339" s="40"/>
      <c r="M339" s="40"/>
      <c r="N339" s="40"/>
      <c r="O339" s="40"/>
      <c r="P339" s="40"/>
      <c r="Q339" s="40"/>
    </row>
    <row r="340" spans="7:17">
      <c r="G340" s="40"/>
      <c r="H340" s="40"/>
      <c r="I340" s="40"/>
      <c r="J340" s="40"/>
      <c r="K340" s="40"/>
      <c r="L340" s="40"/>
      <c r="M340" s="40"/>
      <c r="N340" s="40"/>
      <c r="O340" s="40"/>
      <c r="P340" s="40"/>
      <c r="Q340" s="40"/>
    </row>
    <row r="341" spans="7:17">
      <c r="G341" s="40"/>
      <c r="H341" s="40"/>
      <c r="I341" s="40"/>
      <c r="J341" s="40"/>
      <c r="K341" s="40"/>
      <c r="L341" s="40"/>
      <c r="M341" s="40"/>
      <c r="N341" s="40"/>
      <c r="O341" s="40"/>
      <c r="P341" s="40"/>
      <c r="Q341" s="40"/>
    </row>
    <row r="342" spans="7:17">
      <c r="G342" s="40"/>
      <c r="H342" s="40"/>
      <c r="I342" s="40"/>
      <c r="J342" s="40"/>
      <c r="K342" s="40"/>
      <c r="L342" s="40"/>
      <c r="M342" s="40"/>
      <c r="N342" s="40"/>
      <c r="O342" s="40"/>
      <c r="P342" s="40"/>
      <c r="Q342" s="40"/>
    </row>
    <row r="343" spans="7:17">
      <c r="G343" s="40"/>
      <c r="H343" s="40"/>
      <c r="I343" s="40"/>
      <c r="J343" s="40"/>
      <c r="K343" s="40"/>
      <c r="L343" s="40"/>
      <c r="M343" s="40"/>
      <c r="N343" s="40"/>
      <c r="O343" s="40"/>
      <c r="P343" s="40"/>
      <c r="Q343" s="40"/>
    </row>
    <row r="344" spans="7:17">
      <c r="G344" s="40"/>
      <c r="H344" s="40"/>
      <c r="I344" s="40"/>
      <c r="J344" s="40"/>
      <c r="K344" s="40"/>
      <c r="L344" s="40"/>
      <c r="M344" s="40"/>
      <c r="N344" s="40"/>
      <c r="O344" s="40"/>
      <c r="P344" s="40"/>
      <c r="Q344" s="40"/>
    </row>
    <row r="345" spans="7:17">
      <c r="G345" s="40"/>
      <c r="H345" s="40"/>
      <c r="I345" s="40"/>
      <c r="J345" s="40"/>
      <c r="K345" s="40"/>
      <c r="L345" s="40"/>
      <c r="M345" s="40"/>
      <c r="N345" s="40"/>
      <c r="O345" s="40"/>
      <c r="P345" s="40"/>
      <c r="Q345" s="40"/>
    </row>
    <row r="346" spans="7:17">
      <c r="G346" s="40"/>
      <c r="H346" s="40"/>
      <c r="I346" s="40"/>
      <c r="J346" s="40"/>
      <c r="K346" s="40"/>
      <c r="L346" s="40"/>
      <c r="M346" s="40"/>
      <c r="N346" s="40"/>
      <c r="O346" s="40"/>
      <c r="P346" s="40"/>
      <c r="Q346" s="40"/>
    </row>
    <row r="347" spans="7:17">
      <c r="G347" s="40"/>
      <c r="H347" s="40"/>
      <c r="I347" s="40"/>
      <c r="J347" s="40"/>
      <c r="K347" s="40"/>
      <c r="L347" s="40"/>
      <c r="M347" s="40"/>
      <c r="N347" s="40"/>
      <c r="O347" s="40"/>
      <c r="P347" s="40"/>
      <c r="Q347" s="40"/>
    </row>
    <row r="348" spans="7:17">
      <c r="G348" s="40"/>
      <c r="H348" s="40"/>
      <c r="I348" s="40"/>
      <c r="J348" s="40"/>
      <c r="K348" s="40"/>
      <c r="L348" s="40"/>
      <c r="M348" s="40"/>
      <c r="N348" s="40"/>
      <c r="O348" s="40"/>
      <c r="P348" s="40"/>
      <c r="Q348" s="40"/>
    </row>
    <row r="349" spans="7:17">
      <c r="G349" s="40"/>
      <c r="H349" s="40"/>
      <c r="I349" s="40"/>
      <c r="J349" s="40"/>
      <c r="K349" s="40"/>
      <c r="L349" s="40"/>
      <c r="M349" s="40"/>
      <c r="N349" s="40"/>
      <c r="O349" s="40"/>
      <c r="P349" s="40"/>
      <c r="Q349" s="40"/>
    </row>
    <row r="350" spans="7:17">
      <c r="G350" s="40"/>
      <c r="H350" s="40"/>
      <c r="I350" s="40"/>
      <c r="J350" s="40"/>
      <c r="K350" s="40"/>
      <c r="L350" s="40"/>
      <c r="M350" s="40"/>
      <c r="N350" s="40"/>
      <c r="O350" s="40"/>
      <c r="P350" s="40"/>
      <c r="Q350" s="40"/>
    </row>
    <row r="351" spans="7:17">
      <c r="G351" s="40"/>
      <c r="H351" s="40"/>
      <c r="I351" s="40"/>
      <c r="J351" s="40"/>
      <c r="K351" s="40"/>
      <c r="L351" s="40"/>
      <c r="M351" s="40"/>
      <c r="N351" s="40"/>
      <c r="O351" s="40"/>
      <c r="P351" s="40"/>
      <c r="Q351" s="40"/>
    </row>
    <row r="352" spans="7:17">
      <c r="G352" s="40"/>
      <c r="H352" s="40"/>
      <c r="I352" s="40"/>
      <c r="J352" s="40"/>
      <c r="K352" s="40"/>
      <c r="L352" s="40"/>
      <c r="M352" s="40"/>
      <c r="N352" s="40"/>
      <c r="O352" s="40"/>
      <c r="P352" s="40"/>
      <c r="Q352" s="40"/>
    </row>
    <row r="353" spans="7:17">
      <c r="G353" s="40"/>
      <c r="H353" s="40"/>
      <c r="I353" s="40"/>
      <c r="J353" s="40"/>
      <c r="K353" s="40"/>
      <c r="L353" s="40"/>
      <c r="M353" s="40"/>
      <c r="N353" s="40"/>
      <c r="O353" s="40"/>
      <c r="P353" s="40"/>
      <c r="Q353" s="40"/>
    </row>
    <row r="354" spans="7:17">
      <c r="G354" s="40"/>
      <c r="H354" s="40"/>
      <c r="I354" s="40"/>
      <c r="J354" s="40"/>
      <c r="K354" s="40"/>
      <c r="L354" s="40"/>
      <c r="M354" s="40"/>
      <c r="N354" s="40"/>
      <c r="O354" s="40"/>
      <c r="P354" s="40"/>
      <c r="Q354" s="40"/>
    </row>
    <row r="355" spans="7:17">
      <c r="G355" s="40"/>
      <c r="H355" s="40"/>
      <c r="I355" s="40"/>
      <c r="J355" s="40"/>
      <c r="K355" s="40"/>
      <c r="L355" s="40"/>
      <c r="M355" s="40"/>
      <c r="N355" s="40"/>
      <c r="O355" s="40"/>
      <c r="P355" s="40"/>
      <c r="Q355" s="40"/>
    </row>
    <row r="356" spans="7:17">
      <c r="G356" s="40"/>
      <c r="H356" s="40"/>
      <c r="I356" s="40"/>
      <c r="J356" s="40"/>
      <c r="K356" s="40"/>
      <c r="L356" s="40"/>
      <c r="M356" s="40"/>
      <c r="N356" s="40"/>
      <c r="O356" s="40"/>
      <c r="P356" s="40"/>
      <c r="Q356" s="40"/>
    </row>
    <row r="357" spans="7:17">
      <c r="G357" s="40"/>
      <c r="H357" s="40"/>
      <c r="I357" s="40"/>
      <c r="J357" s="40"/>
      <c r="K357" s="40"/>
      <c r="L357" s="40"/>
      <c r="M357" s="40"/>
      <c r="N357" s="40"/>
      <c r="O357" s="40"/>
      <c r="P357" s="40"/>
      <c r="Q357" s="40"/>
    </row>
    <row r="358" spans="7:17">
      <c r="G358" s="40"/>
      <c r="H358" s="40"/>
      <c r="I358" s="40"/>
      <c r="J358" s="40"/>
      <c r="K358" s="40"/>
      <c r="L358" s="40"/>
      <c r="M358" s="40"/>
      <c r="N358" s="40"/>
      <c r="O358" s="40"/>
      <c r="P358" s="40"/>
      <c r="Q358" s="40"/>
    </row>
    <row r="359" spans="7:17">
      <c r="G359" s="40"/>
      <c r="H359" s="40"/>
      <c r="I359" s="40"/>
      <c r="J359" s="40"/>
      <c r="K359" s="40"/>
      <c r="L359" s="40"/>
      <c r="M359" s="40"/>
      <c r="N359" s="40"/>
      <c r="O359" s="40"/>
      <c r="P359" s="40"/>
      <c r="Q359" s="40"/>
    </row>
    <row r="360" spans="7:17">
      <c r="G360" s="40"/>
      <c r="H360" s="40"/>
      <c r="I360" s="40"/>
      <c r="J360" s="40"/>
      <c r="K360" s="40"/>
      <c r="L360" s="40"/>
      <c r="M360" s="40"/>
      <c r="N360" s="40"/>
      <c r="O360" s="40"/>
      <c r="P360" s="40"/>
      <c r="Q360" s="40"/>
    </row>
    <row r="361" spans="7:17">
      <c r="G361" s="40"/>
      <c r="H361" s="40"/>
      <c r="I361" s="40"/>
      <c r="J361" s="40"/>
      <c r="K361" s="40"/>
      <c r="L361" s="40"/>
      <c r="M361" s="40"/>
      <c r="N361" s="40"/>
      <c r="O361" s="40"/>
      <c r="P361" s="40"/>
      <c r="Q361" s="40"/>
    </row>
    <row r="362" spans="7:17">
      <c r="G362" s="40"/>
      <c r="H362" s="40"/>
      <c r="I362" s="40"/>
      <c r="J362" s="40"/>
      <c r="K362" s="40"/>
      <c r="L362" s="40"/>
      <c r="M362" s="40"/>
      <c r="N362" s="40"/>
      <c r="O362" s="40"/>
      <c r="P362" s="40"/>
      <c r="Q362" s="40"/>
    </row>
    <row r="363" spans="7:17">
      <c r="G363" s="40"/>
      <c r="H363" s="40"/>
      <c r="I363" s="40"/>
      <c r="J363" s="40"/>
      <c r="K363" s="40"/>
      <c r="L363" s="40"/>
      <c r="M363" s="40"/>
      <c r="N363" s="40"/>
      <c r="O363" s="40"/>
      <c r="P363" s="40"/>
      <c r="Q363" s="40"/>
    </row>
    <row r="364" spans="7:17">
      <c r="G364" s="40"/>
      <c r="H364" s="40"/>
      <c r="I364" s="40"/>
      <c r="J364" s="40"/>
      <c r="K364" s="40"/>
      <c r="L364" s="40"/>
      <c r="M364" s="40"/>
      <c r="N364" s="40"/>
      <c r="O364" s="40"/>
      <c r="P364" s="40"/>
      <c r="Q364" s="40"/>
    </row>
    <row r="365" spans="7:17">
      <c r="G365" s="40"/>
      <c r="H365" s="40"/>
      <c r="I365" s="40"/>
      <c r="J365" s="40"/>
      <c r="K365" s="40"/>
      <c r="L365" s="40"/>
      <c r="M365" s="40"/>
      <c r="N365" s="40"/>
      <c r="O365" s="40"/>
      <c r="P365" s="40"/>
      <c r="Q365" s="40"/>
    </row>
    <row r="366" spans="7:17">
      <c r="G366" s="40"/>
      <c r="H366" s="40"/>
      <c r="I366" s="40"/>
      <c r="J366" s="40"/>
      <c r="K366" s="40"/>
      <c r="L366" s="40"/>
      <c r="M366" s="40"/>
      <c r="N366" s="40"/>
      <c r="O366" s="40"/>
      <c r="P366" s="40"/>
      <c r="Q366" s="40"/>
    </row>
    <row r="367" spans="7:17">
      <c r="G367" s="40"/>
      <c r="H367" s="40"/>
      <c r="I367" s="40"/>
      <c r="J367" s="40"/>
      <c r="K367" s="40"/>
      <c r="L367" s="40"/>
      <c r="M367" s="40"/>
      <c r="N367" s="40"/>
      <c r="O367" s="40"/>
      <c r="P367" s="40"/>
      <c r="Q367" s="40"/>
    </row>
    <row r="368" spans="7:17">
      <c r="G368" s="40"/>
      <c r="H368" s="40"/>
      <c r="I368" s="40"/>
      <c r="J368" s="40"/>
      <c r="K368" s="40"/>
      <c r="L368" s="40"/>
      <c r="M368" s="40"/>
      <c r="N368" s="40"/>
      <c r="O368" s="40"/>
      <c r="P368" s="40"/>
      <c r="Q368" s="40"/>
    </row>
    <row r="369" spans="7:17">
      <c r="G369" s="40"/>
      <c r="H369" s="40"/>
      <c r="I369" s="40"/>
      <c r="J369" s="40"/>
      <c r="K369" s="40"/>
      <c r="L369" s="40"/>
      <c r="M369" s="40"/>
      <c r="N369" s="40"/>
      <c r="O369" s="40"/>
      <c r="P369" s="40"/>
      <c r="Q369" s="40"/>
    </row>
    <row r="370" spans="7:17">
      <c r="G370" s="40"/>
      <c r="H370" s="40"/>
      <c r="I370" s="40"/>
      <c r="J370" s="40"/>
      <c r="K370" s="40"/>
      <c r="L370" s="40"/>
      <c r="M370" s="40"/>
      <c r="N370" s="40"/>
      <c r="O370" s="40"/>
      <c r="P370" s="40"/>
      <c r="Q370" s="40"/>
    </row>
    <row r="371" spans="7:17">
      <c r="G371" s="40"/>
      <c r="H371" s="40"/>
      <c r="I371" s="40"/>
      <c r="J371" s="40"/>
      <c r="K371" s="40"/>
      <c r="L371" s="40"/>
      <c r="M371" s="40"/>
      <c r="N371" s="40"/>
      <c r="O371" s="40"/>
      <c r="P371" s="40"/>
      <c r="Q371" s="40"/>
    </row>
    <row r="372" spans="7:17">
      <c r="G372" s="40"/>
      <c r="H372" s="40"/>
      <c r="I372" s="40"/>
      <c r="J372" s="40"/>
      <c r="K372" s="40"/>
      <c r="L372" s="40"/>
      <c r="M372" s="40"/>
      <c r="N372" s="40"/>
      <c r="O372" s="40"/>
      <c r="P372" s="40"/>
      <c r="Q372" s="40"/>
    </row>
    <row r="373" spans="7:17">
      <c r="G373" s="40"/>
      <c r="H373" s="40"/>
      <c r="I373" s="40"/>
      <c r="J373" s="40"/>
      <c r="K373" s="40"/>
      <c r="L373" s="40"/>
      <c r="M373" s="40"/>
      <c r="N373" s="40"/>
      <c r="O373" s="40"/>
      <c r="P373" s="40"/>
      <c r="Q373" s="40"/>
    </row>
    <row r="374" spans="7:17">
      <c r="G374" s="40"/>
      <c r="H374" s="40"/>
      <c r="I374" s="40"/>
      <c r="J374" s="40"/>
      <c r="K374" s="40"/>
      <c r="L374" s="40"/>
      <c r="M374" s="40"/>
      <c r="N374" s="40"/>
      <c r="O374" s="40"/>
      <c r="P374" s="40"/>
      <c r="Q374" s="40"/>
    </row>
    <row r="375" spans="7:17">
      <c r="G375" s="40"/>
      <c r="H375" s="40"/>
      <c r="I375" s="40"/>
      <c r="J375" s="40"/>
      <c r="K375" s="40"/>
      <c r="L375" s="40"/>
      <c r="M375" s="40"/>
      <c r="N375" s="40"/>
      <c r="O375" s="40"/>
      <c r="P375" s="40"/>
      <c r="Q375" s="40"/>
    </row>
    <row r="376" spans="7:17">
      <c r="G376" s="40"/>
      <c r="H376" s="40"/>
      <c r="I376" s="40"/>
      <c r="J376" s="40"/>
      <c r="K376" s="40"/>
      <c r="L376" s="40"/>
      <c r="M376" s="40"/>
      <c r="N376" s="40"/>
      <c r="O376" s="40"/>
      <c r="P376" s="40"/>
      <c r="Q376" s="40"/>
    </row>
    <row r="377" spans="7:17">
      <c r="G377" s="40"/>
      <c r="H377" s="40"/>
      <c r="I377" s="40"/>
      <c r="J377" s="40"/>
      <c r="K377" s="40"/>
      <c r="L377" s="40"/>
      <c r="M377" s="40"/>
      <c r="N377" s="40"/>
      <c r="O377" s="40"/>
      <c r="P377" s="40"/>
      <c r="Q377" s="40"/>
    </row>
    <row r="378" spans="7:17">
      <c r="G378" s="40"/>
      <c r="H378" s="40"/>
      <c r="I378" s="40"/>
      <c r="J378" s="40"/>
      <c r="K378" s="40"/>
      <c r="L378" s="40"/>
      <c r="M378" s="40"/>
      <c r="N378" s="40"/>
      <c r="O378" s="40"/>
      <c r="P378" s="40"/>
      <c r="Q378" s="40"/>
    </row>
    <row r="379" spans="7:17">
      <c r="G379" s="40"/>
      <c r="H379" s="40"/>
      <c r="I379" s="40"/>
      <c r="J379" s="40"/>
      <c r="K379" s="40"/>
      <c r="L379" s="40"/>
      <c r="M379" s="40"/>
      <c r="N379" s="40"/>
      <c r="O379" s="40"/>
      <c r="P379" s="40"/>
      <c r="Q379" s="40"/>
    </row>
    <row r="380" spans="7:17">
      <c r="G380" s="40"/>
      <c r="H380" s="40"/>
      <c r="I380" s="40"/>
      <c r="J380" s="40"/>
      <c r="K380" s="40"/>
      <c r="L380" s="40"/>
      <c r="M380" s="40"/>
      <c r="N380" s="40"/>
      <c r="O380" s="40"/>
      <c r="P380" s="40"/>
      <c r="Q380" s="40"/>
    </row>
    <row r="381" spans="7:17">
      <c r="G381" s="40"/>
      <c r="H381" s="40"/>
      <c r="I381" s="40"/>
      <c r="J381" s="40"/>
      <c r="K381" s="40"/>
      <c r="L381" s="40"/>
      <c r="M381" s="40"/>
      <c r="N381" s="40"/>
      <c r="O381" s="40"/>
      <c r="P381" s="40"/>
      <c r="Q381" s="40"/>
    </row>
    <row r="382" spans="7:17">
      <c r="G382" s="40"/>
      <c r="H382" s="40"/>
      <c r="I382" s="40"/>
      <c r="J382" s="40"/>
      <c r="K382" s="40"/>
      <c r="L382" s="40"/>
      <c r="M382" s="40"/>
      <c r="N382" s="40"/>
      <c r="O382" s="40"/>
      <c r="P382" s="40"/>
      <c r="Q382" s="40"/>
    </row>
    <row r="383" spans="7:17">
      <c r="G383" s="40"/>
      <c r="H383" s="40"/>
      <c r="I383" s="40"/>
      <c r="J383" s="40"/>
      <c r="K383" s="40"/>
      <c r="L383" s="40"/>
      <c r="M383" s="40"/>
      <c r="N383" s="40"/>
      <c r="O383" s="40"/>
      <c r="P383" s="40"/>
      <c r="Q383" s="40"/>
    </row>
    <row r="384" spans="7:17">
      <c r="G384" s="40"/>
      <c r="H384" s="40"/>
      <c r="I384" s="40"/>
      <c r="J384" s="40"/>
      <c r="K384" s="40"/>
      <c r="L384" s="40"/>
      <c r="M384" s="40"/>
      <c r="N384" s="40"/>
      <c r="O384" s="40"/>
      <c r="P384" s="40"/>
      <c r="Q384" s="40"/>
    </row>
    <row r="385" spans="7:17">
      <c r="G385" s="40"/>
      <c r="H385" s="40"/>
      <c r="I385" s="40"/>
      <c r="J385" s="40"/>
      <c r="K385" s="40"/>
      <c r="L385" s="40"/>
      <c r="M385" s="40"/>
      <c r="N385" s="40"/>
      <c r="O385" s="40"/>
      <c r="P385" s="40"/>
      <c r="Q385" s="40"/>
    </row>
    <row r="386" spans="7:17">
      <c r="G386" s="40"/>
      <c r="H386" s="40"/>
      <c r="I386" s="40"/>
      <c r="J386" s="40"/>
      <c r="K386" s="40"/>
      <c r="L386" s="40"/>
      <c r="M386" s="40"/>
      <c r="N386" s="40"/>
      <c r="O386" s="40"/>
      <c r="P386" s="40"/>
      <c r="Q386" s="40"/>
    </row>
    <row r="387" spans="7:17">
      <c r="G387" s="40"/>
      <c r="H387" s="40"/>
      <c r="I387" s="40"/>
      <c r="J387" s="40"/>
      <c r="K387" s="40"/>
      <c r="L387" s="40"/>
      <c r="M387" s="40"/>
      <c r="N387" s="40"/>
      <c r="O387" s="40"/>
      <c r="P387" s="40"/>
      <c r="Q387" s="40"/>
    </row>
    <row r="388" spans="7:17">
      <c r="G388" s="40"/>
      <c r="H388" s="40"/>
      <c r="I388" s="40"/>
      <c r="J388" s="40"/>
      <c r="K388" s="40"/>
      <c r="L388" s="40"/>
      <c r="M388" s="40"/>
      <c r="N388" s="40"/>
      <c r="O388" s="40"/>
      <c r="P388" s="40"/>
      <c r="Q388" s="40"/>
    </row>
    <row r="389" spans="7:17">
      <c r="G389" s="40"/>
      <c r="H389" s="40"/>
      <c r="I389" s="40"/>
      <c r="J389" s="40"/>
      <c r="K389" s="40"/>
      <c r="L389" s="40"/>
      <c r="M389" s="40"/>
      <c r="N389" s="40"/>
      <c r="O389" s="40"/>
      <c r="P389" s="40"/>
      <c r="Q389" s="40"/>
    </row>
    <row r="390" spans="7:17">
      <c r="G390" s="40"/>
      <c r="H390" s="40"/>
      <c r="I390" s="40"/>
      <c r="J390" s="40"/>
      <c r="K390" s="40"/>
      <c r="L390" s="40"/>
      <c r="M390" s="40"/>
      <c r="N390" s="40"/>
      <c r="O390" s="40"/>
      <c r="P390" s="40"/>
      <c r="Q390" s="40"/>
    </row>
    <row r="391" spans="7:17">
      <c r="G391" s="40"/>
      <c r="H391" s="40"/>
      <c r="I391" s="40"/>
      <c r="J391" s="40"/>
      <c r="K391" s="40"/>
      <c r="L391" s="40"/>
      <c r="M391" s="40"/>
      <c r="N391" s="40"/>
      <c r="O391" s="40"/>
      <c r="P391" s="40"/>
      <c r="Q391" s="40"/>
    </row>
    <row r="392" spans="7:17">
      <c r="G392" s="40"/>
      <c r="H392" s="40"/>
      <c r="I392" s="40"/>
      <c r="J392" s="40"/>
      <c r="K392" s="40"/>
      <c r="L392" s="40"/>
      <c r="M392" s="40"/>
      <c r="N392" s="40"/>
      <c r="O392" s="40"/>
      <c r="P392" s="40"/>
      <c r="Q392" s="40"/>
    </row>
    <row r="393" spans="7:17">
      <c r="G393" s="40"/>
      <c r="H393" s="40"/>
      <c r="I393" s="40"/>
      <c r="J393" s="40"/>
      <c r="K393" s="40"/>
      <c r="L393" s="40"/>
      <c r="M393" s="40"/>
      <c r="N393" s="40"/>
      <c r="O393" s="40"/>
      <c r="P393" s="40"/>
      <c r="Q393" s="40"/>
    </row>
    <row r="394" spans="7:17">
      <c r="G394" s="40"/>
      <c r="H394" s="40"/>
      <c r="I394" s="40"/>
      <c r="J394" s="40"/>
      <c r="K394" s="40"/>
      <c r="L394" s="40"/>
      <c r="M394" s="40"/>
      <c r="N394" s="40"/>
      <c r="O394" s="40"/>
      <c r="P394" s="40"/>
      <c r="Q394" s="40"/>
    </row>
    <row r="395" spans="7:17">
      <c r="G395" s="40"/>
      <c r="H395" s="40"/>
      <c r="I395" s="40"/>
      <c r="J395" s="40"/>
      <c r="K395" s="40"/>
      <c r="L395" s="40"/>
      <c r="M395" s="40"/>
      <c r="N395" s="40"/>
      <c r="O395" s="40"/>
      <c r="P395" s="40"/>
      <c r="Q395" s="40"/>
    </row>
    <row r="396" spans="7:17">
      <c r="G396" s="40"/>
      <c r="H396" s="40"/>
      <c r="I396" s="40"/>
      <c r="J396" s="40"/>
      <c r="K396" s="40"/>
      <c r="L396" s="40"/>
      <c r="M396" s="40"/>
      <c r="N396" s="40"/>
      <c r="O396" s="40"/>
      <c r="P396" s="40"/>
      <c r="Q396" s="40"/>
    </row>
    <row r="397" spans="7:17">
      <c r="G397" s="40"/>
      <c r="H397" s="40"/>
      <c r="I397" s="40"/>
      <c r="J397" s="40"/>
      <c r="K397" s="40"/>
      <c r="L397" s="40"/>
      <c r="M397" s="40"/>
      <c r="N397" s="40"/>
      <c r="O397" s="40"/>
      <c r="P397" s="40"/>
      <c r="Q397" s="40"/>
    </row>
    <row r="398" spans="7:17">
      <c r="G398" s="40"/>
      <c r="H398" s="40"/>
      <c r="I398" s="40"/>
      <c r="J398" s="40"/>
      <c r="K398" s="40"/>
      <c r="L398" s="40"/>
      <c r="M398" s="40"/>
      <c r="N398" s="40"/>
      <c r="O398" s="40"/>
      <c r="P398" s="40"/>
      <c r="Q398" s="40"/>
    </row>
    <row r="399" spans="7:17">
      <c r="G399" s="40"/>
      <c r="H399" s="40"/>
      <c r="I399" s="40"/>
      <c r="J399" s="40"/>
      <c r="K399" s="40"/>
      <c r="L399" s="40"/>
      <c r="M399" s="40"/>
      <c r="N399" s="40"/>
      <c r="O399" s="40"/>
      <c r="P399" s="40"/>
      <c r="Q399" s="40"/>
    </row>
    <row r="400" spans="7:17">
      <c r="G400" s="40"/>
      <c r="H400" s="40"/>
      <c r="I400" s="40"/>
      <c r="J400" s="40"/>
      <c r="K400" s="40"/>
      <c r="L400" s="40"/>
      <c r="M400" s="40"/>
      <c r="N400" s="40"/>
      <c r="O400" s="40"/>
      <c r="P400" s="40"/>
      <c r="Q400" s="40"/>
    </row>
    <row r="401" spans="7:17">
      <c r="G401" s="40"/>
      <c r="H401" s="40"/>
      <c r="I401" s="40"/>
      <c r="J401" s="40"/>
      <c r="K401" s="40"/>
      <c r="L401" s="40"/>
      <c r="M401" s="40"/>
      <c r="N401" s="40"/>
      <c r="O401" s="40"/>
      <c r="P401" s="40"/>
      <c r="Q401" s="40"/>
    </row>
    <row r="402" spans="7:17">
      <c r="G402" s="40"/>
      <c r="H402" s="40"/>
      <c r="I402" s="40"/>
      <c r="J402" s="40"/>
      <c r="K402" s="40"/>
      <c r="L402" s="40"/>
      <c r="M402" s="40"/>
      <c r="N402" s="40"/>
      <c r="O402" s="40"/>
      <c r="P402" s="40"/>
      <c r="Q402" s="40"/>
    </row>
    <row r="403" spans="7:17">
      <c r="G403" s="40"/>
      <c r="H403" s="40"/>
      <c r="I403" s="40"/>
      <c r="J403" s="40"/>
      <c r="K403" s="40"/>
      <c r="L403" s="40"/>
      <c r="M403" s="40"/>
      <c r="N403" s="40"/>
      <c r="O403" s="40"/>
      <c r="P403" s="40"/>
      <c r="Q403" s="40"/>
    </row>
    <row r="404" spans="7:17">
      <c r="G404" s="40"/>
      <c r="H404" s="40"/>
      <c r="I404" s="40"/>
      <c r="J404" s="40"/>
      <c r="K404" s="40"/>
      <c r="L404" s="40"/>
      <c r="M404" s="40"/>
      <c r="N404" s="40"/>
      <c r="O404" s="40"/>
      <c r="P404" s="40"/>
      <c r="Q404" s="40"/>
    </row>
    <row r="405" spans="7:17">
      <c r="G405" s="40"/>
      <c r="H405" s="40"/>
      <c r="I405" s="40"/>
      <c r="J405" s="40"/>
      <c r="K405" s="40"/>
      <c r="L405" s="40"/>
      <c r="M405" s="40"/>
      <c r="N405" s="40"/>
      <c r="O405" s="40"/>
      <c r="P405" s="40"/>
      <c r="Q405" s="40"/>
    </row>
    <row r="406" spans="7:17">
      <c r="G406" s="40"/>
      <c r="H406" s="40"/>
      <c r="I406" s="40"/>
      <c r="J406" s="40"/>
      <c r="K406" s="40"/>
      <c r="L406" s="40"/>
      <c r="M406" s="40"/>
      <c r="N406" s="40"/>
      <c r="O406" s="40"/>
      <c r="P406" s="40"/>
      <c r="Q406" s="40"/>
    </row>
    <row r="407" spans="7:17">
      <c r="G407" s="40"/>
      <c r="H407" s="40"/>
      <c r="I407" s="40"/>
      <c r="J407" s="40"/>
      <c r="K407" s="40"/>
      <c r="L407" s="40"/>
      <c r="M407" s="40"/>
      <c r="N407" s="40"/>
      <c r="O407" s="40"/>
      <c r="P407" s="40"/>
      <c r="Q407" s="40"/>
    </row>
    <row r="408" spans="7:17">
      <c r="G408" s="40"/>
      <c r="H408" s="40"/>
      <c r="I408" s="40"/>
      <c r="J408" s="40"/>
      <c r="K408" s="40"/>
      <c r="L408" s="40"/>
      <c r="M408" s="40"/>
      <c r="N408" s="40"/>
      <c r="O408" s="40"/>
      <c r="P408" s="40"/>
      <c r="Q408" s="40"/>
    </row>
    <row r="409" spans="7:17">
      <c r="G409" s="40"/>
      <c r="H409" s="40"/>
      <c r="I409" s="40"/>
      <c r="J409" s="40"/>
      <c r="K409" s="40"/>
      <c r="L409" s="40"/>
      <c r="M409" s="40"/>
      <c r="N409" s="40"/>
      <c r="O409" s="40"/>
      <c r="P409" s="40"/>
      <c r="Q409" s="40"/>
    </row>
    <row r="410" spans="7:17">
      <c r="G410" s="40"/>
      <c r="H410" s="40"/>
      <c r="I410" s="40"/>
      <c r="J410" s="40"/>
      <c r="K410" s="40"/>
      <c r="L410" s="40"/>
      <c r="M410" s="40"/>
      <c r="N410" s="40"/>
      <c r="O410" s="40"/>
      <c r="P410" s="40"/>
      <c r="Q410" s="40"/>
    </row>
    <row r="411" spans="7:17">
      <c r="G411" s="40"/>
      <c r="H411" s="40"/>
      <c r="I411" s="40"/>
      <c r="J411" s="40"/>
      <c r="K411" s="40"/>
      <c r="L411" s="40"/>
      <c r="M411" s="40"/>
      <c r="N411" s="40"/>
      <c r="O411" s="40"/>
      <c r="P411" s="40"/>
      <c r="Q411" s="40"/>
    </row>
    <row r="412" spans="7:17">
      <c r="G412" s="40"/>
      <c r="H412" s="40"/>
      <c r="I412" s="40"/>
      <c r="J412" s="40"/>
      <c r="K412" s="40"/>
      <c r="L412" s="40"/>
      <c r="M412" s="40"/>
      <c r="N412" s="40"/>
      <c r="O412" s="40"/>
      <c r="P412" s="40"/>
      <c r="Q412" s="40"/>
    </row>
    <row r="413" spans="7:17">
      <c r="G413" s="40"/>
      <c r="H413" s="40"/>
      <c r="I413" s="40"/>
      <c r="J413" s="40"/>
      <c r="K413" s="40"/>
      <c r="L413" s="40"/>
      <c r="M413" s="40"/>
      <c r="N413" s="40"/>
      <c r="O413" s="40"/>
      <c r="P413" s="40"/>
      <c r="Q413" s="40"/>
    </row>
    <row r="414" spans="7:17">
      <c r="G414" s="40"/>
      <c r="H414" s="40"/>
      <c r="I414" s="40"/>
      <c r="J414" s="40"/>
      <c r="K414" s="40"/>
      <c r="L414" s="40"/>
      <c r="M414" s="40"/>
      <c r="N414" s="40"/>
      <c r="O414" s="40"/>
      <c r="P414" s="40"/>
      <c r="Q414" s="40"/>
    </row>
    <row r="415" spans="7:17">
      <c r="G415" s="40"/>
      <c r="H415" s="40"/>
      <c r="I415" s="40"/>
      <c r="J415" s="40"/>
      <c r="K415" s="40"/>
      <c r="L415" s="40"/>
      <c r="M415" s="40"/>
      <c r="N415" s="40"/>
      <c r="O415" s="40"/>
      <c r="P415" s="40"/>
      <c r="Q415" s="40"/>
    </row>
    <row r="416" spans="7:17">
      <c r="G416" s="40"/>
      <c r="H416" s="40"/>
      <c r="I416" s="40"/>
      <c r="J416" s="40"/>
      <c r="K416" s="40"/>
      <c r="L416" s="40"/>
      <c r="M416" s="40"/>
      <c r="N416" s="40"/>
      <c r="O416" s="40"/>
      <c r="P416" s="40"/>
      <c r="Q416" s="40"/>
    </row>
    <row r="417" spans="7:17">
      <c r="G417" s="40"/>
      <c r="H417" s="40"/>
      <c r="I417" s="40"/>
      <c r="J417" s="40"/>
      <c r="K417" s="40"/>
      <c r="L417" s="40"/>
      <c r="M417" s="40"/>
      <c r="N417" s="40"/>
      <c r="O417" s="40"/>
      <c r="P417" s="40"/>
      <c r="Q417" s="40"/>
    </row>
    <row r="418" spans="7:17">
      <c r="G418" s="40"/>
      <c r="H418" s="40"/>
      <c r="I418" s="40"/>
      <c r="J418" s="40"/>
      <c r="K418" s="40"/>
      <c r="L418" s="40"/>
      <c r="M418" s="40"/>
      <c r="N418" s="40"/>
      <c r="O418" s="40"/>
      <c r="P418" s="40"/>
      <c r="Q418" s="40"/>
    </row>
    <row r="419" spans="7:17">
      <c r="G419" s="40"/>
      <c r="H419" s="40"/>
      <c r="I419" s="40"/>
      <c r="J419" s="40"/>
      <c r="K419" s="40"/>
      <c r="L419" s="40"/>
      <c r="M419" s="40"/>
      <c r="N419" s="40"/>
      <c r="O419" s="40"/>
      <c r="P419" s="40"/>
      <c r="Q419" s="40"/>
    </row>
    <row r="420" spans="7:17">
      <c r="G420" s="40"/>
      <c r="H420" s="40"/>
      <c r="I420" s="40"/>
      <c r="J420" s="40"/>
      <c r="K420" s="40"/>
      <c r="L420" s="40"/>
      <c r="M420" s="40"/>
      <c r="N420" s="40"/>
      <c r="O420" s="40"/>
      <c r="P420" s="40"/>
      <c r="Q420" s="40"/>
    </row>
    <row r="421" spans="7:17">
      <c r="G421" s="40"/>
      <c r="H421" s="40"/>
      <c r="I421" s="40"/>
      <c r="J421" s="40"/>
      <c r="K421" s="40"/>
      <c r="L421" s="40"/>
      <c r="M421" s="40"/>
      <c r="N421" s="40"/>
      <c r="O421" s="40"/>
      <c r="P421" s="40"/>
      <c r="Q421" s="40"/>
    </row>
    <row r="422" spans="7:17">
      <c r="G422" s="40"/>
      <c r="H422" s="40"/>
      <c r="I422" s="40"/>
      <c r="J422" s="40"/>
      <c r="K422" s="40"/>
      <c r="L422" s="40"/>
      <c r="M422" s="40"/>
      <c r="N422" s="40"/>
      <c r="O422" s="40"/>
      <c r="P422" s="40"/>
      <c r="Q422" s="40"/>
    </row>
    <row r="423" spans="7:17">
      <c r="G423" s="40"/>
      <c r="H423" s="40"/>
      <c r="I423" s="40"/>
      <c r="J423" s="40"/>
      <c r="K423" s="40"/>
      <c r="L423" s="40"/>
      <c r="M423" s="40"/>
      <c r="N423" s="40"/>
      <c r="O423" s="40"/>
      <c r="P423" s="40"/>
      <c r="Q423" s="40"/>
    </row>
    <row r="424" spans="7:17">
      <c r="G424" s="40"/>
      <c r="H424" s="40"/>
      <c r="I424" s="40"/>
      <c r="J424" s="40"/>
      <c r="K424" s="40"/>
      <c r="L424" s="40"/>
      <c r="M424" s="40"/>
      <c r="N424" s="40"/>
      <c r="O424" s="40"/>
      <c r="P424" s="40"/>
      <c r="Q424" s="40"/>
    </row>
    <row r="425" spans="7:17">
      <c r="G425" s="40"/>
      <c r="H425" s="40"/>
      <c r="I425" s="40"/>
      <c r="J425" s="40"/>
      <c r="K425" s="40"/>
      <c r="L425" s="40"/>
      <c r="M425" s="40"/>
      <c r="N425" s="40"/>
      <c r="O425" s="40"/>
      <c r="P425" s="40"/>
      <c r="Q425" s="40"/>
    </row>
    <row r="426" spans="7:17">
      <c r="G426" s="40"/>
      <c r="H426" s="40"/>
      <c r="I426" s="40"/>
      <c r="J426" s="40"/>
      <c r="K426" s="40"/>
      <c r="L426" s="40"/>
      <c r="M426" s="40"/>
      <c r="N426" s="40"/>
      <c r="O426" s="40"/>
      <c r="P426" s="40"/>
      <c r="Q426" s="40"/>
    </row>
    <row r="427" spans="7:17">
      <c r="G427" s="40"/>
      <c r="H427" s="40"/>
      <c r="I427" s="40"/>
      <c r="J427" s="40"/>
      <c r="K427" s="40"/>
      <c r="L427" s="40"/>
      <c r="M427" s="40"/>
      <c r="N427" s="40"/>
      <c r="O427" s="40"/>
      <c r="P427" s="40"/>
      <c r="Q427" s="40"/>
    </row>
    <row r="428" spans="7:17">
      <c r="G428" s="40"/>
      <c r="H428" s="40"/>
      <c r="I428" s="40"/>
      <c r="J428" s="40"/>
      <c r="K428" s="40"/>
      <c r="L428" s="40"/>
      <c r="M428" s="40"/>
      <c r="N428" s="40"/>
      <c r="O428" s="40"/>
      <c r="P428" s="40"/>
      <c r="Q428" s="40"/>
    </row>
    <row r="429" spans="7:17">
      <c r="G429" s="40"/>
      <c r="H429" s="40"/>
      <c r="I429" s="40"/>
      <c r="J429" s="40"/>
      <c r="K429" s="40"/>
      <c r="L429" s="40"/>
      <c r="M429" s="40"/>
      <c r="N429" s="40"/>
      <c r="O429" s="40"/>
      <c r="P429" s="40"/>
      <c r="Q429" s="40"/>
    </row>
    <row r="430" spans="7:17">
      <c r="G430" s="40"/>
      <c r="H430" s="40"/>
      <c r="I430" s="40"/>
      <c r="J430" s="40"/>
      <c r="K430" s="40"/>
      <c r="L430" s="40"/>
      <c r="M430" s="40"/>
      <c r="N430" s="40"/>
      <c r="O430" s="40"/>
      <c r="P430" s="40"/>
      <c r="Q430" s="40"/>
    </row>
    <row r="431" spans="7:17">
      <c r="G431" s="40"/>
      <c r="H431" s="40"/>
      <c r="I431" s="40"/>
      <c r="J431" s="40"/>
      <c r="K431" s="40"/>
      <c r="L431" s="40"/>
      <c r="M431" s="40"/>
      <c r="N431" s="40"/>
      <c r="O431" s="40"/>
      <c r="P431" s="40"/>
      <c r="Q431" s="40"/>
    </row>
    <row r="432" spans="7:17">
      <c r="G432" s="40"/>
      <c r="H432" s="40"/>
      <c r="I432" s="40"/>
      <c r="J432" s="40"/>
      <c r="K432" s="40"/>
      <c r="L432" s="40"/>
      <c r="M432" s="40"/>
      <c r="N432" s="40"/>
      <c r="O432" s="40"/>
      <c r="P432" s="40"/>
      <c r="Q432" s="40"/>
    </row>
    <row r="433" spans="7:17">
      <c r="G433" s="40"/>
      <c r="H433" s="40"/>
      <c r="I433" s="40"/>
      <c r="J433" s="40"/>
      <c r="K433" s="40"/>
      <c r="L433" s="40"/>
      <c r="M433" s="40"/>
      <c r="N433" s="40"/>
      <c r="O433" s="40"/>
      <c r="P433" s="40"/>
      <c r="Q433" s="40"/>
    </row>
    <row r="434" spans="7:17">
      <c r="G434" s="40"/>
      <c r="H434" s="40"/>
      <c r="I434" s="40"/>
      <c r="J434" s="40"/>
      <c r="K434" s="40"/>
      <c r="L434" s="40"/>
      <c r="M434" s="40"/>
      <c r="N434" s="40"/>
      <c r="O434" s="40"/>
      <c r="P434" s="40"/>
      <c r="Q434" s="40"/>
    </row>
    <row r="435" spans="7:17">
      <c r="G435" s="40"/>
      <c r="H435" s="40"/>
      <c r="I435" s="40"/>
      <c r="J435" s="40"/>
      <c r="K435" s="40"/>
      <c r="L435" s="40"/>
      <c r="M435" s="40"/>
      <c r="N435" s="40"/>
      <c r="O435" s="40"/>
      <c r="P435" s="40"/>
      <c r="Q435" s="40"/>
    </row>
    <row r="436" spans="7:17">
      <c r="G436" s="40"/>
      <c r="H436" s="40"/>
      <c r="I436" s="40"/>
      <c r="J436" s="40"/>
      <c r="K436" s="40"/>
      <c r="L436" s="40"/>
      <c r="M436" s="40"/>
      <c r="N436" s="40"/>
      <c r="O436" s="40"/>
      <c r="P436" s="40"/>
      <c r="Q436" s="40"/>
    </row>
    <row r="437" spans="7:17">
      <c r="G437" s="40"/>
      <c r="H437" s="40"/>
      <c r="I437" s="40"/>
      <c r="J437" s="40"/>
      <c r="K437" s="40"/>
      <c r="L437" s="40"/>
      <c r="M437" s="40"/>
      <c r="N437" s="40"/>
      <c r="O437" s="40"/>
      <c r="P437" s="40"/>
      <c r="Q437" s="40"/>
    </row>
    <row r="438" spans="7:17">
      <c r="G438" s="40"/>
      <c r="H438" s="40"/>
      <c r="I438" s="40"/>
      <c r="J438" s="40"/>
      <c r="K438" s="40"/>
      <c r="L438" s="40"/>
      <c r="M438" s="40"/>
      <c r="N438" s="40"/>
      <c r="O438" s="40"/>
      <c r="P438" s="40"/>
      <c r="Q438" s="40"/>
    </row>
    <row r="439" spans="7:17">
      <c r="G439" s="40"/>
      <c r="H439" s="40"/>
      <c r="I439" s="40"/>
      <c r="J439" s="40"/>
      <c r="K439" s="40"/>
      <c r="L439" s="40"/>
      <c r="M439" s="40"/>
      <c r="N439" s="40"/>
      <c r="O439" s="40"/>
      <c r="P439" s="40"/>
      <c r="Q439" s="40"/>
    </row>
    <row r="440" spans="7:17">
      <c r="G440" s="40"/>
      <c r="H440" s="40"/>
      <c r="I440" s="40"/>
      <c r="J440" s="40"/>
      <c r="K440" s="40"/>
      <c r="L440" s="40"/>
      <c r="M440" s="40"/>
      <c r="N440" s="40"/>
      <c r="O440" s="40"/>
      <c r="P440" s="40"/>
      <c r="Q440" s="40"/>
    </row>
    <row r="441" spans="7:17">
      <c r="G441" s="40"/>
      <c r="H441" s="40"/>
      <c r="I441" s="40"/>
      <c r="J441" s="40"/>
      <c r="K441" s="40"/>
      <c r="L441" s="40"/>
      <c r="M441" s="40"/>
      <c r="N441" s="40"/>
      <c r="O441" s="40"/>
      <c r="P441" s="40"/>
      <c r="Q441" s="40"/>
    </row>
    <row r="442" spans="7:17">
      <c r="G442" s="40"/>
      <c r="H442" s="40"/>
      <c r="I442" s="40"/>
      <c r="J442" s="40"/>
      <c r="K442" s="40"/>
      <c r="L442" s="40"/>
      <c r="M442" s="40"/>
      <c r="N442" s="40"/>
      <c r="O442" s="40"/>
      <c r="P442" s="40"/>
      <c r="Q442" s="40"/>
    </row>
    <row r="443" spans="7:17">
      <c r="G443" s="40"/>
      <c r="H443" s="40"/>
      <c r="I443" s="40"/>
      <c r="J443" s="40"/>
      <c r="K443" s="40"/>
      <c r="L443" s="40"/>
      <c r="M443" s="40"/>
      <c r="N443" s="40"/>
      <c r="O443" s="40"/>
      <c r="P443" s="40"/>
      <c r="Q443" s="40"/>
    </row>
    <row r="444" spans="7:17">
      <c r="G444" s="40"/>
      <c r="H444" s="40"/>
      <c r="I444" s="40"/>
      <c r="J444" s="40"/>
      <c r="K444" s="40"/>
      <c r="L444" s="40"/>
      <c r="M444" s="40"/>
      <c r="N444" s="40"/>
      <c r="O444" s="40"/>
      <c r="P444" s="40"/>
      <c r="Q444" s="40"/>
    </row>
    <row r="445" spans="7:17">
      <c r="G445" s="40"/>
      <c r="H445" s="40"/>
      <c r="I445" s="40"/>
      <c r="J445" s="40"/>
      <c r="K445" s="40"/>
      <c r="L445" s="40"/>
      <c r="M445" s="40"/>
      <c r="N445" s="40"/>
      <c r="O445" s="40"/>
      <c r="P445" s="40"/>
      <c r="Q445" s="40"/>
    </row>
    <row r="446" spans="7:17">
      <c r="G446" s="40"/>
      <c r="H446" s="40"/>
      <c r="I446" s="40"/>
      <c r="J446" s="40"/>
      <c r="K446" s="40"/>
      <c r="L446" s="40"/>
      <c r="M446" s="40"/>
      <c r="N446" s="40"/>
      <c r="O446" s="40"/>
      <c r="P446" s="40"/>
      <c r="Q446" s="40"/>
    </row>
    <row r="447" spans="7:17">
      <c r="G447" s="40"/>
      <c r="H447" s="40"/>
      <c r="I447" s="40"/>
      <c r="J447" s="40"/>
      <c r="K447" s="40"/>
      <c r="L447" s="40"/>
      <c r="M447" s="40"/>
      <c r="N447" s="40"/>
      <c r="O447" s="40"/>
      <c r="P447" s="40"/>
      <c r="Q447" s="40"/>
    </row>
    <row r="448" spans="7:17">
      <c r="G448" s="40"/>
      <c r="H448" s="40"/>
      <c r="I448" s="40"/>
      <c r="J448" s="40"/>
      <c r="K448" s="40"/>
      <c r="L448" s="40"/>
      <c r="M448" s="40"/>
      <c r="N448" s="40"/>
      <c r="O448" s="40"/>
      <c r="P448" s="40"/>
      <c r="Q448" s="40"/>
    </row>
    <row r="449" spans="7:17">
      <c r="G449" s="40"/>
      <c r="H449" s="40"/>
      <c r="I449" s="40"/>
      <c r="J449" s="40"/>
      <c r="K449" s="40"/>
      <c r="L449" s="40"/>
      <c r="M449" s="40"/>
      <c r="N449" s="40"/>
      <c r="O449" s="40"/>
      <c r="P449" s="40"/>
      <c r="Q449" s="40"/>
    </row>
    <row r="450" spans="7:17">
      <c r="G450" s="40"/>
      <c r="H450" s="40"/>
      <c r="I450" s="40"/>
      <c r="J450" s="40"/>
      <c r="K450" s="40"/>
      <c r="L450" s="40"/>
      <c r="M450" s="40"/>
      <c r="N450" s="40"/>
      <c r="O450" s="40"/>
      <c r="P450" s="40"/>
      <c r="Q450" s="40"/>
    </row>
    <row r="451" spans="7:17">
      <c r="G451" s="40"/>
      <c r="H451" s="40"/>
      <c r="I451" s="40"/>
      <c r="J451" s="40"/>
      <c r="K451" s="40"/>
      <c r="L451" s="40"/>
      <c r="M451" s="40"/>
      <c r="N451" s="40"/>
      <c r="O451" s="40"/>
      <c r="P451" s="40"/>
      <c r="Q451" s="40"/>
    </row>
    <row r="452" spans="7:17">
      <c r="G452" s="40"/>
      <c r="H452" s="40"/>
      <c r="I452" s="40"/>
      <c r="J452" s="40"/>
      <c r="K452" s="40"/>
      <c r="L452" s="40"/>
      <c r="M452" s="40"/>
      <c r="N452" s="40"/>
      <c r="O452" s="40"/>
      <c r="P452" s="40"/>
      <c r="Q452" s="40"/>
    </row>
    <row r="453" spans="7:17">
      <c r="G453" s="40"/>
      <c r="H453" s="40"/>
      <c r="I453" s="40"/>
      <c r="J453" s="40"/>
      <c r="K453" s="40"/>
      <c r="L453" s="40"/>
      <c r="M453" s="40"/>
      <c r="N453" s="40"/>
      <c r="O453" s="40"/>
      <c r="P453" s="40"/>
      <c r="Q453" s="40"/>
    </row>
    <row r="454" spans="7:17">
      <c r="G454" s="40"/>
      <c r="H454" s="40"/>
      <c r="I454" s="40"/>
      <c r="J454" s="40"/>
      <c r="K454" s="40"/>
      <c r="L454" s="40"/>
      <c r="M454" s="40"/>
      <c r="N454" s="40"/>
      <c r="O454" s="40"/>
      <c r="P454" s="40"/>
      <c r="Q454" s="40"/>
    </row>
    <row r="455" spans="7:17">
      <c r="G455" s="40"/>
      <c r="H455" s="40"/>
      <c r="I455" s="40"/>
      <c r="J455" s="40"/>
      <c r="K455" s="40"/>
      <c r="L455" s="40"/>
      <c r="M455" s="40"/>
      <c r="N455" s="40"/>
      <c r="O455" s="40"/>
      <c r="P455" s="40"/>
      <c r="Q455" s="40"/>
    </row>
    <row r="456" spans="7:17">
      <c r="G456" s="40"/>
      <c r="H456" s="40"/>
      <c r="I456" s="40"/>
      <c r="J456" s="40"/>
      <c r="K456" s="40"/>
      <c r="L456" s="40"/>
      <c r="M456" s="40"/>
      <c r="N456" s="40"/>
      <c r="O456" s="40"/>
      <c r="P456" s="40"/>
      <c r="Q456" s="40"/>
    </row>
    <row r="457" spans="7:17">
      <c r="G457" s="40"/>
      <c r="H457" s="40"/>
      <c r="I457" s="40"/>
      <c r="J457" s="40"/>
      <c r="K457" s="40"/>
      <c r="L457" s="40"/>
      <c r="M457" s="40"/>
      <c r="N457" s="40"/>
      <c r="O457" s="40"/>
      <c r="P457" s="40"/>
      <c r="Q457" s="40"/>
    </row>
    <row r="458" spans="7:17">
      <c r="G458" s="40"/>
      <c r="H458" s="40"/>
      <c r="I458" s="40"/>
      <c r="J458" s="40"/>
      <c r="K458" s="40"/>
      <c r="L458" s="40"/>
      <c r="M458" s="40"/>
      <c r="N458" s="40"/>
      <c r="O458" s="40"/>
      <c r="P458" s="40"/>
      <c r="Q458" s="40"/>
    </row>
    <row r="459" spans="7:17">
      <c r="G459" s="40"/>
      <c r="H459" s="40"/>
      <c r="I459" s="40"/>
      <c r="J459" s="40"/>
      <c r="K459" s="40"/>
      <c r="L459" s="40"/>
      <c r="M459" s="40"/>
      <c r="N459" s="40"/>
      <c r="O459" s="40"/>
      <c r="P459" s="40"/>
      <c r="Q459" s="40"/>
    </row>
    <row r="460" spans="7:17">
      <c r="G460" s="40"/>
      <c r="H460" s="40"/>
      <c r="I460" s="40"/>
      <c r="J460" s="40"/>
      <c r="K460" s="40"/>
      <c r="L460" s="40"/>
      <c r="M460" s="40"/>
      <c r="N460" s="40"/>
      <c r="O460" s="40"/>
      <c r="P460" s="40"/>
      <c r="Q460" s="40"/>
    </row>
    <row r="461" spans="7:17">
      <c r="G461" s="40"/>
      <c r="H461" s="40"/>
      <c r="I461" s="40"/>
      <c r="J461" s="40"/>
      <c r="K461" s="40"/>
      <c r="L461" s="40"/>
      <c r="M461" s="40"/>
      <c r="N461" s="40"/>
      <c r="O461" s="40"/>
      <c r="P461" s="40"/>
      <c r="Q461" s="40"/>
    </row>
    <row r="462" spans="7:17">
      <c r="G462" s="40"/>
      <c r="H462" s="40"/>
      <c r="I462" s="40"/>
      <c r="J462" s="40"/>
      <c r="K462" s="40"/>
      <c r="L462" s="40"/>
      <c r="M462" s="40"/>
      <c r="N462" s="40"/>
      <c r="O462" s="40"/>
      <c r="P462" s="40"/>
      <c r="Q462" s="40"/>
    </row>
    <row r="463" spans="7:17">
      <c r="G463" s="40"/>
      <c r="H463" s="40"/>
      <c r="I463" s="40"/>
      <c r="J463" s="40"/>
      <c r="K463" s="40"/>
      <c r="L463" s="40"/>
      <c r="M463" s="40"/>
      <c r="N463" s="40"/>
      <c r="O463" s="40"/>
      <c r="P463" s="40"/>
      <c r="Q463" s="40"/>
    </row>
    <row r="464" spans="7:17">
      <c r="G464" s="40"/>
      <c r="H464" s="40"/>
      <c r="I464" s="40"/>
      <c r="J464" s="40"/>
      <c r="K464" s="40"/>
      <c r="L464" s="40"/>
      <c r="M464" s="40"/>
      <c r="N464" s="40"/>
      <c r="O464" s="40"/>
      <c r="P464" s="40"/>
      <c r="Q464" s="40"/>
    </row>
    <row r="465" spans="7:17">
      <c r="G465" s="40"/>
      <c r="H465" s="40"/>
      <c r="I465" s="40"/>
      <c r="J465" s="40"/>
      <c r="K465" s="40"/>
      <c r="L465" s="40"/>
      <c r="M465" s="40"/>
      <c r="N465" s="40"/>
      <c r="O465" s="40"/>
      <c r="P465" s="40"/>
      <c r="Q465" s="40"/>
    </row>
    <row r="466" spans="7:17">
      <c r="G466" s="40"/>
      <c r="H466" s="40"/>
      <c r="I466" s="40"/>
      <c r="J466" s="40"/>
      <c r="K466" s="40"/>
      <c r="L466" s="40"/>
      <c r="M466" s="40"/>
      <c r="N466" s="40"/>
      <c r="O466" s="40"/>
      <c r="P466" s="40"/>
      <c r="Q466" s="40"/>
    </row>
    <row r="467" spans="7:17">
      <c r="G467" s="40"/>
      <c r="H467" s="40"/>
      <c r="I467" s="40"/>
      <c r="J467" s="40"/>
      <c r="K467" s="40"/>
      <c r="L467" s="40"/>
      <c r="M467" s="40"/>
      <c r="N467" s="40"/>
      <c r="O467" s="40"/>
      <c r="P467" s="40"/>
      <c r="Q467" s="40"/>
    </row>
    <row r="468" spans="7:17">
      <c r="G468" s="40"/>
      <c r="H468" s="40"/>
      <c r="I468" s="40"/>
      <c r="J468" s="40"/>
      <c r="K468" s="40"/>
      <c r="L468" s="40"/>
      <c r="M468" s="40"/>
      <c r="N468" s="40"/>
      <c r="O468" s="40"/>
      <c r="P468" s="40"/>
      <c r="Q468" s="40"/>
    </row>
    <row r="469" spans="7:17">
      <c r="G469" s="40"/>
      <c r="H469" s="40"/>
      <c r="I469" s="40"/>
      <c r="J469" s="40"/>
      <c r="K469" s="40"/>
      <c r="L469" s="40"/>
      <c r="M469" s="40"/>
      <c r="N469" s="40"/>
      <c r="O469" s="40"/>
      <c r="P469" s="40"/>
      <c r="Q469" s="40"/>
    </row>
    <row r="470" spans="7:17">
      <c r="G470" s="40"/>
      <c r="H470" s="40"/>
      <c r="I470" s="40"/>
      <c r="J470" s="40"/>
      <c r="K470" s="40"/>
      <c r="L470" s="40"/>
      <c r="M470" s="40"/>
      <c r="N470" s="40"/>
      <c r="O470" s="40"/>
      <c r="P470" s="40"/>
      <c r="Q470" s="40"/>
    </row>
    <row r="471" spans="7:17">
      <c r="G471" s="40"/>
      <c r="H471" s="40"/>
      <c r="I471" s="40"/>
      <c r="J471" s="40"/>
      <c r="K471" s="40"/>
      <c r="L471" s="40"/>
      <c r="M471" s="40"/>
      <c r="N471" s="40"/>
      <c r="O471" s="40"/>
      <c r="P471" s="40"/>
      <c r="Q471" s="40"/>
    </row>
    <row r="472" spans="7:17">
      <c r="G472" s="40"/>
      <c r="H472" s="40"/>
      <c r="I472" s="40"/>
      <c r="J472" s="40"/>
      <c r="K472" s="40"/>
      <c r="L472" s="40"/>
      <c r="M472" s="40"/>
      <c r="N472" s="40"/>
      <c r="O472" s="40"/>
      <c r="P472" s="40"/>
      <c r="Q472" s="40"/>
    </row>
    <row r="473" spans="7:17">
      <c r="G473" s="40"/>
      <c r="H473" s="40"/>
      <c r="I473" s="40"/>
      <c r="J473" s="40"/>
      <c r="K473" s="40"/>
      <c r="L473" s="40"/>
      <c r="M473" s="40"/>
      <c r="N473" s="40"/>
      <c r="O473" s="40"/>
      <c r="P473" s="40"/>
      <c r="Q473" s="40"/>
    </row>
    <row r="474" spans="7:17">
      <c r="G474" s="40"/>
      <c r="H474" s="40"/>
      <c r="I474" s="40"/>
      <c r="J474" s="40"/>
      <c r="K474" s="40"/>
      <c r="L474" s="40"/>
      <c r="M474" s="40"/>
      <c r="N474" s="40"/>
      <c r="O474" s="40"/>
      <c r="P474" s="40"/>
      <c r="Q474" s="40"/>
    </row>
    <row r="475" spans="7:17">
      <c r="G475" s="40"/>
      <c r="H475" s="40"/>
      <c r="I475" s="40"/>
      <c r="J475" s="40"/>
      <c r="K475" s="40"/>
      <c r="L475" s="40"/>
      <c r="M475" s="40"/>
      <c r="N475" s="40"/>
      <c r="O475" s="40"/>
      <c r="P475" s="40"/>
      <c r="Q475" s="40"/>
    </row>
    <row r="476" spans="7:17">
      <c r="G476" s="40"/>
      <c r="H476" s="40"/>
      <c r="I476" s="40"/>
      <c r="J476" s="40"/>
      <c r="K476" s="40"/>
      <c r="L476" s="40"/>
      <c r="M476" s="40"/>
      <c r="N476" s="40"/>
      <c r="O476" s="40"/>
      <c r="P476" s="40"/>
      <c r="Q476" s="40"/>
    </row>
    <row r="477" spans="7:17">
      <c r="G477" s="40"/>
      <c r="H477" s="40"/>
      <c r="I477" s="40"/>
      <c r="J477" s="40"/>
      <c r="K477" s="40"/>
      <c r="L477" s="40"/>
      <c r="M477" s="40"/>
      <c r="N477" s="40"/>
      <c r="O477" s="40"/>
      <c r="P477" s="40"/>
      <c r="Q477" s="40"/>
    </row>
    <row r="478" spans="7:17">
      <c r="G478" s="40"/>
      <c r="H478" s="40"/>
      <c r="I478" s="40"/>
      <c r="J478" s="40"/>
      <c r="K478" s="40"/>
      <c r="L478" s="40"/>
      <c r="M478" s="40"/>
      <c r="N478" s="40"/>
      <c r="O478" s="40"/>
      <c r="P478" s="40"/>
      <c r="Q478" s="40"/>
    </row>
    <row r="479" spans="7:17">
      <c r="G479" s="40"/>
      <c r="H479" s="40"/>
      <c r="I479" s="40"/>
      <c r="J479" s="40"/>
      <c r="K479" s="40"/>
      <c r="L479" s="40"/>
      <c r="M479" s="40"/>
      <c r="N479" s="40"/>
      <c r="O479" s="40"/>
      <c r="P479" s="40"/>
      <c r="Q479" s="40"/>
    </row>
    <row r="480" spans="7:17">
      <c r="G480" s="40"/>
      <c r="H480" s="40"/>
      <c r="I480" s="40"/>
      <c r="J480" s="40"/>
      <c r="K480" s="40"/>
      <c r="L480" s="40"/>
      <c r="M480" s="40"/>
      <c r="N480" s="40"/>
      <c r="O480" s="40"/>
      <c r="P480" s="40"/>
      <c r="Q480" s="40"/>
    </row>
    <row r="481" spans="7:17">
      <c r="G481" s="40"/>
      <c r="H481" s="40"/>
      <c r="I481" s="40"/>
      <c r="J481" s="40"/>
      <c r="K481" s="40"/>
      <c r="L481" s="40"/>
      <c r="M481" s="40"/>
      <c r="N481" s="40"/>
      <c r="O481" s="40"/>
      <c r="P481" s="40"/>
      <c r="Q481" s="40"/>
    </row>
    <row r="482" spans="7:17">
      <c r="G482" s="40"/>
      <c r="H482" s="40"/>
      <c r="I482" s="40"/>
      <c r="J482" s="40"/>
      <c r="K482" s="40"/>
      <c r="L482" s="40"/>
      <c r="M482" s="40"/>
      <c r="N482" s="40"/>
      <c r="O482" s="40"/>
      <c r="P482" s="40"/>
      <c r="Q482" s="40"/>
    </row>
    <row r="483" spans="7:17">
      <c r="G483" s="40"/>
      <c r="H483" s="40"/>
      <c r="I483" s="40"/>
      <c r="J483" s="40"/>
      <c r="K483" s="40"/>
      <c r="L483" s="40"/>
      <c r="M483" s="40"/>
      <c r="N483" s="40"/>
      <c r="O483" s="40"/>
      <c r="P483" s="40"/>
      <c r="Q483" s="40"/>
    </row>
    <row r="484" spans="7:17">
      <c r="G484" s="40"/>
      <c r="H484" s="40"/>
      <c r="I484" s="40"/>
      <c r="J484" s="40"/>
      <c r="K484" s="40"/>
      <c r="L484" s="40"/>
      <c r="M484" s="40"/>
      <c r="N484" s="40"/>
      <c r="O484" s="40"/>
      <c r="P484" s="40"/>
      <c r="Q484" s="40"/>
    </row>
    <row r="485" spans="7:17">
      <c r="G485" s="40"/>
      <c r="H485" s="40"/>
      <c r="I485" s="40"/>
      <c r="J485" s="40"/>
      <c r="K485" s="40"/>
      <c r="L485" s="40"/>
      <c r="M485" s="40"/>
      <c r="N485" s="40"/>
      <c r="O485" s="40"/>
      <c r="P485" s="40"/>
      <c r="Q485" s="40"/>
    </row>
    <row r="486" spans="7:17">
      <c r="G486" s="40"/>
      <c r="H486" s="40"/>
      <c r="I486" s="40"/>
      <c r="J486" s="40"/>
      <c r="K486" s="40"/>
      <c r="L486" s="40"/>
      <c r="M486" s="40"/>
      <c r="N486" s="40"/>
      <c r="O486" s="40"/>
      <c r="P486" s="40"/>
      <c r="Q486" s="40"/>
    </row>
    <row r="487" spans="7:17">
      <c r="G487" s="40"/>
      <c r="H487" s="40"/>
      <c r="I487" s="40"/>
      <c r="J487" s="40"/>
      <c r="K487" s="40"/>
      <c r="L487" s="40"/>
      <c r="M487" s="40"/>
      <c r="N487" s="40"/>
      <c r="O487" s="40"/>
      <c r="P487" s="40"/>
      <c r="Q487" s="40"/>
    </row>
    <row r="488" spans="7:17">
      <c r="G488" s="40"/>
      <c r="H488" s="40"/>
      <c r="I488" s="40"/>
      <c r="J488" s="40"/>
      <c r="K488" s="40"/>
      <c r="L488" s="40"/>
      <c r="M488" s="40"/>
      <c r="N488" s="40"/>
      <c r="O488" s="40"/>
      <c r="P488" s="40"/>
      <c r="Q488" s="40"/>
    </row>
    <row r="489" spans="7:17">
      <c r="G489" s="40"/>
      <c r="H489" s="40"/>
      <c r="I489" s="40"/>
      <c r="J489" s="40"/>
      <c r="K489" s="40"/>
      <c r="L489" s="40"/>
      <c r="M489" s="40"/>
      <c r="N489" s="40"/>
      <c r="O489" s="40"/>
      <c r="P489" s="40"/>
      <c r="Q489" s="40"/>
    </row>
    <row r="490" spans="7:17">
      <c r="G490" s="40"/>
      <c r="H490" s="40"/>
      <c r="I490" s="40"/>
      <c r="J490" s="40"/>
      <c r="K490" s="40"/>
      <c r="L490" s="40"/>
      <c r="M490" s="40"/>
      <c r="N490" s="40"/>
      <c r="O490" s="40"/>
      <c r="P490" s="40"/>
      <c r="Q490" s="40"/>
    </row>
    <row r="491" spans="7:17">
      <c r="G491" s="40"/>
      <c r="H491" s="40"/>
      <c r="I491" s="40"/>
      <c r="J491" s="40"/>
      <c r="K491" s="40"/>
      <c r="L491" s="40"/>
      <c r="M491" s="40"/>
      <c r="N491" s="40"/>
      <c r="O491" s="40"/>
      <c r="P491" s="40"/>
      <c r="Q491" s="40"/>
    </row>
    <row r="492" spans="7:17">
      <c r="G492" s="40"/>
      <c r="H492" s="40"/>
      <c r="I492" s="40"/>
      <c r="J492" s="40"/>
      <c r="K492" s="40"/>
      <c r="L492" s="40"/>
      <c r="M492" s="40"/>
      <c r="N492" s="40"/>
      <c r="O492" s="40"/>
      <c r="P492" s="40"/>
      <c r="Q492" s="40"/>
    </row>
    <row r="493" spans="7:17">
      <c r="G493" s="40"/>
      <c r="H493" s="40"/>
      <c r="I493" s="40"/>
      <c r="J493" s="40"/>
      <c r="K493" s="40"/>
      <c r="L493" s="40"/>
      <c r="M493" s="40"/>
      <c r="N493" s="40"/>
      <c r="O493" s="40"/>
      <c r="P493" s="40"/>
      <c r="Q493" s="40"/>
    </row>
    <row r="494" spans="7:17">
      <c r="G494" s="40"/>
      <c r="H494" s="40"/>
      <c r="I494" s="40"/>
      <c r="J494" s="40"/>
      <c r="K494" s="40"/>
      <c r="L494" s="40"/>
      <c r="M494" s="40"/>
      <c r="N494" s="40"/>
      <c r="O494" s="40"/>
      <c r="P494" s="40"/>
      <c r="Q494" s="40"/>
    </row>
    <row r="495" spans="7:17">
      <c r="G495" s="40"/>
      <c r="H495" s="40"/>
      <c r="I495" s="40"/>
      <c r="J495" s="40"/>
      <c r="K495" s="40"/>
      <c r="L495" s="40"/>
      <c r="M495" s="40"/>
      <c r="N495" s="40"/>
      <c r="O495" s="40"/>
      <c r="P495" s="40"/>
      <c r="Q495" s="40"/>
    </row>
    <row r="496" spans="7:17">
      <c r="G496" s="40"/>
      <c r="H496" s="40"/>
      <c r="I496" s="40"/>
      <c r="J496" s="40"/>
      <c r="K496" s="40"/>
      <c r="L496" s="40"/>
      <c r="M496" s="40"/>
      <c r="N496" s="40"/>
      <c r="O496" s="40"/>
      <c r="P496" s="40"/>
      <c r="Q496" s="40"/>
    </row>
    <row r="497" spans="7:17">
      <c r="G497" s="40"/>
      <c r="H497" s="40"/>
      <c r="I497" s="40"/>
      <c r="J497" s="40"/>
      <c r="K497" s="40"/>
      <c r="L497" s="40"/>
      <c r="M497" s="40"/>
      <c r="N497" s="40"/>
      <c r="O497" s="40"/>
      <c r="P497" s="40"/>
      <c r="Q497" s="40"/>
    </row>
    <row r="498" spans="7:17">
      <c r="G498" s="40"/>
      <c r="H498" s="40"/>
      <c r="I498" s="40"/>
      <c r="J498" s="40"/>
      <c r="K498" s="40"/>
      <c r="L498" s="40"/>
      <c r="M498" s="40"/>
      <c r="N498" s="40"/>
      <c r="O498" s="40"/>
      <c r="P498" s="40"/>
      <c r="Q498" s="40"/>
    </row>
    <row r="499" spans="7:17">
      <c r="G499" s="40"/>
      <c r="H499" s="40"/>
      <c r="I499" s="40"/>
      <c r="J499" s="40"/>
      <c r="K499" s="40"/>
      <c r="L499" s="40"/>
      <c r="M499" s="40"/>
      <c r="N499" s="40"/>
      <c r="O499" s="40"/>
      <c r="P499" s="40"/>
      <c r="Q499" s="40"/>
    </row>
    <row r="500" spans="7:17">
      <c r="G500" s="40"/>
      <c r="H500" s="40"/>
      <c r="I500" s="40"/>
      <c r="J500" s="40"/>
      <c r="K500" s="40"/>
      <c r="L500" s="40"/>
      <c r="M500" s="40"/>
      <c r="N500" s="40"/>
      <c r="O500" s="40"/>
      <c r="P500" s="40"/>
      <c r="Q500" s="40"/>
    </row>
    <row r="501" spans="7:17">
      <c r="G501" s="40"/>
      <c r="H501" s="40"/>
      <c r="I501" s="40"/>
      <c r="J501" s="40"/>
      <c r="K501" s="40"/>
      <c r="L501" s="40"/>
      <c r="M501" s="40"/>
      <c r="N501" s="40"/>
      <c r="O501" s="40"/>
      <c r="P501" s="40"/>
      <c r="Q501" s="40"/>
    </row>
    <row r="502" spans="7:17">
      <c r="G502" s="40"/>
      <c r="H502" s="40"/>
      <c r="I502" s="40"/>
      <c r="J502" s="40"/>
      <c r="K502" s="40"/>
      <c r="L502" s="40"/>
      <c r="M502" s="40"/>
      <c r="N502" s="40"/>
      <c r="O502" s="40"/>
      <c r="P502" s="40"/>
      <c r="Q502" s="40"/>
    </row>
    <row r="503" spans="7:17">
      <c r="G503" s="40"/>
      <c r="H503" s="40"/>
      <c r="I503" s="40"/>
      <c r="J503" s="40"/>
      <c r="K503" s="40"/>
      <c r="L503" s="40"/>
      <c r="M503" s="40"/>
      <c r="N503" s="40"/>
      <c r="O503" s="40"/>
      <c r="P503" s="40"/>
      <c r="Q503" s="40"/>
    </row>
    <row r="504" spans="7:17">
      <c r="G504" s="40"/>
      <c r="H504" s="40"/>
      <c r="I504" s="40"/>
      <c r="J504" s="40"/>
      <c r="K504" s="40"/>
      <c r="L504" s="40"/>
      <c r="M504" s="40"/>
      <c r="N504" s="40"/>
      <c r="O504" s="40"/>
      <c r="P504" s="40"/>
      <c r="Q504" s="40"/>
    </row>
    <row r="505" spans="7:17">
      <c r="G505" s="40"/>
      <c r="H505" s="40"/>
      <c r="I505" s="40"/>
      <c r="J505" s="40"/>
      <c r="K505" s="40"/>
      <c r="L505" s="40"/>
      <c r="M505" s="40"/>
      <c r="N505" s="40"/>
      <c r="O505" s="40"/>
      <c r="P505" s="40"/>
      <c r="Q505" s="40"/>
    </row>
    <row r="506" spans="7:17">
      <c r="G506" s="40"/>
      <c r="H506" s="40"/>
      <c r="I506" s="40"/>
      <c r="J506" s="40"/>
      <c r="K506" s="40"/>
      <c r="L506" s="40"/>
      <c r="M506" s="40"/>
      <c r="N506" s="40"/>
      <c r="O506" s="40"/>
      <c r="P506" s="40"/>
      <c r="Q506" s="40"/>
    </row>
    <row r="507" spans="7:17">
      <c r="G507" s="40"/>
      <c r="H507" s="40"/>
      <c r="I507" s="40"/>
      <c r="J507" s="40"/>
      <c r="K507" s="40"/>
      <c r="L507" s="40"/>
      <c r="M507" s="40"/>
      <c r="N507" s="40"/>
      <c r="O507" s="40"/>
      <c r="P507" s="40"/>
      <c r="Q507" s="40"/>
    </row>
    <row r="508" spans="7:17">
      <c r="G508" s="40"/>
      <c r="H508" s="40"/>
      <c r="I508" s="40"/>
      <c r="J508" s="40"/>
      <c r="K508" s="40"/>
      <c r="L508" s="40"/>
      <c r="M508" s="40"/>
      <c r="N508" s="40"/>
      <c r="O508" s="40"/>
      <c r="P508" s="40"/>
      <c r="Q508" s="40"/>
    </row>
    <row r="509" spans="7:17">
      <c r="G509" s="40"/>
      <c r="H509" s="40"/>
      <c r="I509" s="40"/>
      <c r="J509" s="40"/>
      <c r="K509" s="40"/>
      <c r="L509" s="40"/>
      <c r="M509" s="40"/>
      <c r="N509" s="40"/>
      <c r="O509" s="40"/>
      <c r="P509" s="40"/>
      <c r="Q509" s="40"/>
    </row>
    <row r="510" spans="7:17">
      <c r="G510" s="40"/>
      <c r="H510" s="40"/>
      <c r="I510" s="40"/>
      <c r="J510" s="40"/>
      <c r="K510" s="40"/>
      <c r="L510" s="40"/>
      <c r="M510" s="40"/>
      <c r="N510" s="40"/>
      <c r="O510" s="40"/>
      <c r="P510" s="40"/>
      <c r="Q510" s="40"/>
    </row>
    <row r="511" spans="7:17">
      <c r="G511" s="40"/>
      <c r="H511" s="40"/>
      <c r="I511" s="40"/>
      <c r="J511" s="40"/>
      <c r="K511" s="40"/>
      <c r="L511" s="40"/>
      <c r="M511" s="40"/>
      <c r="N511" s="40"/>
      <c r="O511" s="40"/>
      <c r="P511" s="40"/>
      <c r="Q511" s="40"/>
    </row>
    <row r="512" spans="7:17">
      <c r="G512" s="40"/>
      <c r="H512" s="40"/>
      <c r="I512" s="40"/>
      <c r="J512" s="40"/>
      <c r="K512" s="40"/>
      <c r="L512" s="40"/>
      <c r="M512" s="40"/>
      <c r="N512" s="40"/>
      <c r="O512" s="40"/>
      <c r="P512" s="40"/>
      <c r="Q512" s="40"/>
    </row>
    <row r="513" spans="7:17">
      <c r="G513" s="40"/>
      <c r="H513" s="40"/>
      <c r="I513" s="40"/>
      <c r="J513" s="40"/>
      <c r="K513" s="40"/>
      <c r="L513" s="40"/>
      <c r="M513" s="40"/>
      <c r="N513" s="40"/>
      <c r="O513" s="40"/>
      <c r="P513" s="40"/>
      <c r="Q513" s="40"/>
    </row>
    <row r="514" spans="7:17">
      <c r="G514" s="40"/>
      <c r="H514" s="40"/>
      <c r="I514" s="40"/>
      <c r="J514" s="40"/>
      <c r="K514" s="40"/>
      <c r="L514" s="40"/>
      <c r="M514" s="40"/>
      <c r="N514" s="40"/>
      <c r="O514" s="40"/>
      <c r="P514" s="40"/>
      <c r="Q514" s="40"/>
    </row>
    <row r="515" spans="7:17">
      <c r="G515" s="40"/>
      <c r="H515" s="40"/>
      <c r="I515" s="40"/>
      <c r="J515" s="40"/>
      <c r="K515" s="40"/>
      <c r="L515" s="40"/>
      <c r="M515" s="40"/>
      <c r="N515" s="40"/>
      <c r="O515" s="40"/>
      <c r="P515" s="40"/>
      <c r="Q515" s="40"/>
    </row>
    <row r="516" spans="7:17">
      <c r="G516" s="40"/>
      <c r="H516" s="40"/>
      <c r="I516" s="40"/>
      <c r="J516" s="40"/>
      <c r="K516" s="40"/>
      <c r="L516" s="40"/>
      <c r="M516" s="40"/>
      <c r="N516" s="40"/>
      <c r="O516" s="40"/>
      <c r="P516" s="40"/>
      <c r="Q516" s="40"/>
    </row>
    <row r="517" spans="7:17">
      <c r="G517" s="40"/>
      <c r="H517" s="40"/>
      <c r="I517" s="40"/>
      <c r="J517" s="40"/>
      <c r="K517" s="40"/>
      <c r="L517" s="40"/>
      <c r="M517" s="40"/>
      <c r="N517" s="40"/>
      <c r="O517" s="40"/>
      <c r="P517" s="40"/>
      <c r="Q517" s="40"/>
    </row>
    <row r="518" spans="7:17">
      <c r="G518" s="40"/>
      <c r="H518" s="40"/>
      <c r="I518" s="40"/>
      <c r="J518" s="40"/>
      <c r="K518" s="40"/>
      <c r="L518" s="40"/>
      <c r="M518" s="40"/>
      <c r="N518" s="40"/>
      <c r="O518" s="40"/>
      <c r="P518" s="40"/>
      <c r="Q518" s="40"/>
    </row>
    <row r="519" spans="7:17">
      <c r="G519" s="40"/>
      <c r="H519" s="40"/>
      <c r="I519" s="40"/>
      <c r="J519" s="40"/>
      <c r="K519" s="40"/>
      <c r="L519" s="40"/>
      <c r="M519" s="40"/>
      <c r="N519" s="40"/>
      <c r="O519" s="40"/>
      <c r="P519" s="40"/>
      <c r="Q519" s="40"/>
    </row>
    <row r="520" spans="7:17">
      <c r="G520" s="40"/>
      <c r="H520" s="40"/>
      <c r="I520" s="40"/>
      <c r="J520" s="40"/>
      <c r="K520" s="40"/>
      <c r="L520" s="40"/>
      <c r="M520" s="40"/>
      <c r="N520" s="40"/>
      <c r="O520" s="40"/>
      <c r="P520" s="40"/>
      <c r="Q520" s="40"/>
    </row>
    <row r="521" spans="7:17">
      <c r="G521" s="40"/>
      <c r="H521" s="40"/>
      <c r="I521" s="40"/>
      <c r="J521" s="40"/>
      <c r="K521" s="40"/>
      <c r="L521" s="40"/>
      <c r="M521" s="40"/>
      <c r="N521" s="40"/>
      <c r="O521" s="40"/>
      <c r="P521" s="40"/>
      <c r="Q521" s="40"/>
    </row>
    <row r="522" spans="7:17">
      <c r="G522" s="40"/>
      <c r="H522" s="40"/>
      <c r="I522" s="40"/>
      <c r="J522" s="40"/>
      <c r="K522" s="40"/>
      <c r="L522" s="40"/>
      <c r="M522" s="40"/>
      <c r="N522" s="40"/>
      <c r="O522" s="40"/>
      <c r="P522" s="40"/>
      <c r="Q522" s="40"/>
    </row>
    <row r="523" spans="7:17">
      <c r="G523" s="40"/>
      <c r="H523" s="40"/>
      <c r="I523" s="40"/>
      <c r="J523" s="40"/>
      <c r="K523" s="40"/>
      <c r="L523" s="40"/>
      <c r="M523" s="40"/>
      <c r="N523" s="40"/>
      <c r="O523" s="40"/>
      <c r="P523" s="40"/>
      <c r="Q523" s="40"/>
    </row>
    <row r="524" spans="7:17">
      <c r="G524" s="40"/>
      <c r="H524" s="40"/>
      <c r="I524" s="40"/>
      <c r="J524" s="40"/>
      <c r="K524" s="40"/>
      <c r="L524" s="40"/>
      <c r="M524" s="40"/>
      <c r="N524" s="40"/>
      <c r="O524" s="40"/>
      <c r="P524" s="40"/>
      <c r="Q524" s="40"/>
    </row>
    <row r="525" spans="7:17">
      <c r="G525" s="40"/>
      <c r="H525" s="40"/>
      <c r="I525" s="40"/>
      <c r="J525" s="40"/>
      <c r="K525" s="40"/>
      <c r="L525" s="40"/>
      <c r="M525" s="40"/>
      <c r="N525" s="40"/>
      <c r="O525" s="40"/>
      <c r="P525" s="40"/>
      <c r="Q525" s="40"/>
    </row>
    <row r="526" spans="7:17">
      <c r="G526" s="40"/>
      <c r="H526" s="40"/>
      <c r="I526" s="40"/>
      <c r="J526" s="40"/>
      <c r="K526" s="40"/>
      <c r="L526" s="40"/>
      <c r="M526" s="40"/>
      <c r="N526" s="40"/>
      <c r="O526" s="40"/>
      <c r="P526" s="40"/>
      <c r="Q526" s="40"/>
    </row>
    <row r="527" spans="7:17">
      <c r="G527" s="40"/>
      <c r="H527" s="40"/>
      <c r="I527" s="40"/>
      <c r="J527" s="40"/>
      <c r="K527" s="40"/>
      <c r="L527" s="40"/>
      <c r="M527" s="40"/>
      <c r="N527" s="40"/>
      <c r="O527" s="40"/>
      <c r="P527" s="40"/>
      <c r="Q527" s="40"/>
    </row>
    <row r="528" spans="7:17">
      <c r="G528" s="40"/>
      <c r="H528" s="40"/>
      <c r="I528" s="40"/>
      <c r="J528" s="40"/>
      <c r="K528" s="40"/>
      <c r="L528" s="40"/>
      <c r="M528" s="40"/>
      <c r="N528" s="40"/>
      <c r="O528" s="40"/>
      <c r="P528" s="40"/>
      <c r="Q528" s="40"/>
    </row>
    <row r="529" spans="7:17">
      <c r="G529" s="40"/>
      <c r="H529" s="40"/>
      <c r="I529" s="40"/>
      <c r="J529" s="40"/>
      <c r="K529" s="40"/>
      <c r="L529" s="40"/>
      <c r="M529" s="40"/>
      <c r="N529" s="40"/>
      <c r="O529" s="40"/>
      <c r="P529" s="40"/>
      <c r="Q529" s="40"/>
    </row>
    <row r="530" spans="7:17">
      <c r="G530" s="40"/>
      <c r="H530" s="40"/>
      <c r="I530" s="40"/>
      <c r="J530" s="40"/>
      <c r="K530" s="40"/>
      <c r="L530" s="40"/>
      <c r="M530" s="40"/>
      <c r="N530" s="40"/>
      <c r="O530" s="40"/>
      <c r="P530" s="40"/>
      <c r="Q530" s="40"/>
    </row>
    <row r="531" spans="7:17">
      <c r="G531" s="40"/>
      <c r="H531" s="40"/>
      <c r="I531" s="40"/>
      <c r="J531" s="40"/>
      <c r="K531" s="40"/>
      <c r="L531" s="40"/>
      <c r="M531" s="40"/>
      <c r="N531" s="40"/>
      <c r="O531" s="40"/>
      <c r="P531" s="40"/>
      <c r="Q531" s="40"/>
    </row>
    <row r="532" spans="7:17">
      <c r="G532" s="40"/>
      <c r="H532" s="40"/>
      <c r="I532" s="40"/>
      <c r="J532" s="40"/>
      <c r="K532" s="40"/>
      <c r="L532" s="40"/>
      <c r="M532" s="40"/>
      <c r="N532" s="40"/>
      <c r="O532" s="40"/>
      <c r="P532" s="40"/>
      <c r="Q532" s="40"/>
    </row>
    <row r="533" spans="7:17">
      <c r="G533" s="40"/>
      <c r="H533" s="40"/>
      <c r="I533" s="40"/>
      <c r="J533" s="40"/>
      <c r="K533" s="40"/>
      <c r="L533" s="40"/>
      <c r="M533" s="40"/>
      <c r="N533" s="40"/>
      <c r="O533" s="40"/>
      <c r="P533" s="40"/>
      <c r="Q533" s="40"/>
    </row>
    <row r="534" spans="7:17">
      <c r="G534" s="40"/>
      <c r="H534" s="40"/>
      <c r="I534" s="40"/>
      <c r="J534" s="40"/>
      <c r="K534" s="40"/>
      <c r="L534" s="40"/>
      <c r="M534" s="40"/>
      <c r="N534" s="40"/>
      <c r="O534" s="40"/>
      <c r="P534" s="40"/>
      <c r="Q534" s="40"/>
    </row>
    <row r="535" spans="7:17">
      <c r="G535" s="40"/>
      <c r="H535" s="40"/>
      <c r="I535" s="40"/>
      <c r="J535" s="40"/>
      <c r="K535" s="40"/>
      <c r="L535" s="40"/>
      <c r="M535" s="40"/>
      <c r="N535" s="40"/>
      <c r="O535" s="40"/>
      <c r="P535" s="40"/>
      <c r="Q535" s="40"/>
    </row>
    <row r="536" spans="7:17">
      <c r="G536" s="40"/>
      <c r="H536" s="40"/>
      <c r="I536" s="40"/>
      <c r="J536" s="40"/>
      <c r="K536" s="40"/>
      <c r="L536" s="40"/>
      <c r="M536" s="40"/>
      <c r="N536" s="40"/>
      <c r="O536" s="40"/>
      <c r="P536" s="40"/>
      <c r="Q536" s="40"/>
    </row>
    <row r="537" spans="7:17">
      <c r="G537" s="40"/>
      <c r="H537" s="40"/>
      <c r="I537" s="40"/>
      <c r="J537" s="40"/>
      <c r="K537" s="40"/>
      <c r="L537" s="40"/>
      <c r="M537" s="40"/>
      <c r="N537" s="40"/>
      <c r="O537" s="40"/>
      <c r="P537" s="40"/>
      <c r="Q537" s="40"/>
    </row>
    <row r="538" spans="7:17">
      <c r="G538" s="40"/>
      <c r="H538" s="40"/>
      <c r="I538" s="40"/>
      <c r="J538" s="40"/>
      <c r="K538" s="40"/>
      <c r="L538" s="40"/>
      <c r="M538" s="40"/>
      <c r="N538" s="40"/>
      <c r="O538" s="40"/>
      <c r="P538" s="40"/>
      <c r="Q538" s="40"/>
    </row>
    <row r="539" spans="7:17">
      <c r="G539" s="40"/>
      <c r="H539" s="40"/>
      <c r="I539" s="40"/>
      <c r="J539" s="40"/>
      <c r="K539" s="40"/>
      <c r="L539" s="40"/>
      <c r="M539" s="40"/>
      <c r="N539" s="40"/>
      <c r="O539" s="40"/>
      <c r="P539" s="40"/>
      <c r="Q539" s="40"/>
    </row>
    <row r="540" spans="7:17">
      <c r="G540" s="40"/>
      <c r="H540" s="40"/>
      <c r="I540" s="40"/>
      <c r="J540" s="40"/>
      <c r="K540" s="40"/>
      <c r="L540" s="40"/>
      <c r="M540" s="40"/>
      <c r="N540" s="40"/>
      <c r="O540" s="40"/>
      <c r="P540" s="40"/>
      <c r="Q540" s="40"/>
    </row>
    <row r="541" spans="7:17">
      <c r="G541" s="40"/>
      <c r="H541" s="40"/>
      <c r="I541" s="40"/>
      <c r="J541" s="40"/>
      <c r="K541" s="40"/>
      <c r="L541" s="40"/>
      <c r="M541" s="40"/>
      <c r="N541" s="40"/>
      <c r="O541" s="40"/>
      <c r="P541" s="40"/>
      <c r="Q541" s="40"/>
    </row>
    <row r="542" spans="7:17">
      <c r="G542" s="40"/>
      <c r="H542" s="40"/>
      <c r="I542" s="40"/>
      <c r="J542" s="40"/>
      <c r="K542" s="40"/>
      <c r="L542" s="40"/>
      <c r="M542" s="40"/>
      <c r="N542" s="40"/>
      <c r="O542" s="40"/>
      <c r="P542" s="40"/>
      <c r="Q542" s="40"/>
    </row>
    <row r="543" spans="7:17">
      <c r="G543" s="40"/>
      <c r="H543" s="40"/>
      <c r="I543" s="40"/>
      <c r="J543" s="40"/>
      <c r="K543" s="40"/>
      <c r="L543" s="40"/>
      <c r="M543" s="40"/>
      <c r="N543" s="40"/>
      <c r="O543" s="40"/>
      <c r="P543" s="40"/>
      <c r="Q543" s="40"/>
    </row>
    <row r="544" spans="7:17">
      <c r="G544" s="40"/>
      <c r="H544" s="40"/>
      <c r="I544" s="40"/>
      <c r="J544" s="40"/>
      <c r="K544" s="40"/>
      <c r="L544" s="40"/>
      <c r="M544" s="40"/>
      <c r="N544" s="40"/>
      <c r="O544" s="40"/>
      <c r="P544" s="40"/>
      <c r="Q544" s="40"/>
    </row>
    <row r="545" spans="7:17">
      <c r="G545" s="40"/>
      <c r="H545" s="40"/>
      <c r="I545" s="40"/>
      <c r="J545" s="40"/>
      <c r="K545" s="40"/>
      <c r="L545" s="40"/>
      <c r="M545" s="40"/>
      <c r="N545" s="40"/>
      <c r="O545" s="40"/>
      <c r="P545" s="40"/>
      <c r="Q545" s="40"/>
    </row>
    <row r="546" spans="7:17">
      <c r="G546" s="40"/>
      <c r="H546" s="40"/>
      <c r="I546" s="40"/>
      <c r="J546" s="40"/>
      <c r="K546" s="40"/>
      <c r="L546" s="40"/>
      <c r="M546" s="40"/>
      <c r="N546" s="40"/>
      <c r="O546" s="40"/>
      <c r="P546" s="40"/>
      <c r="Q546" s="40"/>
    </row>
    <row r="547" spans="7:17">
      <c r="G547" s="40"/>
      <c r="H547" s="40"/>
      <c r="I547" s="40"/>
      <c r="J547" s="40"/>
      <c r="K547" s="40"/>
      <c r="L547" s="40"/>
      <c r="M547" s="40"/>
      <c r="N547" s="40"/>
      <c r="O547" s="40"/>
      <c r="P547" s="40"/>
      <c r="Q547" s="40"/>
    </row>
    <row r="548" spans="7:17">
      <c r="G548" s="40"/>
      <c r="H548" s="40"/>
      <c r="I548" s="40"/>
      <c r="J548" s="40"/>
      <c r="K548" s="40"/>
      <c r="L548" s="40"/>
      <c r="M548" s="40"/>
      <c r="N548" s="40"/>
      <c r="O548" s="40"/>
      <c r="P548" s="40"/>
      <c r="Q548" s="40"/>
    </row>
    <row r="549" spans="7:17">
      <c r="G549" s="40"/>
      <c r="H549" s="40"/>
      <c r="I549" s="40"/>
      <c r="J549" s="40"/>
      <c r="K549" s="40"/>
      <c r="L549" s="40"/>
      <c r="M549" s="40"/>
      <c r="N549" s="40"/>
      <c r="O549" s="40"/>
      <c r="P549" s="40"/>
      <c r="Q549" s="40"/>
    </row>
    <row r="550" spans="7:17">
      <c r="G550" s="40"/>
      <c r="H550" s="40"/>
      <c r="I550" s="40"/>
      <c r="J550" s="40"/>
      <c r="K550" s="40"/>
      <c r="L550" s="40"/>
      <c r="M550" s="40"/>
      <c r="N550" s="40"/>
      <c r="O550" s="40"/>
      <c r="P550" s="40"/>
      <c r="Q550" s="40"/>
    </row>
    <row r="551" spans="7:17">
      <c r="G551" s="40"/>
      <c r="H551" s="40"/>
      <c r="I551" s="40"/>
      <c r="J551" s="40"/>
      <c r="K551" s="40"/>
      <c r="L551" s="40"/>
      <c r="M551" s="40"/>
      <c r="N551" s="40"/>
      <c r="O551" s="40"/>
      <c r="P551" s="40"/>
      <c r="Q551" s="40"/>
    </row>
    <row r="552" spans="7:17">
      <c r="G552" s="40"/>
      <c r="H552" s="40"/>
      <c r="I552" s="40"/>
      <c r="J552" s="40"/>
      <c r="K552" s="40"/>
      <c r="L552" s="40"/>
      <c r="M552" s="40"/>
      <c r="N552" s="40"/>
      <c r="O552" s="40"/>
      <c r="P552" s="40"/>
      <c r="Q552" s="40"/>
    </row>
    <row r="553" spans="7:17">
      <c r="G553" s="40"/>
      <c r="H553" s="40"/>
      <c r="I553" s="40"/>
      <c r="J553" s="40"/>
      <c r="K553" s="40"/>
      <c r="L553" s="40"/>
      <c r="M553" s="40"/>
      <c r="N553" s="40"/>
      <c r="O553" s="40"/>
      <c r="P553" s="40"/>
      <c r="Q553" s="40"/>
    </row>
    <row r="554" spans="7:17">
      <c r="G554" s="40"/>
      <c r="H554" s="40"/>
      <c r="I554" s="40"/>
      <c r="J554" s="40"/>
      <c r="K554" s="40"/>
      <c r="L554" s="40"/>
      <c r="M554" s="40"/>
      <c r="N554" s="40"/>
      <c r="O554" s="40"/>
      <c r="P554" s="40"/>
      <c r="Q554" s="40"/>
    </row>
    <row r="555" spans="7:17">
      <c r="G555" s="40"/>
      <c r="H555" s="40"/>
      <c r="I555" s="40"/>
      <c r="J555" s="40"/>
      <c r="K555" s="40"/>
      <c r="L555" s="40"/>
      <c r="M555" s="40"/>
      <c r="N555" s="40"/>
      <c r="O555" s="40"/>
      <c r="P555" s="40"/>
      <c r="Q555" s="40"/>
    </row>
    <row r="556" spans="7:17">
      <c r="G556" s="40"/>
      <c r="H556" s="40"/>
      <c r="I556" s="40"/>
      <c r="J556" s="40"/>
      <c r="K556" s="40"/>
      <c r="L556" s="40"/>
      <c r="M556" s="40"/>
      <c r="N556" s="40"/>
      <c r="O556" s="40"/>
      <c r="P556" s="40"/>
      <c r="Q556" s="40"/>
    </row>
    <row r="557" spans="7:17">
      <c r="G557" s="40"/>
      <c r="H557" s="40"/>
      <c r="I557" s="40"/>
      <c r="J557" s="40"/>
      <c r="K557" s="40"/>
      <c r="L557" s="40"/>
      <c r="M557" s="40"/>
      <c r="N557" s="40"/>
      <c r="O557" s="40"/>
      <c r="P557" s="40"/>
      <c r="Q557" s="40"/>
    </row>
    <row r="558" spans="7:17">
      <c r="G558" s="40"/>
      <c r="H558" s="40"/>
      <c r="I558" s="40"/>
      <c r="J558" s="40"/>
      <c r="K558" s="40"/>
      <c r="L558" s="40"/>
      <c r="M558" s="40"/>
      <c r="N558" s="40"/>
      <c r="O558" s="40"/>
      <c r="P558" s="40"/>
      <c r="Q558" s="40"/>
    </row>
    <row r="559" spans="7:17">
      <c r="G559" s="40"/>
      <c r="H559" s="40"/>
      <c r="I559" s="40"/>
      <c r="J559" s="40"/>
      <c r="K559" s="40"/>
      <c r="L559" s="40"/>
      <c r="M559" s="40"/>
      <c r="N559" s="40"/>
      <c r="O559" s="40"/>
      <c r="P559" s="40"/>
      <c r="Q559" s="40"/>
    </row>
    <row r="560" spans="7:17">
      <c r="G560" s="40"/>
      <c r="H560" s="40"/>
      <c r="I560" s="40"/>
      <c r="J560" s="40"/>
      <c r="K560" s="40"/>
      <c r="L560" s="40"/>
      <c r="M560" s="40"/>
      <c r="N560" s="40"/>
      <c r="O560" s="40"/>
      <c r="P560" s="40"/>
      <c r="Q560" s="40"/>
    </row>
    <row r="561" spans="7:17">
      <c r="G561" s="40"/>
      <c r="H561" s="40"/>
      <c r="I561" s="40"/>
      <c r="J561" s="40"/>
      <c r="K561" s="40"/>
      <c r="L561" s="40"/>
      <c r="M561" s="40"/>
      <c r="N561" s="40"/>
      <c r="O561" s="40"/>
      <c r="P561" s="40"/>
      <c r="Q561" s="40"/>
    </row>
    <row r="562" spans="7:17">
      <c r="G562" s="40"/>
      <c r="H562" s="40"/>
      <c r="I562" s="40"/>
      <c r="J562" s="40"/>
      <c r="K562" s="40"/>
      <c r="L562" s="40"/>
      <c r="M562" s="40"/>
      <c r="N562" s="40"/>
      <c r="O562" s="40"/>
      <c r="P562" s="40"/>
      <c r="Q562" s="40"/>
    </row>
    <row r="563" spans="7:17">
      <c r="G563" s="40"/>
      <c r="H563" s="40"/>
      <c r="I563" s="40"/>
      <c r="J563" s="40"/>
      <c r="K563" s="40"/>
      <c r="L563" s="40"/>
      <c r="M563" s="40"/>
      <c r="N563" s="40"/>
      <c r="O563" s="40"/>
      <c r="P563" s="40"/>
      <c r="Q563" s="40"/>
    </row>
    <row r="564" spans="7:17">
      <c r="G564" s="40"/>
      <c r="H564" s="40"/>
      <c r="I564" s="40"/>
      <c r="J564" s="40"/>
      <c r="K564" s="40"/>
      <c r="L564" s="40"/>
      <c r="M564" s="40"/>
      <c r="N564" s="40"/>
      <c r="O564" s="40"/>
      <c r="P564" s="40"/>
      <c r="Q564" s="40"/>
    </row>
    <row r="565" spans="7:17">
      <c r="G565" s="40"/>
      <c r="H565" s="40"/>
      <c r="I565" s="40"/>
      <c r="J565" s="40"/>
      <c r="K565" s="40"/>
      <c r="L565" s="40"/>
      <c r="M565" s="40"/>
      <c r="N565" s="40"/>
      <c r="O565" s="40"/>
      <c r="P565" s="40"/>
      <c r="Q565" s="40"/>
    </row>
    <row r="566" spans="7:17">
      <c r="G566" s="40"/>
      <c r="H566" s="40"/>
      <c r="I566" s="40"/>
      <c r="J566" s="40"/>
      <c r="K566" s="40"/>
      <c r="L566" s="40"/>
      <c r="M566" s="40"/>
      <c r="N566" s="40"/>
      <c r="O566" s="40"/>
      <c r="P566" s="40"/>
      <c r="Q566" s="40"/>
    </row>
    <row r="567" spans="7:17">
      <c r="G567" s="40"/>
      <c r="H567" s="40"/>
      <c r="I567" s="40"/>
      <c r="J567" s="40"/>
      <c r="K567" s="40"/>
      <c r="L567" s="40"/>
      <c r="M567" s="40"/>
      <c r="N567" s="40"/>
      <c r="O567" s="40"/>
      <c r="P567" s="40"/>
      <c r="Q567" s="40"/>
    </row>
    <row r="568" spans="7:17">
      <c r="G568" s="40"/>
      <c r="H568" s="40"/>
      <c r="I568" s="40"/>
      <c r="J568" s="40"/>
      <c r="K568" s="40"/>
      <c r="L568" s="40"/>
      <c r="M568" s="40"/>
      <c r="N568" s="40"/>
      <c r="O568" s="40"/>
      <c r="P568" s="40"/>
      <c r="Q568" s="40"/>
    </row>
    <row r="569" spans="7:17">
      <c r="G569" s="40"/>
      <c r="H569" s="40"/>
      <c r="I569" s="40"/>
      <c r="J569" s="40"/>
      <c r="K569" s="40"/>
      <c r="L569" s="40"/>
      <c r="M569" s="40"/>
      <c r="N569" s="40"/>
      <c r="O569" s="40"/>
      <c r="P569" s="40"/>
      <c r="Q569" s="40"/>
    </row>
    <row r="570" spans="7:17">
      <c r="G570" s="40"/>
      <c r="H570" s="40"/>
      <c r="I570" s="40"/>
      <c r="J570" s="40"/>
      <c r="K570" s="40"/>
      <c r="L570" s="40"/>
      <c r="M570" s="40"/>
      <c r="N570" s="40"/>
      <c r="O570" s="40"/>
      <c r="P570" s="40"/>
      <c r="Q570" s="40"/>
    </row>
    <row r="571" spans="7:17">
      <c r="G571" s="40"/>
      <c r="H571" s="40"/>
      <c r="I571" s="40"/>
      <c r="J571" s="40"/>
      <c r="K571" s="40"/>
      <c r="L571" s="40"/>
      <c r="M571" s="40"/>
      <c r="N571" s="40"/>
      <c r="O571" s="40"/>
      <c r="P571" s="40"/>
      <c r="Q571" s="40"/>
    </row>
    <row r="572" spans="7:17">
      <c r="G572" s="40"/>
      <c r="H572" s="40"/>
      <c r="I572" s="40"/>
      <c r="J572" s="40"/>
      <c r="K572" s="40"/>
      <c r="L572" s="40"/>
      <c r="M572" s="40"/>
      <c r="N572" s="40"/>
      <c r="O572" s="40"/>
      <c r="P572" s="40"/>
      <c r="Q572" s="40"/>
    </row>
    <row r="573" spans="7:17">
      <c r="G573" s="40"/>
      <c r="H573" s="40"/>
      <c r="I573" s="40"/>
      <c r="J573" s="40"/>
      <c r="K573" s="40"/>
      <c r="L573" s="40"/>
      <c r="M573" s="40"/>
      <c r="N573" s="40"/>
      <c r="O573" s="40"/>
      <c r="P573" s="40"/>
      <c r="Q573" s="40"/>
    </row>
    <row r="574" spans="7:17">
      <c r="G574" s="40"/>
      <c r="H574" s="40"/>
      <c r="I574" s="40"/>
      <c r="J574" s="40"/>
      <c r="K574" s="40"/>
      <c r="L574" s="40"/>
      <c r="M574" s="40"/>
      <c r="N574" s="40"/>
      <c r="O574" s="40"/>
      <c r="P574" s="40"/>
      <c r="Q574" s="40"/>
    </row>
    <row r="575" spans="7:17">
      <c r="G575" s="40"/>
      <c r="H575" s="40"/>
      <c r="I575" s="40"/>
      <c r="J575" s="40"/>
      <c r="K575" s="40"/>
      <c r="L575" s="40"/>
      <c r="M575" s="40"/>
      <c r="N575" s="40"/>
      <c r="O575" s="40"/>
      <c r="P575" s="40"/>
      <c r="Q575" s="40"/>
    </row>
    <row r="576" spans="7:17">
      <c r="G576" s="40"/>
      <c r="H576" s="40"/>
      <c r="I576" s="40"/>
      <c r="J576" s="40"/>
      <c r="K576" s="40"/>
      <c r="L576" s="40"/>
      <c r="M576" s="40"/>
      <c r="N576" s="40"/>
      <c r="O576" s="40"/>
      <c r="P576" s="40"/>
      <c r="Q576" s="40"/>
    </row>
    <row r="577" spans="7:17">
      <c r="G577" s="40"/>
      <c r="H577" s="40"/>
      <c r="I577" s="40"/>
      <c r="J577" s="40"/>
      <c r="K577" s="40"/>
      <c r="L577" s="40"/>
      <c r="M577" s="40"/>
      <c r="N577" s="40"/>
      <c r="O577" s="40"/>
      <c r="P577" s="40"/>
      <c r="Q577" s="40"/>
    </row>
    <row r="578" spans="7:17">
      <c r="G578" s="40"/>
      <c r="H578" s="40"/>
      <c r="I578" s="40"/>
      <c r="J578" s="40"/>
      <c r="K578" s="40"/>
      <c r="L578" s="40"/>
      <c r="M578" s="40"/>
      <c r="N578" s="40"/>
      <c r="O578" s="40"/>
      <c r="P578" s="40"/>
      <c r="Q578" s="40"/>
    </row>
    <row r="579" spans="7:17">
      <c r="G579" s="40"/>
      <c r="H579" s="40"/>
      <c r="I579" s="40"/>
      <c r="J579" s="40"/>
      <c r="K579" s="40"/>
      <c r="L579" s="40"/>
      <c r="M579" s="40"/>
      <c r="N579" s="40"/>
      <c r="O579" s="40"/>
      <c r="P579" s="40"/>
      <c r="Q579" s="40"/>
    </row>
    <row r="580" spans="7:17">
      <c r="G580" s="40"/>
      <c r="H580" s="40"/>
      <c r="I580" s="40"/>
      <c r="J580" s="40"/>
      <c r="K580" s="40"/>
      <c r="L580" s="40"/>
      <c r="M580" s="40"/>
      <c r="N580" s="40"/>
      <c r="O580" s="40"/>
      <c r="P580" s="40"/>
      <c r="Q580" s="40"/>
    </row>
    <row r="581" spans="7:17">
      <c r="G581" s="40"/>
      <c r="H581" s="40"/>
      <c r="I581" s="40"/>
      <c r="J581" s="40"/>
      <c r="K581" s="40"/>
      <c r="L581" s="40"/>
      <c r="M581" s="40"/>
      <c r="N581" s="40"/>
      <c r="O581" s="40"/>
      <c r="P581" s="40"/>
      <c r="Q581" s="40"/>
    </row>
    <row r="582" spans="7:17">
      <c r="G582" s="40"/>
      <c r="H582" s="40"/>
      <c r="I582" s="40"/>
      <c r="J582" s="40"/>
      <c r="K582" s="40"/>
      <c r="L582" s="40"/>
      <c r="M582" s="40"/>
      <c r="N582" s="40"/>
      <c r="O582" s="40"/>
      <c r="P582" s="40"/>
      <c r="Q582" s="40"/>
    </row>
    <row r="583" spans="7:17">
      <c r="G583" s="40"/>
      <c r="H583" s="40"/>
      <c r="I583" s="40"/>
      <c r="J583" s="40"/>
      <c r="K583" s="40"/>
      <c r="L583" s="40"/>
      <c r="M583" s="40"/>
      <c r="N583" s="40"/>
      <c r="O583" s="40"/>
      <c r="P583" s="40"/>
      <c r="Q583" s="40"/>
    </row>
    <row r="584" spans="7:17">
      <c r="G584" s="40"/>
      <c r="H584" s="40"/>
      <c r="I584" s="40"/>
      <c r="J584" s="40"/>
      <c r="K584" s="40"/>
      <c r="L584" s="40"/>
      <c r="M584" s="40"/>
      <c r="N584" s="40"/>
      <c r="O584" s="40"/>
      <c r="P584" s="40"/>
      <c r="Q584" s="40"/>
    </row>
    <row r="585" spans="7:17">
      <c r="G585" s="40"/>
      <c r="H585" s="40"/>
      <c r="I585" s="40"/>
      <c r="J585" s="40"/>
      <c r="K585" s="40"/>
      <c r="L585" s="40"/>
      <c r="M585" s="40"/>
      <c r="N585" s="40"/>
      <c r="O585" s="40"/>
      <c r="P585" s="40"/>
      <c r="Q585" s="40"/>
    </row>
    <row r="586" spans="7:17">
      <c r="G586" s="40"/>
      <c r="H586" s="40"/>
      <c r="I586" s="40"/>
      <c r="J586" s="40"/>
      <c r="K586" s="40"/>
      <c r="L586" s="40"/>
      <c r="M586" s="40"/>
      <c r="N586" s="40"/>
      <c r="O586" s="40"/>
      <c r="P586" s="40"/>
      <c r="Q586" s="40"/>
    </row>
    <row r="587" spans="7:17">
      <c r="G587" s="40"/>
      <c r="H587" s="40"/>
      <c r="I587" s="40"/>
      <c r="J587" s="40"/>
      <c r="K587" s="40"/>
      <c r="L587" s="40"/>
      <c r="M587" s="40"/>
      <c r="N587" s="40"/>
      <c r="O587" s="40"/>
      <c r="P587" s="40"/>
      <c r="Q587" s="40"/>
    </row>
    <row r="588" spans="7:17">
      <c r="G588" s="40"/>
      <c r="H588" s="40"/>
      <c r="I588" s="40"/>
      <c r="J588" s="40"/>
      <c r="K588" s="40"/>
      <c r="L588" s="40"/>
      <c r="M588" s="40"/>
      <c r="N588" s="40"/>
      <c r="O588" s="40"/>
      <c r="P588" s="40"/>
      <c r="Q588" s="40"/>
    </row>
    <row r="589" spans="7:17">
      <c r="G589" s="40"/>
      <c r="H589" s="40"/>
      <c r="I589" s="40"/>
      <c r="J589" s="40"/>
      <c r="K589" s="40"/>
      <c r="L589" s="40"/>
      <c r="M589" s="40"/>
      <c r="N589" s="40"/>
      <c r="O589" s="40"/>
      <c r="P589" s="40"/>
      <c r="Q589" s="40"/>
    </row>
    <row r="590" spans="7:17">
      <c r="G590" s="40"/>
      <c r="H590" s="40"/>
      <c r="I590" s="40"/>
      <c r="J590" s="40"/>
      <c r="K590" s="40"/>
      <c r="L590" s="40"/>
      <c r="M590" s="40"/>
      <c r="N590" s="40"/>
      <c r="O590" s="40"/>
      <c r="P590" s="40"/>
      <c r="Q590" s="40"/>
    </row>
    <row r="591" spans="7:17">
      <c r="G591" s="40"/>
      <c r="H591" s="40"/>
      <c r="I591" s="40"/>
      <c r="J591" s="40"/>
      <c r="K591" s="40"/>
      <c r="L591" s="40"/>
      <c r="M591" s="40"/>
      <c r="N591" s="40"/>
      <c r="O591" s="40"/>
      <c r="P591" s="40"/>
      <c r="Q591" s="40"/>
    </row>
    <row r="592" spans="7:17">
      <c r="G592" s="40"/>
      <c r="H592" s="40"/>
      <c r="I592" s="40"/>
      <c r="J592" s="40"/>
      <c r="K592" s="40"/>
      <c r="L592" s="40"/>
      <c r="M592" s="40"/>
      <c r="N592" s="40"/>
      <c r="O592" s="40"/>
      <c r="P592" s="40"/>
      <c r="Q592" s="40"/>
    </row>
    <row r="593" spans="7:17">
      <c r="G593" s="40"/>
      <c r="H593" s="40"/>
      <c r="I593" s="40"/>
      <c r="J593" s="40"/>
      <c r="K593" s="40"/>
      <c r="L593" s="40"/>
      <c r="M593" s="40"/>
      <c r="N593" s="40"/>
      <c r="O593" s="40"/>
      <c r="P593" s="40"/>
      <c r="Q593" s="40"/>
    </row>
    <row r="594" spans="7:17">
      <c r="G594" s="40"/>
      <c r="H594" s="40"/>
      <c r="I594" s="40"/>
      <c r="J594" s="40"/>
      <c r="K594" s="40"/>
      <c r="L594" s="40"/>
      <c r="M594" s="40"/>
      <c r="N594" s="40"/>
      <c r="O594" s="40"/>
      <c r="P594" s="40"/>
      <c r="Q594" s="40"/>
    </row>
    <row r="595" spans="7:17">
      <c r="G595" s="40"/>
      <c r="H595" s="40"/>
      <c r="I595" s="40"/>
      <c r="J595" s="40"/>
      <c r="K595" s="40"/>
      <c r="L595" s="40"/>
      <c r="M595" s="40"/>
      <c r="N595" s="40"/>
      <c r="O595" s="40"/>
      <c r="P595" s="40"/>
      <c r="Q595" s="40"/>
    </row>
    <row r="596" spans="7:17">
      <c r="G596" s="40"/>
      <c r="H596" s="40"/>
      <c r="I596" s="40"/>
      <c r="J596" s="40"/>
      <c r="K596" s="40"/>
      <c r="L596" s="40"/>
      <c r="M596" s="40"/>
      <c r="N596" s="40"/>
      <c r="O596" s="40"/>
      <c r="P596" s="40"/>
      <c r="Q596" s="40"/>
    </row>
    <row r="597" spans="7:17">
      <c r="G597" s="40"/>
      <c r="H597" s="40"/>
      <c r="I597" s="40"/>
      <c r="J597" s="40"/>
      <c r="K597" s="40"/>
      <c r="L597" s="40"/>
      <c r="M597" s="40"/>
      <c r="N597" s="40"/>
      <c r="O597" s="40"/>
      <c r="P597" s="40"/>
      <c r="Q597" s="40"/>
    </row>
    <row r="598" spans="7:17">
      <c r="G598" s="40"/>
      <c r="H598" s="40"/>
      <c r="I598" s="40"/>
      <c r="J598" s="40"/>
      <c r="K598" s="40"/>
      <c r="L598" s="40"/>
      <c r="M598" s="40"/>
      <c r="N598" s="40"/>
      <c r="O598" s="40"/>
      <c r="P598" s="40"/>
      <c r="Q598" s="40"/>
    </row>
    <row r="599" spans="7:17">
      <c r="G599" s="40"/>
      <c r="H599" s="40"/>
      <c r="I599" s="40"/>
      <c r="J599" s="40"/>
      <c r="K599" s="40"/>
      <c r="L599" s="40"/>
      <c r="M599" s="40"/>
      <c r="N599" s="40"/>
      <c r="O599" s="40"/>
      <c r="P599" s="40"/>
      <c r="Q599" s="40"/>
    </row>
    <row r="600" spans="7:17">
      <c r="G600" s="40"/>
      <c r="H600" s="40"/>
      <c r="I600" s="40"/>
      <c r="J600" s="40"/>
      <c r="K600" s="40"/>
      <c r="L600" s="40"/>
      <c r="M600" s="40"/>
      <c r="N600" s="40"/>
      <c r="O600" s="40"/>
      <c r="P600" s="40"/>
      <c r="Q600" s="40"/>
    </row>
    <row r="601" spans="7:17">
      <c r="G601" s="40"/>
      <c r="H601" s="40"/>
      <c r="I601" s="40"/>
      <c r="J601" s="40"/>
      <c r="K601" s="40"/>
      <c r="L601" s="40"/>
      <c r="M601" s="40"/>
      <c r="N601" s="40"/>
      <c r="O601" s="40"/>
      <c r="P601" s="40"/>
      <c r="Q601" s="40"/>
    </row>
    <row r="602" spans="7:17">
      <c r="G602" s="40"/>
      <c r="H602" s="40"/>
      <c r="I602" s="40"/>
      <c r="J602" s="40"/>
      <c r="K602" s="40"/>
      <c r="L602" s="40"/>
      <c r="M602" s="40"/>
      <c r="N602" s="40"/>
      <c r="O602" s="40"/>
      <c r="P602" s="40"/>
      <c r="Q602" s="40"/>
    </row>
    <row r="603" spans="7:17">
      <c r="G603" s="40"/>
      <c r="H603" s="40"/>
      <c r="I603" s="40"/>
      <c r="J603" s="40"/>
      <c r="K603" s="40"/>
      <c r="L603" s="40"/>
      <c r="M603" s="40"/>
      <c r="N603" s="40"/>
      <c r="O603" s="40"/>
      <c r="P603" s="40"/>
      <c r="Q603" s="40"/>
    </row>
    <row r="604" spans="7:17">
      <c r="G604" s="40"/>
      <c r="H604" s="40"/>
      <c r="I604" s="40"/>
      <c r="J604" s="40"/>
      <c r="K604" s="40"/>
      <c r="L604" s="40"/>
      <c r="M604" s="40"/>
      <c r="N604" s="40"/>
      <c r="O604" s="40"/>
      <c r="P604" s="40"/>
      <c r="Q604" s="40"/>
    </row>
    <row r="605" spans="7:17">
      <c r="G605" s="40"/>
      <c r="H605" s="40"/>
      <c r="I605" s="40"/>
      <c r="J605" s="40"/>
      <c r="K605" s="40"/>
      <c r="L605" s="40"/>
      <c r="M605" s="40"/>
      <c r="N605" s="40"/>
      <c r="O605" s="40"/>
      <c r="P605" s="40"/>
      <c r="Q605" s="40"/>
    </row>
    <row r="606" spans="7:17">
      <c r="G606" s="40"/>
      <c r="H606" s="40"/>
      <c r="I606" s="40"/>
      <c r="J606" s="40"/>
      <c r="K606" s="40"/>
      <c r="L606" s="40"/>
      <c r="M606" s="40"/>
      <c r="N606" s="40"/>
      <c r="O606" s="40"/>
      <c r="P606" s="40"/>
      <c r="Q606" s="40"/>
    </row>
    <row r="607" spans="7:17">
      <c r="G607" s="40"/>
      <c r="H607" s="40"/>
      <c r="I607" s="40"/>
      <c r="J607" s="40"/>
      <c r="K607" s="40"/>
      <c r="L607" s="40"/>
      <c r="M607" s="40"/>
      <c r="N607" s="40"/>
      <c r="O607" s="40"/>
      <c r="P607" s="40"/>
      <c r="Q607" s="40"/>
    </row>
    <row r="608" spans="7:17">
      <c r="G608" s="40"/>
      <c r="H608" s="40"/>
      <c r="I608" s="40"/>
      <c r="J608" s="40"/>
      <c r="K608" s="40"/>
      <c r="L608" s="40"/>
      <c r="M608" s="40"/>
      <c r="N608" s="40"/>
      <c r="O608" s="40"/>
      <c r="P608" s="40"/>
      <c r="Q608" s="40"/>
    </row>
    <row r="609" spans="7:17">
      <c r="G609" s="40"/>
      <c r="H609" s="40"/>
      <c r="I609" s="40"/>
      <c r="J609" s="40"/>
      <c r="K609" s="40"/>
      <c r="L609" s="40"/>
      <c r="M609" s="40"/>
      <c r="N609" s="40"/>
      <c r="O609" s="40"/>
      <c r="P609" s="40"/>
      <c r="Q609" s="40"/>
    </row>
    <row r="610" spans="7:17">
      <c r="G610" s="40"/>
      <c r="H610" s="40"/>
      <c r="I610" s="40"/>
      <c r="J610" s="40"/>
      <c r="K610" s="40"/>
      <c r="L610" s="40"/>
      <c r="M610" s="40"/>
      <c r="N610" s="40"/>
      <c r="O610" s="40"/>
      <c r="P610" s="40"/>
      <c r="Q610" s="40"/>
    </row>
    <row r="611" spans="7:17">
      <c r="G611" s="40"/>
      <c r="H611" s="40"/>
      <c r="I611" s="40"/>
      <c r="J611" s="40"/>
      <c r="K611" s="40"/>
      <c r="L611" s="40"/>
      <c r="M611" s="40"/>
      <c r="N611" s="40"/>
      <c r="O611" s="40"/>
      <c r="P611" s="40"/>
      <c r="Q611" s="40"/>
    </row>
    <row r="612" spans="7:17">
      <c r="G612" s="40"/>
      <c r="H612" s="40"/>
      <c r="I612" s="40"/>
      <c r="J612" s="40"/>
      <c r="K612" s="40"/>
      <c r="L612" s="40"/>
      <c r="M612" s="40"/>
      <c r="N612" s="40"/>
      <c r="O612" s="40"/>
      <c r="P612" s="40"/>
      <c r="Q612" s="40"/>
    </row>
    <row r="613" spans="7:17">
      <c r="G613" s="40"/>
      <c r="H613" s="40"/>
      <c r="I613" s="40"/>
      <c r="J613" s="40"/>
      <c r="K613" s="40"/>
      <c r="L613" s="40"/>
      <c r="M613" s="40"/>
      <c r="N613" s="40"/>
      <c r="O613" s="40"/>
      <c r="P613" s="40"/>
      <c r="Q613" s="40"/>
    </row>
    <row r="614" spans="7:17">
      <c r="G614" s="40"/>
      <c r="H614" s="40"/>
      <c r="I614" s="40"/>
      <c r="J614" s="40"/>
      <c r="K614" s="40"/>
      <c r="L614" s="40"/>
      <c r="M614" s="40"/>
      <c r="N614" s="40"/>
      <c r="O614" s="40"/>
      <c r="P614" s="40"/>
      <c r="Q614" s="40"/>
    </row>
    <row r="615" spans="7:17">
      <c r="G615" s="40"/>
      <c r="H615" s="40"/>
      <c r="I615" s="40"/>
      <c r="J615" s="40"/>
      <c r="K615" s="40"/>
      <c r="L615" s="40"/>
      <c r="M615" s="40"/>
      <c r="N615" s="40"/>
      <c r="O615" s="40"/>
      <c r="P615" s="40"/>
      <c r="Q615" s="40"/>
    </row>
    <row r="616" spans="7:17">
      <c r="G616" s="40"/>
      <c r="H616" s="40"/>
      <c r="I616" s="40"/>
      <c r="J616" s="40"/>
      <c r="K616" s="40"/>
      <c r="L616" s="40"/>
      <c r="M616" s="40"/>
      <c r="N616" s="40"/>
      <c r="O616" s="40"/>
      <c r="P616" s="40"/>
      <c r="Q616" s="40"/>
    </row>
    <row r="617" spans="7:17">
      <c r="G617" s="40"/>
      <c r="H617" s="40"/>
      <c r="I617" s="40"/>
      <c r="J617" s="40"/>
      <c r="K617" s="40"/>
      <c r="L617" s="40"/>
      <c r="M617" s="40"/>
      <c r="N617" s="40"/>
      <c r="O617" s="40"/>
      <c r="P617" s="40"/>
      <c r="Q617" s="40"/>
    </row>
    <row r="618" spans="7:17">
      <c r="G618" s="40"/>
      <c r="H618" s="40"/>
      <c r="I618" s="40"/>
      <c r="J618" s="40"/>
      <c r="K618" s="40"/>
      <c r="L618" s="40"/>
      <c r="M618" s="40"/>
      <c r="N618" s="40"/>
      <c r="O618" s="40"/>
      <c r="P618" s="40"/>
      <c r="Q618" s="40"/>
    </row>
    <row r="619" spans="7:17">
      <c r="G619" s="40"/>
      <c r="H619" s="40"/>
      <c r="I619" s="40"/>
      <c r="J619" s="40"/>
      <c r="K619" s="40"/>
      <c r="L619" s="40"/>
      <c r="M619" s="40"/>
      <c r="N619" s="40"/>
      <c r="O619" s="40"/>
      <c r="P619" s="40"/>
      <c r="Q619" s="40"/>
    </row>
    <row r="620" spans="7:17">
      <c r="G620" s="40"/>
      <c r="H620" s="40"/>
      <c r="I620" s="40"/>
      <c r="J620" s="40"/>
      <c r="K620" s="40"/>
      <c r="L620" s="40"/>
      <c r="M620" s="40"/>
      <c r="N620" s="40"/>
      <c r="O620" s="40"/>
      <c r="P620" s="40"/>
      <c r="Q620" s="40"/>
    </row>
    <row r="621" spans="7:17">
      <c r="G621" s="40"/>
      <c r="H621" s="40"/>
      <c r="I621" s="40"/>
      <c r="J621" s="40"/>
      <c r="K621" s="40"/>
      <c r="L621" s="40"/>
      <c r="M621" s="40"/>
      <c r="N621" s="40"/>
      <c r="O621" s="40"/>
      <c r="P621" s="40"/>
      <c r="Q621" s="40"/>
    </row>
    <row r="622" spans="7:17">
      <c r="G622" s="40"/>
      <c r="H622" s="40"/>
      <c r="I622" s="40"/>
      <c r="J622" s="40"/>
      <c r="K622" s="40"/>
      <c r="L622" s="40"/>
      <c r="M622" s="40"/>
      <c r="N622" s="40"/>
      <c r="O622" s="40"/>
      <c r="P622" s="40"/>
      <c r="Q622" s="40"/>
    </row>
    <row r="623" spans="7:17">
      <c r="G623" s="40"/>
      <c r="H623" s="40"/>
      <c r="I623" s="40"/>
      <c r="J623" s="40"/>
      <c r="K623" s="40"/>
      <c r="L623" s="40"/>
      <c r="M623" s="40"/>
      <c r="N623" s="40"/>
      <c r="O623" s="40"/>
      <c r="P623" s="40"/>
      <c r="Q623" s="40"/>
    </row>
    <row r="624" spans="7:17">
      <c r="G624" s="40"/>
      <c r="H624" s="40"/>
      <c r="I624" s="40"/>
      <c r="J624" s="40"/>
      <c r="K624" s="40"/>
      <c r="L624" s="40"/>
      <c r="M624" s="40"/>
      <c r="N624" s="40"/>
      <c r="O624" s="40"/>
      <c r="P624" s="40"/>
      <c r="Q624" s="40"/>
    </row>
    <row r="625" spans="7:17">
      <c r="G625" s="40"/>
      <c r="H625" s="40"/>
      <c r="I625" s="40"/>
      <c r="J625" s="40"/>
      <c r="K625" s="40"/>
      <c r="L625" s="40"/>
      <c r="M625" s="40"/>
      <c r="N625" s="40"/>
      <c r="O625" s="40"/>
      <c r="P625" s="40"/>
      <c r="Q625" s="40"/>
    </row>
    <row r="626" spans="7:17">
      <c r="G626" s="40"/>
      <c r="H626" s="40"/>
      <c r="I626" s="40"/>
      <c r="J626" s="40"/>
      <c r="K626" s="40"/>
      <c r="L626" s="40"/>
      <c r="M626" s="40"/>
      <c r="N626" s="40"/>
      <c r="O626" s="40"/>
      <c r="P626" s="40"/>
      <c r="Q626" s="40"/>
    </row>
    <row r="627" spans="7:17">
      <c r="G627" s="40"/>
      <c r="H627" s="40"/>
      <c r="I627" s="40"/>
      <c r="J627" s="40"/>
      <c r="K627" s="40"/>
      <c r="L627" s="40"/>
      <c r="M627" s="40"/>
      <c r="N627" s="40"/>
      <c r="O627" s="40"/>
      <c r="P627" s="40"/>
      <c r="Q627" s="40"/>
    </row>
    <row r="628" spans="7:17">
      <c r="G628" s="40"/>
      <c r="H628" s="40"/>
      <c r="I628" s="40"/>
      <c r="J628" s="40"/>
      <c r="K628" s="40"/>
      <c r="L628" s="40"/>
      <c r="M628" s="40"/>
      <c r="N628" s="40"/>
      <c r="O628" s="40"/>
      <c r="P628" s="40"/>
      <c r="Q628" s="40"/>
    </row>
    <row r="629" spans="7:17">
      <c r="G629" s="40"/>
      <c r="H629" s="40"/>
      <c r="I629" s="40"/>
      <c r="J629" s="40"/>
      <c r="K629" s="40"/>
      <c r="L629" s="40"/>
      <c r="M629" s="40"/>
      <c r="N629" s="40"/>
      <c r="O629" s="40"/>
      <c r="P629" s="40"/>
      <c r="Q629" s="40"/>
    </row>
    <row r="630" spans="7:17">
      <c r="G630" s="40"/>
      <c r="H630" s="40"/>
      <c r="I630" s="40"/>
      <c r="J630" s="40"/>
      <c r="K630" s="40"/>
      <c r="L630" s="40"/>
      <c r="M630" s="40"/>
      <c r="N630" s="40"/>
      <c r="O630" s="40"/>
      <c r="P630" s="40"/>
      <c r="Q630" s="40"/>
    </row>
    <row r="631" spans="7:17">
      <c r="G631" s="40"/>
      <c r="H631" s="40"/>
      <c r="I631" s="40"/>
      <c r="J631" s="40"/>
      <c r="K631" s="40"/>
      <c r="L631" s="40"/>
      <c r="M631" s="40"/>
      <c r="N631" s="40"/>
      <c r="O631" s="40"/>
      <c r="P631" s="40"/>
      <c r="Q631" s="40"/>
    </row>
    <row r="632" spans="7:17">
      <c r="G632" s="40"/>
      <c r="H632" s="40"/>
      <c r="I632" s="40"/>
      <c r="J632" s="40"/>
      <c r="K632" s="40"/>
      <c r="L632" s="40"/>
      <c r="M632" s="40"/>
      <c r="N632" s="40"/>
      <c r="O632" s="40"/>
      <c r="P632" s="40"/>
      <c r="Q632" s="40"/>
    </row>
    <row r="633" spans="7:17">
      <c r="G633" s="40"/>
      <c r="H633" s="40"/>
      <c r="I633" s="40"/>
      <c r="J633" s="40"/>
      <c r="K633" s="40"/>
      <c r="L633" s="40"/>
      <c r="M633" s="40"/>
      <c r="N633" s="40"/>
      <c r="O633" s="40"/>
      <c r="P633" s="40"/>
      <c r="Q633" s="40"/>
    </row>
    <row r="634" spans="7:17">
      <c r="G634" s="40"/>
      <c r="H634" s="40"/>
      <c r="I634" s="40"/>
      <c r="J634" s="40"/>
      <c r="K634" s="40"/>
      <c r="L634" s="40"/>
      <c r="M634" s="40"/>
      <c r="N634" s="40"/>
      <c r="O634" s="40"/>
      <c r="P634" s="40"/>
      <c r="Q634" s="40"/>
    </row>
    <row r="635" spans="7:17">
      <c r="G635" s="40"/>
      <c r="H635" s="40"/>
      <c r="I635" s="40"/>
      <c r="J635" s="40"/>
      <c r="K635" s="40"/>
      <c r="L635" s="40"/>
      <c r="M635" s="40"/>
      <c r="N635" s="40"/>
      <c r="O635" s="40"/>
      <c r="P635" s="40"/>
      <c r="Q635" s="40"/>
    </row>
    <row r="636" spans="7:17">
      <c r="G636" s="40"/>
      <c r="H636" s="40"/>
      <c r="I636" s="40"/>
      <c r="J636" s="40"/>
      <c r="K636" s="40"/>
      <c r="L636" s="40"/>
      <c r="M636" s="40"/>
      <c r="N636" s="40"/>
      <c r="O636" s="40"/>
      <c r="P636" s="40"/>
      <c r="Q636" s="40"/>
    </row>
    <row r="637" spans="7:17">
      <c r="G637" s="40"/>
      <c r="H637" s="40"/>
      <c r="I637" s="40"/>
      <c r="J637" s="40"/>
      <c r="K637" s="40"/>
      <c r="L637" s="40"/>
      <c r="M637" s="40"/>
      <c r="N637" s="40"/>
      <c r="O637" s="40"/>
      <c r="P637" s="40"/>
      <c r="Q637" s="40"/>
    </row>
    <row r="638" spans="7:17">
      <c r="G638" s="40"/>
      <c r="H638" s="40"/>
      <c r="I638" s="40"/>
      <c r="J638" s="40"/>
      <c r="K638" s="40"/>
      <c r="L638" s="40"/>
      <c r="M638" s="40"/>
      <c r="N638" s="40"/>
      <c r="O638" s="40"/>
      <c r="P638" s="40"/>
      <c r="Q638" s="40"/>
    </row>
    <row r="639" spans="7:17">
      <c r="G639" s="40"/>
      <c r="H639" s="40"/>
      <c r="I639" s="40"/>
      <c r="J639" s="40"/>
      <c r="K639" s="40"/>
      <c r="L639" s="40"/>
      <c r="M639" s="40"/>
      <c r="N639" s="40"/>
      <c r="O639" s="40"/>
      <c r="P639" s="40"/>
      <c r="Q639" s="40"/>
    </row>
    <row r="640" spans="7:17">
      <c r="G640" s="40"/>
      <c r="H640" s="40"/>
      <c r="I640" s="40"/>
      <c r="J640" s="40"/>
      <c r="K640" s="40"/>
      <c r="L640" s="40"/>
      <c r="M640" s="40"/>
      <c r="N640" s="40"/>
      <c r="O640" s="40"/>
      <c r="P640" s="40"/>
      <c r="Q640" s="40"/>
    </row>
    <row r="641" spans="7:17">
      <c r="G641" s="40"/>
      <c r="H641" s="40"/>
      <c r="I641" s="40"/>
      <c r="J641" s="40"/>
      <c r="K641" s="40"/>
      <c r="L641" s="40"/>
      <c r="M641" s="40"/>
      <c r="N641" s="40"/>
      <c r="O641" s="40"/>
      <c r="P641" s="40"/>
      <c r="Q641" s="40"/>
    </row>
    <row r="642" spans="7:17">
      <c r="G642" s="40"/>
      <c r="H642" s="40"/>
      <c r="I642" s="40"/>
      <c r="J642" s="40"/>
      <c r="K642" s="40"/>
      <c r="L642" s="40"/>
      <c r="M642" s="40"/>
      <c r="N642" s="40"/>
      <c r="O642" s="40"/>
      <c r="P642" s="40"/>
      <c r="Q642" s="40"/>
    </row>
    <row r="643" spans="7:17">
      <c r="G643" s="40"/>
      <c r="H643" s="40"/>
      <c r="I643" s="40"/>
      <c r="J643" s="40"/>
      <c r="K643" s="40"/>
      <c r="L643" s="40"/>
      <c r="M643" s="40"/>
      <c r="N643" s="40"/>
      <c r="O643" s="40"/>
      <c r="P643" s="40"/>
      <c r="Q643" s="40"/>
    </row>
    <row r="644" spans="7:17">
      <c r="G644" s="40"/>
      <c r="H644" s="40"/>
      <c r="I644" s="40"/>
      <c r="J644" s="40"/>
      <c r="K644" s="40"/>
      <c r="L644" s="40"/>
      <c r="M644" s="40"/>
      <c r="N644" s="40"/>
      <c r="O644" s="40"/>
      <c r="P644" s="40"/>
      <c r="Q644" s="40"/>
    </row>
    <row r="645" spans="7:17">
      <c r="G645" s="40"/>
      <c r="H645" s="40"/>
      <c r="I645" s="40"/>
      <c r="J645" s="40"/>
      <c r="K645" s="40"/>
      <c r="L645" s="40"/>
      <c r="M645" s="40"/>
      <c r="N645" s="40"/>
      <c r="O645" s="40"/>
      <c r="P645" s="40"/>
      <c r="Q645" s="40"/>
    </row>
    <row r="646" spans="7:17">
      <c r="G646" s="40"/>
      <c r="H646" s="40"/>
      <c r="I646" s="40"/>
      <c r="J646" s="40"/>
      <c r="K646" s="40"/>
      <c r="L646" s="40"/>
      <c r="M646" s="40"/>
      <c r="N646" s="40"/>
      <c r="O646" s="40"/>
      <c r="P646" s="40"/>
      <c r="Q646" s="40"/>
    </row>
    <row r="647" spans="7:17">
      <c r="G647" s="40"/>
      <c r="H647" s="40"/>
      <c r="I647" s="40"/>
      <c r="J647" s="40"/>
      <c r="K647" s="40"/>
      <c r="L647" s="40"/>
      <c r="M647" s="40"/>
      <c r="N647" s="40"/>
      <c r="O647" s="40"/>
      <c r="P647" s="40"/>
      <c r="Q647" s="40"/>
    </row>
    <row r="648" spans="7:17">
      <c r="G648" s="40"/>
      <c r="H648" s="40"/>
      <c r="I648" s="40"/>
      <c r="J648" s="40"/>
      <c r="K648" s="40"/>
      <c r="L648" s="40"/>
      <c r="M648" s="40"/>
      <c r="N648" s="40"/>
      <c r="O648" s="40"/>
      <c r="P648" s="40"/>
      <c r="Q648" s="40"/>
    </row>
    <row r="649" spans="7:17">
      <c r="G649" s="40"/>
      <c r="H649" s="40"/>
      <c r="I649" s="40"/>
      <c r="J649" s="40"/>
      <c r="K649" s="40"/>
      <c r="L649" s="40"/>
      <c r="M649" s="40"/>
      <c r="N649" s="40"/>
      <c r="O649" s="40"/>
      <c r="P649" s="40"/>
      <c r="Q649" s="40"/>
    </row>
    <row r="650" spans="7:17">
      <c r="G650" s="40"/>
      <c r="H650" s="40"/>
      <c r="I650" s="40"/>
      <c r="J650" s="40"/>
      <c r="K650" s="40"/>
      <c r="L650" s="40"/>
      <c r="M650" s="40"/>
      <c r="N650" s="40"/>
      <c r="O650" s="40"/>
      <c r="P650" s="40"/>
      <c r="Q650" s="40"/>
    </row>
    <row r="651" spans="7:17">
      <c r="G651" s="40"/>
      <c r="H651" s="40"/>
      <c r="I651" s="40"/>
      <c r="J651" s="40"/>
      <c r="K651" s="40"/>
      <c r="L651" s="40"/>
      <c r="M651" s="40"/>
      <c r="N651" s="40"/>
      <c r="O651" s="40"/>
      <c r="P651" s="40"/>
      <c r="Q651" s="40"/>
    </row>
    <row r="652" spans="7:17">
      <c r="G652" s="40"/>
      <c r="H652" s="40"/>
      <c r="I652" s="40"/>
      <c r="J652" s="40"/>
      <c r="K652" s="40"/>
      <c r="L652" s="40"/>
      <c r="M652" s="40"/>
      <c r="N652" s="40"/>
      <c r="O652" s="40"/>
      <c r="P652" s="40"/>
      <c r="Q652" s="40"/>
    </row>
    <row r="653" spans="7:17">
      <c r="G653" s="40"/>
      <c r="H653" s="40"/>
      <c r="I653" s="40"/>
      <c r="J653" s="40"/>
      <c r="K653" s="40"/>
      <c r="L653" s="40"/>
      <c r="M653" s="40"/>
      <c r="N653" s="40"/>
      <c r="O653" s="40"/>
      <c r="P653" s="40"/>
      <c r="Q653" s="40"/>
    </row>
    <row r="654" spans="7:17">
      <c r="G654" s="40"/>
      <c r="H654" s="40"/>
      <c r="I654" s="40"/>
      <c r="J654" s="40"/>
      <c r="K654" s="40"/>
      <c r="L654" s="40"/>
      <c r="M654" s="40"/>
      <c r="N654" s="40"/>
      <c r="O654" s="40"/>
      <c r="P654" s="40"/>
      <c r="Q654" s="40"/>
    </row>
    <row r="655" spans="7:17">
      <c r="G655" s="40"/>
      <c r="H655" s="40"/>
      <c r="I655" s="40"/>
      <c r="J655" s="40"/>
      <c r="K655" s="40"/>
      <c r="L655" s="40"/>
      <c r="M655" s="40"/>
      <c r="N655" s="40"/>
      <c r="O655" s="40"/>
      <c r="P655" s="40"/>
      <c r="Q655" s="40"/>
    </row>
    <row r="656" spans="7:17">
      <c r="G656" s="40"/>
      <c r="H656" s="40"/>
      <c r="I656" s="40"/>
      <c r="J656" s="40"/>
      <c r="K656" s="40"/>
      <c r="L656" s="40"/>
      <c r="M656" s="40"/>
      <c r="N656" s="40"/>
      <c r="O656" s="40"/>
      <c r="P656" s="40"/>
      <c r="Q656" s="40"/>
    </row>
    <row r="657" spans="7:17">
      <c r="G657" s="40"/>
      <c r="H657" s="40"/>
      <c r="I657" s="40"/>
      <c r="J657" s="40"/>
      <c r="K657" s="40"/>
      <c r="L657" s="40"/>
      <c r="M657" s="40"/>
      <c r="N657" s="40"/>
      <c r="O657" s="40"/>
      <c r="P657" s="40"/>
      <c r="Q657" s="40"/>
    </row>
    <row r="658" spans="7:17">
      <c r="G658" s="40"/>
      <c r="H658" s="40"/>
      <c r="I658" s="40"/>
      <c r="J658" s="40"/>
      <c r="K658" s="40"/>
      <c r="L658" s="40"/>
      <c r="M658" s="40"/>
      <c r="N658" s="40"/>
      <c r="O658" s="40"/>
      <c r="P658" s="40"/>
      <c r="Q658" s="40"/>
    </row>
    <row r="659" spans="7:17">
      <c r="G659" s="40"/>
      <c r="H659" s="40"/>
      <c r="I659" s="40"/>
      <c r="J659" s="40"/>
      <c r="K659" s="40"/>
      <c r="L659" s="40"/>
      <c r="M659" s="40"/>
      <c r="N659" s="40"/>
      <c r="O659" s="40"/>
      <c r="P659" s="40"/>
      <c r="Q659" s="40"/>
    </row>
    <row r="660" spans="7:17">
      <c r="G660" s="40"/>
      <c r="H660" s="40"/>
      <c r="I660" s="40"/>
      <c r="J660" s="40"/>
      <c r="K660" s="40"/>
      <c r="L660" s="40"/>
      <c r="M660" s="40"/>
      <c r="N660" s="40"/>
      <c r="O660" s="40"/>
      <c r="P660" s="40"/>
      <c r="Q660" s="40"/>
    </row>
    <row r="661" spans="7:17">
      <c r="G661" s="40"/>
      <c r="H661" s="40"/>
      <c r="I661" s="40"/>
      <c r="J661" s="40"/>
      <c r="K661" s="40"/>
      <c r="L661" s="40"/>
      <c r="M661" s="40"/>
      <c r="N661" s="40"/>
      <c r="O661" s="40"/>
      <c r="P661" s="40"/>
      <c r="Q661" s="40"/>
    </row>
    <row r="662" spans="7:17">
      <c r="G662" s="40"/>
      <c r="H662" s="40"/>
      <c r="I662" s="40"/>
      <c r="J662" s="40"/>
      <c r="K662" s="40"/>
      <c r="L662" s="40"/>
      <c r="M662" s="40"/>
      <c r="N662" s="40"/>
      <c r="O662" s="40"/>
      <c r="P662" s="40"/>
      <c r="Q662" s="40"/>
    </row>
    <row r="663" spans="7:17">
      <c r="G663" s="40"/>
      <c r="H663" s="40"/>
      <c r="I663" s="40"/>
      <c r="J663" s="40"/>
      <c r="K663" s="40"/>
      <c r="L663" s="40"/>
      <c r="M663" s="40"/>
      <c r="N663" s="40"/>
      <c r="O663" s="40"/>
      <c r="P663" s="40"/>
      <c r="Q663" s="40"/>
    </row>
    <row r="664" spans="7:17">
      <c r="G664" s="40"/>
      <c r="H664" s="40"/>
      <c r="I664" s="40"/>
      <c r="J664" s="40"/>
      <c r="K664" s="40"/>
      <c r="L664" s="40"/>
      <c r="M664" s="40"/>
      <c r="N664" s="40"/>
      <c r="O664" s="40"/>
      <c r="P664" s="40"/>
      <c r="Q664" s="40"/>
    </row>
    <row r="665" spans="7:17">
      <c r="G665" s="40"/>
      <c r="H665" s="40"/>
      <c r="I665" s="40"/>
      <c r="J665" s="40"/>
      <c r="K665" s="40"/>
      <c r="L665" s="40"/>
      <c r="M665" s="40"/>
      <c r="N665" s="40"/>
      <c r="O665" s="40"/>
      <c r="P665" s="40"/>
      <c r="Q665" s="40"/>
    </row>
    <row r="666" spans="7:17">
      <c r="G666" s="40"/>
      <c r="H666" s="40"/>
      <c r="I666" s="40"/>
      <c r="J666" s="40"/>
      <c r="K666" s="40"/>
      <c r="L666" s="40"/>
      <c r="M666" s="40"/>
      <c r="N666" s="40"/>
      <c r="O666" s="40"/>
      <c r="P666" s="40"/>
      <c r="Q666" s="40"/>
    </row>
    <row r="667" spans="7:17">
      <c r="G667" s="40"/>
      <c r="H667" s="40"/>
      <c r="I667" s="40"/>
      <c r="J667" s="40"/>
      <c r="K667" s="40"/>
      <c r="L667" s="40"/>
      <c r="M667" s="40"/>
      <c r="N667" s="40"/>
      <c r="O667" s="40"/>
      <c r="P667" s="40"/>
      <c r="Q667" s="40"/>
    </row>
    <row r="668" spans="7:17">
      <c r="G668" s="40"/>
      <c r="H668" s="40"/>
      <c r="I668" s="40"/>
      <c r="J668" s="40"/>
      <c r="K668" s="40"/>
      <c r="L668" s="40"/>
      <c r="M668" s="40"/>
      <c r="N668" s="40"/>
      <c r="O668" s="40"/>
      <c r="P668" s="40"/>
      <c r="Q668" s="40"/>
    </row>
    <row r="669" spans="7:17">
      <c r="G669" s="40"/>
      <c r="H669" s="40"/>
      <c r="I669" s="40"/>
      <c r="J669" s="40"/>
      <c r="K669" s="40"/>
      <c r="L669" s="40"/>
      <c r="M669" s="40"/>
      <c r="N669" s="40"/>
      <c r="O669" s="40"/>
      <c r="P669" s="40"/>
      <c r="Q669" s="40"/>
    </row>
    <row r="670" spans="7:17">
      <c r="G670" s="40"/>
      <c r="H670" s="40"/>
      <c r="I670" s="40"/>
      <c r="J670" s="40"/>
      <c r="K670" s="40"/>
      <c r="L670" s="40"/>
      <c r="M670" s="40"/>
      <c r="N670" s="40"/>
      <c r="O670" s="40"/>
      <c r="P670" s="40"/>
      <c r="Q670" s="40"/>
    </row>
    <row r="671" spans="7:17">
      <c r="G671" s="40"/>
      <c r="H671" s="40"/>
      <c r="I671" s="40"/>
      <c r="J671" s="40"/>
      <c r="K671" s="40"/>
      <c r="L671" s="40"/>
      <c r="M671" s="40"/>
      <c r="N671" s="40"/>
      <c r="O671" s="40"/>
      <c r="P671" s="40"/>
      <c r="Q671" s="40"/>
    </row>
    <row r="672" spans="7:17">
      <c r="G672" s="40"/>
      <c r="H672" s="40"/>
      <c r="I672" s="40"/>
      <c r="J672" s="40"/>
      <c r="K672" s="40"/>
      <c r="L672" s="40"/>
      <c r="M672" s="40"/>
      <c r="N672" s="40"/>
      <c r="O672" s="40"/>
      <c r="P672" s="40"/>
      <c r="Q672" s="40"/>
    </row>
    <row r="673" spans="7:17">
      <c r="G673" s="40"/>
      <c r="H673" s="40"/>
      <c r="I673" s="40"/>
      <c r="J673" s="40"/>
      <c r="K673" s="40"/>
      <c r="L673" s="40"/>
      <c r="M673" s="40"/>
      <c r="N673" s="40"/>
      <c r="O673" s="40"/>
      <c r="P673" s="40"/>
      <c r="Q673" s="40"/>
    </row>
    <row r="674" spans="7:17">
      <c r="G674" s="40"/>
      <c r="H674" s="40"/>
      <c r="I674" s="40"/>
      <c r="J674" s="40"/>
      <c r="K674" s="40"/>
      <c r="L674" s="40"/>
      <c r="M674" s="40"/>
      <c r="N674" s="40"/>
      <c r="O674" s="40"/>
      <c r="P674" s="40"/>
      <c r="Q674" s="40"/>
    </row>
    <row r="675" spans="7:17">
      <c r="G675" s="40"/>
      <c r="H675" s="40"/>
      <c r="I675" s="40"/>
      <c r="J675" s="40"/>
      <c r="K675" s="40"/>
      <c r="L675" s="40"/>
      <c r="M675" s="40"/>
      <c r="N675" s="40"/>
      <c r="O675" s="40"/>
      <c r="P675" s="40"/>
      <c r="Q675" s="40"/>
    </row>
    <row r="676" spans="7:17">
      <c r="G676" s="40"/>
      <c r="H676" s="40"/>
      <c r="I676" s="40"/>
      <c r="J676" s="40"/>
      <c r="K676" s="40"/>
      <c r="L676" s="40"/>
      <c r="M676" s="40"/>
      <c r="N676" s="40"/>
      <c r="O676" s="40"/>
      <c r="P676" s="40"/>
      <c r="Q676" s="40"/>
    </row>
    <row r="677" spans="7:17">
      <c r="G677" s="40"/>
      <c r="H677" s="40"/>
      <c r="I677" s="40"/>
      <c r="J677" s="40"/>
      <c r="K677" s="40"/>
      <c r="L677" s="40"/>
      <c r="M677" s="40"/>
      <c r="N677" s="40"/>
      <c r="O677" s="40"/>
      <c r="P677" s="40"/>
      <c r="Q677" s="40"/>
    </row>
    <row r="678" spans="7:17">
      <c r="G678" s="40"/>
      <c r="H678" s="40"/>
      <c r="I678" s="40"/>
      <c r="J678" s="40"/>
      <c r="K678" s="40"/>
      <c r="L678" s="40"/>
      <c r="M678" s="40"/>
      <c r="N678" s="40"/>
      <c r="O678" s="40"/>
      <c r="P678" s="40"/>
      <c r="Q678" s="40"/>
    </row>
    <row r="679" spans="7:17">
      <c r="G679" s="40"/>
      <c r="H679" s="40"/>
      <c r="I679" s="40"/>
      <c r="J679" s="40"/>
      <c r="K679" s="40"/>
      <c r="L679" s="40"/>
      <c r="M679" s="40"/>
      <c r="N679" s="40"/>
      <c r="O679" s="40"/>
      <c r="P679" s="40"/>
      <c r="Q679" s="40"/>
    </row>
    <row r="680" spans="7:17">
      <c r="G680" s="40"/>
      <c r="H680" s="40"/>
      <c r="I680" s="40"/>
      <c r="J680" s="40"/>
      <c r="K680" s="40"/>
      <c r="L680" s="40"/>
      <c r="M680" s="40"/>
      <c r="N680" s="40"/>
      <c r="O680" s="40"/>
      <c r="P680" s="40"/>
      <c r="Q680" s="40"/>
    </row>
    <row r="681" spans="7:17">
      <c r="G681" s="40"/>
      <c r="H681" s="40"/>
      <c r="I681" s="40"/>
      <c r="J681" s="40"/>
      <c r="K681" s="40"/>
      <c r="L681" s="40"/>
      <c r="M681" s="40"/>
      <c r="N681" s="40"/>
      <c r="O681" s="40"/>
      <c r="P681" s="40"/>
      <c r="Q681" s="40"/>
    </row>
    <row r="682" spans="7:17">
      <c r="G682" s="40"/>
      <c r="H682" s="40"/>
      <c r="I682" s="40"/>
      <c r="J682" s="40"/>
      <c r="K682" s="40"/>
      <c r="L682" s="40"/>
      <c r="M682" s="40"/>
      <c r="N682" s="40"/>
      <c r="O682" s="40"/>
      <c r="P682" s="40"/>
      <c r="Q682" s="40"/>
    </row>
    <row r="683" spans="7:17">
      <c r="G683" s="40"/>
      <c r="H683" s="40"/>
      <c r="I683" s="40"/>
      <c r="J683" s="40"/>
      <c r="K683" s="40"/>
      <c r="L683" s="40"/>
      <c r="M683" s="40"/>
      <c r="N683" s="40"/>
      <c r="O683" s="40"/>
      <c r="P683" s="40"/>
      <c r="Q683" s="40"/>
    </row>
    <row r="684" spans="7:17">
      <c r="G684" s="40"/>
      <c r="H684" s="40"/>
      <c r="I684" s="40"/>
      <c r="J684" s="40"/>
      <c r="K684" s="40"/>
      <c r="L684" s="40"/>
      <c r="M684" s="40"/>
      <c r="N684" s="40"/>
      <c r="O684" s="40"/>
      <c r="P684" s="40"/>
      <c r="Q684" s="40"/>
    </row>
    <row r="685" spans="7:17">
      <c r="G685" s="40"/>
      <c r="H685" s="40"/>
      <c r="I685" s="40"/>
      <c r="J685" s="40"/>
      <c r="K685" s="40"/>
      <c r="L685" s="40"/>
      <c r="M685" s="40"/>
      <c r="N685" s="40"/>
      <c r="O685" s="40"/>
      <c r="P685" s="40"/>
      <c r="Q685" s="40"/>
    </row>
    <row r="686" spans="7:17">
      <c r="G686" s="40"/>
      <c r="H686" s="40"/>
      <c r="I686" s="40"/>
      <c r="J686" s="40"/>
      <c r="K686" s="40"/>
      <c r="L686" s="40"/>
      <c r="M686" s="40"/>
      <c r="N686" s="40"/>
      <c r="O686" s="40"/>
      <c r="P686" s="40"/>
      <c r="Q686" s="40"/>
    </row>
    <row r="687" spans="7:17">
      <c r="G687" s="40"/>
      <c r="H687" s="40"/>
      <c r="I687" s="40"/>
      <c r="J687" s="40"/>
      <c r="K687" s="40"/>
      <c r="L687" s="40"/>
      <c r="M687" s="40"/>
      <c r="N687" s="40"/>
      <c r="O687" s="40"/>
      <c r="P687" s="40"/>
      <c r="Q687" s="40"/>
    </row>
    <row r="688" spans="7:17">
      <c r="G688" s="40"/>
      <c r="H688" s="40"/>
      <c r="I688" s="40"/>
      <c r="J688" s="40"/>
      <c r="K688" s="40"/>
      <c r="L688" s="40"/>
      <c r="M688" s="40"/>
      <c r="N688" s="40"/>
      <c r="O688" s="40"/>
      <c r="P688" s="40"/>
      <c r="Q688" s="40"/>
    </row>
    <row r="689" spans="7:17">
      <c r="G689" s="40"/>
      <c r="H689" s="40"/>
      <c r="I689" s="40"/>
      <c r="J689" s="40"/>
      <c r="K689" s="40"/>
      <c r="L689" s="40"/>
      <c r="M689" s="40"/>
      <c r="N689" s="40"/>
      <c r="O689" s="40"/>
      <c r="P689" s="40"/>
      <c r="Q689" s="40"/>
    </row>
    <row r="690" spans="7:17">
      <c r="G690" s="40"/>
      <c r="H690" s="40"/>
      <c r="I690" s="40"/>
      <c r="J690" s="40"/>
      <c r="K690" s="40"/>
      <c r="L690" s="40"/>
      <c r="M690" s="40"/>
      <c r="N690" s="40"/>
      <c r="O690" s="40"/>
      <c r="P690" s="40"/>
      <c r="Q690" s="40"/>
    </row>
    <row r="691" spans="7:17">
      <c r="G691" s="40"/>
      <c r="H691" s="40"/>
      <c r="I691" s="40"/>
      <c r="J691" s="40"/>
      <c r="K691" s="40"/>
      <c r="L691" s="40"/>
      <c r="M691" s="40"/>
      <c r="N691" s="40"/>
      <c r="O691" s="40"/>
      <c r="P691" s="40"/>
      <c r="Q691" s="40"/>
    </row>
    <row r="692" spans="7:17">
      <c r="G692" s="40"/>
      <c r="H692" s="40"/>
      <c r="I692" s="40"/>
      <c r="J692" s="40"/>
      <c r="K692" s="40"/>
      <c r="L692" s="40"/>
      <c r="M692" s="40"/>
      <c r="N692" s="40"/>
      <c r="O692" s="40"/>
      <c r="P692" s="40"/>
      <c r="Q692" s="40"/>
    </row>
    <row r="693" spans="7:17">
      <c r="G693" s="40"/>
      <c r="H693" s="40"/>
      <c r="I693" s="40"/>
      <c r="J693" s="40"/>
      <c r="K693" s="40"/>
      <c r="L693" s="40"/>
      <c r="M693" s="40"/>
      <c r="N693" s="40"/>
      <c r="O693" s="40"/>
      <c r="P693" s="40"/>
      <c r="Q693" s="40"/>
    </row>
    <row r="694" spans="7:17">
      <c r="G694" s="40"/>
      <c r="H694" s="40"/>
      <c r="I694" s="40"/>
      <c r="J694" s="40"/>
      <c r="K694" s="40"/>
      <c r="L694" s="40"/>
      <c r="M694" s="40"/>
      <c r="N694" s="40"/>
      <c r="O694" s="40"/>
      <c r="P694" s="40"/>
      <c r="Q694" s="40"/>
    </row>
    <row r="695" spans="7:17">
      <c r="G695" s="40"/>
      <c r="H695" s="40"/>
      <c r="I695" s="40"/>
      <c r="J695" s="40"/>
      <c r="K695" s="40"/>
      <c r="L695" s="40"/>
      <c r="M695" s="40"/>
      <c r="N695" s="40"/>
      <c r="O695" s="40"/>
      <c r="P695" s="40"/>
      <c r="Q695" s="40"/>
    </row>
    <row r="696" spans="7:17">
      <c r="G696" s="40"/>
      <c r="H696" s="40"/>
      <c r="I696" s="40"/>
      <c r="J696" s="40"/>
      <c r="K696" s="40"/>
      <c r="L696" s="40"/>
      <c r="M696" s="40"/>
      <c r="N696" s="40"/>
      <c r="O696" s="40"/>
      <c r="P696" s="40"/>
      <c r="Q696" s="40"/>
    </row>
    <row r="697" spans="7:17">
      <c r="G697" s="40"/>
      <c r="H697" s="40"/>
      <c r="I697" s="40"/>
      <c r="J697" s="40"/>
      <c r="K697" s="40"/>
      <c r="L697" s="40"/>
      <c r="M697" s="40"/>
      <c r="N697" s="40"/>
      <c r="O697" s="40"/>
      <c r="P697" s="40"/>
      <c r="Q697" s="40"/>
    </row>
    <row r="698" spans="7:17">
      <c r="G698" s="40"/>
      <c r="H698" s="40"/>
      <c r="I698" s="40"/>
      <c r="J698" s="40"/>
      <c r="K698" s="40"/>
      <c r="L698" s="40"/>
      <c r="M698" s="40"/>
      <c r="N698" s="40"/>
      <c r="O698" s="40"/>
      <c r="P698" s="40"/>
      <c r="Q698" s="40"/>
    </row>
    <row r="699" spans="7:17">
      <c r="G699" s="40"/>
      <c r="H699" s="40"/>
      <c r="I699" s="40"/>
      <c r="J699" s="40"/>
      <c r="K699" s="40"/>
      <c r="L699" s="40"/>
      <c r="M699" s="40"/>
      <c r="N699" s="40"/>
      <c r="O699" s="40"/>
      <c r="P699" s="40"/>
      <c r="Q699" s="40"/>
    </row>
    <row r="700" spans="7:17">
      <c r="G700" s="40"/>
      <c r="H700" s="40"/>
      <c r="I700" s="40"/>
      <c r="J700" s="40"/>
      <c r="K700" s="40"/>
      <c r="L700" s="40"/>
      <c r="M700" s="40"/>
      <c r="N700" s="40"/>
      <c r="O700" s="40"/>
      <c r="P700" s="40"/>
      <c r="Q700" s="40"/>
    </row>
    <row r="701" spans="7:17">
      <c r="G701" s="40"/>
      <c r="H701" s="40"/>
      <c r="I701" s="40"/>
      <c r="J701" s="40"/>
      <c r="K701" s="40"/>
      <c r="L701" s="40"/>
      <c r="M701" s="40"/>
      <c r="N701" s="40"/>
      <c r="O701" s="40"/>
      <c r="P701" s="40"/>
      <c r="Q701" s="40"/>
    </row>
    <row r="702" spans="7:17">
      <c r="G702" s="40"/>
      <c r="H702" s="40"/>
      <c r="I702" s="40"/>
      <c r="J702" s="40"/>
      <c r="K702" s="40"/>
      <c r="L702" s="40"/>
      <c r="M702" s="40"/>
      <c r="N702" s="40"/>
      <c r="O702" s="40"/>
      <c r="P702" s="40"/>
      <c r="Q702" s="40"/>
    </row>
    <row r="703" spans="7:17">
      <c r="G703" s="40"/>
      <c r="H703" s="40"/>
      <c r="I703" s="40"/>
      <c r="J703" s="40"/>
      <c r="K703" s="40"/>
      <c r="L703" s="40"/>
      <c r="M703" s="40"/>
      <c r="N703" s="40"/>
      <c r="O703" s="40"/>
      <c r="P703" s="40"/>
      <c r="Q703" s="40"/>
    </row>
    <row r="704" spans="7:17">
      <c r="G704" s="40"/>
      <c r="H704" s="40"/>
      <c r="I704" s="40"/>
      <c r="J704" s="40"/>
      <c r="K704" s="40"/>
      <c r="L704" s="40"/>
      <c r="M704" s="40"/>
      <c r="N704" s="40"/>
      <c r="O704" s="40"/>
      <c r="P704" s="40"/>
      <c r="Q704" s="40"/>
    </row>
    <row r="705" spans="7:17">
      <c r="G705" s="40"/>
      <c r="H705" s="40"/>
      <c r="I705" s="40"/>
      <c r="J705" s="40"/>
      <c r="K705" s="40"/>
      <c r="L705" s="40"/>
      <c r="M705" s="40"/>
      <c r="N705" s="40"/>
      <c r="O705" s="40"/>
      <c r="P705" s="40"/>
      <c r="Q705" s="40"/>
    </row>
    <row r="706" spans="7:17">
      <c r="G706" s="40"/>
      <c r="H706" s="40"/>
      <c r="I706" s="40"/>
      <c r="J706" s="40"/>
      <c r="K706" s="40"/>
      <c r="L706" s="40"/>
      <c r="M706" s="40"/>
      <c r="N706" s="40"/>
      <c r="O706" s="40"/>
      <c r="P706" s="40"/>
      <c r="Q706" s="40"/>
    </row>
    <row r="707" spans="7:17">
      <c r="G707" s="40"/>
      <c r="H707" s="40"/>
      <c r="I707" s="40"/>
      <c r="J707" s="40"/>
      <c r="K707" s="40"/>
      <c r="L707" s="40"/>
      <c r="M707" s="40"/>
      <c r="N707" s="40"/>
      <c r="O707" s="40"/>
      <c r="P707" s="40"/>
      <c r="Q707" s="40"/>
    </row>
    <row r="708" spans="7:17">
      <c r="G708" s="40"/>
      <c r="H708" s="40"/>
      <c r="I708" s="40"/>
      <c r="J708" s="40"/>
      <c r="K708" s="40"/>
      <c r="L708" s="40"/>
      <c r="M708" s="40"/>
      <c r="N708" s="40"/>
      <c r="O708" s="40"/>
      <c r="P708" s="40"/>
      <c r="Q708" s="40"/>
    </row>
    <row r="709" spans="7:17">
      <c r="G709" s="40"/>
      <c r="H709" s="40"/>
      <c r="I709" s="40"/>
      <c r="J709" s="40"/>
      <c r="K709" s="40"/>
      <c r="L709" s="40"/>
      <c r="M709" s="40"/>
      <c r="N709" s="40"/>
      <c r="O709" s="40"/>
      <c r="P709" s="40"/>
      <c r="Q709" s="40"/>
    </row>
    <row r="710" spans="7:17">
      <c r="G710" s="40"/>
      <c r="H710" s="40"/>
      <c r="I710" s="40"/>
      <c r="J710" s="40"/>
      <c r="K710" s="40"/>
      <c r="L710" s="40"/>
      <c r="M710" s="40"/>
      <c r="N710" s="40"/>
      <c r="O710" s="40"/>
      <c r="P710" s="40"/>
      <c r="Q710" s="40"/>
    </row>
    <row r="711" spans="7:17">
      <c r="G711" s="40"/>
      <c r="H711" s="40"/>
      <c r="I711" s="40"/>
      <c r="J711" s="40"/>
      <c r="K711" s="40"/>
      <c r="L711" s="40"/>
      <c r="M711" s="40"/>
      <c r="N711" s="40"/>
      <c r="O711" s="40"/>
      <c r="P711" s="40"/>
      <c r="Q711" s="40"/>
    </row>
    <row r="712" spans="7:17">
      <c r="G712" s="40"/>
      <c r="H712" s="40"/>
      <c r="I712" s="40"/>
      <c r="J712" s="40"/>
      <c r="K712" s="40"/>
      <c r="L712" s="40"/>
      <c r="M712" s="40"/>
      <c r="N712" s="40"/>
      <c r="O712" s="40"/>
      <c r="P712" s="40"/>
      <c r="Q712" s="40"/>
    </row>
    <row r="713" spans="7:17">
      <c r="G713" s="40"/>
      <c r="H713" s="40"/>
      <c r="I713" s="40"/>
      <c r="J713" s="40"/>
      <c r="K713" s="40"/>
      <c r="L713" s="40"/>
      <c r="M713" s="40"/>
      <c r="N713" s="40"/>
      <c r="O713" s="40"/>
      <c r="P713" s="40"/>
      <c r="Q713" s="40"/>
    </row>
    <row r="714" spans="7:17">
      <c r="G714" s="40"/>
      <c r="H714" s="40"/>
      <c r="I714" s="40"/>
      <c r="J714" s="40"/>
      <c r="K714" s="40"/>
      <c r="L714" s="40"/>
      <c r="M714" s="40"/>
      <c r="N714" s="40"/>
      <c r="O714" s="40"/>
      <c r="P714" s="40"/>
      <c r="Q714" s="40"/>
    </row>
    <row r="715" spans="7:17">
      <c r="G715" s="40"/>
      <c r="H715" s="40"/>
      <c r="I715" s="40"/>
      <c r="J715" s="40"/>
      <c r="K715" s="40"/>
      <c r="L715" s="40"/>
      <c r="M715" s="40"/>
      <c r="N715" s="40"/>
      <c r="O715" s="40"/>
      <c r="P715" s="40"/>
      <c r="Q715" s="40"/>
    </row>
    <row r="716" spans="7:17">
      <c r="G716" s="40"/>
      <c r="H716" s="40"/>
      <c r="I716" s="40"/>
      <c r="J716" s="40"/>
      <c r="K716" s="40"/>
      <c r="L716" s="40"/>
      <c r="M716" s="40"/>
      <c r="N716" s="40"/>
      <c r="O716" s="40"/>
      <c r="P716" s="40"/>
      <c r="Q716" s="40"/>
    </row>
    <row r="717" spans="7:17">
      <c r="G717" s="40"/>
      <c r="H717" s="40"/>
      <c r="I717" s="40"/>
      <c r="J717" s="40"/>
      <c r="K717" s="40"/>
      <c r="L717" s="40"/>
      <c r="M717" s="40"/>
      <c r="N717" s="40"/>
      <c r="O717" s="40"/>
      <c r="P717" s="40"/>
      <c r="Q717" s="40"/>
    </row>
    <row r="718" spans="7:17">
      <c r="G718" s="40"/>
      <c r="H718" s="40"/>
      <c r="I718" s="40"/>
      <c r="J718" s="40"/>
      <c r="K718" s="40"/>
      <c r="L718" s="40"/>
      <c r="M718" s="40"/>
      <c r="N718" s="40"/>
      <c r="O718" s="40"/>
      <c r="P718" s="40"/>
      <c r="Q718" s="40"/>
    </row>
    <row r="719" spans="7:17">
      <c r="G719" s="40"/>
      <c r="H719" s="40"/>
      <c r="I719" s="40"/>
      <c r="J719" s="40"/>
      <c r="K719" s="40"/>
      <c r="L719" s="40"/>
      <c r="M719" s="40"/>
      <c r="N719" s="40"/>
      <c r="O719" s="40"/>
      <c r="P719" s="40"/>
      <c r="Q719" s="40"/>
    </row>
    <row r="720" spans="7:17">
      <c r="G720" s="40"/>
      <c r="H720" s="40"/>
      <c r="I720" s="40"/>
      <c r="J720" s="40"/>
      <c r="K720" s="40"/>
      <c r="L720" s="40"/>
      <c r="M720" s="40"/>
      <c r="N720" s="40"/>
      <c r="O720" s="40"/>
      <c r="P720" s="40"/>
      <c r="Q720" s="40"/>
    </row>
    <row r="721" spans="7:17">
      <c r="G721" s="40"/>
      <c r="H721" s="40"/>
      <c r="I721" s="40"/>
      <c r="J721" s="40"/>
      <c r="K721" s="40"/>
      <c r="L721" s="40"/>
      <c r="M721" s="40"/>
      <c r="N721" s="40"/>
      <c r="O721" s="40"/>
      <c r="P721" s="40"/>
      <c r="Q721" s="40"/>
    </row>
    <row r="722" spans="7:17">
      <c r="G722" s="40"/>
      <c r="H722" s="40"/>
      <c r="I722" s="40"/>
      <c r="J722" s="40"/>
      <c r="K722" s="40"/>
      <c r="L722" s="40"/>
      <c r="M722" s="40"/>
      <c r="N722" s="40"/>
      <c r="O722" s="40"/>
      <c r="P722" s="40"/>
      <c r="Q722" s="40"/>
    </row>
    <row r="723" spans="7:17">
      <c r="G723" s="40"/>
      <c r="H723" s="40"/>
      <c r="I723" s="40"/>
      <c r="J723" s="40"/>
      <c r="K723" s="40"/>
      <c r="L723" s="40"/>
      <c r="M723" s="40"/>
      <c r="N723" s="40"/>
      <c r="O723" s="40"/>
      <c r="P723" s="40"/>
      <c r="Q723" s="40"/>
    </row>
    <row r="724" spans="7:17">
      <c r="G724" s="40"/>
      <c r="H724" s="40"/>
      <c r="I724" s="40"/>
      <c r="J724" s="40"/>
      <c r="K724" s="40"/>
      <c r="L724" s="40"/>
      <c r="M724" s="40"/>
      <c r="N724" s="40"/>
      <c r="O724" s="40"/>
      <c r="P724" s="40"/>
      <c r="Q724" s="40"/>
    </row>
    <row r="725" spans="7:17">
      <c r="G725" s="40"/>
      <c r="H725" s="40"/>
      <c r="I725" s="40"/>
      <c r="J725" s="40"/>
      <c r="K725" s="40"/>
      <c r="L725" s="40"/>
      <c r="M725" s="40"/>
      <c r="N725" s="40"/>
      <c r="O725" s="40"/>
      <c r="P725" s="40"/>
      <c r="Q725" s="40"/>
    </row>
    <row r="726" spans="7:17">
      <c r="G726" s="40"/>
      <c r="H726" s="40"/>
      <c r="I726" s="40"/>
      <c r="J726" s="40"/>
      <c r="K726" s="40"/>
      <c r="L726" s="40"/>
      <c r="M726" s="40"/>
      <c r="N726" s="40"/>
      <c r="O726" s="40"/>
      <c r="P726" s="40"/>
      <c r="Q726" s="40"/>
    </row>
    <row r="727" spans="7:17">
      <c r="G727" s="40"/>
      <c r="H727" s="40"/>
      <c r="I727" s="40"/>
      <c r="J727" s="40"/>
      <c r="K727" s="40"/>
      <c r="L727" s="40"/>
      <c r="M727" s="40"/>
      <c r="N727" s="40"/>
      <c r="O727" s="40"/>
      <c r="P727" s="40"/>
      <c r="Q727" s="40"/>
    </row>
    <row r="728" spans="7:17">
      <c r="G728" s="40"/>
      <c r="H728" s="40"/>
      <c r="I728" s="40"/>
      <c r="J728" s="40"/>
      <c r="K728" s="40"/>
      <c r="L728" s="40"/>
      <c r="M728" s="40"/>
      <c r="N728" s="40"/>
      <c r="O728" s="40"/>
      <c r="P728" s="40"/>
      <c r="Q728" s="40"/>
    </row>
    <row r="729" spans="7:17">
      <c r="G729" s="40"/>
      <c r="H729" s="40"/>
      <c r="I729" s="40"/>
      <c r="J729" s="40"/>
      <c r="K729" s="40"/>
      <c r="L729" s="40"/>
      <c r="M729" s="40"/>
      <c r="N729" s="40"/>
      <c r="O729" s="40"/>
      <c r="P729" s="40"/>
      <c r="Q729" s="40"/>
    </row>
    <row r="730" spans="7:17">
      <c r="G730" s="40"/>
      <c r="H730" s="40"/>
      <c r="I730" s="40"/>
      <c r="J730" s="40"/>
      <c r="K730" s="40"/>
      <c r="L730" s="40"/>
      <c r="M730" s="40"/>
      <c r="N730" s="40"/>
      <c r="O730" s="40"/>
      <c r="P730" s="40"/>
      <c r="Q730" s="40"/>
    </row>
    <row r="731" spans="7:17">
      <c r="G731" s="40"/>
      <c r="H731" s="40"/>
      <c r="I731" s="40"/>
      <c r="J731" s="40"/>
      <c r="K731" s="40"/>
      <c r="L731" s="40"/>
      <c r="M731" s="40"/>
      <c r="N731" s="40"/>
      <c r="O731" s="40"/>
      <c r="P731" s="40"/>
      <c r="Q731" s="40"/>
    </row>
    <row r="732" spans="7:17">
      <c r="G732" s="40"/>
      <c r="H732" s="40"/>
      <c r="I732" s="40"/>
      <c r="J732" s="40"/>
      <c r="K732" s="40"/>
      <c r="L732" s="40"/>
      <c r="M732" s="40"/>
      <c r="N732" s="40"/>
      <c r="O732" s="40"/>
      <c r="P732" s="40"/>
      <c r="Q732" s="40"/>
    </row>
    <row r="733" spans="7:17">
      <c r="G733" s="40"/>
      <c r="H733" s="40"/>
      <c r="I733" s="40"/>
      <c r="J733" s="40"/>
      <c r="K733" s="40"/>
      <c r="L733" s="40"/>
      <c r="M733" s="40"/>
      <c r="N733" s="40"/>
      <c r="O733" s="40"/>
      <c r="P733" s="40"/>
      <c r="Q733" s="40"/>
    </row>
    <row r="734" spans="7:17">
      <c r="G734" s="40"/>
      <c r="H734" s="40"/>
      <c r="I734" s="40"/>
      <c r="J734" s="40"/>
      <c r="K734" s="40"/>
      <c r="L734" s="40"/>
      <c r="M734" s="40"/>
      <c r="N734" s="40"/>
      <c r="O734" s="40"/>
      <c r="P734" s="40"/>
      <c r="Q734" s="40"/>
    </row>
    <row r="735" spans="7:17">
      <c r="G735" s="40"/>
      <c r="H735" s="40"/>
      <c r="I735" s="40"/>
      <c r="J735" s="40"/>
      <c r="K735" s="40"/>
      <c r="L735" s="40"/>
      <c r="M735" s="40"/>
      <c r="N735" s="40"/>
      <c r="O735" s="40"/>
      <c r="P735" s="40"/>
      <c r="Q735" s="40"/>
    </row>
    <row r="736" spans="7:17">
      <c r="G736" s="40"/>
      <c r="H736" s="40"/>
      <c r="I736" s="40"/>
      <c r="J736" s="40"/>
      <c r="K736" s="40"/>
      <c r="L736" s="40"/>
      <c r="M736" s="40"/>
      <c r="N736" s="40"/>
      <c r="O736" s="40"/>
      <c r="P736" s="40"/>
      <c r="Q736" s="40"/>
    </row>
    <row r="737" spans="7:17">
      <c r="G737" s="40"/>
      <c r="H737" s="40"/>
      <c r="I737" s="40"/>
      <c r="J737" s="40"/>
      <c r="K737" s="40"/>
      <c r="L737" s="40"/>
      <c r="M737" s="40"/>
      <c r="N737" s="40"/>
      <c r="O737" s="40"/>
      <c r="P737" s="40"/>
      <c r="Q737" s="40"/>
    </row>
    <row r="738" spans="7:17">
      <c r="G738" s="40"/>
      <c r="H738" s="40"/>
      <c r="I738" s="40"/>
      <c r="J738" s="40"/>
      <c r="K738" s="40"/>
      <c r="L738" s="40"/>
      <c r="M738" s="40"/>
      <c r="N738" s="40"/>
      <c r="O738" s="40"/>
      <c r="P738" s="40"/>
      <c r="Q738" s="40"/>
    </row>
    <row r="739" spans="7:17">
      <c r="G739" s="40"/>
      <c r="H739" s="40"/>
      <c r="I739" s="40"/>
      <c r="J739" s="40"/>
      <c r="K739" s="40"/>
      <c r="L739" s="40"/>
      <c r="M739" s="40"/>
      <c r="N739" s="40"/>
      <c r="O739" s="40"/>
      <c r="P739" s="40"/>
      <c r="Q739" s="40"/>
    </row>
    <row r="740" spans="7:17">
      <c r="G740" s="40"/>
      <c r="H740" s="40"/>
      <c r="I740" s="40"/>
      <c r="J740" s="40"/>
      <c r="K740" s="40"/>
      <c r="L740" s="40"/>
      <c r="M740" s="40"/>
      <c r="N740" s="40"/>
      <c r="O740" s="40"/>
      <c r="P740" s="40"/>
      <c r="Q740" s="40"/>
    </row>
    <row r="741" spans="7:17">
      <c r="G741" s="40"/>
      <c r="H741" s="40"/>
      <c r="I741" s="40"/>
      <c r="J741" s="40"/>
      <c r="K741" s="40"/>
      <c r="L741" s="40"/>
      <c r="M741" s="40"/>
      <c r="N741" s="40"/>
      <c r="O741" s="40"/>
      <c r="P741" s="40"/>
      <c r="Q741" s="40"/>
    </row>
    <row r="742" spans="7:17">
      <c r="G742" s="40"/>
      <c r="H742" s="40"/>
      <c r="I742" s="40"/>
      <c r="J742" s="40"/>
      <c r="K742" s="40"/>
      <c r="L742" s="40"/>
      <c r="M742" s="40"/>
      <c r="N742" s="40"/>
      <c r="O742" s="40"/>
      <c r="P742" s="40"/>
      <c r="Q742" s="40"/>
    </row>
    <row r="743" spans="7:17">
      <c r="G743" s="40"/>
      <c r="H743" s="40"/>
      <c r="I743" s="40"/>
      <c r="J743" s="40"/>
      <c r="K743" s="40"/>
      <c r="L743" s="40"/>
      <c r="M743" s="40"/>
      <c r="N743" s="40"/>
      <c r="O743" s="40"/>
      <c r="P743" s="40"/>
      <c r="Q743" s="40"/>
    </row>
    <row r="744" spans="7:17">
      <c r="G744" s="40"/>
      <c r="H744" s="40"/>
      <c r="I744" s="40"/>
      <c r="J744" s="40"/>
      <c r="K744" s="40"/>
      <c r="L744" s="40"/>
      <c r="M744" s="40"/>
      <c r="N744" s="40"/>
      <c r="O744" s="40"/>
      <c r="P744" s="40"/>
      <c r="Q744" s="40"/>
    </row>
    <row r="745" spans="7:17">
      <c r="G745" s="40"/>
      <c r="H745" s="40"/>
      <c r="I745" s="40"/>
      <c r="J745" s="40"/>
      <c r="K745" s="40"/>
      <c r="L745" s="40"/>
      <c r="M745" s="40"/>
      <c r="N745" s="40"/>
      <c r="O745" s="40"/>
      <c r="P745" s="40"/>
      <c r="Q745" s="40"/>
    </row>
    <row r="746" spans="7:17">
      <c r="G746" s="40"/>
      <c r="H746" s="40"/>
      <c r="I746" s="40"/>
      <c r="J746" s="40"/>
      <c r="K746" s="40"/>
      <c r="L746" s="40"/>
      <c r="M746" s="40"/>
      <c r="N746" s="40"/>
      <c r="O746" s="40"/>
      <c r="P746" s="40"/>
      <c r="Q746" s="40"/>
    </row>
    <row r="747" spans="7:17">
      <c r="G747" s="40"/>
      <c r="H747" s="40"/>
      <c r="I747" s="40"/>
      <c r="J747" s="40"/>
      <c r="K747" s="40"/>
      <c r="L747" s="40"/>
      <c r="M747" s="40"/>
      <c r="N747" s="40"/>
      <c r="O747" s="40"/>
      <c r="P747" s="40"/>
      <c r="Q747" s="40"/>
    </row>
    <row r="748" spans="7:17">
      <c r="G748" s="40"/>
      <c r="H748" s="40"/>
      <c r="I748" s="40"/>
      <c r="J748" s="40"/>
      <c r="K748" s="40"/>
      <c r="L748" s="40"/>
      <c r="M748" s="40"/>
      <c r="N748" s="40"/>
      <c r="O748" s="40"/>
      <c r="P748" s="40"/>
      <c r="Q748" s="40"/>
    </row>
    <row r="749" spans="7:17">
      <c r="G749" s="40"/>
      <c r="H749" s="40"/>
      <c r="I749" s="40"/>
      <c r="J749" s="40"/>
      <c r="K749" s="40"/>
      <c r="L749" s="40"/>
      <c r="M749" s="40"/>
      <c r="N749" s="40"/>
      <c r="O749" s="40"/>
      <c r="P749" s="40"/>
      <c r="Q749" s="40"/>
    </row>
    <row r="750" spans="7:17">
      <c r="G750" s="40"/>
      <c r="H750" s="40"/>
      <c r="I750" s="40"/>
      <c r="J750" s="40"/>
      <c r="K750" s="40"/>
      <c r="L750" s="40"/>
      <c r="M750" s="40"/>
      <c r="N750" s="40"/>
      <c r="O750" s="40"/>
      <c r="P750" s="40"/>
      <c r="Q750" s="40"/>
    </row>
    <row r="751" spans="7:17">
      <c r="G751" s="40"/>
      <c r="H751" s="40"/>
      <c r="I751" s="40"/>
      <c r="J751" s="40"/>
      <c r="K751" s="40"/>
      <c r="L751" s="40"/>
      <c r="M751" s="40"/>
      <c r="N751" s="40"/>
      <c r="O751" s="40"/>
      <c r="P751" s="40"/>
      <c r="Q751" s="40"/>
    </row>
    <row r="752" spans="7:17">
      <c r="G752" s="40"/>
      <c r="H752" s="40"/>
      <c r="I752" s="40"/>
      <c r="J752" s="40"/>
      <c r="K752" s="40"/>
      <c r="L752" s="40"/>
      <c r="M752" s="40"/>
      <c r="N752" s="40"/>
      <c r="O752" s="40"/>
      <c r="P752" s="40"/>
      <c r="Q752" s="40"/>
    </row>
    <row r="753" spans="7:17">
      <c r="G753" s="40"/>
      <c r="H753" s="40"/>
      <c r="I753" s="40"/>
      <c r="J753" s="40"/>
      <c r="K753" s="40"/>
      <c r="L753" s="40"/>
      <c r="M753" s="40"/>
      <c r="N753" s="40"/>
      <c r="O753" s="40"/>
      <c r="P753" s="40"/>
      <c r="Q753" s="40"/>
    </row>
    <row r="754" spans="7:17">
      <c r="G754" s="40"/>
      <c r="H754" s="40"/>
      <c r="I754" s="40"/>
      <c r="J754" s="40"/>
      <c r="K754" s="40"/>
      <c r="L754" s="40"/>
      <c r="M754" s="40"/>
      <c r="N754" s="40"/>
      <c r="O754" s="40"/>
      <c r="P754" s="40"/>
      <c r="Q754" s="40"/>
    </row>
    <row r="755" spans="7:17">
      <c r="G755" s="40"/>
      <c r="H755" s="40"/>
      <c r="I755" s="40"/>
      <c r="J755" s="40"/>
      <c r="K755" s="40"/>
      <c r="L755" s="40"/>
      <c r="M755" s="40"/>
      <c r="N755" s="40"/>
      <c r="O755" s="40"/>
      <c r="P755" s="40"/>
      <c r="Q755" s="40"/>
    </row>
    <row r="756" spans="7:17">
      <c r="G756" s="40"/>
      <c r="H756" s="40"/>
      <c r="I756" s="40"/>
      <c r="J756" s="40"/>
      <c r="K756" s="40"/>
      <c r="L756" s="40"/>
      <c r="M756" s="40"/>
      <c r="N756" s="40"/>
      <c r="O756" s="40"/>
      <c r="P756" s="40"/>
      <c r="Q756" s="40"/>
    </row>
    <row r="757" spans="7:17">
      <c r="G757" s="40"/>
      <c r="H757" s="40"/>
      <c r="I757" s="40"/>
      <c r="J757" s="40"/>
      <c r="K757" s="40"/>
      <c r="L757" s="40"/>
      <c r="M757" s="40"/>
      <c r="N757" s="40"/>
      <c r="O757" s="40"/>
      <c r="P757" s="40"/>
      <c r="Q757" s="40"/>
    </row>
    <row r="758" spans="7:17">
      <c r="G758" s="40"/>
      <c r="H758" s="40"/>
      <c r="I758" s="40"/>
      <c r="J758" s="40"/>
      <c r="K758" s="40"/>
      <c r="L758" s="40"/>
      <c r="M758" s="40"/>
      <c r="N758" s="40"/>
      <c r="O758" s="40"/>
      <c r="P758" s="40"/>
      <c r="Q758" s="40"/>
    </row>
    <row r="759" spans="7:17">
      <c r="G759" s="40"/>
      <c r="H759" s="40"/>
      <c r="I759" s="40"/>
      <c r="J759" s="40"/>
      <c r="K759" s="40"/>
      <c r="L759" s="40"/>
      <c r="M759" s="40"/>
      <c r="N759" s="40"/>
      <c r="O759" s="40"/>
      <c r="P759" s="40"/>
      <c r="Q759" s="40"/>
    </row>
    <row r="760" spans="7:17">
      <c r="G760" s="40"/>
      <c r="H760" s="40"/>
      <c r="I760" s="40"/>
      <c r="J760" s="40"/>
      <c r="K760" s="40"/>
      <c r="L760" s="40"/>
      <c r="M760" s="40"/>
      <c r="N760" s="40"/>
      <c r="O760" s="40"/>
      <c r="P760" s="40"/>
      <c r="Q760" s="40"/>
    </row>
    <row r="761" spans="7:17">
      <c r="G761" s="40"/>
      <c r="H761" s="40"/>
      <c r="I761" s="40"/>
      <c r="J761" s="40"/>
      <c r="K761" s="40"/>
      <c r="L761" s="40"/>
      <c r="M761" s="40"/>
      <c r="N761" s="40"/>
      <c r="O761" s="40"/>
      <c r="P761" s="40"/>
      <c r="Q761" s="40"/>
    </row>
    <row r="762" spans="7:17">
      <c r="G762" s="40"/>
      <c r="H762" s="40"/>
      <c r="I762" s="40"/>
      <c r="J762" s="40"/>
      <c r="K762" s="40"/>
      <c r="L762" s="40"/>
      <c r="M762" s="40"/>
      <c r="N762" s="40"/>
      <c r="O762" s="40"/>
      <c r="P762" s="40"/>
      <c r="Q762" s="40"/>
    </row>
    <row r="763" spans="7:17">
      <c r="G763" s="40"/>
      <c r="H763" s="40"/>
      <c r="I763" s="40"/>
      <c r="J763" s="40"/>
      <c r="K763" s="40"/>
      <c r="L763" s="40"/>
      <c r="M763" s="40"/>
      <c r="N763" s="40"/>
      <c r="O763" s="40"/>
      <c r="P763" s="40"/>
      <c r="Q763" s="40"/>
    </row>
    <row r="764" spans="7:17">
      <c r="G764" s="40"/>
      <c r="H764" s="40"/>
      <c r="I764" s="40"/>
      <c r="J764" s="40"/>
      <c r="K764" s="40"/>
      <c r="L764" s="40"/>
      <c r="M764" s="40"/>
      <c r="N764" s="40"/>
      <c r="O764" s="40"/>
      <c r="P764" s="40"/>
      <c r="Q764" s="40"/>
    </row>
    <row r="765" spans="7:17">
      <c r="G765" s="40"/>
      <c r="H765" s="40"/>
      <c r="I765" s="40"/>
      <c r="J765" s="40"/>
      <c r="K765" s="40"/>
      <c r="L765" s="40"/>
      <c r="M765" s="40"/>
      <c r="N765" s="40"/>
      <c r="O765" s="40"/>
      <c r="P765" s="40"/>
      <c r="Q765" s="40"/>
    </row>
    <row r="766" spans="7:17">
      <c r="G766" s="40"/>
      <c r="H766" s="40"/>
      <c r="I766" s="40"/>
      <c r="J766" s="40"/>
      <c r="K766" s="40"/>
      <c r="L766" s="40"/>
      <c r="M766" s="40"/>
      <c r="N766" s="40"/>
      <c r="O766" s="40"/>
      <c r="P766" s="40"/>
      <c r="Q766" s="40"/>
    </row>
    <row r="767" spans="7:17">
      <c r="G767" s="40"/>
      <c r="H767" s="40"/>
      <c r="I767" s="40"/>
      <c r="J767" s="40"/>
      <c r="K767" s="40"/>
      <c r="L767" s="40"/>
      <c r="M767" s="40"/>
      <c r="N767" s="40"/>
      <c r="O767" s="40"/>
      <c r="P767" s="40"/>
      <c r="Q767" s="40"/>
    </row>
    <row r="768" spans="7:17">
      <c r="G768" s="40"/>
      <c r="H768" s="40"/>
      <c r="I768" s="40"/>
      <c r="J768" s="40"/>
      <c r="K768" s="40"/>
      <c r="L768" s="40"/>
      <c r="M768" s="40"/>
      <c r="N768" s="40"/>
      <c r="O768" s="40"/>
      <c r="P768" s="40"/>
      <c r="Q768" s="40"/>
    </row>
    <row r="769" spans="7:17">
      <c r="G769" s="40"/>
      <c r="H769" s="40"/>
      <c r="I769" s="40"/>
      <c r="J769" s="40"/>
      <c r="K769" s="40"/>
      <c r="L769" s="40"/>
      <c r="M769" s="40"/>
      <c r="N769" s="40"/>
      <c r="O769" s="40"/>
      <c r="P769" s="40"/>
      <c r="Q769" s="40"/>
    </row>
    <row r="770" spans="7:17">
      <c r="G770" s="40"/>
      <c r="H770" s="40"/>
      <c r="I770" s="40"/>
      <c r="J770" s="40"/>
      <c r="K770" s="40"/>
      <c r="L770" s="40"/>
      <c r="M770" s="40"/>
      <c r="N770" s="40"/>
      <c r="O770" s="40"/>
      <c r="P770" s="40"/>
      <c r="Q770" s="40"/>
    </row>
    <row r="771" spans="7:17">
      <c r="G771" s="40"/>
      <c r="H771" s="40"/>
      <c r="I771" s="40"/>
      <c r="J771" s="40"/>
      <c r="K771" s="40"/>
      <c r="L771" s="40"/>
      <c r="M771" s="40"/>
      <c r="N771" s="40"/>
      <c r="O771" s="40"/>
      <c r="P771" s="40"/>
      <c r="Q771" s="40"/>
    </row>
    <row r="772" spans="7:17">
      <c r="G772" s="40"/>
      <c r="H772" s="40"/>
      <c r="I772" s="40"/>
      <c r="J772" s="40"/>
      <c r="K772" s="40"/>
      <c r="L772" s="40"/>
      <c r="M772" s="40"/>
      <c r="N772" s="40"/>
      <c r="O772" s="40"/>
      <c r="P772" s="40"/>
      <c r="Q772" s="40"/>
    </row>
    <row r="773" spans="7:17">
      <c r="G773" s="40"/>
      <c r="H773" s="40"/>
      <c r="I773" s="40"/>
      <c r="J773" s="40"/>
      <c r="K773" s="40"/>
      <c r="L773" s="40"/>
      <c r="M773" s="40"/>
      <c r="N773" s="40"/>
      <c r="O773" s="40"/>
      <c r="P773" s="40"/>
      <c r="Q773" s="40"/>
    </row>
    <row r="774" spans="7:17">
      <c r="G774" s="40"/>
      <c r="H774" s="40"/>
      <c r="I774" s="40"/>
      <c r="J774" s="40"/>
      <c r="K774" s="40"/>
      <c r="L774" s="40"/>
      <c r="M774" s="40"/>
      <c r="N774" s="40"/>
      <c r="O774" s="40"/>
      <c r="P774" s="40"/>
      <c r="Q774" s="40"/>
    </row>
    <row r="775" spans="7:17">
      <c r="G775" s="40"/>
      <c r="H775" s="40"/>
      <c r="I775" s="40"/>
      <c r="J775" s="40"/>
      <c r="K775" s="40"/>
      <c r="L775" s="40"/>
      <c r="M775" s="40"/>
      <c r="N775" s="40"/>
      <c r="O775" s="40"/>
      <c r="P775" s="40"/>
      <c r="Q775" s="40"/>
    </row>
    <row r="776" spans="7:17">
      <c r="G776" s="40"/>
      <c r="H776" s="40"/>
      <c r="I776" s="40"/>
      <c r="J776" s="40"/>
      <c r="K776" s="40"/>
      <c r="L776" s="40"/>
      <c r="M776" s="40"/>
      <c r="N776" s="40"/>
      <c r="O776" s="40"/>
      <c r="P776" s="40"/>
      <c r="Q776" s="40"/>
    </row>
    <row r="777" spans="7:17">
      <c r="G777" s="40"/>
      <c r="H777" s="40"/>
      <c r="I777" s="40"/>
      <c r="J777" s="40"/>
      <c r="K777" s="40"/>
      <c r="L777" s="40"/>
      <c r="M777" s="40"/>
      <c r="N777" s="40"/>
      <c r="O777" s="40"/>
      <c r="P777" s="40"/>
      <c r="Q777" s="40"/>
    </row>
    <row r="778" spans="7:17">
      <c r="G778" s="40"/>
      <c r="H778" s="40"/>
      <c r="I778" s="40"/>
      <c r="J778" s="40"/>
      <c r="K778" s="40"/>
      <c r="L778" s="40"/>
      <c r="M778" s="40"/>
      <c r="N778" s="40"/>
      <c r="O778" s="40"/>
      <c r="P778" s="40"/>
      <c r="Q778" s="40"/>
    </row>
    <row r="779" spans="7:17">
      <c r="G779" s="40"/>
      <c r="H779" s="40"/>
      <c r="I779" s="40"/>
      <c r="J779" s="40"/>
      <c r="K779" s="40"/>
      <c r="L779" s="40"/>
      <c r="M779" s="40"/>
      <c r="N779" s="40"/>
      <c r="O779" s="40"/>
      <c r="P779" s="40"/>
      <c r="Q779" s="40"/>
    </row>
    <row r="780" spans="7:17">
      <c r="G780" s="40"/>
      <c r="H780" s="40"/>
      <c r="I780" s="40"/>
      <c r="J780" s="40"/>
      <c r="K780" s="40"/>
      <c r="L780" s="40"/>
      <c r="M780" s="40"/>
      <c r="N780" s="40"/>
      <c r="O780" s="40"/>
      <c r="P780" s="40"/>
      <c r="Q780" s="40"/>
    </row>
    <row r="781" spans="7:17">
      <c r="G781" s="40"/>
      <c r="H781" s="40"/>
      <c r="I781" s="40"/>
      <c r="J781" s="40"/>
      <c r="K781" s="40"/>
      <c r="L781" s="40"/>
      <c r="M781" s="40"/>
      <c r="N781" s="40"/>
      <c r="O781" s="40"/>
      <c r="P781" s="40"/>
      <c r="Q781" s="40"/>
    </row>
    <row r="782" spans="7:17">
      <c r="G782" s="40"/>
      <c r="H782" s="40"/>
      <c r="I782" s="40"/>
      <c r="J782" s="40"/>
      <c r="K782" s="40"/>
      <c r="L782" s="40"/>
      <c r="M782" s="40"/>
      <c r="N782" s="40"/>
      <c r="O782" s="40"/>
      <c r="P782" s="40"/>
      <c r="Q782" s="40"/>
    </row>
    <row r="783" spans="7:17">
      <c r="G783" s="40"/>
      <c r="H783" s="40"/>
      <c r="I783" s="40"/>
      <c r="J783" s="40"/>
      <c r="K783" s="40"/>
      <c r="L783" s="40"/>
      <c r="M783" s="40"/>
      <c r="N783" s="40"/>
      <c r="O783" s="40"/>
      <c r="P783" s="40"/>
      <c r="Q783" s="40"/>
    </row>
    <row r="784" spans="7:17">
      <c r="G784" s="40"/>
      <c r="H784" s="40"/>
      <c r="I784" s="40"/>
      <c r="J784" s="40"/>
      <c r="K784" s="40"/>
      <c r="L784" s="40"/>
      <c r="M784" s="40"/>
      <c r="N784" s="40"/>
      <c r="O784" s="40"/>
      <c r="P784" s="40"/>
      <c r="Q784" s="40"/>
    </row>
    <row r="785" spans="7:17">
      <c r="G785" s="40"/>
      <c r="H785" s="40"/>
      <c r="I785" s="40"/>
      <c r="J785" s="40"/>
      <c r="K785" s="40"/>
      <c r="L785" s="40"/>
      <c r="M785" s="40"/>
      <c r="N785" s="40"/>
      <c r="O785" s="40"/>
      <c r="P785" s="40"/>
      <c r="Q785" s="40"/>
    </row>
    <row r="786" spans="7:17">
      <c r="G786" s="40"/>
      <c r="H786" s="40"/>
      <c r="I786" s="40"/>
      <c r="J786" s="40"/>
      <c r="K786" s="40"/>
      <c r="L786" s="40"/>
      <c r="M786" s="40"/>
      <c r="N786" s="40"/>
      <c r="O786" s="40"/>
      <c r="P786" s="40"/>
      <c r="Q786" s="40"/>
    </row>
    <row r="787" spans="7:17">
      <c r="G787" s="40"/>
      <c r="H787" s="40"/>
      <c r="I787" s="40"/>
      <c r="J787" s="40"/>
      <c r="K787" s="40"/>
      <c r="L787" s="40"/>
      <c r="M787" s="40"/>
      <c r="N787" s="40"/>
      <c r="O787" s="40"/>
      <c r="P787" s="40"/>
      <c r="Q787" s="40"/>
    </row>
    <row r="788" spans="7:17">
      <c r="G788" s="40"/>
      <c r="H788" s="40"/>
      <c r="I788" s="40"/>
      <c r="J788" s="40"/>
      <c r="K788" s="40"/>
      <c r="L788" s="40"/>
      <c r="M788" s="40"/>
      <c r="N788" s="40"/>
      <c r="O788" s="40"/>
      <c r="P788" s="40"/>
      <c r="Q788" s="40"/>
    </row>
    <row r="789" spans="7:17">
      <c r="G789" s="40"/>
      <c r="H789" s="40"/>
      <c r="I789" s="40"/>
      <c r="J789" s="40"/>
      <c r="K789" s="40"/>
      <c r="L789" s="40"/>
      <c r="M789" s="40"/>
      <c r="N789" s="40"/>
      <c r="O789" s="40"/>
      <c r="P789" s="40"/>
      <c r="Q789" s="40"/>
    </row>
    <row r="790" spans="7:17">
      <c r="G790" s="40"/>
      <c r="H790" s="40"/>
      <c r="I790" s="40"/>
      <c r="J790" s="40"/>
      <c r="K790" s="40"/>
      <c r="L790" s="40"/>
      <c r="M790" s="40"/>
      <c r="N790" s="40"/>
      <c r="O790" s="40"/>
      <c r="P790" s="40"/>
      <c r="Q790" s="40"/>
    </row>
    <row r="791" spans="7:17">
      <c r="G791" s="40"/>
      <c r="H791" s="40"/>
      <c r="I791" s="40"/>
      <c r="J791" s="40"/>
      <c r="K791" s="40"/>
      <c r="L791" s="40"/>
      <c r="M791" s="40"/>
      <c r="N791" s="40"/>
      <c r="O791" s="40"/>
      <c r="P791" s="40"/>
      <c r="Q791" s="40"/>
    </row>
    <row r="792" spans="7:17">
      <c r="G792" s="40"/>
      <c r="H792" s="40"/>
      <c r="I792" s="40"/>
      <c r="J792" s="40"/>
      <c r="K792" s="40"/>
      <c r="L792" s="40"/>
      <c r="M792" s="40"/>
      <c r="N792" s="40"/>
      <c r="O792" s="40"/>
      <c r="P792" s="40"/>
      <c r="Q792" s="40"/>
    </row>
    <row r="793" spans="7:17">
      <c r="G793" s="40"/>
      <c r="H793" s="40"/>
      <c r="I793" s="40"/>
      <c r="J793" s="40"/>
      <c r="K793" s="40"/>
      <c r="L793" s="40"/>
      <c r="M793" s="40"/>
      <c r="N793" s="40"/>
      <c r="O793" s="40"/>
      <c r="P793" s="40"/>
      <c r="Q793" s="40"/>
    </row>
    <row r="794" spans="7:17">
      <c r="G794" s="40"/>
      <c r="H794" s="40"/>
      <c r="I794" s="40"/>
      <c r="J794" s="40"/>
      <c r="K794" s="40"/>
      <c r="L794" s="40"/>
      <c r="M794" s="40"/>
      <c r="N794" s="40"/>
      <c r="O794" s="40"/>
      <c r="P794" s="40"/>
      <c r="Q794" s="40"/>
    </row>
    <row r="795" spans="7:17">
      <c r="G795" s="40"/>
      <c r="H795" s="40"/>
      <c r="I795" s="40"/>
      <c r="J795" s="40"/>
      <c r="K795" s="40"/>
      <c r="L795" s="40"/>
      <c r="M795" s="40"/>
      <c r="N795" s="40"/>
      <c r="O795" s="40"/>
      <c r="P795" s="40"/>
      <c r="Q795" s="40"/>
    </row>
    <row r="796" spans="7:17">
      <c r="G796" s="40"/>
      <c r="H796" s="40"/>
      <c r="I796" s="40"/>
      <c r="J796" s="40"/>
      <c r="K796" s="40"/>
      <c r="L796" s="40"/>
      <c r="M796" s="40"/>
      <c r="N796" s="40"/>
      <c r="O796" s="40"/>
      <c r="P796" s="40"/>
      <c r="Q796" s="40"/>
    </row>
    <row r="797" spans="7:17">
      <c r="G797" s="40"/>
      <c r="H797" s="40"/>
      <c r="I797" s="40"/>
      <c r="J797" s="40"/>
      <c r="K797" s="40"/>
      <c r="L797" s="40"/>
      <c r="M797" s="40"/>
      <c r="N797" s="40"/>
      <c r="O797" s="40"/>
      <c r="P797" s="40"/>
      <c r="Q797" s="40"/>
    </row>
    <row r="798" spans="7:17">
      <c r="G798" s="40"/>
      <c r="H798" s="40"/>
      <c r="I798" s="40"/>
      <c r="J798" s="40"/>
      <c r="K798" s="40"/>
      <c r="L798" s="40"/>
      <c r="M798" s="40"/>
      <c r="N798" s="40"/>
      <c r="O798" s="40"/>
      <c r="P798" s="40"/>
      <c r="Q798" s="40"/>
    </row>
    <row r="799" spans="7:17">
      <c r="G799" s="40"/>
      <c r="H799" s="40"/>
      <c r="I799" s="40"/>
      <c r="J799" s="40"/>
      <c r="K799" s="40"/>
      <c r="L799" s="40"/>
      <c r="M799" s="40"/>
      <c r="N799" s="40"/>
      <c r="O799" s="40"/>
      <c r="P799" s="40"/>
      <c r="Q799" s="40"/>
    </row>
    <row r="800" spans="7:17">
      <c r="G800" s="40"/>
      <c r="H800" s="40"/>
      <c r="I800" s="40"/>
      <c r="J800" s="40"/>
      <c r="K800" s="40"/>
      <c r="L800" s="40"/>
      <c r="M800" s="40"/>
      <c r="N800" s="40"/>
      <c r="O800" s="40"/>
      <c r="P800" s="40"/>
      <c r="Q800" s="40"/>
    </row>
    <row r="801" spans="7:17">
      <c r="G801" s="40"/>
      <c r="H801" s="40"/>
      <c r="I801" s="40"/>
      <c r="J801" s="40"/>
      <c r="K801" s="40"/>
      <c r="L801" s="40"/>
      <c r="M801" s="40"/>
      <c r="N801" s="40"/>
      <c r="O801" s="40"/>
      <c r="P801" s="40"/>
      <c r="Q801" s="40"/>
    </row>
    <row r="802" spans="7:17">
      <c r="G802" s="40"/>
      <c r="H802" s="40"/>
      <c r="I802" s="40"/>
      <c r="J802" s="40"/>
      <c r="K802" s="40"/>
      <c r="L802" s="40"/>
      <c r="M802" s="40"/>
      <c r="N802" s="40"/>
      <c r="O802" s="40"/>
      <c r="P802" s="40"/>
      <c r="Q802" s="40"/>
    </row>
    <row r="803" spans="7:17">
      <c r="G803" s="40"/>
      <c r="H803" s="40"/>
      <c r="I803" s="40"/>
      <c r="J803" s="40"/>
      <c r="K803" s="40"/>
      <c r="L803" s="40"/>
      <c r="M803" s="40"/>
      <c r="N803" s="40"/>
      <c r="O803" s="40"/>
      <c r="P803" s="40"/>
      <c r="Q803" s="40"/>
    </row>
    <row r="804" spans="7:17">
      <c r="G804" s="40"/>
      <c r="H804" s="40"/>
      <c r="I804" s="40"/>
      <c r="J804" s="40"/>
      <c r="K804" s="40"/>
      <c r="L804" s="40"/>
      <c r="M804" s="40"/>
      <c r="N804" s="40"/>
      <c r="O804" s="40"/>
      <c r="P804" s="40"/>
      <c r="Q804" s="40"/>
    </row>
    <row r="805" spans="7:17">
      <c r="G805" s="40"/>
      <c r="H805" s="40"/>
      <c r="I805" s="40"/>
      <c r="J805" s="40"/>
      <c r="K805" s="40"/>
      <c r="L805" s="40"/>
      <c r="M805" s="40"/>
      <c r="N805" s="40"/>
      <c r="O805" s="40"/>
      <c r="P805" s="40"/>
      <c r="Q805" s="40"/>
    </row>
    <row r="806" spans="7:17">
      <c r="G806" s="40"/>
      <c r="H806" s="40"/>
      <c r="I806" s="40"/>
      <c r="J806" s="40"/>
      <c r="K806" s="40"/>
      <c r="L806" s="40"/>
      <c r="M806" s="40"/>
      <c r="N806" s="40"/>
      <c r="O806" s="40"/>
      <c r="P806" s="40"/>
      <c r="Q806" s="40"/>
    </row>
    <row r="807" spans="7:17">
      <c r="G807" s="40"/>
      <c r="H807" s="40"/>
      <c r="I807" s="40"/>
      <c r="J807" s="40"/>
      <c r="K807" s="40"/>
      <c r="L807" s="40"/>
      <c r="M807" s="40"/>
      <c r="N807" s="40"/>
      <c r="O807" s="40"/>
      <c r="P807" s="40"/>
      <c r="Q807" s="40"/>
    </row>
    <row r="808" spans="7:17">
      <c r="G808" s="40"/>
      <c r="H808" s="40"/>
      <c r="I808" s="40"/>
      <c r="J808" s="40"/>
      <c r="K808" s="40"/>
      <c r="L808" s="40"/>
      <c r="M808" s="40"/>
      <c r="N808" s="40"/>
      <c r="O808" s="40"/>
      <c r="P808" s="40"/>
      <c r="Q808" s="40"/>
    </row>
    <row r="809" spans="7:17">
      <c r="G809" s="40"/>
      <c r="H809" s="40"/>
      <c r="I809" s="40"/>
      <c r="J809" s="40"/>
      <c r="K809" s="40"/>
      <c r="L809" s="40"/>
      <c r="M809" s="40"/>
      <c r="N809" s="40"/>
      <c r="O809" s="40"/>
      <c r="P809" s="40"/>
      <c r="Q809" s="40"/>
    </row>
    <row r="810" spans="7:17">
      <c r="G810" s="40"/>
      <c r="H810" s="40"/>
      <c r="I810" s="40"/>
      <c r="J810" s="40"/>
      <c r="K810" s="40"/>
      <c r="L810" s="40"/>
      <c r="M810" s="40"/>
      <c r="N810" s="40"/>
      <c r="O810" s="40"/>
      <c r="P810" s="40"/>
      <c r="Q810" s="40"/>
    </row>
    <row r="811" spans="7:17">
      <c r="G811" s="40"/>
      <c r="H811" s="40"/>
      <c r="I811" s="40"/>
      <c r="J811" s="40"/>
      <c r="K811" s="40"/>
      <c r="L811" s="40"/>
      <c r="M811" s="40"/>
      <c r="N811" s="40"/>
      <c r="O811" s="40"/>
      <c r="P811" s="40"/>
      <c r="Q811" s="40"/>
    </row>
    <row r="812" spans="7:17">
      <c r="G812" s="40"/>
      <c r="H812" s="40"/>
      <c r="I812" s="40"/>
      <c r="J812" s="40"/>
      <c r="K812" s="40"/>
      <c r="L812" s="40"/>
      <c r="M812" s="40"/>
      <c r="N812" s="40"/>
      <c r="O812" s="40"/>
      <c r="P812" s="40"/>
      <c r="Q812" s="40"/>
    </row>
    <row r="813" spans="7:17">
      <c r="G813" s="40"/>
      <c r="H813" s="40"/>
      <c r="I813" s="40"/>
      <c r="J813" s="40"/>
      <c r="K813" s="40"/>
      <c r="L813" s="40"/>
      <c r="M813" s="40"/>
      <c r="N813" s="40"/>
      <c r="O813" s="40"/>
      <c r="P813" s="40"/>
      <c r="Q813" s="40"/>
    </row>
    <row r="814" spans="7:17">
      <c r="G814" s="40"/>
      <c r="H814" s="40"/>
      <c r="I814" s="40"/>
      <c r="J814" s="40"/>
      <c r="K814" s="40"/>
      <c r="L814" s="40"/>
      <c r="M814" s="40"/>
      <c r="N814" s="40"/>
      <c r="O814" s="40"/>
      <c r="P814" s="40"/>
      <c r="Q814" s="40"/>
    </row>
    <row r="815" spans="7:17">
      <c r="G815" s="40"/>
      <c r="H815" s="40"/>
      <c r="I815" s="40"/>
      <c r="J815" s="40"/>
      <c r="K815" s="40"/>
      <c r="L815" s="40"/>
      <c r="M815" s="40"/>
      <c r="N815" s="40"/>
      <c r="O815" s="40"/>
      <c r="P815" s="40"/>
      <c r="Q815" s="40"/>
    </row>
    <row r="816" spans="7:17">
      <c r="G816" s="40"/>
      <c r="H816" s="40"/>
      <c r="I816" s="40"/>
      <c r="J816" s="40"/>
      <c r="K816" s="40"/>
      <c r="L816" s="40"/>
      <c r="M816" s="40"/>
      <c r="N816" s="40"/>
      <c r="O816" s="40"/>
      <c r="P816" s="40"/>
      <c r="Q816" s="40"/>
    </row>
    <row r="817" spans="7:17">
      <c r="G817" s="40"/>
      <c r="H817" s="40"/>
      <c r="I817" s="40"/>
      <c r="J817" s="40"/>
      <c r="K817" s="40"/>
      <c r="L817" s="40"/>
      <c r="M817" s="40"/>
      <c r="N817" s="40"/>
      <c r="O817" s="40"/>
      <c r="P817" s="40"/>
      <c r="Q817" s="40"/>
    </row>
    <row r="818" spans="7:17">
      <c r="G818" s="40"/>
      <c r="H818" s="40"/>
      <c r="I818" s="40"/>
      <c r="J818" s="40"/>
      <c r="K818" s="40"/>
      <c r="L818" s="40"/>
      <c r="M818" s="40"/>
      <c r="N818" s="40"/>
      <c r="O818" s="40"/>
      <c r="P818" s="40"/>
      <c r="Q818" s="40"/>
    </row>
    <row r="819" spans="7:17">
      <c r="G819" s="40"/>
      <c r="H819" s="40"/>
      <c r="I819" s="40"/>
      <c r="J819" s="40"/>
      <c r="K819" s="40"/>
      <c r="L819" s="40"/>
      <c r="M819" s="40"/>
      <c r="N819" s="40"/>
      <c r="O819" s="40"/>
      <c r="P819" s="40"/>
      <c r="Q819" s="40"/>
    </row>
    <row r="820" spans="7:17">
      <c r="G820" s="40"/>
      <c r="H820" s="40"/>
      <c r="I820" s="40"/>
      <c r="J820" s="40"/>
      <c r="K820" s="40"/>
      <c r="L820" s="40"/>
      <c r="M820" s="40"/>
      <c r="N820" s="40"/>
      <c r="O820" s="40"/>
      <c r="P820" s="40"/>
      <c r="Q820" s="40"/>
    </row>
    <row r="821" spans="7:17">
      <c r="G821" s="40"/>
      <c r="H821" s="40"/>
      <c r="I821" s="40"/>
      <c r="J821" s="40"/>
      <c r="K821" s="40"/>
      <c r="L821" s="40"/>
      <c r="M821" s="40"/>
      <c r="N821" s="40"/>
      <c r="O821" s="40"/>
      <c r="P821" s="40"/>
      <c r="Q821" s="40"/>
    </row>
    <row r="822" spans="7:17">
      <c r="G822" s="40"/>
      <c r="H822" s="40"/>
      <c r="I822" s="40"/>
      <c r="J822" s="40"/>
      <c r="K822" s="40"/>
      <c r="L822" s="40"/>
      <c r="M822" s="40"/>
      <c r="N822" s="40"/>
      <c r="O822" s="40"/>
      <c r="P822" s="40"/>
      <c r="Q822" s="40"/>
    </row>
    <row r="823" spans="7:17">
      <c r="G823" s="40"/>
      <c r="H823" s="40"/>
      <c r="I823" s="40"/>
      <c r="J823" s="40"/>
      <c r="K823" s="40"/>
      <c r="L823" s="40"/>
      <c r="M823" s="40"/>
      <c r="N823" s="40"/>
      <c r="O823" s="40"/>
      <c r="P823" s="40"/>
      <c r="Q823" s="40"/>
    </row>
    <row r="824" spans="7:17">
      <c r="G824" s="40"/>
      <c r="H824" s="40"/>
      <c r="I824" s="40"/>
      <c r="J824" s="40"/>
      <c r="K824" s="40"/>
      <c r="L824" s="40"/>
      <c r="M824" s="40"/>
      <c r="N824" s="40"/>
      <c r="O824" s="40"/>
      <c r="P824" s="40"/>
      <c r="Q824" s="40"/>
    </row>
    <row r="825" spans="7:17">
      <c r="G825" s="40"/>
      <c r="H825" s="40"/>
      <c r="I825" s="40"/>
      <c r="J825" s="40"/>
      <c r="K825" s="40"/>
      <c r="L825" s="40"/>
      <c r="M825" s="40"/>
      <c r="N825" s="40"/>
      <c r="O825" s="40"/>
      <c r="P825" s="40"/>
      <c r="Q825" s="40"/>
    </row>
    <row r="826" spans="7:17">
      <c r="G826" s="40"/>
      <c r="H826" s="40"/>
      <c r="I826" s="40"/>
      <c r="J826" s="40"/>
      <c r="K826" s="40"/>
      <c r="L826" s="40"/>
      <c r="M826" s="40"/>
      <c r="N826" s="40"/>
      <c r="O826" s="40"/>
      <c r="P826" s="40"/>
      <c r="Q826" s="40"/>
    </row>
    <row r="827" spans="7:17">
      <c r="G827" s="40"/>
      <c r="H827" s="40"/>
      <c r="I827" s="40"/>
      <c r="J827" s="40"/>
      <c r="K827" s="40"/>
      <c r="L827" s="40"/>
      <c r="M827" s="40"/>
      <c r="N827" s="40"/>
      <c r="O827" s="40"/>
      <c r="P827" s="40"/>
      <c r="Q827" s="40"/>
    </row>
    <row r="828" spans="7:17">
      <c r="G828" s="40"/>
      <c r="H828" s="40"/>
      <c r="I828" s="40"/>
      <c r="J828" s="40"/>
      <c r="K828" s="40"/>
      <c r="L828" s="40"/>
      <c r="M828" s="40"/>
      <c r="N828" s="40"/>
      <c r="O828" s="40"/>
      <c r="P828" s="40"/>
      <c r="Q828" s="40"/>
    </row>
    <row r="829" spans="7:17">
      <c r="G829" s="40"/>
      <c r="H829" s="40"/>
      <c r="I829" s="40"/>
      <c r="J829" s="40"/>
      <c r="K829" s="40"/>
      <c r="L829" s="40"/>
      <c r="M829" s="40"/>
      <c r="N829" s="40"/>
      <c r="O829" s="40"/>
      <c r="P829" s="40"/>
      <c r="Q829" s="40"/>
    </row>
    <row r="830" spans="7:17">
      <c r="G830" s="40"/>
      <c r="H830" s="40"/>
      <c r="I830" s="40"/>
      <c r="J830" s="40"/>
      <c r="K830" s="40"/>
      <c r="L830" s="40"/>
      <c r="M830" s="40"/>
      <c r="N830" s="40"/>
      <c r="O830" s="40"/>
      <c r="P830" s="40"/>
      <c r="Q830" s="40"/>
    </row>
    <row r="831" spans="7:17">
      <c r="G831" s="40"/>
      <c r="H831" s="40"/>
      <c r="I831" s="40"/>
      <c r="J831" s="40"/>
      <c r="K831" s="40"/>
      <c r="L831" s="40"/>
      <c r="M831" s="40"/>
      <c r="N831" s="40"/>
      <c r="O831" s="40"/>
      <c r="P831" s="40"/>
      <c r="Q831" s="40"/>
    </row>
    <row r="832" spans="7:17">
      <c r="G832" s="40"/>
      <c r="H832" s="40"/>
      <c r="I832" s="40"/>
      <c r="J832" s="40"/>
      <c r="K832" s="40"/>
      <c r="L832" s="40"/>
      <c r="M832" s="40"/>
      <c r="N832" s="40"/>
      <c r="O832" s="40"/>
      <c r="P832" s="40"/>
      <c r="Q832" s="40"/>
    </row>
    <row r="833" spans="7:17">
      <c r="G833" s="40"/>
      <c r="H833" s="40"/>
      <c r="I833" s="40"/>
      <c r="J833" s="40"/>
      <c r="K833" s="40"/>
      <c r="L833" s="40"/>
      <c r="M833" s="40"/>
      <c r="N833" s="40"/>
      <c r="O833" s="40"/>
      <c r="P833" s="40"/>
      <c r="Q833" s="40"/>
    </row>
    <row r="834" spans="7:17">
      <c r="G834" s="40"/>
      <c r="H834" s="40"/>
      <c r="I834" s="40"/>
      <c r="J834" s="40"/>
      <c r="K834" s="40"/>
      <c r="L834" s="40"/>
      <c r="M834" s="40"/>
      <c r="N834" s="40"/>
      <c r="O834" s="40"/>
      <c r="P834" s="40"/>
      <c r="Q834" s="40"/>
    </row>
    <row r="835" spans="7:17">
      <c r="G835" s="40"/>
      <c r="H835" s="40"/>
      <c r="I835" s="40"/>
      <c r="J835" s="40"/>
      <c r="K835" s="40"/>
      <c r="L835" s="40"/>
      <c r="M835" s="40"/>
      <c r="N835" s="40"/>
      <c r="O835" s="40"/>
      <c r="P835" s="40"/>
      <c r="Q835" s="40"/>
    </row>
    <row r="836" spans="7:17">
      <c r="G836" s="40"/>
      <c r="H836" s="40"/>
      <c r="I836" s="40"/>
      <c r="J836" s="40"/>
      <c r="K836" s="40"/>
      <c r="L836" s="40"/>
      <c r="M836" s="40"/>
      <c r="N836" s="40"/>
      <c r="O836" s="40"/>
      <c r="P836" s="40"/>
      <c r="Q836" s="40"/>
    </row>
    <row r="837" spans="7:17">
      <c r="G837" s="40"/>
      <c r="H837" s="40"/>
      <c r="I837" s="40"/>
      <c r="J837" s="40"/>
      <c r="K837" s="40"/>
      <c r="L837" s="40"/>
      <c r="M837" s="40"/>
      <c r="N837" s="40"/>
      <c r="O837" s="40"/>
      <c r="P837" s="40"/>
      <c r="Q837" s="40"/>
    </row>
    <row r="838" spans="7:17">
      <c r="G838" s="40"/>
      <c r="H838" s="40"/>
      <c r="I838" s="40"/>
      <c r="J838" s="40"/>
      <c r="K838" s="40"/>
      <c r="L838" s="40"/>
      <c r="M838" s="40"/>
      <c r="N838" s="40"/>
      <c r="O838" s="40"/>
      <c r="P838" s="40"/>
      <c r="Q838" s="40"/>
    </row>
    <row r="839" spans="7:17">
      <c r="G839" s="40"/>
      <c r="H839" s="40"/>
      <c r="I839" s="40"/>
      <c r="J839" s="40"/>
      <c r="K839" s="40"/>
      <c r="L839" s="40"/>
      <c r="M839" s="40"/>
      <c r="N839" s="40"/>
      <c r="O839" s="40"/>
      <c r="P839" s="40"/>
      <c r="Q839" s="40"/>
    </row>
    <row r="840" spans="7:17">
      <c r="G840" s="40"/>
      <c r="H840" s="40"/>
      <c r="I840" s="40"/>
      <c r="J840" s="40"/>
      <c r="K840" s="40"/>
      <c r="L840" s="40"/>
      <c r="M840" s="40"/>
      <c r="N840" s="40"/>
      <c r="O840" s="40"/>
      <c r="P840" s="40"/>
      <c r="Q840" s="40"/>
    </row>
    <row r="841" spans="7:17">
      <c r="G841" s="40"/>
      <c r="H841" s="40"/>
      <c r="I841" s="40"/>
      <c r="J841" s="40"/>
      <c r="K841" s="40"/>
      <c r="L841" s="40"/>
      <c r="M841" s="40"/>
      <c r="N841" s="40"/>
      <c r="O841" s="40"/>
      <c r="P841" s="40"/>
      <c r="Q841" s="40"/>
    </row>
    <row r="842" spans="7:17">
      <c r="G842" s="40"/>
      <c r="H842" s="40"/>
      <c r="I842" s="40"/>
      <c r="J842" s="40"/>
      <c r="K842" s="40"/>
      <c r="L842" s="40"/>
      <c r="M842" s="40"/>
      <c r="N842" s="40"/>
      <c r="O842" s="40"/>
      <c r="P842" s="40"/>
      <c r="Q842" s="40"/>
    </row>
    <row r="843" spans="7:17">
      <c r="G843" s="40"/>
      <c r="H843" s="40"/>
      <c r="I843" s="40"/>
      <c r="J843" s="40"/>
      <c r="K843" s="40"/>
      <c r="L843" s="40"/>
      <c r="M843" s="40"/>
      <c r="N843" s="40"/>
      <c r="O843" s="40"/>
      <c r="P843" s="40"/>
      <c r="Q843" s="40"/>
    </row>
    <row r="844" spans="7:17">
      <c r="G844" s="40"/>
      <c r="H844" s="40"/>
      <c r="I844" s="40"/>
      <c r="J844" s="40"/>
      <c r="K844" s="40"/>
      <c r="L844" s="40"/>
      <c r="M844" s="40"/>
      <c r="N844" s="40"/>
      <c r="O844" s="40"/>
      <c r="P844" s="40"/>
      <c r="Q844" s="40"/>
    </row>
    <row r="845" spans="7:17">
      <c r="G845" s="40"/>
      <c r="H845" s="40"/>
      <c r="I845" s="40"/>
      <c r="J845" s="40"/>
      <c r="K845" s="40"/>
      <c r="L845" s="40"/>
      <c r="M845" s="40"/>
      <c r="N845" s="40"/>
      <c r="O845" s="40"/>
      <c r="P845" s="40"/>
      <c r="Q845" s="40"/>
    </row>
    <row r="846" spans="7:17">
      <c r="G846" s="40"/>
      <c r="H846" s="40"/>
      <c r="I846" s="40"/>
      <c r="J846" s="40"/>
      <c r="K846" s="40"/>
      <c r="L846" s="40"/>
      <c r="M846" s="40"/>
      <c r="N846" s="40"/>
      <c r="O846" s="40"/>
      <c r="P846" s="40"/>
      <c r="Q846" s="40"/>
    </row>
    <row r="847" spans="7:17">
      <c r="G847" s="40"/>
      <c r="H847" s="40"/>
      <c r="I847" s="40"/>
      <c r="J847" s="40"/>
      <c r="K847" s="40"/>
      <c r="L847" s="40"/>
      <c r="M847" s="40"/>
      <c r="N847" s="40"/>
      <c r="O847" s="40"/>
      <c r="P847" s="40"/>
      <c r="Q847" s="40"/>
    </row>
    <row r="848" spans="7:17">
      <c r="G848" s="40"/>
      <c r="H848" s="40"/>
      <c r="I848" s="40"/>
      <c r="J848" s="40"/>
      <c r="K848" s="40"/>
      <c r="L848" s="40"/>
      <c r="M848" s="40"/>
      <c r="N848" s="40"/>
      <c r="O848" s="40"/>
      <c r="P848" s="40"/>
      <c r="Q848" s="40"/>
    </row>
    <row r="849" spans="7:17">
      <c r="G849" s="40"/>
      <c r="H849" s="40"/>
      <c r="I849" s="40"/>
      <c r="J849" s="40"/>
      <c r="K849" s="40"/>
      <c r="L849" s="40"/>
      <c r="M849" s="40"/>
      <c r="N849" s="40"/>
      <c r="O849" s="40"/>
      <c r="P849" s="40"/>
      <c r="Q849" s="40"/>
    </row>
    <row r="850" spans="7:17">
      <c r="G850" s="40"/>
      <c r="H850" s="40"/>
      <c r="I850" s="40"/>
      <c r="J850" s="40"/>
      <c r="K850" s="40"/>
      <c r="L850" s="40"/>
      <c r="M850" s="40"/>
      <c r="N850" s="40"/>
      <c r="O850" s="40"/>
      <c r="P850" s="40"/>
      <c r="Q850" s="40"/>
    </row>
    <row r="851" spans="7:17">
      <c r="G851" s="40"/>
      <c r="H851" s="40"/>
      <c r="I851" s="40"/>
      <c r="J851" s="40"/>
      <c r="K851" s="40"/>
      <c r="L851" s="40"/>
      <c r="M851" s="40"/>
      <c r="N851" s="40"/>
      <c r="O851" s="40"/>
      <c r="P851" s="40"/>
      <c r="Q851" s="40"/>
    </row>
    <row r="852" spans="7:17">
      <c r="G852" s="40"/>
      <c r="H852" s="40"/>
      <c r="I852" s="40"/>
      <c r="J852" s="40"/>
      <c r="K852" s="40"/>
      <c r="L852" s="40"/>
      <c r="M852" s="40"/>
      <c r="N852" s="40"/>
      <c r="O852" s="40"/>
      <c r="P852" s="40"/>
      <c r="Q852" s="40"/>
    </row>
    <row r="853" spans="7:17">
      <c r="G853" s="40"/>
      <c r="H853" s="40"/>
      <c r="I853" s="40"/>
      <c r="J853" s="40"/>
      <c r="K853" s="40"/>
      <c r="L853" s="40"/>
      <c r="M853" s="40"/>
      <c r="N853" s="40"/>
      <c r="O853" s="40"/>
      <c r="P853" s="40"/>
      <c r="Q853" s="40"/>
    </row>
    <row r="854" spans="7:17">
      <c r="G854" s="40"/>
      <c r="H854" s="40"/>
      <c r="I854" s="40"/>
      <c r="J854" s="40"/>
      <c r="K854" s="40"/>
      <c r="L854" s="40"/>
      <c r="M854" s="40"/>
      <c r="N854" s="40"/>
      <c r="O854" s="40"/>
      <c r="P854" s="40"/>
      <c r="Q854" s="40"/>
    </row>
    <row r="855" spans="7:17">
      <c r="G855" s="40"/>
      <c r="H855" s="40"/>
      <c r="I855" s="40"/>
      <c r="J855" s="40"/>
      <c r="K855" s="40"/>
      <c r="L855" s="40"/>
      <c r="M855" s="40"/>
      <c r="N855" s="40"/>
      <c r="O855" s="40"/>
      <c r="P855" s="40"/>
      <c r="Q855" s="40"/>
    </row>
    <row r="856" spans="7:17">
      <c r="G856" s="40"/>
      <c r="H856" s="40"/>
      <c r="I856" s="40"/>
      <c r="J856" s="40"/>
      <c r="K856" s="40"/>
      <c r="L856" s="40"/>
      <c r="M856" s="40"/>
      <c r="N856" s="40"/>
      <c r="O856" s="40"/>
      <c r="P856" s="40"/>
      <c r="Q856" s="40"/>
    </row>
    <row r="857" spans="7:17">
      <c r="G857" s="40"/>
      <c r="H857" s="40"/>
      <c r="I857" s="40"/>
      <c r="J857" s="40"/>
      <c r="K857" s="40"/>
      <c r="L857" s="40"/>
      <c r="M857" s="40"/>
      <c r="N857" s="40"/>
      <c r="O857" s="40"/>
      <c r="P857" s="40"/>
      <c r="Q857" s="40"/>
    </row>
    <row r="858" spans="7:17">
      <c r="G858" s="40"/>
      <c r="H858" s="40"/>
      <c r="I858" s="40"/>
      <c r="J858" s="40"/>
      <c r="K858" s="40"/>
      <c r="L858" s="40"/>
      <c r="M858" s="40"/>
      <c r="N858" s="40"/>
      <c r="O858" s="40"/>
      <c r="P858" s="40"/>
      <c r="Q858" s="40"/>
    </row>
    <row r="859" spans="7:17">
      <c r="G859" s="40"/>
      <c r="H859" s="40"/>
      <c r="I859" s="40"/>
      <c r="J859" s="40"/>
      <c r="K859" s="40"/>
      <c r="L859" s="40"/>
      <c r="M859" s="40"/>
      <c r="N859" s="40"/>
      <c r="O859" s="40"/>
      <c r="P859" s="40"/>
      <c r="Q859" s="40"/>
    </row>
    <row r="860" spans="7:17">
      <c r="G860" s="40"/>
      <c r="H860" s="40"/>
      <c r="I860" s="40"/>
      <c r="J860" s="40"/>
      <c r="K860" s="40"/>
      <c r="L860" s="40"/>
      <c r="M860" s="40"/>
      <c r="N860" s="40"/>
      <c r="O860" s="40"/>
      <c r="P860" s="40"/>
      <c r="Q860" s="40"/>
    </row>
    <row r="861" spans="7:17">
      <c r="G861" s="40"/>
      <c r="H861" s="40"/>
      <c r="I861" s="40"/>
      <c r="J861" s="40"/>
      <c r="K861" s="40"/>
      <c r="L861" s="40"/>
      <c r="M861" s="40"/>
      <c r="N861" s="40"/>
      <c r="O861" s="40"/>
      <c r="P861" s="40"/>
      <c r="Q861" s="40"/>
    </row>
    <row r="862" spans="7:17">
      <c r="G862" s="40"/>
      <c r="H862" s="40"/>
      <c r="I862" s="40"/>
      <c r="J862" s="40"/>
      <c r="K862" s="40"/>
      <c r="L862" s="40"/>
      <c r="M862" s="40"/>
      <c r="N862" s="40"/>
      <c r="O862" s="40"/>
      <c r="P862" s="40"/>
      <c r="Q862" s="40"/>
    </row>
    <row r="863" spans="7:17">
      <c r="G863" s="40"/>
      <c r="H863" s="40"/>
      <c r="I863" s="40"/>
      <c r="J863" s="40"/>
      <c r="K863" s="40"/>
      <c r="L863" s="40"/>
      <c r="M863" s="40"/>
      <c r="N863" s="40"/>
      <c r="O863" s="40"/>
      <c r="P863" s="40"/>
      <c r="Q863" s="40"/>
    </row>
    <row r="864" spans="7:17">
      <c r="G864" s="40"/>
      <c r="H864" s="40"/>
      <c r="I864" s="40"/>
      <c r="J864" s="40"/>
      <c r="K864" s="40"/>
      <c r="L864" s="40"/>
      <c r="M864" s="40"/>
      <c r="N864" s="40"/>
      <c r="O864" s="40"/>
      <c r="P864" s="40"/>
      <c r="Q864" s="40"/>
    </row>
    <row r="865" spans="7:17">
      <c r="G865" s="40"/>
      <c r="H865" s="40"/>
      <c r="I865" s="40"/>
      <c r="J865" s="40"/>
      <c r="K865" s="40"/>
      <c r="L865" s="40"/>
      <c r="M865" s="40"/>
      <c r="N865" s="40"/>
      <c r="O865" s="40"/>
      <c r="P865" s="40"/>
      <c r="Q865" s="40"/>
    </row>
    <row r="866" spans="7:17">
      <c r="G866" s="40"/>
      <c r="H866" s="40"/>
      <c r="I866" s="40"/>
      <c r="J866" s="40"/>
      <c r="K866" s="40"/>
      <c r="L866" s="40"/>
      <c r="M866" s="40"/>
      <c r="N866" s="40"/>
      <c r="O866" s="40"/>
      <c r="P866" s="40"/>
      <c r="Q866" s="40"/>
    </row>
    <row r="867" spans="7:17">
      <c r="G867" s="40"/>
      <c r="H867" s="40"/>
      <c r="I867" s="40"/>
      <c r="J867" s="40"/>
      <c r="K867" s="40"/>
      <c r="L867" s="40"/>
      <c r="M867" s="40"/>
      <c r="N867" s="40"/>
      <c r="O867" s="40"/>
      <c r="P867" s="40"/>
      <c r="Q867" s="40"/>
    </row>
    <row r="868" spans="7:17">
      <c r="G868" s="40"/>
      <c r="H868" s="40"/>
      <c r="I868" s="40"/>
      <c r="J868" s="40"/>
      <c r="K868" s="40"/>
      <c r="L868" s="40"/>
      <c r="M868" s="40"/>
      <c r="N868" s="40"/>
      <c r="O868" s="40"/>
      <c r="P868" s="40"/>
      <c r="Q868" s="40"/>
    </row>
    <row r="869" spans="7:17">
      <c r="G869" s="40"/>
      <c r="H869" s="40"/>
      <c r="I869" s="40"/>
      <c r="J869" s="40"/>
      <c r="K869" s="40"/>
      <c r="L869" s="40"/>
      <c r="M869" s="40"/>
      <c r="N869" s="40"/>
      <c r="O869" s="40"/>
      <c r="P869" s="40"/>
      <c r="Q869" s="40"/>
    </row>
    <row r="870" spans="7:17">
      <c r="G870" s="40"/>
      <c r="H870" s="40"/>
      <c r="I870" s="40"/>
      <c r="J870" s="40"/>
      <c r="K870" s="40"/>
      <c r="L870" s="40"/>
      <c r="M870" s="40"/>
      <c r="N870" s="40"/>
      <c r="O870" s="40"/>
      <c r="P870" s="40"/>
      <c r="Q870" s="40"/>
    </row>
    <row r="871" spans="7:17">
      <c r="G871" s="40"/>
      <c r="H871" s="40"/>
      <c r="I871" s="40"/>
      <c r="J871" s="40"/>
      <c r="K871" s="40"/>
      <c r="L871" s="40"/>
      <c r="M871" s="40"/>
      <c r="N871" s="40"/>
      <c r="O871" s="40"/>
      <c r="P871" s="40"/>
      <c r="Q871" s="40"/>
    </row>
    <row r="872" spans="7:17">
      <c r="G872" s="40"/>
      <c r="H872" s="40"/>
      <c r="I872" s="40"/>
      <c r="J872" s="40"/>
      <c r="K872" s="40"/>
      <c r="L872" s="40"/>
      <c r="M872" s="40"/>
      <c r="N872" s="40"/>
      <c r="O872" s="40"/>
      <c r="P872" s="40"/>
      <c r="Q872" s="40"/>
    </row>
    <row r="873" spans="7:17">
      <c r="G873" s="40"/>
      <c r="H873" s="40"/>
      <c r="I873" s="40"/>
      <c r="J873" s="40"/>
      <c r="K873" s="40"/>
      <c r="L873" s="40"/>
      <c r="M873" s="40"/>
      <c r="N873" s="40"/>
      <c r="O873" s="40"/>
      <c r="P873" s="40"/>
      <c r="Q873" s="40"/>
    </row>
    <row r="874" spans="7:17">
      <c r="G874" s="40"/>
      <c r="H874" s="40"/>
      <c r="I874" s="40"/>
      <c r="J874" s="40"/>
      <c r="K874" s="40"/>
      <c r="L874" s="40"/>
      <c r="M874" s="40"/>
      <c r="N874" s="40"/>
      <c r="O874" s="40"/>
      <c r="P874" s="40"/>
      <c r="Q874" s="40"/>
    </row>
    <row r="875" spans="7:17">
      <c r="G875" s="40"/>
      <c r="H875" s="40"/>
      <c r="I875" s="40"/>
      <c r="J875" s="40"/>
      <c r="K875" s="40"/>
      <c r="L875" s="40"/>
      <c r="M875" s="40"/>
      <c r="N875" s="40"/>
      <c r="O875" s="40"/>
      <c r="P875" s="40"/>
      <c r="Q875" s="40"/>
    </row>
    <row r="876" spans="7:17">
      <c r="G876" s="40"/>
      <c r="H876" s="40"/>
      <c r="I876" s="40"/>
      <c r="J876" s="40"/>
      <c r="K876" s="40"/>
      <c r="L876" s="40"/>
      <c r="M876" s="40"/>
      <c r="N876" s="40"/>
      <c r="O876" s="40"/>
      <c r="P876" s="40"/>
      <c r="Q876" s="40"/>
    </row>
    <row r="877" spans="7:17">
      <c r="G877" s="40"/>
      <c r="H877" s="40"/>
      <c r="I877" s="40"/>
      <c r="J877" s="40"/>
      <c r="K877" s="40"/>
      <c r="L877" s="40"/>
      <c r="M877" s="40"/>
      <c r="N877" s="40"/>
      <c r="O877" s="40"/>
      <c r="P877" s="40"/>
      <c r="Q877" s="40"/>
    </row>
    <row r="878" spans="7:17">
      <c r="G878" s="40"/>
      <c r="H878" s="40"/>
      <c r="I878" s="40"/>
      <c r="J878" s="40"/>
      <c r="K878" s="40"/>
      <c r="L878" s="40"/>
      <c r="M878" s="40"/>
      <c r="N878" s="40"/>
      <c r="O878" s="40"/>
      <c r="P878" s="40"/>
      <c r="Q878" s="40"/>
    </row>
    <row r="879" spans="7:17">
      <c r="G879" s="40"/>
      <c r="H879" s="40"/>
      <c r="I879" s="40"/>
      <c r="J879" s="40"/>
      <c r="K879" s="40"/>
      <c r="L879" s="40"/>
      <c r="M879" s="40"/>
      <c r="N879" s="40"/>
      <c r="O879" s="40"/>
      <c r="P879" s="40"/>
      <c r="Q879" s="40"/>
    </row>
    <row r="880" spans="7:17">
      <c r="G880" s="40"/>
      <c r="H880" s="40"/>
      <c r="I880" s="40"/>
      <c r="J880" s="40"/>
      <c r="K880" s="40"/>
      <c r="L880" s="40"/>
      <c r="M880" s="40"/>
      <c r="N880" s="40"/>
      <c r="O880" s="40"/>
      <c r="P880" s="40"/>
      <c r="Q880" s="40"/>
    </row>
    <row r="881" spans="7:17">
      <c r="G881" s="40"/>
      <c r="H881" s="40"/>
      <c r="I881" s="40"/>
      <c r="J881" s="40"/>
      <c r="K881" s="40"/>
      <c r="L881" s="40"/>
      <c r="M881" s="40"/>
      <c r="N881" s="40"/>
      <c r="O881" s="40"/>
      <c r="P881" s="40"/>
      <c r="Q881" s="40"/>
    </row>
    <row r="882" spans="7:17">
      <c r="G882" s="40"/>
      <c r="H882" s="40"/>
      <c r="I882" s="40"/>
      <c r="J882" s="40"/>
      <c r="K882" s="40"/>
      <c r="L882" s="40"/>
      <c r="M882" s="40"/>
      <c r="N882" s="40"/>
      <c r="O882" s="40"/>
      <c r="P882" s="40"/>
      <c r="Q882" s="40"/>
    </row>
    <row r="883" spans="7:17">
      <c r="G883" s="40"/>
      <c r="H883" s="40"/>
      <c r="I883" s="40"/>
      <c r="J883" s="40"/>
      <c r="K883" s="40"/>
      <c r="L883" s="40"/>
      <c r="M883" s="40"/>
      <c r="N883" s="40"/>
      <c r="O883" s="40"/>
      <c r="P883" s="40"/>
      <c r="Q883" s="40"/>
    </row>
    <row r="884" spans="7:17">
      <c r="G884" s="40"/>
      <c r="H884" s="40"/>
      <c r="I884" s="40"/>
      <c r="J884" s="40"/>
      <c r="K884" s="40"/>
      <c r="L884" s="40"/>
      <c r="M884" s="40"/>
      <c r="N884" s="40"/>
      <c r="O884" s="40"/>
      <c r="P884" s="40"/>
      <c r="Q884" s="40"/>
    </row>
    <row r="885" spans="7:17">
      <c r="G885" s="40"/>
      <c r="H885" s="40"/>
      <c r="I885" s="40"/>
      <c r="J885" s="40"/>
      <c r="K885" s="40"/>
      <c r="L885" s="40"/>
      <c r="M885" s="40"/>
      <c r="N885" s="40"/>
      <c r="O885" s="40"/>
      <c r="P885" s="40"/>
      <c r="Q885" s="40"/>
    </row>
    <row r="886" spans="7:17">
      <c r="G886" s="40"/>
      <c r="H886" s="40"/>
      <c r="I886" s="40"/>
      <c r="J886" s="40"/>
      <c r="K886" s="40"/>
      <c r="L886" s="40"/>
      <c r="M886" s="40"/>
      <c r="N886" s="40"/>
      <c r="O886" s="40"/>
      <c r="P886" s="40"/>
      <c r="Q886" s="40"/>
    </row>
    <row r="887" spans="7:17">
      <c r="G887" s="40"/>
      <c r="H887" s="40"/>
      <c r="I887" s="40"/>
      <c r="J887" s="40"/>
      <c r="K887" s="40"/>
      <c r="L887" s="40"/>
      <c r="M887" s="40"/>
      <c r="N887" s="40"/>
      <c r="O887" s="40"/>
      <c r="P887" s="40"/>
      <c r="Q887" s="40"/>
    </row>
    <row r="888" spans="7:17">
      <c r="G888" s="40"/>
      <c r="H888" s="40"/>
      <c r="I888" s="40"/>
      <c r="J888" s="40"/>
      <c r="K888" s="40"/>
      <c r="L888" s="40"/>
      <c r="M888" s="40"/>
      <c r="N888" s="40"/>
      <c r="O888" s="40"/>
      <c r="P888" s="40"/>
      <c r="Q888" s="40"/>
    </row>
    <row r="889" spans="7:17">
      <c r="G889" s="40"/>
      <c r="H889" s="40"/>
      <c r="I889" s="40"/>
      <c r="J889" s="40"/>
      <c r="K889" s="40"/>
      <c r="L889" s="40"/>
      <c r="M889" s="40"/>
      <c r="N889" s="40"/>
      <c r="O889" s="40"/>
      <c r="P889" s="40"/>
      <c r="Q889" s="40"/>
    </row>
    <row r="890" spans="7:17">
      <c r="G890" s="40"/>
      <c r="H890" s="40"/>
      <c r="I890" s="40"/>
      <c r="J890" s="40"/>
      <c r="K890" s="40"/>
      <c r="L890" s="40"/>
      <c r="M890" s="40"/>
      <c r="N890" s="40"/>
      <c r="O890" s="40"/>
      <c r="P890" s="40"/>
      <c r="Q890" s="40"/>
    </row>
    <row r="891" spans="7:17">
      <c r="G891" s="40"/>
      <c r="H891" s="40"/>
      <c r="I891" s="40"/>
      <c r="J891" s="40"/>
      <c r="K891" s="40"/>
      <c r="L891" s="40"/>
      <c r="M891" s="40"/>
      <c r="N891" s="40"/>
      <c r="O891" s="40"/>
      <c r="P891" s="40"/>
      <c r="Q891" s="40"/>
    </row>
    <row r="892" spans="7:17">
      <c r="G892" s="40"/>
      <c r="H892" s="40"/>
      <c r="I892" s="40"/>
      <c r="J892" s="40"/>
      <c r="K892" s="40"/>
      <c r="L892" s="40"/>
      <c r="M892" s="40"/>
      <c r="N892" s="40"/>
      <c r="O892" s="40"/>
      <c r="P892" s="40"/>
      <c r="Q892" s="40"/>
    </row>
    <row r="893" spans="7:17">
      <c r="G893" s="40"/>
      <c r="H893" s="40"/>
      <c r="I893" s="40"/>
      <c r="J893" s="40"/>
      <c r="K893" s="40"/>
      <c r="L893" s="40"/>
      <c r="M893" s="40"/>
      <c r="N893" s="40"/>
      <c r="O893" s="40"/>
      <c r="P893" s="40"/>
      <c r="Q893" s="40"/>
    </row>
    <row r="894" spans="7:17">
      <c r="G894" s="40"/>
      <c r="H894" s="40"/>
      <c r="I894" s="40"/>
      <c r="J894" s="40"/>
      <c r="K894" s="40"/>
      <c r="L894" s="40"/>
      <c r="M894" s="40"/>
      <c r="N894" s="40"/>
      <c r="O894" s="40"/>
      <c r="P894" s="40"/>
      <c r="Q894" s="40"/>
    </row>
    <row r="895" spans="7:17">
      <c r="G895" s="40"/>
      <c r="H895" s="40"/>
      <c r="I895" s="40"/>
      <c r="J895" s="40"/>
      <c r="K895" s="40"/>
      <c r="L895" s="40"/>
      <c r="M895" s="40"/>
      <c r="N895" s="40"/>
      <c r="O895" s="40"/>
      <c r="P895" s="40"/>
      <c r="Q895" s="40"/>
    </row>
    <row r="896" spans="7:17">
      <c r="G896" s="40"/>
      <c r="H896" s="40"/>
      <c r="I896" s="40"/>
      <c r="J896" s="40"/>
      <c r="K896" s="40"/>
      <c r="L896" s="40"/>
      <c r="M896" s="40"/>
      <c r="N896" s="40"/>
      <c r="O896" s="40"/>
      <c r="P896" s="40"/>
      <c r="Q896" s="40"/>
    </row>
    <row r="897" spans="7:17">
      <c r="G897" s="40"/>
      <c r="H897" s="40"/>
      <c r="I897" s="40"/>
      <c r="J897" s="40"/>
      <c r="K897" s="40"/>
      <c r="L897" s="40"/>
      <c r="M897" s="40"/>
      <c r="N897" s="40"/>
      <c r="O897" s="40"/>
      <c r="P897" s="40"/>
      <c r="Q897" s="40"/>
    </row>
    <row r="898" spans="7:17">
      <c r="G898" s="40"/>
      <c r="H898" s="40"/>
      <c r="I898" s="40"/>
      <c r="J898" s="40"/>
      <c r="K898" s="40"/>
      <c r="L898" s="40"/>
      <c r="M898" s="40"/>
      <c r="N898" s="40"/>
      <c r="O898" s="40"/>
      <c r="P898" s="40"/>
      <c r="Q898" s="40"/>
    </row>
    <row r="899" spans="7:17">
      <c r="G899" s="40"/>
      <c r="H899" s="40"/>
      <c r="I899" s="40"/>
      <c r="J899" s="40"/>
      <c r="K899" s="40"/>
      <c r="L899" s="40"/>
      <c r="M899" s="40"/>
      <c r="N899" s="40"/>
      <c r="O899" s="40"/>
      <c r="P899" s="40"/>
      <c r="Q899" s="40"/>
    </row>
    <row r="900" spans="7:17">
      <c r="G900" s="40"/>
      <c r="H900" s="40"/>
      <c r="I900" s="40"/>
      <c r="J900" s="40"/>
      <c r="K900" s="40"/>
      <c r="L900" s="40"/>
      <c r="M900" s="40"/>
      <c r="N900" s="40"/>
      <c r="O900" s="40"/>
      <c r="P900" s="40"/>
      <c r="Q900" s="40"/>
    </row>
    <row r="901" spans="7:17">
      <c r="G901" s="40"/>
      <c r="H901" s="40"/>
      <c r="I901" s="40"/>
      <c r="J901" s="40"/>
      <c r="K901" s="40"/>
      <c r="L901" s="40"/>
      <c r="M901" s="40"/>
      <c r="N901" s="40"/>
      <c r="O901" s="40"/>
      <c r="P901" s="40"/>
      <c r="Q901" s="40"/>
    </row>
    <row r="902" spans="7:17">
      <c r="G902" s="40"/>
      <c r="H902" s="40"/>
      <c r="I902" s="40"/>
      <c r="J902" s="40"/>
      <c r="K902" s="40"/>
      <c r="L902" s="40"/>
      <c r="M902" s="40"/>
      <c r="N902" s="40"/>
      <c r="O902" s="40"/>
      <c r="P902" s="40"/>
      <c r="Q902" s="40"/>
    </row>
    <row r="903" spans="7:17">
      <c r="G903" s="40"/>
      <c r="H903" s="40"/>
      <c r="I903" s="40"/>
      <c r="J903" s="40"/>
      <c r="K903" s="40"/>
      <c r="L903" s="40"/>
      <c r="M903" s="40"/>
      <c r="N903" s="40"/>
      <c r="O903" s="40"/>
      <c r="P903" s="40"/>
      <c r="Q903" s="40"/>
    </row>
    <row r="904" spans="7:17">
      <c r="G904" s="40"/>
      <c r="H904" s="40"/>
      <c r="I904" s="40"/>
      <c r="J904" s="40"/>
      <c r="K904" s="40"/>
      <c r="L904" s="40"/>
      <c r="M904" s="40"/>
      <c r="N904" s="40"/>
      <c r="O904" s="40"/>
      <c r="P904" s="40"/>
      <c r="Q904" s="40"/>
    </row>
    <row r="905" spans="7:17">
      <c r="G905" s="40"/>
      <c r="H905" s="40"/>
      <c r="I905" s="40"/>
      <c r="J905" s="40"/>
      <c r="K905" s="40"/>
      <c r="L905" s="40"/>
      <c r="M905" s="40"/>
      <c r="N905" s="40"/>
      <c r="O905" s="40"/>
      <c r="P905" s="40"/>
      <c r="Q905" s="40"/>
    </row>
    <row r="906" spans="7:17">
      <c r="G906" s="40"/>
      <c r="H906" s="40"/>
      <c r="I906" s="40"/>
      <c r="J906" s="40"/>
      <c r="K906" s="40"/>
      <c r="L906" s="40"/>
      <c r="M906" s="40"/>
      <c r="N906" s="40"/>
      <c r="O906" s="40"/>
      <c r="P906" s="40"/>
      <c r="Q906" s="40"/>
    </row>
    <row r="907" spans="7:17">
      <c r="G907" s="40"/>
      <c r="H907" s="40"/>
      <c r="I907" s="40"/>
      <c r="J907" s="40"/>
      <c r="K907" s="40"/>
      <c r="L907" s="40"/>
      <c r="M907" s="40"/>
      <c r="N907" s="40"/>
      <c r="O907" s="40"/>
      <c r="P907" s="40"/>
      <c r="Q907" s="40"/>
    </row>
    <row r="908" spans="7:17">
      <c r="G908" s="40"/>
      <c r="H908" s="40"/>
      <c r="I908" s="40"/>
      <c r="J908" s="40"/>
      <c r="K908" s="40"/>
      <c r="L908" s="40"/>
      <c r="M908" s="40"/>
      <c r="N908" s="40"/>
      <c r="O908" s="40"/>
      <c r="P908" s="40"/>
      <c r="Q908" s="40"/>
    </row>
    <row r="909" spans="7:17">
      <c r="G909" s="40"/>
      <c r="H909" s="40"/>
      <c r="I909" s="40"/>
      <c r="J909" s="40"/>
      <c r="K909" s="40"/>
      <c r="L909" s="40"/>
      <c r="M909" s="40"/>
      <c r="N909" s="40"/>
      <c r="O909" s="40"/>
      <c r="P909" s="40"/>
      <c r="Q909" s="40"/>
    </row>
    <row r="910" spans="7:17">
      <c r="G910" s="40"/>
      <c r="H910" s="40"/>
      <c r="I910" s="40"/>
      <c r="J910" s="40"/>
      <c r="K910" s="40"/>
      <c r="L910" s="40"/>
      <c r="M910" s="40"/>
      <c r="N910" s="40"/>
      <c r="O910" s="40"/>
      <c r="P910" s="40"/>
      <c r="Q910" s="40"/>
    </row>
    <row r="911" spans="7:17">
      <c r="G911" s="40"/>
      <c r="H911" s="40"/>
      <c r="I911" s="40"/>
      <c r="J911" s="40"/>
      <c r="K911" s="40"/>
      <c r="L911" s="40"/>
      <c r="M911" s="40"/>
      <c r="N911" s="40"/>
      <c r="O911" s="40"/>
      <c r="P911" s="40"/>
      <c r="Q911" s="40"/>
    </row>
    <row r="912" spans="7:17">
      <c r="G912" s="40"/>
      <c r="H912" s="40"/>
      <c r="I912" s="40"/>
      <c r="J912" s="40"/>
      <c r="K912" s="40"/>
      <c r="L912" s="40"/>
      <c r="M912" s="40"/>
      <c r="N912" s="40"/>
      <c r="O912" s="40"/>
      <c r="P912" s="40"/>
      <c r="Q912" s="40"/>
    </row>
    <row r="913" spans="7:17">
      <c r="G913" s="40"/>
      <c r="H913" s="40"/>
      <c r="I913" s="40"/>
      <c r="J913" s="40"/>
      <c r="K913" s="40"/>
      <c r="L913" s="40"/>
      <c r="M913" s="40"/>
      <c r="N913" s="40"/>
      <c r="O913" s="40"/>
      <c r="P913" s="40"/>
      <c r="Q913" s="40"/>
    </row>
    <row r="914" spans="7:17">
      <c r="G914" s="40"/>
      <c r="H914" s="40"/>
      <c r="I914" s="40"/>
      <c r="J914" s="40"/>
      <c r="K914" s="40"/>
      <c r="L914" s="40"/>
      <c r="M914" s="40"/>
      <c r="N914" s="40"/>
      <c r="O914" s="40"/>
      <c r="P914" s="40"/>
      <c r="Q914" s="40"/>
    </row>
    <row r="915" spans="7:17">
      <c r="G915" s="40"/>
      <c r="H915" s="40"/>
      <c r="I915" s="40"/>
      <c r="J915" s="40"/>
      <c r="K915" s="40"/>
      <c r="L915" s="40"/>
      <c r="M915" s="40"/>
      <c r="N915" s="40"/>
      <c r="O915" s="40"/>
      <c r="P915" s="40"/>
      <c r="Q915" s="40"/>
    </row>
    <row r="916" spans="7:17">
      <c r="G916" s="40"/>
      <c r="H916" s="40"/>
      <c r="I916" s="40"/>
      <c r="J916" s="40"/>
      <c r="K916" s="40"/>
      <c r="L916" s="40"/>
      <c r="M916" s="40"/>
      <c r="N916" s="40"/>
      <c r="O916" s="40"/>
      <c r="P916" s="40"/>
      <c r="Q916" s="40"/>
    </row>
    <row r="917" spans="7:17">
      <c r="G917" s="40"/>
      <c r="H917" s="40"/>
      <c r="I917" s="40"/>
      <c r="J917" s="40"/>
      <c r="K917" s="40"/>
      <c r="L917" s="40"/>
      <c r="M917" s="40"/>
      <c r="N917" s="40"/>
      <c r="O917" s="40"/>
      <c r="P917" s="40"/>
      <c r="Q917" s="40"/>
    </row>
    <row r="918" spans="7:17">
      <c r="G918" s="40"/>
      <c r="H918" s="40"/>
      <c r="I918" s="40"/>
      <c r="J918" s="40"/>
      <c r="K918" s="40"/>
      <c r="L918" s="40"/>
      <c r="M918" s="40"/>
      <c r="N918" s="40"/>
      <c r="O918" s="40"/>
      <c r="P918" s="40"/>
      <c r="Q918" s="40"/>
    </row>
    <row r="919" spans="7:17">
      <c r="G919" s="40"/>
      <c r="H919" s="40"/>
      <c r="I919" s="40"/>
      <c r="J919" s="40"/>
      <c r="K919" s="40"/>
      <c r="L919" s="40"/>
      <c r="M919" s="40"/>
      <c r="N919" s="40"/>
      <c r="O919" s="40"/>
      <c r="P919" s="40"/>
      <c r="Q919" s="40"/>
    </row>
    <row r="920" spans="7:17">
      <c r="G920" s="40"/>
      <c r="H920" s="40"/>
      <c r="I920" s="40"/>
      <c r="J920" s="40"/>
      <c r="K920" s="40"/>
      <c r="L920" s="40"/>
      <c r="M920" s="40"/>
      <c r="N920" s="40"/>
      <c r="O920" s="40"/>
      <c r="P920" s="40"/>
      <c r="Q920" s="40"/>
    </row>
    <row r="921" spans="7:17">
      <c r="G921" s="40"/>
      <c r="H921" s="40"/>
      <c r="I921" s="40"/>
      <c r="J921" s="40"/>
      <c r="K921" s="40"/>
      <c r="L921" s="40"/>
      <c r="M921" s="40"/>
      <c r="N921" s="40"/>
      <c r="O921" s="40"/>
      <c r="P921" s="40"/>
      <c r="Q921" s="40"/>
    </row>
    <row r="922" spans="7:17">
      <c r="G922" s="40"/>
      <c r="H922" s="40"/>
      <c r="I922" s="40"/>
      <c r="J922" s="40"/>
      <c r="K922" s="40"/>
      <c r="L922" s="40"/>
      <c r="M922" s="40"/>
      <c r="N922" s="40"/>
      <c r="O922" s="40"/>
      <c r="P922" s="40"/>
      <c r="Q922" s="40"/>
    </row>
    <row r="923" spans="7:17">
      <c r="G923" s="40"/>
      <c r="H923" s="40"/>
      <c r="I923" s="40"/>
      <c r="J923" s="40"/>
      <c r="K923" s="40"/>
      <c r="L923" s="40"/>
      <c r="M923" s="40"/>
      <c r="N923" s="40"/>
      <c r="O923" s="40"/>
      <c r="P923" s="40"/>
      <c r="Q923" s="40"/>
    </row>
    <row r="924" spans="7:17">
      <c r="G924" s="40"/>
      <c r="H924" s="40"/>
      <c r="I924" s="40"/>
      <c r="J924" s="40"/>
      <c r="K924" s="40"/>
      <c r="L924" s="40"/>
      <c r="M924" s="40"/>
      <c r="N924" s="40"/>
      <c r="O924" s="40"/>
      <c r="P924" s="40"/>
      <c r="Q924" s="40"/>
    </row>
    <row r="925" spans="7:17">
      <c r="G925" s="40"/>
      <c r="H925" s="40"/>
      <c r="I925" s="40"/>
      <c r="J925" s="40"/>
      <c r="K925" s="40"/>
      <c r="L925" s="40"/>
      <c r="M925" s="40"/>
      <c r="N925" s="40"/>
      <c r="O925" s="40"/>
      <c r="P925" s="40"/>
      <c r="Q925" s="40"/>
    </row>
    <row r="926" spans="7:17">
      <c r="G926" s="40"/>
      <c r="H926" s="40"/>
      <c r="I926" s="40"/>
      <c r="J926" s="40"/>
      <c r="K926" s="40"/>
      <c r="L926" s="40"/>
      <c r="M926" s="40"/>
      <c r="N926" s="40"/>
      <c r="O926" s="40"/>
      <c r="P926" s="40"/>
      <c r="Q926" s="40"/>
    </row>
    <row r="927" spans="7:17">
      <c r="G927" s="40"/>
      <c r="H927" s="40"/>
      <c r="I927" s="40"/>
      <c r="J927" s="40"/>
      <c r="K927" s="40"/>
      <c r="L927" s="40"/>
      <c r="M927" s="40"/>
      <c r="N927" s="40"/>
      <c r="O927" s="40"/>
      <c r="P927" s="40"/>
      <c r="Q927" s="40"/>
    </row>
    <row r="928" spans="7:17">
      <c r="G928" s="40"/>
      <c r="H928" s="40"/>
      <c r="I928" s="40"/>
      <c r="J928" s="40"/>
      <c r="K928" s="40"/>
      <c r="L928" s="40"/>
      <c r="M928" s="40"/>
      <c r="N928" s="40"/>
      <c r="O928" s="40"/>
      <c r="P928" s="40"/>
      <c r="Q928" s="40"/>
    </row>
    <row r="929" spans="7:17">
      <c r="G929" s="40"/>
      <c r="H929" s="40"/>
      <c r="I929" s="40"/>
      <c r="J929" s="40"/>
      <c r="K929" s="40"/>
      <c r="L929" s="40"/>
      <c r="M929" s="40"/>
      <c r="N929" s="40"/>
      <c r="O929" s="40"/>
      <c r="P929" s="40"/>
      <c r="Q929" s="40"/>
    </row>
    <row r="930" spans="7:17">
      <c r="G930" s="40"/>
      <c r="H930" s="40"/>
      <c r="I930" s="40"/>
      <c r="J930" s="40"/>
      <c r="K930" s="40"/>
      <c r="L930" s="40"/>
      <c r="M930" s="40"/>
      <c r="N930" s="40"/>
      <c r="O930" s="40"/>
      <c r="P930" s="40"/>
      <c r="Q930" s="40"/>
    </row>
    <row r="931" spans="7:17">
      <c r="G931" s="40"/>
      <c r="H931" s="40"/>
      <c r="I931" s="40"/>
      <c r="J931" s="40"/>
      <c r="K931" s="40"/>
      <c r="L931" s="40"/>
      <c r="M931" s="40"/>
      <c r="N931" s="40"/>
      <c r="O931" s="40"/>
      <c r="P931" s="40"/>
      <c r="Q931" s="40"/>
    </row>
    <row r="932" spans="7:17">
      <c r="G932" s="40"/>
      <c r="H932" s="40"/>
      <c r="I932" s="40"/>
      <c r="J932" s="40"/>
      <c r="K932" s="40"/>
      <c r="L932" s="40"/>
      <c r="M932" s="40"/>
      <c r="N932" s="40"/>
      <c r="O932" s="40"/>
      <c r="P932" s="40"/>
      <c r="Q932" s="40"/>
    </row>
    <row r="933" spans="7:17">
      <c r="G933" s="40"/>
      <c r="H933" s="40"/>
      <c r="I933" s="40"/>
      <c r="J933" s="40"/>
      <c r="K933" s="40"/>
      <c r="L933" s="40"/>
      <c r="M933" s="40"/>
      <c r="N933" s="40"/>
      <c r="O933" s="40"/>
      <c r="P933" s="40"/>
      <c r="Q933" s="40"/>
    </row>
    <row r="934" spans="7:17">
      <c r="G934" s="40"/>
      <c r="H934" s="40"/>
      <c r="I934" s="40"/>
      <c r="J934" s="40"/>
      <c r="K934" s="40"/>
      <c r="L934" s="40"/>
      <c r="M934" s="40"/>
      <c r="N934" s="40"/>
      <c r="O934" s="40"/>
      <c r="P934" s="40"/>
      <c r="Q934" s="40"/>
    </row>
    <row r="935" spans="7:17">
      <c r="G935" s="40"/>
      <c r="H935" s="40"/>
      <c r="I935" s="40"/>
      <c r="J935" s="40"/>
      <c r="K935" s="40"/>
      <c r="L935" s="40"/>
      <c r="M935" s="40"/>
      <c r="N935" s="40"/>
      <c r="O935" s="40"/>
      <c r="P935" s="40"/>
      <c r="Q935" s="40"/>
    </row>
    <row r="936" spans="7:17">
      <c r="G936" s="40"/>
      <c r="H936" s="40"/>
      <c r="I936" s="40"/>
      <c r="J936" s="40"/>
      <c r="K936" s="40"/>
      <c r="L936" s="40"/>
      <c r="M936" s="40"/>
      <c r="N936" s="40"/>
      <c r="O936" s="40"/>
      <c r="P936" s="40"/>
      <c r="Q936" s="40"/>
    </row>
    <row r="937" spans="7:17">
      <c r="G937" s="40"/>
      <c r="H937" s="40"/>
      <c r="I937" s="40"/>
      <c r="J937" s="40"/>
      <c r="K937" s="40"/>
      <c r="L937" s="40"/>
      <c r="M937" s="40"/>
      <c r="N937" s="40"/>
      <c r="O937" s="40"/>
      <c r="P937" s="40"/>
      <c r="Q937" s="40"/>
    </row>
    <row r="938" spans="7:17">
      <c r="G938" s="40"/>
      <c r="H938" s="40"/>
      <c r="I938" s="40"/>
      <c r="J938" s="40"/>
      <c r="K938" s="40"/>
      <c r="L938" s="40"/>
      <c r="M938" s="40"/>
      <c r="N938" s="40"/>
      <c r="O938" s="40"/>
      <c r="P938" s="40"/>
      <c r="Q938" s="40"/>
    </row>
    <row r="939" spans="7:17">
      <c r="G939" s="40"/>
      <c r="H939" s="40"/>
      <c r="I939" s="40"/>
      <c r="J939" s="40"/>
      <c r="K939" s="40"/>
      <c r="L939" s="40"/>
      <c r="M939" s="40"/>
      <c r="N939" s="40"/>
      <c r="O939" s="40"/>
      <c r="P939" s="40"/>
      <c r="Q939" s="40"/>
    </row>
    <row r="940" spans="7:17">
      <c r="G940" s="40"/>
      <c r="H940" s="40"/>
      <c r="I940" s="40"/>
      <c r="J940" s="40"/>
      <c r="K940" s="40"/>
      <c r="L940" s="40"/>
      <c r="M940" s="40"/>
      <c r="N940" s="40"/>
      <c r="O940" s="40"/>
      <c r="P940" s="40"/>
      <c r="Q940" s="40"/>
    </row>
    <row r="941" spans="7:17">
      <c r="G941" s="40"/>
      <c r="H941" s="40"/>
      <c r="I941" s="40"/>
      <c r="J941" s="40"/>
      <c r="K941" s="40"/>
      <c r="L941" s="40"/>
      <c r="M941" s="40"/>
      <c r="N941" s="40"/>
      <c r="O941" s="40"/>
      <c r="P941" s="40"/>
      <c r="Q941" s="40"/>
    </row>
    <row r="942" spans="7:17">
      <c r="G942" s="40"/>
      <c r="H942" s="40"/>
      <c r="I942" s="40"/>
      <c r="J942" s="40"/>
      <c r="K942" s="40"/>
      <c r="L942" s="40"/>
      <c r="M942" s="40"/>
      <c r="N942" s="40"/>
      <c r="O942" s="40"/>
      <c r="P942" s="40"/>
      <c r="Q942" s="40"/>
    </row>
    <row r="943" spans="7:17">
      <c r="G943" s="40"/>
      <c r="H943" s="40"/>
      <c r="I943" s="40"/>
      <c r="J943" s="40"/>
      <c r="K943" s="40"/>
      <c r="L943" s="40"/>
      <c r="M943" s="40"/>
      <c r="N943" s="40"/>
      <c r="O943" s="40"/>
      <c r="P943" s="40"/>
      <c r="Q943" s="40"/>
    </row>
    <row r="944" spans="7:17">
      <c r="G944" s="40"/>
      <c r="H944" s="40"/>
      <c r="I944" s="40"/>
      <c r="J944" s="40"/>
      <c r="K944" s="40"/>
      <c r="L944" s="40"/>
      <c r="M944" s="40"/>
      <c r="N944" s="40"/>
      <c r="O944" s="40"/>
      <c r="P944" s="40"/>
      <c r="Q944" s="40"/>
    </row>
    <row r="945" spans="7:17">
      <c r="G945" s="40"/>
      <c r="H945" s="40"/>
      <c r="I945" s="40"/>
      <c r="J945" s="40"/>
      <c r="K945" s="40"/>
      <c r="L945" s="40"/>
      <c r="M945" s="40"/>
      <c r="N945" s="40"/>
      <c r="O945" s="40"/>
      <c r="P945" s="40"/>
      <c r="Q945" s="40"/>
    </row>
    <row r="946" spans="7:17">
      <c r="G946" s="40"/>
      <c r="H946" s="40"/>
      <c r="I946" s="40"/>
      <c r="J946" s="40"/>
      <c r="K946" s="40"/>
      <c r="L946" s="40"/>
      <c r="M946" s="40"/>
      <c r="N946" s="40"/>
      <c r="O946" s="40"/>
      <c r="P946" s="40"/>
      <c r="Q946" s="40"/>
    </row>
    <row r="947" spans="7:17">
      <c r="G947" s="40"/>
      <c r="H947" s="40"/>
      <c r="I947" s="40"/>
      <c r="J947" s="40"/>
      <c r="K947" s="40"/>
      <c r="L947" s="40"/>
      <c r="M947" s="40"/>
      <c r="N947" s="40"/>
      <c r="O947" s="40"/>
      <c r="P947" s="40"/>
      <c r="Q947" s="40"/>
    </row>
    <row r="948" spans="7:17">
      <c r="G948" s="40"/>
      <c r="H948" s="40"/>
      <c r="I948" s="40"/>
      <c r="J948" s="40"/>
      <c r="K948" s="40"/>
      <c r="L948" s="40"/>
      <c r="M948" s="40"/>
      <c r="N948" s="40"/>
      <c r="O948" s="40"/>
      <c r="P948" s="40"/>
      <c r="Q948" s="40"/>
    </row>
    <row r="949" spans="7:17">
      <c r="G949" s="40"/>
      <c r="H949" s="40"/>
      <c r="I949" s="40"/>
      <c r="J949" s="40"/>
      <c r="K949" s="40"/>
      <c r="L949" s="40"/>
      <c r="M949" s="40"/>
      <c r="N949" s="40"/>
      <c r="O949" s="40"/>
      <c r="P949" s="40"/>
      <c r="Q949" s="40"/>
    </row>
    <row r="950" spans="7:17">
      <c r="G950" s="40"/>
      <c r="H950" s="40"/>
      <c r="I950" s="40"/>
      <c r="J950" s="40"/>
      <c r="K950" s="40"/>
      <c r="L950" s="40"/>
      <c r="M950" s="40"/>
      <c r="N950" s="40"/>
      <c r="O950" s="40"/>
      <c r="P950" s="40"/>
      <c r="Q950" s="40"/>
    </row>
    <row r="951" spans="7:17">
      <c r="G951" s="40"/>
      <c r="H951" s="40"/>
      <c r="I951" s="40"/>
      <c r="J951" s="40"/>
      <c r="K951" s="40"/>
      <c r="L951" s="40"/>
      <c r="M951" s="40"/>
      <c r="N951" s="40"/>
      <c r="O951" s="40"/>
      <c r="P951" s="40"/>
      <c r="Q951" s="40"/>
    </row>
    <row r="952" spans="7:17">
      <c r="G952" s="40"/>
      <c r="H952" s="40"/>
      <c r="I952" s="40"/>
      <c r="J952" s="40"/>
      <c r="K952" s="40"/>
      <c r="L952" s="40"/>
      <c r="M952" s="40"/>
      <c r="N952" s="40"/>
      <c r="O952" s="40"/>
      <c r="P952" s="40"/>
      <c r="Q952" s="40"/>
    </row>
    <row r="953" spans="7:17">
      <c r="G953" s="40"/>
      <c r="H953" s="40"/>
      <c r="I953" s="40"/>
      <c r="J953" s="40"/>
      <c r="K953" s="40"/>
      <c r="L953" s="40"/>
      <c r="M953" s="40"/>
      <c r="N953" s="40"/>
      <c r="O953" s="40"/>
      <c r="P953" s="40"/>
      <c r="Q953" s="40"/>
    </row>
    <row r="954" spans="7:17">
      <c r="G954" s="40"/>
      <c r="H954" s="40"/>
      <c r="I954" s="40"/>
      <c r="J954" s="40"/>
      <c r="K954" s="40"/>
      <c r="L954" s="40"/>
      <c r="M954" s="40"/>
      <c r="N954" s="40"/>
      <c r="O954" s="40"/>
      <c r="P954" s="40"/>
      <c r="Q954" s="40"/>
    </row>
    <row r="955" spans="7:17">
      <c r="G955" s="40"/>
      <c r="H955" s="40"/>
      <c r="I955" s="40"/>
      <c r="J955" s="40"/>
      <c r="K955" s="40"/>
      <c r="L955" s="40"/>
      <c r="M955" s="40"/>
      <c r="N955" s="40"/>
      <c r="O955" s="40"/>
      <c r="P955" s="40"/>
      <c r="Q955" s="40"/>
    </row>
    <row r="956" spans="7:17">
      <c r="G956" s="40"/>
      <c r="H956" s="40"/>
      <c r="I956" s="40"/>
      <c r="J956" s="40"/>
      <c r="K956" s="40"/>
      <c r="L956" s="40"/>
      <c r="M956" s="40"/>
      <c r="N956" s="40"/>
      <c r="O956" s="40"/>
      <c r="P956" s="40"/>
      <c r="Q956" s="40"/>
    </row>
    <row r="957" spans="7:17">
      <c r="G957" s="40"/>
      <c r="H957" s="40"/>
      <c r="I957" s="40"/>
      <c r="J957" s="40"/>
      <c r="K957" s="40"/>
      <c r="L957" s="40"/>
      <c r="M957" s="40"/>
      <c r="N957" s="40"/>
      <c r="O957" s="40"/>
      <c r="P957" s="40"/>
      <c r="Q957" s="40"/>
    </row>
    <row r="958" spans="7:17">
      <c r="G958" s="40"/>
      <c r="H958" s="40"/>
      <c r="I958" s="40"/>
      <c r="J958" s="40"/>
      <c r="K958" s="40"/>
      <c r="L958" s="40"/>
      <c r="M958" s="40"/>
      <c r="N958" s="40"/>
      <c r="O958" s="40"/>
      <c r="P958" s="40"/>
      <c r="Q958" s="40"/>
    </row>
    <row r="959" spans="7:17">
      <c r="G959" s="40"/>
      <c r="H959" s="40"/>
      <c r="I959" s="40"/>
      <c r="J959" s="40"/>
      <c r="K959" s="40"/>
      <c r="L959" s="40"/>
      <c r="M959" s="40"/>
      <c r="N959" s="40"/>
      <c r="O959" s="40"/>
      <c r="P959" s="40"/>
      <c r="Q959" s="40"/>
    </row>
    <row r="960" spans="7:17">
      <c r="G960" s="40"/>
      <c r="H960" s="40"/>
      <c r="I960" s="40"/>
      <c r="J960" s="40"/>
      <c r="K960" s="40"/>
      <c r="L960" s="40"/>
      <c r="M960" s="40"/>
      <c r="N960" s="40"/>
      <c r="O960" s="40"/>
      <c r="P960" s="40"/>
      <c r="Q960" s="40"/>
    </row>
    <row r="961" spans="7:17">
      <c r="G961" s="40"/>
      <c r="H961" s="40"/>
      <c r="I961" s="40"/>
      <c r="J961" s="40"/>
      <c r="K961" s="40"/>
      <c r="L961" s="40"/>
      <c r="M961" s="40"/>
      <c r="N961" s="40"/>
      <c r="O961" s="40"/>
      <c r="P961" s="40"/>
      <c r="Q961" s="40"/>
    </row>
    <row r="962" spans="7:17">
      <c r="G962" s="40"/>
      <c r="H962" s="40"/>
      <c r="I962" s="40"/>
      <c r="J962" s="40"/>
      <c r="K962" s="40"/>
      <c r="L962" s="40"/>
      <c r="M962" s="40"/>
      <c r="N962" s="40"/>
      <c r="O962" s="40"/>
      <c r="P962" s="40"/>
      <c r="Q962" s="40"/>
    </row>
    <row r="963" spans="7:17">
      <c r="G963" s="40"/>
      <c r="H963" s="40"/>
      <c r="I963" s="40"/>
      <c r="J963" s="40"/>
      <c r="K963" s="40"/>
      <c r="L963" s="40"/>
      <c r="M963" s="40"/>
      <c r="N963" s="40"/>
      <c r="O963" s="40"/>
      <c r="P963" s="40"/>
      <c r="Q963" s="40"/>
    </row>
    <row r="964" spans="7:17">
      <c r="G964" s="40"/>
      <c r="H964" s="40"/>
      <c r="I964" s="40"/>
      <c r="J964" s="40"/>
      <c r="K964" s="40"/>
      <c r="L964" s="40"/>
      <c r="M964" s="40"/>
      <c r="N964" s="40"/>
      <c r="O964" s="40"/>
      <c r="P964" s="40"/>
      <c r="Q964" s="40"/>
    </row>
    <row r="965" spans="7:17">
      <c r="G965" s="40"/>
      <c r="H965" s="40"/>
      <c r="I965" s="40"/>
      <c r="J965" s="40"/>
      <c r="K965" s="40"/>
      <c r="L965" s="40"/>
      <c r="M965" s="40"/>
      <c r="N965" s="40"/>
      <c r="O965" s="40"/>
      <c r="P965" s="40"/>
      <c r="Q965" s="40"/>
    </row>
    <row r="966" spans="7:17">
      <c r="G966" s="40"/>
      <c r="H966" s="40"/>
      <c r="I966" s="40"/>
      <c r="J966" s="40"/>
      <c r="K966" s="40"/>
      <c r="L966" s="40"/>
      <c r="M966" s="40"/>
      <c r="N966" s="40"/>
      <c r="O966" s="40"/>
      <c r="P966" s="40"/>
      <c r="Q966" s="40"/>
    </row>
    <row r="967" spans="7:17">
      <c r="G967" s="40"/>
      <c r="H967" s="40"/>
      <c r="I967" s="40"/>
      <c r="J967" s="40"/>
      <c r="K967" s="40"/>
      <c r="L967" s="40"/>
      <c r="M967" s="40"/>
      <c r="N967" s="40"/>
      <c r="O967" s="40"/>
      <c r="P967" s="40"/>
      <c r="Q967" s="40"/>
    </row>
    <row r="968" spans="7:17">
      <c r="G968" s="40"/>
      <c r="H968" s="40"/>
      <c r="I968" s="40"/>
      <c r="J968" s="40"/>
      <c r="K968" s="40"/>
      <c r="L968" s="40"/>
      <c r="M968" s="40"/>
      <c r="N968" s="40"/>
      <c r="O968" s="40"/>
      <c r="P968" s="40"/>
      <c r="Q968" s="40"/>
    </row>
    <row r="969" spans="7:17">
      <c r="G969" s="40"/>
      <c r="H969" s="40"/>
      <c r="I969" s="40"/>
      <c r="J969" s="40"/>
      <c r="K969" s="40"/>
      <c r="L969" s="40"/>
      <c r="M969" s="40"/>
      <c r="N969" s="40"/>
      <c r="O969" s="40"/>
      <c r="P969" s="40"/>
      <c r="Q969" s="40"/>
    </row>
    <row r="970" spans="7:17">
      <c r="G970" s="40"/>
      <c r="H970" s="40"/>
      <c r="I970" s="40"/>
      <c r="J970" s="40"/>
      <c r="K970" s="40"/>
      <c r="L970" s="40"/>
      <c r="M970" s="40"/>
      <c r="N970" s="40"/>
      <c r="O970" s="40"/>
      <c r="P970" s="40"/>
      <c r="Q970" s="40"/>
    </row>
    <row r="971" spans="7:17">
      <c r="G971" s="40"/>
      <c r="H971" s="40"/>
      <c r="I971" s="40"/>
      <c r="J971" s="40"/>
      <c r="K971" s="40"/>
      <c r="L971" s="40"/>
      <c r="M971" s="40"/>
      <c r="N971" s="40"/>
      <c r="O971" s="40"/>
      <c r="P971" s="40"/>
      <c r="Q971" s="40"/>
    </row>
    <row r="972" spans="7:17">
      <c r="G972" s="40"/>
      <c r="H972" s="40"/>
      <c r="I972" s="40"/>
      <c r="J972" s="40"/>
      <c r="K972" s="40"/>
      <c r="L972" s="40"/>
      <c r="M972" s="40"/>
      <c r="N972" s="40"/>
      <c r="O972" s="40"/>
      <c r="P972" s="40"/>
      <c r="Q972" s="40"/>
    </row>
    <row r="973" spans="7:17">
      <c r="G973" s="40"/>
      <c r="H973" s="40"/>
      <c r="I973" s="40"/>
      <c r="J973" s="40"/>
      <c r="K973" s="40"/>
      <c r="L973" s="40"/>
      <c r="M973" s="40"/>
      <c r="N973" s="40"/>
      <c r="O973" s="40"/>
      <c r="P973" s="40"/>
      <c r="Q973" s="40"/>
    </row>
    <row r="974" spans="7:17">
      <c r="G974" s="40"/>
      <c r="H974" s="40"/>
      <c r="I974" s="40"/>
      <c r="J974" s="40"/>
      <c r="K974" s="40"/>
      <c r="L974" s="40"/>
      <c r="M974" s="40"/>
      <c r="N974" s="40"/>
      <c r="O974" s="40"/>
      <c r="P974" s="40"/>
      <c r="Q974" s="40"/>
    </row>
    <row r="975" spans="7:17">
      <c r="G975" s="40"/>
      <c r="H975" s="40"/>
      <c r="I975" s="40"/>
      <c r="J975" s="40"/>
      <c r="K975" s="40"/>
      <c r="L975" s="40"/>
      <c r="M975" s="40"/>
      <c r="N975" s="40"/>
      <c r="O975" s="40"/>
      <c r="P975" s="40"/>
      <c r="Q975" s="40"/>
    </row>
    <row r="976" spans="7:17">
      <c r="G976" s="40"/>
      <c r="H976" s="40"/>
      <c r="I976" s="40"/>
      <c r="J976" s="40"/>
      <c r="K976" s="40"/>
      <c r="L976" s="40"/>
      <c r="M976" s="40"/>
      <c r="N976" s="40"/>
      <c r="O976" s="40"/>
      <c r="P976" s="40"/>
      <c r="Q976" s="40"/>
    </row>
    <row r="977" spans="7:17">
      <c r="G977" s="40"/>
      <c r="H977" s="40"/>
      <c r="I977" s="40"/>
      <c r="J977" s="40"/>
      <c r="K977" s="40"/>
      <c r="L977" s="40"/>
      <c r="M977" s="40"/>
      <c r="N977" s="40"/>
      <c r="O977" s="40"/>
      <c r="P977" s="40"/>
      <c r="Q977" s="40"/>
    </row>
    <row r="978" spans="7:17">
      <c r="G978" s="40"/>
      <c r="H978" s="40"/>
      <c r="I978" s="40"/>
      <c r="J978" s="40"/>
      <c r="K978" s="40"/>
      <c r="L978" s="40"/>
      <c r="M978" s="40"/>
      <c r="N978" s="40"/>
      <c r="O978" s="40"/>
      <c r="P978" s="40"/>
      <c r="Q978" s="40"/>
    </row>
    <row r="979" spans="7:17">
      <c r="G979" s="40"/>
      <c r="H979" s="40"/>
      <c r="I979" s="40"/>
      <c r="J979" s="40"/>
      <c r="K979" s="40"/>
      <c r="L979" s="40"/>
      <c r="M979" s="40"/>
      <c r="N979" s="40"/>
      <c r="O979" s="40"/>
      <c r="P979" s="40"/>
      <c r="Q979" s="40"/>
    </row>
    <row r="980" spans="7:17">
      <c r="G980" s="40"/>
      <c r="H980" s="40"/>
      <c r="I980" s="40"/>
      <c r="J980" s="40"/>
      <c r="K980" s="40"/>
      <c r="L980" s="40"/>
      <c r="M980" s="40"/>
      <c r="N980" s="40"/>
      <c r="O980" s="40"/>
      <c r="P980" s="40"/>
      <c r="Q980" s="40"/>
    </row>
    <row r="981" spans="7:17">
      <c r="G981" s="40"/>
      <c r="H981" s="40"/>
      <c r="I981" s="40"/>
      <c r="J981" s="40"/>
      <c r="K981" s="40"/>
      <c r="L981" s="40"/>
      <c r="M981" s="40"/>
      <c r="N981" s="40"/>
      <c r="O981" s="40"/>
      <c r="P981" s="40"/>
      <c r="Q981" s="40"/>
    </row>
    <row r="982" spans="7:17">
      <c r="G982" s="40"/>
      <c r="H982" s="40"/>
      <c r="I982" s="40"/>
      <c r="J982" s="40"/>
      <c r="K982" s="40"/>
      <c r="L982" s="40"/>
      <c r="M982" s="40"/>
      <c r="N982" s="40"/>
      <c r="O982" s="40"/>
      <c r="P982" s="40"/>
      <c r="Q982" s="40"/>
    </row>
    <row r="983" spans="7:17">
      <c r="G983" s="40"/>
      <c r="H983" s="40"/>
      <c r="I983" s="40"/>
      <c r="J983" s="40"/>
      <c r="K983" s="40"/>
      <c r="L983" s="40"/>
      <c r="M983" s="40"/>
      <c r="N983" s="40"/>
      <c r="O983" s="40"/>
      <c r="P983" s="40"/>
      <c r="Q983" s="40"/>
    </row>
    <row r="984" spans="7:17">
      <c r="G984" s="40"/>
      <c r="H984" s="40"/>
      <c r="I984" s="40"/>
      <c r="J984" s="40"/>
      <c r="K984" s="40"/>
      <c r="L984" s="40"/>
      <c r="M984" s="40"/>
      <c r="N984" s="40"/>
      <c r="O984" s="40"/>
      <c r="P984" s="40"/>
      <c r="Q984" s="40"/>
    </row>
    <row r="985" spans="7:17">
      <c r="G985" s="40"/>
      <c r="H985" s="40"/>
      <c r="I985" s="40"/>
      <c r="J985" s="40"/>
      <c r="K985" s="40"/>
      <c r="L985" s="40"/>
      <c r="M985" s="40"/>
      <c r="N985" s="40"/>
      <c r="O985" s="40"/>
      <c r="P985" s="40"/>
      <c r="Q985" s="40"/>
    </row>
    <row r="986" spans="7:17">
      <c r="G986" s="40"/>
      <c r="H986" s="40"/>
      <c r="I986" s="40"/>
      <c r="J986" s="40"/>
      <c r="K986" s="40"/>
      <c r="L986" s="40"/>
      <c r="M986" s="40"/>
      <c r="N986" s="40"/>
      <c r="O986" s="40"/>
      <c r="P986" s="40"/>
      <c r="Q986" s="40"/>
    </row>
    <row r="987" spans="7:17">
      <c r="G987" s="40"/>
      <c r="H987" s="40"/>
      <c r="I987" s="40"/>
      <c r="J987" s="40"/>
      <c r="K987" s="40"/>
      <c r="L987" s="40"/>
      <c r="M987" s="40"/>
      <c r="N987" s="40"/>
      <c r="O987" s="40"/>
      <c r="P987" s="40"/>
      <c r="Q987" s="40"/>
    </row>
    <row r="988" spans="7:17">
      <c r="G988" s="40"/>
      <c r="H988" s="40"/>
      <c r="I988" s="40"/>
      <c r="J988" s="40"/>
      <c r="K988" s="40"/>
      <c r="L988" s="40"/>
      <c r="M988" s="40"/>
      <c r="N988" s="40"/>
      <c r="O988" s="40"/>
      <c r="P988" s="40"/>
      <c r="Q988" s="40"/>
    </row>
    <row r="989" spans="7:17">
      <c r="G989" s="40"/>
      <c r="H989" s="40"/>
      <c r="I989" s="40"/>
      <c r="J989" s="40"/>
      <c r="K989" s="40"/>
      <c r="L989" s="40"/>
      <c r="M989" s="40"/>
      <c r="N989" s="40"/>
      <c r="O989" s="40"/>
      <c r="P989" s="40"/>
      <c r="Q989" s="40"/>
    </row>
    <row r="990" spans="7:17">
      <c r="G990" s="40"/>
      <c r="H990" s="40"/>
      <c r="I990" s="40"/>
      <c r="J990" s="40"/>
      <c r="K990" s="40"/>
      <c r="L990" s="40"/>
      <c r="M990" s="40"/>
      <c r="N990" s="40"/>
      <c r="O990" s="40"/>
      <c r="P990" s="40"/>
      <c r="Q990" s="40"/>
    </row>
    <row r="991" spans="7:17">
      <c r="G991" s="40"/>
      <c r="H991" s="40"/>
      <c r="I991" s="40"/>
      <c r="J991" s="40"/>
      <c r="K991" s="40"/>
      <c r="L991" s="40"/>
      <c r="M991" s="40"/>
      <c r="N991" s="40"/>
      <c r="O991" s="40"/>
      <c r="P991" s="40"/>
      <c r="Q991" s="40"/>
    </row>
    <row r="992" spans="7:17">
      <c r="G992" s="40"/>
      <c r="H992" s="40"/>
      <c r="I992" s="40"/>
      <c r="J992" s="40"/>
      <c r="K992" s="40"/>
      <c r="L992" s="40"/>
      <c r="M992" s="40"/>
      <c r="N992" s="40"/>
      <c r="O992" s="40"/>
      <c r="P992" s="40"/>
      <c r="Q992" s="40"/>
    </row>
    <row r="993" spans="7:17">
      <c r="G993" s="40"/>
      <c r="H993" s="40"/>
      <c r="I993" s="40"/>
      <c r="J993" s="40"/>
      <c r="K993" s="40"/>
      <c r="L993" s="40"/>
      <c r="M993" s="40"/>
      <c r="N993" s="40"/>
      <c r="O993" s="40"/>
      <c r="P993" s="40"/>
      <c r="Q993" s="40"/>
    </row>
    <row r="994" spans="7:17">
      <c r="G994" s="40"/>
      <c r="H994" s="40"/>
      <c r="I994" s="40"/>
      <c r="J994" s="40"/>
      <c r="K994" s="40"/>
      <c r="L994" s="40"/>
      <c r="M994" s="40"/>
      <c r="N994" s="40"/>
      <c r="O994" s="40"/>
      <c r="P994" s="40"/>
      <c r="Q994" s="40"/>
    </row>
    <row r="995" spans="7:17">
      <c r="G995" s="40"/>
      <c r="H995" s="40"/>
      <c r="I995" s="40"/>
      <c r="J995" s="40"/>
      <c r="K995" s="40"/>
      <c r="L995" s="40"/>
      <c r="M995" s="40"/>
      <c r="N995" s="40"/>
      <c r="O995" s="40"/>
      <c r="P995" s="40"/>
      <c r="Q995" s="40"/>
    </row>
    <row r="996" spans="7:17">
      <c r="G996" s="40"/>
      <c r="H996" s="40"/>
      <c r="I996" s="40"/>
      <c r="J996" s="40"/>
      <c r="K996" s="40"/>
      <c r="L996" s="40"/>
      <c r="M996" s="40"/>
      <c r="N996" s="40"/>
      <c r="O996" s="40"/>
      <c r="P996" s="40"/>
      <c r="Q996" s="40"/>
    </row>
    <row r="997" spans="7:17">
      <c r="G997" s="40"/>
      <c r="H997" s="40"/>
      <c r="I997" s="40"/>
      <c r="J997" s="40"/>
      <c r="K997" s="40"/>
      <c r="L997" s="40"/>
      <c r="M997" s="40"/>
      <c r="N997" s="40"/>
      <c r="O997" s="40"/>
      <c r="P997" s="40"/>
      <c r="Q997" s="40"/>
    </row>
    <row r="998" spans="7:17">
      <c r="G998" s="40"/>
      <c r="H998" s="40"/>
      <c r="I998" s="40"/>
      <c r="J998" s="40"/>
      <c r="K998" s="40"/>
      <c r="L998" s="40"/>
      <c r="M998" s="40"/>
      <c r="N998" s="40"/>
      <c r="O998" s="40"/>
      <c r="P998" s="40"/>
      <c r="Q998" s="40"/>
    </row>
    <row r="999" spans="7:17">
      <c r="G999" s="40"/>
      <c r="H999" s="40"/>
      <c r="I999" s="40"/>
      <c r="J999" s="40"/>
      <c r="K999" s="40"/>
      <c r="L999" s="40"/>
      <c r="M999" s="40"/>
      <c r="N999" s="40"/>
      <c r="O999" s="40"/>
      <c r="P999" s="40"/>
      <c r="Q999" s="40"/>
    </row>
    <row r="1000" spans="7:17">
      <c r="G1000" s="40"/>
      <c r="H1000" s="40"/>
      <c r="I1000" s="40"/>
      <c r="J1000" s="40"/>
      <c r="K1000" s="40"/>
      <c r="L1000" s="40"/>
      <c r="M1000" s="40"/>
      <c r="N1000" s="40"/>
      <c r="O1000" s="40"/>
      <c r="P1000" s="40"/>
      <c r="Q1000" s="40"/>
    </row>
    <row r="1001" spans="7:17">
      <c r="G1001" s="40"/>
      <c r="H1001" s="40"/>
      <c r="I1001" s="40"/>
      <c r="J1001" s="40"/>
      <c r="K1001" s="40"/>
      <c r="L1001" s="40"/>
      <c r="M1001" s="40"/>
      <c r="N1001" s="40"/>
      <c r="O1001" s="40"/>
      <c r="P1001" s="40"/>
      <c r="Q1001" s="40"/>
    </row>
    <row r="1002" spans="7:17">
      <c r="G1002" s="40"/>
      <c r="H1002" s="40"/>
      <c r="I1002" s="40"/>
      <c r="J1002" s="40"/>
      <c r="K1002" s="40"/>
      <c r="L1002" s="40"/>
      <c r="M1002" s="40"/>
      <c r="N1002" s="40"/>
      <c r="O1002" s="40"/>
      <c r="P1002" s="40"/>
      <c r="Q1002" s="40"/>
    </row>
    <row r="1003" spans="7:17">
      <c r="G1003" s="40"/>
      <c r="H1003" s="40"/>
      <c r="I1003" s="40"/>
      <c r="J1003" s="40"/>
      <c r="K1003" s="40"/>
      <c r="L1003" s="40"/>
      <c r="M1003" s="40"/>
      <c r="N1003" s="40"/>
      <c r="O1003" s="40"/>
      <c r="P1003" s="40"/>
      <c r="Q1003" s="40"/>
    </row>
    <row r="1004" spans="7:17">
      <c r="G1004" s="40"/>
      <c r="H1004" s="40"/>
      <c r="I1004" s="40"/>
      <c r="J1004" s="40"/>
      <c r="K1004" s="40"/>
      <c r="L1004" s="40"/>
      <c r="M1004" s="40"/>
      <c r="N1004" s="40"/>
      <c r="O1004" s="40"/>
      <c r="P1004" s="40"/>
      <c r="Q1004" s="40"/>
    </row>
    <row r="1005" spans="7:17">
      <c r="G1005" s="40"/>
      <c r="H1005" s="40"/>
      <c r="I1005" s="40"/>
      <c r="J1005" s="40"/>
      <c r="K1005" s="40"/>
      <c r="L1005" s="40"/>
      <c r="M1005" s="40"/>
      <c r="N1005" s="40"/>
      <c r="O1005" s="40"/>
      <c r="P1005" s="40"/>
      <c r="Q1005" s="40"/>
    </row>
    <row r="1006" spans="7:17">
      <c r="G1006" s="40"/>
      <c r="H1006" s="40"/>
      <c r="I1006" s="40"/>
      <c r="J1006" s="40"/>
      <c r="K1006" s="40"/>
      <c r="L1006" s="40"/>
      <c r="M1006" s="40"/>
      <c r="N1006" s="40"/>
      <c r="O1006" s="40"/>
      <c r="P1006" s="40"/>
      <c r="Q1006" s="40"/>
    </row>
    <row r="1007" spans="7:17">
      <c r="G1007" s="40"/>
      <c r="H1007" s="40"/>
      <c r="I1007" s="40"/>
      <c r="J1007" s="40"/>
      <c r="K1007" s="40"/>
      <c r="L1007" s="40"/>
      <c r="M1007" s="40"/>
      <c r="N1007" s="40"/>
      <c r="O1007" s="40"/>
      <c r="P1007" s="40"/>
      <c r="Q1007" s="40"/>
    </row>
    <row r="1008" spans="7:17">
      <c r="G1008" s="40"/>
      <c r="H1008" s="40"/>
      <c r="I1008" s="40"/>
      <c r="J1008" s="40"/>
      <c r="K1008" s="40"/>
      <c r="L1008" s="40"/>
      <c r="M1008" s="40"/>
      <c r="N1008" s="40"/>
      <c r="O1008" s="40"/>
      <c r="P1008" s="40"/>
      <c r="Q1008" s="40"/>
    </row>
    <row r="1009" spans="7:17">
      <c r="G1009" s="40"/>
      <c r="H1009" s="40"/>
      <c r="I1009" s="40"/>
      <c r="J1009" s="40"/>
      <c r="K1009" s="40"/>
      <c r="L1009" s="40"/>
      <c r="M1009" s="40"/>
      <c r="N1009" s="40"/>
      <c r="O1009" s="40"/>
      <c r="P1009" s="40"/>
      <c r="Q1009" s="40"/>
    </row>
    <row r="1010" spans="7:17">
      <c r="G1010" s="40"/>
      <c r="H1010" s="40"/>
      <c r="I1010" s="40"/>
      <c r="J1010" s="40"/>
      <c r="K1010" s="40"/>
      <c r="L1010" s="40"/>
      <c r="M1010" s="40"/>
      <c r="N1010" s="40"/>
      <c r="O1010" s="40"/>
      <c r="P1010" s="40"/>
      <c r="Q1010" s="40"/>
    </row>
    <row r="1011" spans="7:17">
      <c r="G1011" s="40"/>
      <c r="H1011" s="40"/>
      <c r="I1011" s="40"/>
      <c r="J1011" s="40"/>
      <c r="K1011" s="40"/>
      <c r="L1011" s="40"/>
      <c r="M1011" s="40"/>
      <c r="N1011" s="40"/>
      <c r="O1011" s="40"/>
      <c r="P1011" s="40"/>
      <c r="Q1011" s="40"/>
    </row>
    <row r="1012" spans="7:17">
      <c r="G1012" s="40"/>
      <c r="H1012" s="40"/>
      <c r="I1012" s="40"/>
      <c r="J1012" s="40"/>
      <c r="K1012" s="40"/>
      <c r="L1012" s="40"/>
      <c r="M1012" s="40"/>
      <c r="N1012" s="40"/>
      <c r="O1012" s="40"/>
      <c r="P1012" s="40"/>
      <c r="Q1012" s="40"/>
    </row>
    <row r="1013" spans="7:17">
      <c r="G1013" s="40"/>
      <c r="H1013" s="40"/>
      <c r="I1013" s="40"/>
      <c r="J1013" s="40"/>
      <c r="K1013" s="40"/>
      <c r="L1013" s="40"/>
      <c r="M1013" s="40"/>
      <c r="N1013" s="40"/>
      <c r="O1013" s="40"/>
      <c r="P1013" s="40"/>
      <c r="Q1013" s="40"/>
    </row>
    <row r="1014" spans="7:17">
      <c r="G1014" s="40"/>
      <c r="H1014" s="40"/>
      <c r="I1014" s="40"/>
      <c r="J1014" s="40"/>
      <c r="K1014" s="40"/>
      <c r="L1014" s="40"/>
      <c r="M1014" s="40"/>
      <c r="N1014" s="40"/>
      <c r="O1014" s="40"/>
      <c r="P1014" s="40"/>
      <c r="Q1014" s="40"/>
    </row>
    <row r="1015" spans="7:17">
      <c r="G1015" s="40"/>
      <c r="H1015" s="40"/>
      <c r="I1015" s="40"/>
      <c r="J1015" s="40"/>
      <c r="K1015" s="40"/>
      <c r="L1015" s="40"/>
      <c r="M1015" s="40"/>
      <c r="N1015" s="40"/>
      <c r="O1015" s="40"/>
      <c r="P1015" s="40"/>
      <c r="Q1015" s="40"/>
    </row>
    <row r="1016" spans="7:17">
      <c r="G1016" s="40"/>
      <c r="H1016" s="40"/>
      <c r="I1016" s="40"/>
      <c r="J1016" s="40"/>
      <c r="K1016" s="40"/>
      <c r="L1016" s="40"/>
      <c r="M1016" s="40"/>
      <c r="N1016" s="40"/>
      <c r="O1016" s="40"/>
      <c r="P1016" s="40"/>
      <c r="Q1016" s="40"/>
    </row>
    <row r="1017" spans="7:17">
      <c r="G1017" s="40"/>
      <c r="H1017" s="40"/>
      <c r="I1017" s="40"/>
      <c r="J1017" s="40"/>
      <c r="K1017" s="40"/>
      <c r="L1017" s="40"/>
      <c r="M1017" s="40"/>
      <c r="N1017" s="40"/>
      <c r="O1017" s="40"/>
      <c r="P1017" s="40"/>
      <c r="Q1017" s="40"/>
    </row>
    <row r="1018" spans="7:17">
      <c r="G1018" s="40"/>
      <c r="H1018" s="40"/>
      <c r="I1018" s="40"/>
      <c r="J1018" s="40"/>
      <c r="K1018" s="40"/>
      <c r="L1018" s="40"/>
      <c r="M1018" s="40"/>
      <c r="N1018" s="40"/>
      <c r="O1018" s="40"/>
      <c r="P1018" s="40"/>
      <c r="Q1018" s="40"/>
    </row>
    <row r="1019" spans="7:17">
      <c r="G1019" s="40"/>
      <c r="H1019" s="40"/>
      <c r="I1019" s="40"/>
      <c r="J1019" s="40"/>
      <c r="K1019" s="40"/>
      <c r="L1019" s="40"/>
      <c r="M1019" s="40"/>
      <c r="N1019" s="40"/>
      <c r="O1019" s="40"/>
      <c r="P1019" s="40"/>
      <c r="Q1019" s="40"/>
    </row>
    <row r="1020" spans="7:17">
      <c r="G1020" s="40"/>
      <c r="H1020" s="40"/>
      <c r="I1020" s="40"/>
      <c r="J1020" s="40"/>
      <c r="K1020" s="40"/>
      <c r="L1020" s="40"/>
      <c r="M1020" s="40"/>
      <c r="N1020" s="40"/>
      <c r="O1020" s="40"/>
      <c r="P1020" s="40"/>
      <c r="Q1020" s="40"/>
    </row>
    <row r="1021" spans="7:17">
      <c r="G1021" s="40"/>
      <c r="H1021" s="40"/>
      <c r="I1021" s="40"/>
      <c r="J1021" s="40"/>
      <c r="K1021" s="40"/>
      <c r="L1021" s="40"/>
      <c r="M1021" s="40"/>
      <c r="N1021" s="40"/>
      <c r="O1021" s="40"/>
      <c r="P1021" s="40"/>
      <c r="Q1021" s="40"/>
    </row>
    <row r="1022" spans="7:17">
      <c r="G1022" s="40"/>
      <c r="H1022" s="40"/>
      <c r="I1022" s="40"/>
      <c r="J1022" s="40"/>
      <c r="K1022" s="40"/>
      <c r="L1022" s="40"/>
      <c r="M1022" s="40"/>
      <c r="N1022" s="40"/>
      <c r="O1022" s="40"/>
      <c r="P1022" s="40"/>
      <c r="Q1022" s="40"/>
    </row>
    <row r="1023" spans="7:17">
      <c r="G1023" s="40"/>
      <c r="H1023" s="40"/>
      <c r="I1023" s="40"/>
      <c r="J1023" s="40"/>
      <c r="K1023" s="40"/>
      <c r="L1023" s="40"/>
      <c r="M1023" s="40"/>
      <c r="N1023" s="40"/>
      <c r="O1023" s="40"/>
      <c r="P1023" s="40"/>
      <c r="Q1023" s="40"/>
    </row>
    <row r="1024" spans="7:17">
      <c r="G1024" s="40"/>
      <c r="H1024" s="40"/>
      <c r="I1024" s="40"/>
      <c r="J1024" s="40"/>
      <c r="K1024" s="40"/>
      <c r="L1024" s="40"/>
      <c r="M1024" s="40"/>
      <c r="N1024" s="40"/>
      <c r="O1024" s="40"/>
      <c r="P1024" s="40"/>
      <c r="Q1024" s="40"/>
    </row>
    <row r="1025" spans="7:17">
      <c r="G1025" s="40"/>
      <c r="H1025" s="40"/>
      <c r="I1025" s="40"/>
      <c r="J1025" s="40"/>
      <c r="K1025" s="40"/>
      <c r="L1025" s="40"/>
      <c r="M1025" s="40"/>
      <c r="N1025" s="40"/>
      <c r="O1025" s="40"/>
      <c r="P1025" s="40"/>
      <c r="Q1025" s="40"/>
    </row>
    <row r="1026" spans="7:17">
      <c r="G1026" s="40"/>
      <c r="H1026" s="40"/>
      <c r="I1026" s="40"/>
      <c r="J1026" s="40"/>
      <c r="K1026" s="40"/>
      <c r="L1026" s="40"/>
      <c r="M1026" s="40"/>
      <c r="N1026" s="40"/>
      <c r="O1026" s="40"/>
      <c r="P1026" s="40"/>
      <c r="Q1026" s="40"/>
    </row>
    <row r="1027" spans="7:17">
      <c r="G1027" s="40"/>
      <c r="H1027" s="40"/>
      <c r="I1027" s="40"/>
      <c r="J1027" s="40"/>
      <c r="K1027" s="40"/>
      <c r="L1027" s="40"/>
      <c r="M1027" s="40"/>
      <c r="N1027" s="40"/>
      <c r="O1027" s="40"/>
      <c r="P1027" s="40"/>
      <c r="Q1027" s="40"/>
    </row>
    <row r="1028" spans="7:17">
      <c r="G1028" s="40"/>
      <c r="H1028" s="40"/>
      <c r="I1028" s="40"/>
      <c r="J1028" s="40"/>
      <c r="K1028" s="40"/>
      <c r="L1028" s="40"/>
      <c r="M1028" s="40"/>
      <c r="N1028" s="40"/>
      <c r="O1028" s="40"/>
      <c r="P1028" s="40"/>
      <c r="Q1028" s="40"/>
    </row>
    <row r="1029" spans="7:17">
      <c r="G1029" s="40"/>
      <c r="H1029" s="40"/>
      <c r="I1029" s="40"/>
      <c r="J1029" s="40"/>
      <c r="K1029" s="40"/>
      <c r="L1029" s="40"/>
      <c r="M1029" s="40"/>
      <c r="N1029" s="40"/>
      <c r="O1029" s="40"/>
      <c r="P1029" s="40"/>
      <c r="Q1029" s="40"/>
    </row>
    <row r="1030" spans="7:17">
      <c r="G1030" s="40"/>
      <c r="H1030" s="40"/>
      <c r="I1030" s="40"/>
      <c r="J1030" s="40"/>
      <c r="K1030" s="40"/>
      <c r="L1030" s="40"/>
      <c r="M1030" s="40"/>
      <c r="N1030" s="40"/>
      <c r="O1030" s="40"/>
      <c r="P1030" s="40"/>
      <c r="Q1030" s="40"/>
    </row>
    <row r="1031" spans="7:17">
      <c r="G1031" s="40"/>
      <c r="H1031" s="40"/>
      <c r="I1031" s="40"/>
      <c r="J1031" s="40"/>
      <c r="K1031" s="40"/>
      <c r="L1031" s="40"/>
      <c r="M1031" s="40"/>
      <c r="N1031" s="40"/>
      <c r="O1031" s="40"/>
      <c r="P1031" s="40"/>
      <c r="Q1031" s="40"/>
    </row>
    <row r="1032" spans="7:17">
      <c r="G1032" s="40"/>
      <c r="H1032" s="40"/>
      <c r="I1032" s="40"/>
      <c r="J1032" s="40"/>
      <c r="K1032" s="40"/>
      <c r="L1032" s="40"/>
      <c r="M1032" s="40"/>
      <c r="N1032" s="40"/>
      <c r="O1032" s="40"/>
      <c r="P1032" s="40"/>
      <c r="Q1032" s="40"/>
    </row>
    <row r="1033" spans="7:17">
      <c r="G1033" s="40"/>
      <c r="H1033" s="40"/>
      <c r="I1033" s="40"/>
      <c r="J1033" s="40"/>
      <c r="K1033" s="40"/>
      <c r="L1033" s="40"/>
      <c r="M1033" s="40"/>
      <c r="N1033" s="40"/>
      <c r="O1033" s="40"/>
      <c r="P1033" s="40"/>
      <c r="Q1033" s="40"/>
    </row>
    <row r="1034" spans="7:17">
      <c r="G1034" s="40"/>
      <c r="H1034" s="40"/>
      <c r="I1034" s="40"/>
      <c r="J1034" s="40"/>
      <c r="K1034" s="40"/>
      <c r="L1034" s="40"/>
      <c r="M1034" s="40"/>
      <c r="N1034" s="40"/>
      <c r="O1034" s="40"/>
      <c r="P1034" s="40"/>
      <c r="Q1034" s="40"/>
    </row>
    <row r="1035" spans="7:17">
      <c r="G1035" s="40"/>
      <c r="H1035" s="40"/>
      <c r="I1035" s="40"/>
      <c r="J1035" s="40"/>
      <c r="K1035" s="40"/>
      <c r="L1035" s="40"/>
      <c r="M1035" s="40"/>
      <c r="N1035" s="40"/>
      <c r="O1035" s="40"/>
      <c r="P1035" s="40"/>
      <c r="Q1035" s="40"/>
    </row>
    <row r="1036" spans="7:17">
      <c r="G1036" s="40"/>
      <c r="H1036" s="40"/>
      <c r="I1036" s="40"/>
      <c r="J1036" s="40"/>
      <c r="K1036" s="40"/>
      <c r="L1036" s="40"/>
      <c r="M1036" s="40"/>
      <c r="N1036" s="40"/>
      <c r="O1036" s="40"/>
      <c r="P1036" s="40"/>
      <c r="Q1036" s="40"/>
    </row>
    <row r="1037" spans="7:17">
      <c r="G1037" s="40"/>
      <c r="H1037" s="40"/>
      <c r="I1037" s="40"/>
      <c r="J1037" s="40"/>
      <c r="K1037" s="40"/>
      <c r="L1037" s="40"/>
      <c r="M1037" s="40"/>
      <c r="N1037" s="40"/>
      <c r="O1037" s="40"/>
      <c r="P1037" s="40"/>
      <c r="Q1037" s="40"/>
    </row>
    <row r="1038" spans="7:17">
      <c r="G1038" s="40"/>
      <c r="H1038" s="40"/>
      <c r="I1038" s="40"/>
      <c r="J1038" s="40"/>
      <c r="K1038" s="40"/>
      <c r="L1038" s="40"/>
      <c r="M1038" s="40"/>
      <c r="N1038" s="40"/>
      <c r="O1038" s="40"/>
      <c r="P1038" s="40"/>
      <c r="Q1038" s="40"/>
    </row>
    <row r="1039" spans="7:17">
      <c r="G1039" s="40"/>
      <c r="H1039" s="40"/>
      <c r="I1039" s="40"/>
      <c r="J1039" s="40"/>
      <c r="K1039" s="40"/>
      <c r="L1039" s="40"/>
      <c r="M1039" s="40"/>
      <c r="N1039" s="40"/>
      <c r="O1039" s="40"/>
      <c r="P1039" s="40"/>
      <c r="Q1039" s="40"/>
    </row>
    <row r="1040" spans="7:17">
      <c r="G1040" s="40"/>
      <c r="H1040" s="40"/>
      <c r="I1040" s="40"/>
      <c r="J1040" s="40"/>
      <c r="K1040" s="40"/>
      <c r="L1040" s="40"/>
      <c r="M1040" s="40"/>
      <c r="N1040" s="40"/>
      <c r="O1040" s="40"/>
      <c r="P1040" s="40"/>
      <c r="Q1040" s="40"/>
    </row>
    <row r="1041" spans="7:17">
      <c r="G1041" s="40"/>
      <c r="H1041" s="40"/>
      <c r="I1041" s="40"/>
      <c r="J1041" s="40"/>
      <c r="K1041" s="40"/>
      <c r="L1041" s="40"/>
      <c r="M1041" s="40"/>
      <c r="N1041" s="40"/>
      <c r="O1041" s="40"/>
      <c r="P1041" s="40"/>
      <c r="Q1041" s="40"/>
    </row>
    <row r="1042" spans="7:17">
      <c r="G1042" s="40"/>
      <c r="H1042" s="40"/>
      <c r="I1042" s="40"/>
      <c r="J1042" s="40"/>
      <c r="K1042" s="40"/>
      <c r="L1042" s="40"/>
      <c r="M1042" s="40"/>
      <c r="N1042" s="40"/>
      <c r="O1042" s="40"/>
      <c r="P1042" s="40"/>
      <c r="Q1042" s="40"/>
    </row>
    <row r="1043" spans="7:17">
      <c r="G1043" s="40"/>
      <c r="H1043" s="40"/>
      <c r="I1043" s="40"/>
      <c r="J1043" s="40"/>
      <c r="K1043" s="40"/>
      <c r="L1043" s="40"/>
      <c r="M1043" s="40"/>
      <c r="N1043" s="40"/>
      <c r="O1043" s="40"/>
      <c r="P1043" s="40"/>
      <c r="Q1043" s="40"/>
    </row>
    <row r="1044" spans="7:17">
      <c r="G1044" s="40"/>
      <c r="H1044" s="40"/>
      <c r="I1044" s="40"/>
      <c r="J1044" s="40"/>
      <c r="K1044" s="40"/>
      <c r="L1044" s="40"/>
      <c r="M1044" s="40"/>
      <c r="N1044" s="40"/>
      <c r="O1044" s="40"/>
      <c r="P1044" s="40"/>
      <c r="Q1044" s="40"/>
    </row>
    <row r="1045" spans="7:17">
      <c r="G1045" s="40"/>
      <c r="H1045" s="40"/>
      <c r="I1045" s="40"/>
      <c r="J1045" s="40"/>
      <c r="K1045" s="40"/>
      <c r="L1045" s="40"/>
      <c r="M1045" s="40"/>
      <c r="N1045" s="40"/>
      <c r="O1045" s="40"/>
      <c r="P1045" s="40"/>
      <c r="Q1045" s="40"/>
    </row>
    <row r="1046" spans="7:17">
      <c r="G1046" s="40"/>
      <c r="H1046" s="40"/>
      <c r="I1046" s="40"/>
      <c r="J1046" s="40"/>
      <c r="K1046" s="40"/>
      <c r="L1046" s="40"/>
      <c r="M1046" s="40"/>
      <c r="N1046" s="40"/>
      <c r="O1046" s="40"/>
      <c r="P1046" s="40"/>
      <c r="Q1046" s="40"/>
    </row>
    <row r="1047" spans="7:17">
      <c r="G1047" s="40"/>
      <c r="H1047" s="40"/>
      <c r="I1047" s="40"/>
      <c r="J1047" s="40"/>
      <c r="K1047" s="40"/>
      <c r="L1047" s="40"/>
      <c r="M1047" s="40"/>
      <c r="N1047" s="40"/>
      <c r="O1047" s="40"/>
      <c r="P1047" s="40"/>
      <c r="Q1047" s="40"/>
    </row>
    <row r="1048" spans="7:17">
      <c r="G1048" s="40"/>
      <c r="H1048" s="40"/>
      <c r="I1048" s="40"/>
      <c r="J1048" s="40"/>
      <c r="K1048" s="40"/>
      <c r="L1048" s="40"/>
      <c r="M1048" s="40"/>
      <c r="N1048" s="40"/>
      <c r="O1048" s="40"/>
      <c r="P1048" s="40"/>
      <c r="Q1048" s="40"/>
    </row>
    <row r="1049" spans="7:17">
      <c r="G1049" s="40"/>
      <c r="H1049" s="40"/>
      <c r="I1049" s="40"/>
      <c r="J1049" s="40"/>
      <c r="K1049" s="40"/>
      <c r="L1049" s="40"/>
      <c r="M1049" s="40"/>
      <c r="N1049" s="40"/>
      <c r="O1049" s="40"/>
      <c r="P1049" s="40"/>
      <c r="Q1049" s="40"/>
    </row>
    <row r="1050" spans="7:17">
      <c r="G1050" s="40"/>
      <c r="H1050" s="40"/>
      <c r="I1050" s="40"/>
      <c r="J1050" s="40"/>
      <c r="K1050" s="40"/>
      <c r="L1050" s="40"/>
      <c r="M1050" s="40"/>
      <c r="N1050" s="40"/>
      <c r="O1050" s="40"/>
      <c r="P1050" s="40"/>
      <c r="Q1050" s="40"/>
    </row>
    <row r="1051" spans="7:17">
      <c r="G1051" s="40"/>
      <c r="H1051" s="40"/>
      <c r="I1051" s="40"/>
      <c r="J1051" s="40"/>
      <c r="K1051" s="40"/>
      <c r="L1051" s="40"/>
      <c r="M1051" s="40"/>
      <c r="N1051" s="40"/>
      <c r="O1051" s="40"/>
      <c r="P1051" s="40"/>
      <c r="Q1051" s="40"/>
    </row>
    <row r="1052" spans="7:17">
      <c r="G1052" s="40"/>
      <c r="H1052" s="40"/>
      <c r="I1052" s="40"/>
      <c r="J1052" s="40"/>
      <c r="K1052" s="40"/>
      <c r="L1052" s="40"/>
      <c r="M1052" s="40"/>
      <c r="N1052" s="40"/>
      <c r="O1052" s="40"/>
      <c r="P1052" s="40"/>
      <c r="Q1052" s="40"/>
    </row>
    <row r="1053" spans="7:17">
      <c r="G1053" s="40"/>
      <c r="H1053" s="40"/>
      <c r="I1053" s="40"/>
      <c r="J1053" s="40"/>
      <c r="K1053" s="40"/>
      <c r="L1053" s="40"/>
      <c r="M1053" s="40"/>
      <c r="N1053" s="40"/>
      <c r="O1053" s="40"/>
      <c r="P1053" s="40"/>
      <c r="Q1053" s="40"/>
    </row>
    <row r="1054" spans="7:17">
      <c r="G1054" s="40"/>
      <c r="H1054" s="40"/>
      <c r="I1054" s="40"/>
      <c r="J1054" s="40"/>
      <c r="K1054" s="40"/>
      <c r="L1054" s="40"/>
      <c r="M1054" s="40"/>
      <c r="N1054" s="40"/>
      <c r="O1054" s="40"/>
      <c r="P1054" s="40"/>
      <c r="Q1054" s="40"/>
    </row>
    <row r="1055" spans="7:17">
      <c r="G1055" s="40"/>
      <c r="H1055" s="40"/>
      <c r="I1055" s="40"/>
      <c r="J1055" s="40"/>
      <c r="K1055" s="40"/>
      <c r="L1055" s="40"/>
      <c r="M1055" s="40"/>
      <c r="N1055" s="40"/>
      <c r="O1055" s="40"/>
      <c r="P1055" s="40"/>
      <c r="Q1055" s="40"/>
    </row>
    <row r="1056" spans="7:17">
      <c r="G1056" s="40"/>
      <c r="H1056" s="40"/>
      <c r="I1056" s="40"/>
      <c r="J1056" s="40"/>
      <c r="K1056" s="40"/>
      <c r="L1056" s="40"/>
      <c r="M1056" s="40"/>
      <c r="N1056" s="40"/>
      <c r="O1056" s="40"/>
      <c r="P1056" s="40"/>
      <c r="Q1056" s="40"/>
    </row>
    <row r="1057" spans="7:17">
      <c r="G1057" s="40"/>
      <c r="H1057" s="40"/>
      <c r="I1057" s="40"/>
      <c r="J1057" s="40"/>
      <c r="K1057" s="40"/>
      <c r="L1057" s="40"/>
      <c r="M1057" s="40"/>
      <c r="N1057" s="40"/>
      <c r="O1057" s="40"/>
      <c r="P1057" s="40"/>
      <c r="Q1057" s="40"/>
    </row>
    <row r="1058" spans="7:17">
      <c r="G1058" s="40"/>
      <c r="H1058" s="40"/>
      <c r="I1058" s="40"/>
      <c r="J1058" s="40"/>
      <c r="K1058" s="40"/>
      <c r="L1058" s="40"/>
      <c r="M1058" s="40"/>
      <c r="N1058" s="40"/>
      <c r="O1058" s="40"/>
      <c r="P1058" s="40"/>
      <c r="Q1058" s="40"/>
    </row>
    <row r="1059" spans="7:17">
      <c r="G1059" s="40"/>
      <c r="H1059" s="40"/>
      <c r="I1059" s="40"/>
      <c r="J1059" s="40"/>
      <c r="K1059" s="40"/>
      <c r="L1059" s="40"/>
      <c r="M1059" s="40"/>
      <c r="N1059" s="40"/>
      <c r="O1059" s="40"/>
      <c r="P1059" s="40"/>
      <c r="Q1059" s="40"/>
    </row>
    <row r="1060" spans="7:17">
      <c r="G1060" s="40"/>
      <c r="H1060" s="40"/>
      <c r="I1060" s="40"/>
      <c r="J1060" s="40"/>
      <c r="K1060" s="40"/>
      <c r="L1060" s="40"/>
      <c r="M1060" s="40"/>
      <c r="N1060" s="40"/>
      <c r="O1060" s="40"/>
      <c r="P1060" s="40"/>
      <c r="Q1060" s="40"/>
    </row>
    <row r="1061" spans="7:17">
      <c r="G1061" s="40"/>
      <c r="H1061" s="40"/>
      <c r="I1061" s="40"/>
      <c r="J1061" s="40"/>
      <c r="K1061" s="40"/>
      <c r="L1061" s="40"/>
      <c r="M1061" s="40"/>
      <c r="N1061" s="40"/>
      <c r="O1061" s="40"/>
      <c r="P1061" s="40"/>
      <c r="Q1061" s="40"/>
    </row>
    <row r="1062" spans="7:17">
      <c r="G1062" s="40"/>
      <c r="H1062" s="40"/>
      <c r="I1062" s="40"/>
      <c r="J1062" s="40"/>
      <c r="K1062" s="40"/>
      <c r="L1062" s="40"/>
      <c r="M1062" s="40"/>
      <c r="N1062" s="40"/>
      <c r="O1062" s="40"/>
      <c r="P1062" s="40"/>
      <c r="Q1062" s="40"/>
    </row>
    <row r="1063" spans="7:17">
      <c r="G1063" s="40"/>
      <c r="H1063" s="40"/>
      <c r="I1063" s="40"/>
      <c r="J1063" s="40"/>
      <c r="K1063" s="40"/>
      <c r="L1063" s="40"/>
      <c r="M1063" s="40"/>
      <c r="N1063" s="40"/>
      <c r="O1063" s="40"/>
      <c r="P1063" s="40"/>
      <c r="Q1063" s="40"/>
    </row>
    <row r="1064" spans="7:17">
      <c r="G1064" s="40"/>
      <c r="H1064" s="40"/>
      <c r="I1064" s="40"/>
      <c r="J1064" s="40"/>
      <c r="K1064" s="40"/>
      <c r="L1064" s="40"/>
      <c r="M1064" s="40"/>
      <c r="N1064" s="40"/>
      <c r="O1064" s="40"/>
      <c r="P1064" s="40"/>
      <c r="Q1064" s="40"/>
    </row>
    <row r="1065" spans="7:17">
      <c r="G1065" s="40"/>
      <c r="H1065" s="40"/>
      <c r="I1065" s="40"/>
      <c r="J1065" s="40"/>
      <c r="K1065" s="40"/>
      <c r="L1065" s="40"/>
      <c r="M1065" s="40"/>
      <c r="N1065" s="40"/>
      <c r="O1065" s="40"/>
      <c r="P1065" s="40"/>
      <c r="Q1065" s="40"/>
    </row>
    <row r="1066" spans="7:17">
      <c r="G1066" s="40"/>
      <c r="H1066" s="40"/>
      <c r="I1066" s="40"/>
      <c r="J1066" s="40"/>
      <c r="K1066" s="40"/>
      <c r="L1066" s="40"/>
      <c r="M1066" s="40"/>
      <c r="N1066" s="40"/>
      <c r="O1066" s="40"/>
      <c r="P1066" s="40"/>
      <c r="Q1066" s="40"/>
    </row>
    <row r="1067" spans="7:17">
      <c r="G1067" s="40"/>
      <c r="H1067" s="40"/>
      <c r="I1067" s="40"/>
      <c r="J1067" s="40"/>
      <c r="K1067" s="40"/>
      <c r="L1067" s="40"/>
      <c r="M1067" s="40"/>
      <c r="N1067" s="40"/>
      <c r="O1067" s="40"/>
      <c r="P1067" s="40"/>
      <c r="Q1067" s="40"/>
    </row>
    <row r="1068" spans="7:17">
      <c r="G1068" s="40"/>
      <c r="H1068" s="40"/>
      <c r="I1068" s="40"/>
      <c r="J1068" s="40"/>
      <c r="K1068" s="40"/>
      <c r="L1068" s="40"/>
      <c r="M1068" s="40"/>
      <c r="N1068" s="40"/>
      <c r="O1068" s="40"/>
      <c r="P1068" s="40"/>
      <c r="Q1068" s="40"/>
    </row>
    <row r="1069" spans="7:17">
      <c r="G1069" s="40"/>
      <c r="H1069" s="40"/>
      <c r="I1069" s="40"/>
      <c r="J1069" s="40"/>
      <c r="K1069" s="40"/>
      <c r="L1069" s="40"/>
      <c r="M1069" s="40"/>
      <c r="N1069" s="40"/>
      <c r="O1069" s="40"/>
      <c r="P1069" s="40"/>
      <c r="Q1069" s="40"/>
    </row>
    <row r="1070" spans="7:17">
      <c r="G1070" s="40"/>
      <c r="H1070" s="40"/>
      <c r="I1070" s="40"/>
      <c r="J1070" s="40"/>
      <c r="K1070" s="40"/>
      <c r="L1070" s="40"/>
      <c r="M1070" s="40"/>
      <c r="N1070" s="40"/>
      <c r="O1070" s="40"/>
      <c r="P1070" s="40"/>
      <c r="Q1070" s="40"/>
    </row>
    <row r="1071" spans="7:17">
      <c r="G1071" s="40"/>
      <c r="H1071" s="40"/>
      <c r="I1071" s="40"/>
      <c r="J1071" s="40"/>
      <c r="K1071" s="40"/>
      <c r="L1071" s="40"/>
      <c r="M1071" s="40"/>
      <c r="N1071" s="40"/>
      <c r="O1071" s="40"/>
      <c r="P1071" s="40"/>
      <c r="Q1071" s="40"/>
    </row>
    <row r="1072" spans="7:17">
      <c r="G1072" s="40"/>
      <c r="H1072" s="40"/>
      <c r="I1072" s="40"/>
      <c r="J1072" s="40"/>
      <c r="K1072" s="40"/>
      <c r="L1072" s="40"/>
      <c r="M1072" s="40"/>
      <c r="N1072" s="40"/>
      <c r="O1072" s="40"/>
      <c r="P1072" s="40"/>
      <c r="Q1072" s="40"/>
    </row>
    <row r="1073" spans="7:17">
      <c r="G1073" s="40"/>
      <c r="H1073" s="40"/>
      <c r="I1073" s="40"/>
      <c r="J1073" s="40"/>
      <c r="K1073" s="40"/>
      <c r="L1073" s="40"/>
      <c r="M1073" s="40"/>
      <c r="N1073" s="40"/>
      <c r="O1073" s="40"/>
      <c r="P1073" s="40"/>
      <c r="Q1073" s="40"/>
    </row>
    <row r="1074" spans="7:17">
      <c r="G1074" s="40"/>
      <c r="H1074" s="40"/>
      <c r="I1074" s="40"/>
      <c r="J1074" s="40"/>
      <c r="K1074" s="40"/>
      <c r="L1074" s="40"/>
      <c r="M1074" s="40"/>
      <c r="N1074" s="40"/>
      <c r="O1074" s="40"/>
      <c r="P1074" s="40"/>
      <c r="Q1074" s="40"/>
    </row>
    <row r="1075" spans="7:17">
      <c r="G1075" s="40"/>
      <c r="H1075" s="40"/>
      <c r="I1075" s="40"/>
      <c r="J1075" s="40"/>
      <c r="K1075" s="40"/>
      <c r="L1075" s="40"/>
      <c r="M1075" s="40"/>
      <c r="N1075" s="40"/>
      <c r="O1075" s="40"/>
      <c r="P1075" s="40"/>
      <c r="Q1075" s="40"/>
    </row>
    <row r="1076" spans="7:17">
      <c r="G1076" s="40"/>
      <c r="H1076" s="40"/>
      <c r="I1076" s="40"/>
      <c r="J1076" s="40"/>
      <c r="K1076" s="40"/>
      <c r="L1076" s="40"/>
      <c r="M1076" s="40"/>
      <c r="N1076" s="40"/>
      <c r="O1076" s="40"/>
      <c r="P1076" s="40"/>
      <c r="Q1076" s="40"/>
    </row>
    <row r="1077" spans="7:17">
      <c r="G1077" s="40"/>
      <c r="H1077" s="40"/>
      <c r="I1077" s="40"/>
      <c r="J1077" s="40"/>
      <c r="K1077" s="40"/>
      <c r="L1077" s="40"/>
      <c r="M1077" s="40"/>
      <c r="N1077" s="40"/>
      <c r="O1077" s="40"/>
      <c r="P1077" s="40"/>
      <c r="Q1077" s="40"/>
    </row>
    <row r="1078" spans="7:17">
      <c r="G1078" s="40"/>
      <c r="H1078" s="40"/>
      <c r="I1078" s="40"/>
      <c r="J1078" s="40"/>
      <c r="K1078" s="40"/>
      <c r="L1078" s="40"/>
      <c r="M1078" s="40"/>
      <c r="N1078" s="40"/>
      <c r="O1078" s="40"/>
      <c r="P1078" s="40"/>
      <c r="Q1078" s="40"/>
    </row>
    <row r="1079" spans="7:17">
      <c r="G1079" s="40"/>
      <c r="H1079" s="40"/>
      <c r="I1079" s="40"/>
      <c r="J1079" s="40"/>
      <c r="K1079" s="40"/>
      <c r="L1079" s="40"/>
      <c r="M1079" s="40"/>
      <c r="N1079" s="40"/>
      <c r="O1079" s="40"/>
      <c r="P1079" s="40"/>
      <c r="Q1079" s="40"/>
    </row>
    <row r="1080" spans="7:17">
      <c r="G1080" s="40"/>
      <c r="H1080" s="40"/>
      <c r="I1080" s="40"/>
      <c r="J1080" s="40"/>
      <c r="K1080" s="40"/>
      <c r="L1080" s="40"/>
      <c r="M1080" s="40"/>
      <c r="N1080" s="40"/>
      <c r="O1080" s="40"/>
      <c r="P1080" s="40"/>
      <c r="Q1080" s="40"/>
    </row>
    <row r="1081" spans="7:17">
      <c r="G1081" s="40"/>
      <c r="H1081" s="40"/>
      <c r="I1081" s="40"/>
      <c r="J1081" s="40"/>
      <c r="K1081" s="40"/>
      <c r="L1081" s="40"/>
      <c r="M1081" s="40"/>
      <c r="N1081" s="40"/>
      <c r="O1081" s="40"/>
      <c r="P1081" s="40"/>
      <c r="Q1081" s="40"/>
    </row>
    <row r="1082" spans="7:17">
      <c r="G1082" s="40"/>
      <c r="H1082" s="40"/>
      <c r="I1082" s="40"/>
      <c r="J1082" s="40"/>
      <c r="K1082" s="40"/>
      <c r="L1082" s="40"/>
      <c r="M1082" s="40"/>
      <c r="N1082" s="40"/>
      <c r="O1082" s="40"/>
      <c r="P1082" s="40"/>
      <c r="Q1082" s="40"/>
    </row>
    <row r="1083" spans="7:17">
      <c r="G1083" s="40"/>
      <c r="H1083" s="40"/>
      <c r="I1083" s="40"/>
      <c r="J1083" s="40"/>
      <c r="K1083" s="40"/>
      <c r="L1083" s="40"/>
      <c r="M1083" s="40"/>
      <c r="N1083" s="40"/>
      <c r="O1083" s="40"/>
      <c r="P1083" s="40"/>
      <c r="Q1083" s="40"/>
    </row>
    <row r="1084" spans="7:17">
      <c r="G1084" s="40"/>
      <c r="H1084" s="40"/>
      <c r="I1084" s="40"/>
      <c r="J1084" s="40"/>
      <c r="K1084" s="40"/>
      <c r="L1084" s="40"/>
      <c r="M1084" s="40"/>
      <c r="N1084" s="40"/>
      <c r="O1084" s="40"/>
      <c r="P1084" s="40"/>
      <c r="Q1084" s="40"/>
    </row>
    <row r="1085" spans="7:17">
      <c r="G1085" s="40"/>
      <c r="H1085" s="40"/>
      <c r="I1085" s="40"/>
      <c r="J1085" s="40"/>
      <c r="K1085" s="40"/>
      <c r="L1085" s="40"/>
      <c r="M1085" s="40"/>
      <c r="N1085" s="40"/>
      <c r="O1085" s="40"/>
      <c r="P1085" s="40"/>
      <c r="Q1085" s="40"/>
    </row>
    <row r="1086" spans="7:17">
      <c r="G1086" s="40"/>
      <c r="H1086" s="40"/>
      <c r="I1086" s="40"/>
      <c r="J1086" s="40"/>
      <c r="K1086" s="40"/>
      <c r="L1086" s="40"/>
      <c r="M1086" s="40"/>
      <c r="N1086" s="40"/>
      <c r="O1086" s="40"/>
      <c r="P1086" s="40"/>
      <c r="Q1086" s="40"/>
    </row>
    <row r="1087" spans="7:17">
      <c r="G1087" s="40"/>
      <c r="H1087" s="40"/>
      <c r="I1087" s="40"/>
      <c r="J1087" s="40"/>
      <c r="K1087" s="40"/>
      <c r="L1087" s="40"/>
      <c r="M1087" s="40"/>
      <c r="N1087" s="40"/>
      <c r="O1087" s="40"/>
      <c r="P1087" s="40"/>
      <c r="Q1087" s="40"/>
    </row>
    <row r="1088" spans="7:17">
      <c r="G1088" s="40"/>
      <c r="H1088" s="40"/>
      <c r="I1088" s="40"/>
      <c r="J1088" s="40"/>
      <c r="K1088" s="40"/>
      <c r="L1088" s="40"/>
      <c r="M1088" s="40"/>
      <c r="N1088" s="40"/>
      <c r="O1088" s="40"/>
      <c r="P1088" s="40"/>
      <c r="Q1088" s="40"/>
    </row>
    <row r="1089" spans="7:17">
      <c r="G1089" s="40"/>
      <c r="H1089" s="40"/>
      <c r="I1089" s="40"/>
      <c r="J1089" s="40"/>
      <c r="K1089" s="40"/>
      <c r="L1089" s="40"/>
      <c r="M1089" s="40"/>
      <c r="N1089" s="40"/>
      <c r="O1089" s="40"/>
      <c r="P1089" s="40"/>
      <c r="Q1089" s="40"/>
    </row>
    <row r="1090" spans="7:17">
      <c r="G1090" s="40"/>
      <c r="H1090" s="40"/>
      <c r="I1090" s="40"/>
      <c r="J1090" s="40"/>
      <c r="K1090" s="40"/>
      <c r="L1090" s="40"/>
      <c r="M1090" s="40"/>
      <c r="N1090" s="40"/>
      <c r="O1090" s="40"/>
      <c r="P1090" s="40"/>
      <c r="Q1090" s="40"/>
    </row>
    <row r="1091" spans="7:17">
      <c r="G1091" s="40"/>
      <c r="H1091" s="40"/>
      <c r="I1091" s="40"/>
      <c r="J1091" s="40"/>
      <c r="K1091" s="40"/>
      <c r="L1091" s="40"/>
      <c r="M1091" s="40"/>
      <c r="N1091" s="40"/>
      <c r="O1091" s="40"/>
      <c r="P1091" s="40"/>
      <c r="Q1091" s="40"/>
    </row>
    <row r="1092" spans="7:17">
      <c r="G1092" s="40"/>
      <c r="H1092" s="40"/>
      <c r="I1092" s="40"/>
      <c r="J1092" s="40"/>
      <c r="K1092" s="40"/>
      <c r="L1092" s="40"/>
      <c r="M1092" s="40"/>
      <c r="N1092" s="40"/>
      <c r="O1092" s="40"/>
      <c r="P1092" s="40"/>
      <c r="Q1092" s="40"/>
    </row>
    <row r="1093" spans="7:17">
      <c r="G1093" s="40"/>
      <c r="H1093" s="40"/>
      <c r="I1093" s="40"/>
      <c r="J1093" s="40"/>
      <c r="K1093" s="40"/>
      <c r="L1093" s="40"/>
      <c r="M1093" s="40"/>
      <c r="N1093" s="40"/>
      <c r="O1093" s="40"/>
      <c r="P1093" s="40"/>
      <c r="Q1093" s="40"/>
    </row>
    <row r="1094" spans="7:17">
      <c r="G1094" s="40"/>
      <c r="H1094" s="40"/>
      <c r="I1094" s="40"/>
      <c r="J1094" s="40"/>
      <c r="K1094" s="40"/>
      <c r="L1094" s="40"/>
      <c r="M1094" s="40"/>
      <c r="N1094" s="40"/>
      <c r="O1094" s="40"/>
      <c r="P1094" s="40"/>
      <c r="Q1094" s="40"/>
    </row>
    <row r="1095" spans="7:17">
      <c r="G1095" s="40"/>
      <c r="H1095" s="40"/>
      <c r="I1095" s="40"/>
      <c r="J1095" s="40"/>
      <c r="K1095" s="40"/>
      <c r="L1095" s="40"/>
      <c r="M1095" s="40"/>
      <c r="N1095" s="40"/>
      <c r="O1095" s="40"/>
      <c r="P1095" s="40"/>
      <c r="Q1095" s="40"/>
    </row>
    <row r="1096" spans="7:17">
      <c r="G1096" s="40"/>
      <c r="H1096" s="40"/>
      <c r="I1096" s="40"/>
      <c r="J1096" s="40"/>
      <c r="K1096" s="40"/>
      <c r="L1096" s="40"/>
      <c r="M1096" s="40"/>
      <c r="N1096" s="40"/>
      <c r="O1096" s="40"/>
      <c r="P1096" s="40"/>
      <c r="Q1096" s="40"/>
    </row>
    <row r="1097" spans="7:17">
      <c r="G1097" s="40"/>
      <c r="H1097" s="40"/>
      <c r="I1097" s="40"/>
      <c r="J1097" s="40"/>
      <c r="K1097" s="40"/>
      <c r="L1097" s="40"/>
      <c r="M1097" s="40"/>
      <c r="N1097" s="40"/>
      <c r="O1097" s="40"/>
      <c r="P1097" s="40"/>
      <c r="Q1097" s="40"/>
    </row>
    <row r="1098" spans="7:17">
      <c r="G1098" s="40"/>
      <c r="H1098" s="40"/>
      <c r="I1098" s="40"/>
      <c r="J1098" s="40"/>
      <c r="K1098" s="40"/>
      <c r="L1098" s="40"/>
      <c r="M1098" s="40"/>
      <c r="N1098" s="40"/>
      <c r="O1098" s="40"/>
      <c r="P1098" s="40"/>
      <c r="Q1098" s="40"/>
    </row>
    <row r="1099" spans="7:17">
      <c r="G1099" s="40"/>
      <c r="H1099" s="40"/>
      <c r="I1099" s="40"/>
      <c r="J1099" s="40"/>
      <c r="K1099" s="40"/>
      <c r="L1099" s="40"/>
      <c r="M1099" s="40"/>
      <c r="N1099" s="40"/>
      <c r="O1099" s="40"/>
      <c r="P1099" s="40"/>
      <c r="Q1099" s="40"/>
    </row>
    <row r="1100" spans="7:17">
      <c r="G1100" s="40"/>
      <c r="H1100" s="40"/>
      <c r="I1100" s="40"/>
      <c r="J1100" s="40"/>
      <c r="K1100" s="40"/>
      <c r="L1100" s="40"/>
      <c r="M1100" s="40"/>
      <c r="N1100" s="40"/>
      <c r="O1100" s="40"/>
      <c r="P1100" s="40"/>
      <c r="Q1100" s="40"/>
    </row>
    <row r="1101" spans="7:17">
      <c r="G1101" s="40"/>
      <c r="H1101" s="40"/>
      <c r="I1101" s="40"/>
      <c r="J1101" s="40"/>
      <c r="K1101" s="40"/>
      <c r="L1101" s="40"/>
      <c r="M1101" s="40"/>
      <c r="N1101" s="40"/>
      <c r="O1101" s="40"/>
      <c r="P1101" s="40"/>
      <c r="Q1101" s="40"/>
    </row>
    <row r="1102" spans="7:17">
      <c r="G1102" s="40"/>
      <c r="H1102" s="40"/>
      <c r="I1102" s="40"/>
      <c r="J1102" s="40"/>
      <c r="K1102" s="40"/>
      <c r="L1102" s="40"/>
      <c r="M1102" s="40"/>
      <c r="N1102" s="40"/>
      <c r="O1102" s="40"/>
      <c r="P1102" s="40"/>
      <c r="Q1102" s="40"/>
    </row>
    <row r="1103" spans="7:17">
      <c r="G1103" s="40"/>
      <c r="H1103" s="40"/>
      <c r="I1103" s="40"/>
      <c r="J1103" s="40"/>
      <c r="K1103" s="40"/>
      <c r="L1103" s="40"/>
      <c r="M1103" s="40"/>
      <c r="N1103" s="40"/>
      <c r="O1103" s="40"/>
      <c r="P1103" s="40"/>
      <c r="Q1103" s="40"/>
    </row>
    <row r="1104" spans="7:17">
      <c r="G1104" s="40"/>
      <c r="H1104" s="40"/>
      <c r="I1104" s="40"/>
      <c r="J1104" s="40"/>
      <c r="K1104" s="40"/>
      <c r="L1104" s="40"/>
      <c r="M1104" s="40"/>
      <c r="N1104" s="40"/>
      <c r="O1104" s="40"/>
      <c r="P1104" s="40"/>
      <c r="Q1104" s="40"/>
    </row>
    <row r="1105" spans="7:17">
      <c r="G1105" s="40"/>
      <c r="H1105" s="40"/>
      <c r="I1105" s="40"/>
      <c r="J1105" s="40"/>
      <c r="K1105" s="40"/>
      <c r="L1105" s="40"/>
      <c r="M1105" s="40"/>
      <c r="N1105" s="40"/>
      <c r="O1105" s="40"/>
      <c r="P1105" s="40"/>
      <c r="Q1105" s="40"/>
    </row>
    <row r="1106" spans="7:17">
      <c r="G1106" s="40"/>
      <c r="H1106" s="40"/>
      <c r="I1106" s="40"/>
      <c r="J1106" s="40"/>
      <c r="K1106" s="40"/>
      <c r="L1106" s="40"/>
      <c r="M1106" s="40"/>
      <c r="N1106" s="40"/>
      <c r="O1106" s="40"/>
      <c r="P1106" s="40"/>
      <c r="Q1106" s="40"/>
    </row>
    <row r="1107" spans="7:17">
      <c r="G1107" s="40"/>
      <c r="H1107" s="40"/>
      <c r="I1107" s="40"/>
      <c r="J1107" s="40"/>
      <c r="K1107" s="40"/>
      <c r="L1107" s="40"/>
      <c r="M1107" s="40"/>
      <c r="N1107" s="40"/>
      <c r="O1107" s="40"/>
      <c r="P1107" s="40"/>
      <c r="Q1107" s="40"/>
    </row>
    <row r="1108" spans="7:17">
      <c r="G1108" s="40"/>
      <c r="H1108" s="40"/>
      <c r="I1108" s="40"/>
      <c r="J1108" s="40"/>
      <c r="K1108" s="40"/>
      <c r="L1108" s="40"/>
      <c r="M1108" s="40"/>
      <c r="N1108" s="40"/>
      <c r="O1108" s="40"/>
      <c r="P1108" s="40"/>
      <c r="Q1108" s="40"/>
    </row>
    <row r="1109" spans="7:17">
      <c r="G1109" s="40"/>
      <c r="H1109" s="40"/>
      <c r="I1109" s="40"/>
      <c r="J1109" s="40"/>
      <c r="K1109" s="40"/>
      <c r="L1109" s="40"/>
      <c r="M1109" s="40"/>
      <c r="N1109" s="40"/>
      <c r="O1109" s="40"/>
      <c r="P1109" s="40"/>
      <c r="Q1109" s="40"/>
    </row>
    <row r="1110" spans="7:17">
      <c r="G1110" s="40"/>
      <c r="H1110" s="40"/>
      <c r="I1110" s="40"/>
      <c r="J1110" s="40"/>
      <c r="K1110" s="40"/>
      <c r="L1110" s="40"/>
      <c r="M1110" s="40"/>
      <c r="N1110" s="40"/>
      <c r="O1110" s="40"/>
      <c r="P1110" s="40"/>
      <c r="Q1110" s="40"/>
    </row>
    <row r="1111" spans="7:17">
      <c r="G1111" s="40"/>
      <c r="H1111" s="40"/>
      <c r="I1111" s="40"/>
      <c r="J1111" s="40"/>
      <c r="K1111" s="40"/>
      <c r="L1111" s="40"/>
      <c r="M1111" s="40"/>
      <c r="N1111" s="40"/>
      <c r="O1111" s="40"/>
      <c r="P1111" s="40"/>
      <c r="Q1111" s="40"/>
    </row>
    <row r="1112" spans="7:17">
      <c r="G1112" s="40"/>
      <c r="H1112" s="40"/>
      <c r="I1112" s="40"/>
      <c r="J1112" s="40"/>
      <c r="K1112" s="40"/>
      <c r="L1112" s="40"/>
      <c r="M1112" s="40"/>
      <c r="N1112" s="40"/>
      <c r="O1112" s="40"/>
      <c r="P1112" s="40"/>
      <c r="Q1112" s="40"/>
    </row>
    <row r="1113" spans="7:17">
      <c r="G1113" s="40"/>
      <c r="H1113" s="40"/>
      <c r="I1113" s="40"/>
      <c r="J1113" s="40"/>
      <c r="K1113" s="40"/>
      <c r="L1113" s="40"/>
      <c r="M1113" s="40"/>
      <c r="N1113" s="40"/>
      <c r="O1113" s="40"/>
      <c r="P1113" s="40"/>
      <c r="Q1113" s="40"/>
    </row>
    <row r="1114" spans="7:17">
      <c r="G1114" s="40"/>
      <c r="H1114" s="40"/>
      <c r="I1114" s="40"/>
      <c r="J1114" s="40"/>
      <c r="K1114" s="40"/>
      <c r="L1114" s="40"/>
      <c r="M1114" s="40"/>
      <c r="N1114" s="40"/>
      <c r="O1114" s="40"/>
      <c r="P1114" s="40"/>
      <c r="Q1114" s="40"/>
    </row>
    <row r="1115" spans="7:17">
      <c r="G1115" s="40"/>
      <c r="H1115" s="40"/>
      <c r="I1115" s="40"/>
      <c r="J1115" s="40"/>
      <c r="K1115" s="40"/>
      <c r="L1115" s="40"/>
      <c r="M1115" s="40"/>
      <c r="N1115" s="40"/>
      <c r="O1115" s="40"/>
      <c r="P1115" s="40"/>
      <c r="Q1115" s="40"/>
    </row>
    <row r="1116" spans="7:17">
      <c r="G1116" s="40"/>
      <c r="H1116" s="40"/>
      <c r="I1116" s="40"/>
      <c r="J1116" s="40"/>
      <c r="K1116" s="40"/>
      <c r="L1116" s="40"/>
      <c r="M1116" s="40"/>
      <c r="N1116" s="40"/>
      <c r="O1116" s="40"/>
      <c r="P1116" s="40"/>
      <c r="Q1116" s="40"/>
    </row>
    <row r="1117" spans="7:17">
      <c r="G1117" s="40"/>
      <c r="H1117" s="40"/>
      <c r="I1117" s="40"/>
      <c r="J1117" s="40"/>
      <c r="K1117" s="40"/>
      <c r="L1117" s="40"/>
      <c r="M1117" s="40"/>
      <c r="N1117" s="40"/>
      <c r="O1117" s="40"/>
      <c r="P1117" s="40"/>
      <c r="Q1117" s="40"/>
    </row>
    <row r="1118" spans="7:17">
      <c r="G1118" s="40"/>
      <c r="H1118" s="40"/>
      <c r="I1118" s="40"/>
      <c r="J1118" s="40"/>
      <c r="K1118" s="40"/>
      <c r="L1118" s="40"/>
      <c r="M1118" s="40"/>
      <c r="N1118" s="40"/>
      <c r="O1118" s="40"/>
      <c r="P1118" s="40"/>
      <c r="Q1118" s="40"/>
    </row>
    <row r="1119" spans="7:17">
      <c r="G1119" s="40"/>
      <c r="H1119" s="40"/>
      <c r="I1119" s="40"/>
      <c r="J1119" s="40"/>
      <c r="K1119" s="40"/>
      <c r="L1119" s="40"/>
      <c r="M1119" s="40"/>
      <c r="N1119" s="40"/>
      <c r="O1119" s="40"/>
      <c r="P1119" s="40"/>
      <c r="Q1119" s="40"/>
    </row>
    <row r="1120" spans="7:17">
      <c r="G1120" s="40"/>
      <c r="H1120" s="40"/>
      <c r="I1120" s="40"/>
      <c r="J1120" s="40"/>
      <c r="K1120" s="40"/>
      <c r="L1120" s="40"/>
      <c r="M1120" s="40"/>
      <c r="N1120" s="40"/>
      <c r="O1120" s="40"/>
      <c r="P1120" s="40"/>
      <c r="Q1120" s="40"/>
    </row>
    <row r="1121" spans="7:17">
      <c r="G1121" s="40"/>
      <c r="H1121" s="40"/>
      <c r="I1121" s="40"/>
      <c r="J1121" s="40"/>
      <c r="K1121" s="40"/>
      <c r="L1121" s="40"/>
      <c r="M1121" s="40"/>
      <c r="N1121" s="40"/>
      <c r="O1121" s="40"/>
      <c r="P1121" s="40"/>
      <c r="Q1121" s="40"/>
    </row>
    <row r="1122" spans="7:17">
      <c r="G1122" s="40"/>
      <c r="H1122" s="40"/>
      <c r="I1122" s="40"/>
      <c r="J1122" s="40"/>
      <c r="K1122" s="40"/>
      <c r="L1122" s="40"/>
      <c r="M1122" s="40"/>
      <c r="N1122" s="40"/>
      <c r="O1122" s="40"/>
      <c r="P1122" s="40"/>
      <c r="Q1122" s="40"/>
    </row>
    <row r="1123" spans="7:17">
      <c r="G1123" s="40"/>
      <c r="H1123" s="40"/>
      <c r="I1123" s="40"/>
      <c r="J1123" s="40"/>
      <c r="K1123" s="40"/>
      <c r="L1123" s="40"/>
      <c r="M1123" s="40"/>
      <c r="N1123" s="40"/>
      <c r="O1123" s="40"/>
      <c r="P1123" s="40"/>
      <c r="Q1123" s="40"/>
    </row>
    <row r="1124" spans="7:17">
      <c r="G1124" s="40"/>
      <c r="H1124" s="40"/>
      <c r="I1124" s="40"/>
      <c r="J1124" s="40"/>
      <c r="K1124" s="40"/>
      <c r="L1124" s="40"/>
      <c r="M1124" s="40"/>
      <c r="N1124" s="40"/>
      <c r="O1124" s="40"/>
      <c r="P1124" s="40"/>
      <c r="Q1124" s="40"/>
    </row>
    <row r="1125" spans="7:17">
      <c r="G1125" s="40"/>
      <c r="H1125" s="40"/>
      <c r="I1125" s="40"/>
      <c r="J1125" s="40"/>
      <c r="K1125" s="40"/>
      <c r="L1125" s="40"/>
      <c r="M1125" s="40"/>
      <c r="N1125" s="40"/>
      <c r="O1125" s="40"/>
      <c r="P1125" s="40"/>
      <c r="Q1125" s="40"/>
    </row>
    <row r="1126" spans="7:17">
      <c r="G1126" s="40"/>
      <c r="H1126" s="40"/>
      <c r="I1126" s="40"/>
      <c r="J1126" s="40"/>
      <c r="K1126" s="40"/>
      <c r="L1126" s="40"/>
      <c r="M1126" s="40"/>
      <c r="N1126" s="40"/>
      <c r="O1126" s="40"/>
      <c r="P1126" s="40"/>
      <c r="Q1126" s="40"/>
    </row>
    <row r="1127" spans="7:17">
      <c r="G1127" s="40"/>
      <c r="H1127" s="40"/>
      <c r="I1127" s="40"/>
      <c r="J1127" s="40"/>
      <c r="K1127" s="40"/>
      <c r="L1127" s="40"/>
      <c r="M1127" s="40"/>
      <c r="N1127" s="40"/>
      <c r="O1127" s="40"/>
      <c r="P1127" s="40"/>
      <c r="Q1127" s="40"/>
    </row>
    <row r="1128" spans="7:17">
      <c r="G1128" s="40"/>
      <c r="H1128" s="40"/>
      <c r="I1128" s="40"/>
      <c r="J1128" s="40"/>
      <c r="K1128" s="40"/>
      <c r="L1128" s="40"/>
      <c r="M1128" s="40"/>
      <c r="N1128" s="40"/>
      <c r="O1128" s="40"/>
      <c r="P1128" s="40"/>
      <c r="Q1128" s="40"/>
    </row>
    <row r="1129" spans="7:17">
      <c r="G1129" s="40"/>
      <c r="H1129" s="40"/>
      <c r="I1129" s="40"/>
      <c r="J1129" s="40"/>
      <c r="K1129" s="40"/>
      <c r="L1129" s="40"/>
      <c r="M1129" s="40"/>
      <c r="N1129" s="40"/>
      <c r="O1129" s="40"/>
      <c r="P1129" s="40"/>
      <c r="Q1129" s="40"/>
    </row>
    <row r="1130" spans="7:17">
      <c r="G1130" s="40"/>
      <c r="H1130" s="40"/>
      <c r="I1130" s="40"/>
      <c r="J1130" s="40"/>
      <c r="K1130" s="40"/>
      <c r="L1130" s="40"/>
      <c r="M1130" s="40"/>
      <c r="N1130" s="40"/>
      <c r="O1130" s="40"/>
      <c r="P1130" s="40"/>
      <c r="Q1130" s="40"/>
    </row>
    <row r="1131" spans="7:17">
      <c r="G1131" s="40"/>
      <c r="H1131" s="40"/>
      <c r="I1131" s="40"/>
      <c r="J1131" s="40"/>
      <c r="K1131" s="40"/>
      <c r="L1131" s="40"/>
      <c r="M1131" s="40"/>
      <c r="N1131" s="40"/>
      <c r="O1131" s="40"/>
      <c r="P1131" s="40"/>
      <c r="Q1131" s="40"/>
    </row>
    <row r="1132" spans="7:17">
      <c r="G1132" s="40"/>
      <c r="H1132" s="40"/>
      <c r="I1132" s="40"/>
      <c r="J1132" s="40"/>
      <c r="K1132" s="40"/>
      <c r="L1132" s="40"/>
      <c r="M1132" s="40"/>
      <c r="N1132" s="40"/>
      <c r="O1132" s="40"/>
      <c r="P1132" s="40"/>
      <c r="Q1132" s="40"/>
    </row>
  </sheetData>
  <mergeCells count="9">
    <mergeCell ref="E148:R148"/>
    <mergeCell ref="F7:P7"/>
    <mergeCell ref="A1:R1"/>
    <mergeCell ref="A2:R2"/>
    <mergeCell ref="A54:R54"/>
    <mergeCell ref="D142:R142"/>
    <mergeCell ref="E4:R4"/>
    <mergeCell ref="E55:R55"/>
    <mergeCell ref="E88:R88"/>
  </mergeCells>
  <phoneticPr fontId="58" type="noConversion"/>
  <pageMargins left="0.75" right="0.75" top="0.63" bottom="0.5" header="0.5" footer="0.5"/>
  <pageSetup scale="73" fitToHeight="2" orientation="landscape" r:id="rId1"/>
  <headerFooter scaleWithDoc="0" alignWithMargins="0">
    <oddFooter>&amp;C&amp;F&amp;RPage &amp;P of &amp;N</oddFooter>
  </headerFooter>
  <rowBreaks count="3" manualBreakCount="3">
    <brk id="53" max="18" man="1"/>
    <brk id="84" max="18" man="1"/>
    <brk id="142" max="18" man="1"/>
  </rowBreaks>
  <ignoredErrors>
    <ignoredError sqref="F75:I75 G60:I60 N60:P60 F25:F26 F45 G61:P61 F16:F18 F36 K75:P75 F3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Testimony</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2014-07-22T07:00:00+00:00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E6C9C-C9A5-458C-A9CB-87A7CC0998DB}"/>
</file>

<file path=customXml/itemProps2.xml><?xml version="1.0" encoding="utf-8"?>
<ds:datastoreItem xmlns:ds="http://schemas.openxmlformats.org/officeDocument/2006/customXml" ds:itemID="{901A01CE-336E-473F-940B-7D1CB4BA9C85}"/>
</file>

<file path=customXml/itemProps3.xml><?xml version="1.0" encoding="utf-8"?>
<ds:datastoreItem xmlns:ds="http://schemas.openxmlformats.org/officeDocument/2006/customXml" ds:itemID="{C663A894-9224-466A-82AD-4E625F4DC086}"/>
</file>

<file path=customXml/itemProps4.xml><?xml version="1.0" encoding="utf-8"?>
<ds:datastoreItem xmlns:ds="http://schemas.openxmlformats.org/officeDocument/2006/customXml" ds:itemID="{26E4D53E-BE1D-4BB5-8EA1-9E8E4F4166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16</vt:i4>
      </vt:variant>
    </vt:vector>
  </HeadingPairs>
  <TitlesOfParts>
    <vt:vector size="40" baseType="lpstr">
      <vt:lpstr>Summary</vt:lpstr>
      <vt:lpstr>ROR</vt:lpstr>
      <vt:lpstr>Attrition 12.2013 to 2015</vt:lpstr>
      <vt:lpstr>Trends - Net Plant after DFIT</vt:lpstr>
      <vt:lpstr>Trends - Adj Other Rev</vt:lpstr>
      <vt:lpstr>Trends - Adj Taxes</vt:lpstr>
      <vt:lpstr>Trends - Dep Amort</vt:lpstr>
      <vt:lpstr>Trends - Adj Op Exp</vt:lpstr>
      <vt:lpstr>Cost Trends</vt:lpstr>
      <vt:lpstr>Weighted Revenue Growth</vt:lpstr>
      <vt:lpstr>06.2013 Rev Model</vt:lpstr>
      <vt:lpstr>incremental load expense</vt:lpstr>
      <vt:lpstr>Incremental Load Supply Cost</vt:lpstr>
      <vt:lpstr>Reg Amorts</vt:lpstr>
      <vt:lpstr>DSM</vt:lpstr>
      <vt:lpstr>ResX</vt:lpstr>
      <vt:lpstr>2015 Customers and Demand</vt:lpstr>
      <vt:lpstr>2015 Forecast Energy</vt:lpstr>
      <vt:lpstr>CBR Hist</vt:lpstr>
      <vt:lpstr>PS Consolidated</vt:lpstr>
      <vt:lpstr>Other Rev</vt:lpstr>
      <vt:lpstr>PF Power Supply</vt:lpstr>
      <vt:lpstr>12.2013 CB Power Supply</vt:lpstr>
      <vt:lpstr>06-2013 CB Power Supply</vt:lpstr>
      <vt:lpstr>'06.2013 Rev Model'!Base1_Billing2</vt:lpstr>
      <vt:lpstr>'06.2013 Rev Model'!Print_Area</vt:lpstr>
      <vt:lpstr>'06-2013 CB Power Supply'!Print_Area</vt:lpstr>
      <vt:lpstr>'12.2013 CB Power Supply'!Print_Area</vt:lpstr>
      <vt:lpstr>'2015 Customers and Demand'!Print_Area</vt:lpstr>
      <vt:lpstr>'Attrition 12.2013 to 2015'!Print_Area</vt:lpstr>
      <vt:lpstr>'CBR Hist'!Print_Area</vt:lpstr>
      <vt:lpstr>'Cost Trends'!Print_Area</vt:lpstr>
      <vt:lpstr>'incremental load expense'!Print_Area</vt:lpstr>
      <vt:lpstr>'Incremental Load Supply Cost'!Print_Area</vt:lpstr>
      <vt:lpstr>'PF Power Supply'!Print_Area</vt:lpstr>
      <vt:lpstr>ROR!Print_Area</vt:lpstr>
      <vt:lpstr>Summary!Print_Area</vt:lpstr>
      <vt:lpstr>'CBR Hist'!Print_Titles</vt:lpstr>
      <vt:lpstr>'Cost Trends'!Print_Titles</vt:lpstr>
      <vt:lpstr>'06.2013 Rev Model'!PrintHeader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No.__(CRM-2)</dc:title>
  <dc:creator>Steve Fenrick</dc:creator>
  <cp:lastModifiedBy>McGuire, Chris (UTC)</cp:lastModifiedBy>
  <cp:lastPrinted>2014-07-15T19:50:36Z</cp:lastPrinted>
  <dcterms:created xsi:type="dcterms:W3CDTF">2012-01-25T16:30:38Z</dcterms:created>
  <dcterms:modified xsi:type="dcterms:W3CDTF">2014-08-05T15:56:51Z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