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ep2008 Act vs 2010" sheetId="1" r:id="rId1"/>
  </sheets>
  <definedNames>
    <definedName name="_xlnm.Print_Area" localSheetId="0">'Sep2008 Act vs 2010'!$A$1:$J$66</definedName>
    <definedName name="_xlnm.Print_Titles" localSheetId="0">'Sep2008 Act vs 2010'!$1:$8</definedName>
  </definedNames>
  <calcPr fullCalcOnLoad="1"/>
</workbook>
</file>

<file path=xl/sharedStrings.xml><?xml version="1.0" encoding="utf-8"?>
<sst xmlns="http://schemas.openxmlformats.org/spreadsheetml/2006/main" count="80" uniqueCount="60">
  <si>
    <t>Avista Corporation</t>
  </si>
  <si>
    <t xml:space="preserve"> - Energy Delivery - </t>
  </si>
  <si>
    <t>($000s)</t>
  </si>
  <si>
    <t>Oct '07 -</t>
  </si>
  <si>
    <t>Line</t>
  </si>
  <si>
    <t>Sep '08</t>
  </si>
  <si>
    <t>Pro Forma</t>
  </si>
  <si>
    <t>No.</t>
  </si>
  <si>
    <t>Actual</t>
  </si>
  <si>
    <t>Adjusted</t>
  </si>
  <si>
    <t>Period</t>
  </si>
  <si>
    <t>556 OTHER POWER SUPPLY EXPENSES</t>
  </si>
  <si>
    <t>NWPP</t>
  </si>
  <si>
    <t>560-71.4, 935.3-.4 TRANSMISSION O&amp;M EXPENSE</t>
  </si>
  <si>
    <t>Colstrip O&amp;M - 500kV Line</t>
  </si>
  <si>
    <t>ColumbiaGrid Development</t>
  </si>
  <si>
    <t>ColumbiaGrid Planning</t>
  </si>
  <si>
    <t>ColumbiaGrid OASIS</t>
  </si>
  <si>
    <t>ColumbiaGrid DSRFA</t>
  </si>
  <si>
    <t>Grid West (WA)</t>
  </si>
  <si>
    <t>Total Account 560-71.4, 935.3-.4</t>
  </si>
  <si>
    <t>561 TRANSMISSION EXP-LOAD DISPATCHING</t>
  </si>
  <si>
    <t>Elect Sched &amp; Acctg Srv (CASSO/OATI)</t>
  </si>
  <si>
    <t>565 TRANSMISSION BUSINESS RELATED EXPENSES</t>
  </si>
  <si>
    <t>*</t>
  </si>
  <si>
    <t>Grant County Agreement</t>
  </si>
  <si>
    <t xml:space="preserve"> </t>
  </si>
  <si>
    <t>566 TRANSMISSION EXP-OPRN-MISCELLANEOUS</t>
  </si>
  <si>
    <t>OASIS Expenses</t>
  </si>
  <si>
    <t>BPA Power Factor Penalty</t>
  </si>
  <si>
    <t>WECC -  Sys. Security Monitor</t>
  </si>
  <si>
    <t>WECC Admin &amp; Net Oper Comm Sys</t>
  </si>
  <si>
    <t>WECC - Loop Flow</t>
  </si>
  <si>
    <t>Total Account 556</t>
  </si>
  <si>
    <t>TOTAL EXPENSE</t>
  </si>
  <si>
    <t>456 OTHER ELECTRIC REVENUE</t>
  </si>
  <si>
    <t>Borderline Wheeling</t>
  </si>
  <si>
    <t>**</t>
  </si>
  <si>
    <t>Seattle</t>
  </si>
  <si>
    <t>Tacoma</t>
  </si>
  <si>
    <t>Seattle/Tacoma Main Canal</t>
  </si>
  <si>
    <t>Seattle/ Tacoma Summer Falls</t>
  </si>
  <si>
    <t>Grand Coulee Project</t>
  </si>
  <si>
    <t>OASIS nf &amp; stf  Whl (Other Whl)</t>
  </si>
  <si>
    <t>PP&amp;L - Dry Gulch</t>
  </si>
  <si>
    <t>***</t>
  </si>
  <si>
    <t>PP&amp;L Series Cap -1978</t>
  </si>
  <si>
    <t>Spokane Waste to Energy Plant</t>
  </si>
  <si>
    <t>Vaagen Wheeling</t>
  </si>
  <si>
    <t>****</t>
  </si>
  <si>
    <t>Northwestern Energy</t>
  </si>
  <si>
    <t>Forfeited Deposits</t>
  </si>
  <si>
    <t>Total Account 456</t>
  </si>
  <si>
    <t>TOTAL REVENUE</t>
  </si>
  <si>
    <t>TOTAL NET EXPENSE</t>
  </si>
  <si>
    <t>Grant County Agreement - contract ended 10/31/07</t>
  </si>
  <si>
    <t>Seattle and Tacoma - contracts ended 10/31/07</t>
  </si>
  <si>
    <t>PP&amp;L Series Cap - contract ended 6/30/09</t>
  </si>
  <si>
    <t>Northwestern Energy - contract ended 11/30/07</t>
  </si>
  <si>
    <t>Transmission Revenue/Expenses Pro Forma 2010 Adjustment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</si>
</sst>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,##0\ ;\(#,##0\)\ ;"/>
    <numFmt numFmtId="167" formatCode="m/dd/yy"/>
    <numFmt numFmtId="168" formatCode="0.0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&quot;$&quot;#,##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0"/>
      <name val="Geneva"/>
      <family val="0"/>
    </font>
    <font>
      <u val="single"/>
      <sz val="9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4.375" style="23" customWidth="1"/>
    <col min="2" max="2" width="3.125" style="23" customWidth="1"/>
    <col min="3" max="3" width="23.75390625" style="0" customWidth="1"/>
    <col min="4" max="4" width="11.00390625" style="0" customWidth="1"/>
    <col min="5" max="5" width="9.00390625" style="0" customWidth="1"/>
    <col min="6" max="6" width="8.75390625" style="0" customWidth="1"/>
    <col min="7" max="7" width="3.75390625" style="0" customWidth="1"/>
    <col min="8" max="8" width="8.25390625" style="25" customWidth="1"/>
    <col min="9" max="9" width="3.75390625" style="0" customWidth="1"/>
    <col min="10" max="10" width="12.75390625" style="0" customWidth="1"/>
    <col min="11" max="16384" width="11.375" style="0" customWidth="1"/>
  </cols>
  <sheetData>
    <row r="1" spans="1:10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</row>
    <row r="2" spans="1:10" ht="12.75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</row>
    <row r="3" spans="1:10" ht="12.75">
      <c r="A3" s="1" t="s">
        <v>59</v>
      </c>
      <c r="B3" s="2"/>
      <c r="C3" s="2"/>
      <c r="D3" s="3"/>
      <c r="E3" s="3"/>
      <c r="F3" s="3"/>
      <c r="G3" s="3"/>
      <c r="H3" s="3"/>
      <c r="I3" s="3"/>
      <c r="J3" s="3"/>
    </row>
    <row r="4" spans="1:10" ht="12" customHeight="1">
      <c r="A4" s="1" t="s">
        <v>2</v>
      </c>
      <c r="B4" s="2"/>
      <c r="C4" s="2"/>
      <c r="D4" s="3"/>
      <c r="E4" s="3"/>
      <c r="F4" s="3"/>
      <c r="G4" s="3"/>
      <c r="H4" s="3"/>
      <c r="I4" s="3"/>
      <c r="J4" s="3"/>
    </row>
    <row r="5" spans="1:8" ht="12" customHeight="1">
      <c r="A5" s="4"/>
      <c r="B5" s="4"/>
      <c r="C5" s="5"/>
      <c r="E5" s="6"/>
      <c r="H5" s="7"/>
    </row>
    <row r="6" spans="1:10" ht="12.75">
      <c r="A6" s="7"/>
      <c r="B6" s="7"/>
      <c r="F6" s="8" t="s">
        <v>3</v>
      </c>
      <c r="H6" s="8"/>
      <c r="J6" s="8">
        <v>2010</v>
      </c>
    </row>
    <row r="7" spans="1:10" ht="12.75">
      <c r="A7" s="7" t="s">
        <v>4</v>
      </c>
      <c r="B7" s="7"/>
      <c r="F7" s="9" t="s">
        <v>5</v>
      </c>
      <c r="H7" s="10"/>
      <c r="J7" s="8" t="s">
        <v>6</v>
      </c>
    </row>
    <row r="8" spans="1:10" ht="12.75">
      <c r="A8" s="11" t="s">
        <v>7</v>
      </c>
      <c r="B8" s="12"/>
      <c r="F8" s="13" t="s">
        <v>8</v>
      </c>
      <c r="H8" s="13" t="s">
        <v>9</v>
      </c>
      <c r="J8" s="13" t="s">
        <v>10</v>
      </c>
    </row>
    <row r="9" spans="1:10" ht="12.75">
      <c r="A9" s="12"/>
      <c r="B9" s="12"/>
      <c r="F9" s="8"/>
      <c r="H9" s="14"/>
      <c r="J9" s="8"/>
    </row>
    <row r="10" spans="1:10" ht="12.75">
      <c r="A10" s="7"/>
      <c r="B10" s="7"/>
      <c r="C10" s="15" t="s">
        <v>11</v>
      </c>
      <c r="F10" s="14"/>
      <c r="H10" s="14"/>
      <c r="J10" s="16"/>
    </row>
    <row r="11" spans="1:10" ht="12.75">
      <c r="A11" s="7">
        <v>1</v>
      </c>
      <c r="B11" s="7"/>
      <c r="C11" t="s">
        <v>12</v>
      </c>
      <c r="F11" s="14">
        <f>31126/1000</f>
        <v>31</v>
      </c>
      <c r="H11" s="14">
        <f>122/1000</f>
        <v>0</v>
      </c>
      <c r="J11" s="14">
        <f>F11+H11</f>
        <v>31</v>
      </c>
    </row>
    <row r="12" spans="1:10" ht="12.75">
      <c r="A12" s="7"/>
      <c r="B12" s="7"/>
      <c r="F12" s="14"/>
      <c r="H12" s="14"/>
      <c r="J12" s="14"/>
    </row>
    <row r="13" spans="1:10" ht="12.75" customHeight="1">
      <c r="A13"/>
      <c r="B13"/>
      <c r="C13" s="17" t="s">
        <v>13</v>
      </c>
      <c r="F13" s="14"/>
      <c r="H13" s="14"/>
      <c r="J13" s="14"/>
    </row>
    <row r="14" spans="1:10" ht="12.75" customHeight="1">
      <c r="A14" s="7">
        <f>A11+1</f>
        <v>2</v>
      </c>
      <c r="B14" s="7"/>
      <c r="C14" t="s">
        <v>14</v>
      </c>
      <c r="F14" s="14">
        <f>590335/1000</f>
        <v>590</v>
      </c>
      <c r="H14" s="14">
        <f>65665/1000</f>
        <v>66</v>
      </c>
      <c r="J14" s="14">
        <f aca="true" t="shared" si="0" ref="J14:J19">F14+H14</f>
        <v>656</v>
      </c>
    </row>
    <row r="15" spans="1:10" ht="12.75" customHeight="1">
      <c r="A15" s="7">
        <f aca="true" t="shared" si="1" ref="A15:A20">A14+1</f>
        <v>3</v>
      </c>
      <c r="B15" s="7"/>
      <c r="C15" t="s">
        <v>15</v>
      </c>
      <c r="F15" s="14">
        <f>217850/1000</f>
        <v>218</v>
      </c>
      <c r="H15" s="14">
        <f>22150/1000</f>
        <v>22</v>
      </c>
      <c r="J15" s="14">
        <f t="shared" si="0"/>
        <v>240</v>
      </c>
    </row>
    <row r="16" spans="1:10" ht="12.75" customHeight="1">
      <c r="A16" s="7">
        <f t="shared" si="1"/>
        <v>4</v>
      </c>
      <c r="B16" s="7"/>
      <c r="C16" t="s">
        <v>16</v>
      </c>
      <c r="F16" s="14">
        <f>104223/1000</f>
        <v>104</v>
      </c>
      <c r="H16" s="14">
        <f>75777/1000</f>
        <v>76</v>
      </c>
      <c r="J16" s="14">
        <f t="shared" si="0"/>
        <v>180</v>
      </c>
    </row>
    <row r="17" spans="1:10" ht="12.75" customHeight="1">
      <c r="A17" s="7">
        <f t="shared" si="1"/>
        <v>5</v>
      </c>
      <c r="B17" s="7"/>
      <c r="C17" t="s">
        <v>17</v>
      </c>
      <c r="F17" s="14">
        <v>0</v>
      </c>
      <c r="H17" s="14">
        <f>100430/1000</f>
        <v>100</v>
      </c>
      <c r="J17" s="14">
        <f t="shared" si="0"/>
        <v>100</v>
      </c>
    </row>
    <row r="18" spans="1:10" ht="12.75" customHeight="1">
      <c r="A18" s="7">
        <f t="shared" si="1"/>
        <v>6</v>
      </c>
      <c r="B18" s="7"/>
      <c r="C18" t="s">
        <v>18</v>
      </c>
      <c r="F18" s="14">
        <f>45403/1000</f>
        <v>45</v>
      </c>
      <c r="H18" s="14">
        <f>-45403/1000</f>
        <v>-45</v>
      </c>
      <c r="J18" s="14">
        <f t="shared" si="0"/>
        <v>0</v>
      </c>
    </row>
    <row r="19" spans="1:10" ht="12.75" customHeight="1">
      <c r="A19" s="7">
        <f t="shared" si="1"/>
        <v>7</v>
      </c>
      <c r="B19" s="7"/>
      <c r="C19" t="s">
        <v>19</v>
      </c>
      <c r="F19" s="18">
        <f>158213/1000</f>
        <v>158</v>
      </c>
      <c r="H19" s="18">
        <v>0</v>
      </c>
      <c r="J19" s="18">
        <f t="shared" si="0"/>
        <v>158</v>
      </c>
    </row>
    <row r="20" spans="1:10" ht="12.75" customHeight="1">
      <c r="A20" s="7">
        <f t="shared" si="1"/>
        <v>8</v>
      </c>
      <c r="B20" s="7"/>
      <c r="C20" t="s">
        <v>20</v>
      </c>
      <c r="F20" s="14">
        <f>SUM(F14:F19)</f>
        <v>1115</v>
      </c>
      <c r="H20" s="14">
        <f>SUM(H14:H19)</f>
        <v>219</v>
      </c>
      <c r="J20" s="14">
        <f>SUM(J14:J19)</f>
        <v>1334</v>
      </c>
    </row>
    <row r="21" spans="1:10" ht="12.75" customHeight="1">
      <c r="A21" s="7"/>
      <c r="B21" s="7"/>
      <c r="F21" s="14"/>
      <c r="H21" s="14"/>
      <c r="J21" s="14"/>
    </row>
    <row r="22" spans="1:10" ht="12.75" customHeight="1">
      <c r="A22"/>
      <c r="B22"/>
      <c r="C22" s="17" t="s">
        <v>21</v>
      </c>
      <c r="F22" s="14"/>
      <c r="H22" s="14"/>
      <c r="J22" s="14"/>
    </row>
    <row r="23" spans="1:10" ht="12.75" customHeight="1">
      <c r="A23" s="7">
        <f>A20+1</f>
        <v>9</v>
      </c>
      <c r="B23" s="7"/>
      <c r="C23" t="s">
        <v>22</v>
      </c>
      <c r="F23" s="14">
        <f>(2250+42000+150716)/1000</f>
        <v>195</v>
      </c>
      <c r="H23" s="14">
        <f>-54654/1000</f>
        <v>-55</v>
      </c>
      <c r="J23" s="14">
        <f>F23+H23</f>
        <v>140</v>
      </c>
    </row>
    <row r="24" spans="1:10" ht="12.75" customHeight="1">
      <c r="A24" s="7"/>
      <c r="B24" s="7"/>
      <c r="F24" s="14"/>
      <c r="H24" s="14"/>
      <c r="J24" s="14"/>
    </row>
    <row r="25" spans="1:10" ht="12.75" customHeight="1">
      <c r="A25" s="7"/>
      <c r="B25" s="7"/>
      <c r="C25" s="17" t="s">
        <v>23</v>
      </c>
      <c r="F25" s="14"/>
      <c r="H25" s="14"/>
      <c r="J25" s="14"/>
    </row>
    <row r="26" spans="1:10" ht="12.75" customHeight="1">
      <c r="A26" s="7">
        <f>A23+1</f>
        <v>10</v>
      </c>
      <c r="B26" s="7" t="s">
        <v>24</v>
      </c>
      <c r="C26" t="s">
        <v>25</v>
      </c>
      <c r="F26" s="14">
        <f>51240/1000</f>
        <v>51</v>
      </c>
      <c r="G26" s="7" t="s">
        <v>26</v>
      </c>
      <c r="H26" s="14">
        <f>-51240/1000</f>
        <v>-51</v>
      </c>
      <c r="J26" s="14">
        <f>F26+H26</f>
        <v>0</v>
      </c>
    </row>
    <row r="27" spans="1:10" ht="12.75" customHeight="1">
      <c r="A27" s="7"/>
      <c r="B27" s="7"/>
      <c r="F27" s="14"/>
      <c r="H27" s="14"/>
      <c r="J27" s="14"/>
    </row>
    <row r="28" spans="1:10" ht="12.75" customHeight="1">
      <c r="A28"/>
      <c r="B28"/>
      <c r="C28" s="17" t="s">
        <v>27</v>
      </c>
      <c r="F28" s="14"/>
      <c r="H28" s="14"/>
      <c r="J28" s="14"/>
    </row>
    <row r="29" spans="1:10" ht="12.75" customHeight="1">
      <c r="A29" s="7">
        <f>A26+1</f>
        <v>11</v>
      </c>
      <c r="B29" s="7"/>
      <c r="C29" t="s">
        <v>28</v>
      </c>
      <c r="F29" s="14">
        <f>4871/1000</f>
        <v>5</v>
      </c>
      <c r="H29" s="14">
        <f>3180/1000</f>
        <v>3</v>
      </c>
      <c r="J29" s="14">
        <f>F29+H29</f>
        <v>8</v>
      </c>
    </row>
    <row r="30" spans="1:10" ht="12.75" customHeight="1">
      <c r="A30" s="7">
        <f>A29+1</f>
        <v>12</v>
      </c>
      <c r="B30" s="7"/>
      <c r="C30" t="s">
        <v>29</v>
      </c>
      <c r="F30" s="14">
        <f>177887/1000</f>
        <v>178</v>
      </c>
      <c r="H30" s="14">
        <v>0</v>
      </c>
      <c r="J30" s="14">
        <f>F30+H30</f>
        <v>178</v>
      </c>
    </row>
    <row r="31" spans="1:10" ht="12.75" customHeight="1">
      <c r="A31" s="7">
        <f>A30+1</f>
        <v>13</v>
      </c>
      <c r="B31" s="7"/>
      <c r="C31" t="s">
        <v>30</v>
      </c>
      <c r="F31" s="14">
        <f>170851/1000</f>
        <v>171</v>
      </c>
      <c r="H31" s="14">
        <f>-11976/1000</f>
        <v>-12</v>
      </c>
      <c r="J31" s="14">
        <f>F31+H31</f>
        <v>159</v>
      </c>
    </row>
    <row r="32" spans="1:10" ht="12.75">
      <c r="A32" s="7">
        <f>A31+1</f>
        <v>14</v>
      </c>
      <c r="B32" s="7"/>
      <c r="C32" t="s">
        <v>31</v>
      </c>
      <c r="F32" s="14">
        <f>282051/1000</f>
        <v>282</v>
      </c>
      <c r="H32" s="14">
        <f>47358/1000</f>
        <v>47</v>
      </c>
      <c r="J32" s="14">
        <f>F32+H32</f>
        <v>329</v>
      </c>
    </row>
    <row r="33" spans="1:10" ht="12.75">
      <c r="A33" s="7">
        <f>A32+1</f>
        <v>15</v>
      </c>
      <c r="B33" s="7"/>
      <c r="C33" t="s">
        <v>32</v>
      </c>
      <c r="F33" s="18">
        <f>16062/1000</f>
        <v>16</v>
      </c>
      <c r="H33" s="18">
        <f>9652/1000</f>
        <v>10</v>
      </c>
      <c r="J33" s="14">
        <f>F33+H33</f>
        <v>26</v>
      </c>
    </row>
    <row r="34" spans="1:10" ht="12.75">
      <c r="A34" s="7">
        <f>A33+1</f>
        <v>16</v>
      </c>
      <c r="B34" s="7"/>
      <c r="C34" t="s">
        <v>33</v>
      </c>
      <c r="F34" s="19">
        <f>SUM(F29:F33)</f>
        <v>652</v>
      </c>
      <c r="H34" s="19">
        <f>SUM(H29:H33)</f>
        <v>48</v>
      </c>
      <c r="J34" s="19">
        <f>SUM(J29:J33)</f>
        <v>700</v>
      </c>
    </row>
    <row r="35" spans="1:10" ht="12.75">
      <c r="A35" s="7"/>
      <c r="B35" s="7"/>
      <c r="F35" s="14"/>
      <c r="H35" s="14"/>
      <c r="J35" s="14"/>
    </row>
    <row r="36" spans="1:10" ht="12" customHeight="1">
      <c r="A36" s="7"/>
      <c r="B36" s="7"/>
      <c r="F36" s="14"/>
      <c r="H36" s="14"/>
      <c r="J36" s="14"/>
    </row>
    <row r="37" spans="1:10" ht="12" customHeight="1">
      <c r="A37" s="7">
        <f>A34+1</f>
        <v>17</v>
      </c>
      <c r="B37" s="7"/>
      <c r="C37" s="20" t="s">
        <v>34</v>
      </c>
      <c r="F37" s="19">
        <f>SUM(F34,F26,F23,F20,F11)</f>
        <v>2044</v>
      </c>
      <c r="H37" s="19">
        <f>SUM(H34,H26,H23,H20,H11)</f>
        <v>161</v>
      </c>
      <c r="J37" s="19">
        <f>SUM(J34,J26,J23,J20,J11)</f>
        <v>2205</v>
      </c>
    </row>
    <row r="38" spans="1:10" ht="12" customHeight="1">
      <c r="A38" s="7"/>
      <c r="B38" s="7"/>
      <c r="C38" s="20"/>
      <c r="F38" s="14"/>
      <c r="H38" s="14"/>
      <c r="J38" s="14"/>
    </row>
    <row r="39" spans="1:10" ht="12.75">
      <c r="A39" s="7"/>
      <c r="B39" s="7"/>
      <c r="F39" s="14"/>
      <c r="H39" s="14" t="s">
        <v>26</v>
      </c>
      <c r="J39" s="16"/>
    </row>
    <row r="40" spans="1:10" ht="12.75">
      <c r="A40" s="7"/>
      <c r="B40" s="7"/>
      <c r="C40" s="21" t="s">
        <v>35</v>
      </c>
      <c r="F40" s="14"/>
      <c r="H40" s="14"/>
      <c r="J40" s="16"/>
    </row>
    <row r="41" spans="1:10" ht="12.75">
      <c r="A41" s="7">
        <f>A37+1</f>
        <v>18</v>
      </c>
      <c r="B41" s="7" t="s">
        <v>26</v>
      </c>
      <c r="C41" t="s">
        <v>36</v>
      </c>
      <c r="F41" s="14">
        <f>5374944/1000</f>
        <v>5375</v>
      </c>
      <c r="H41" s="14">
        <f>-21285/1000</f>
        <v>-21</v>
      </c>
      <c r="J41" s="14">
        <f aca="true" t="shared" si="2" ref="J41:J53">F41+H41</f>
        <v>5354</v>
      </c>
    </row>
    <row r="42" spans="1:10" ht="12.75">
      <c r="A42" s="7">
        <f aca="true" t="shared" si="3" ref="A42:A51">A41+1</f>
        <v>19</v>
      </c>
      <c r="B42" s="7" t="s">
        <v>37</v>
      </c>
      <c r="C42" t="s">
        <v>38</v>
      </c>
      <c r="F42" s="14">
        <f>64050/1000</f>
        <v>64</v>
      </c>
      <c r="H42" s="14">
        <f>-64050/1000</f>
        <v>-64</v>
      </c>
      <c r="J42" s="14">
        <f t="shared" si="2"/>
        <v>0</v>
      </c>
    </row>
    <row r="43" spans="1:10" ht="12.75">
      <c r="A43" s="7">
        <f t="shared" si="3"/>
        <v>20</v>
      </c>
      <c r="B43" s="7" t="s">
        <v>37</v>
      </c>
      <c r="C43" t="s">
        <v>39</v>
      </c>
      <c r="F43" s="14">
        <f>64050/1000</f>
        <v>64</v>
      </c>
      <c r="H43" s="14">
        <f>-64050/1000</f>
        <v>-64</v>
      </c>
      <c r="J43" s="14">
        <f t="shared" si="2"/>
        <v>0</v>
      </c>
    </row>
    <row r="44" spans="1:10" ht="12.75">
      <c r="A44" s="7">
        <f t="shared" si="3"/>
        <v>21</v>
      </c>
      <c r="B44" s="7" t="s">
        <v>26</v>
      </c>
      <c r="C44" t="s">
        <v>40</v>
      </c>
      <c r="F44" s="14">
        <f>155094/1000</f>
        <v>155</v>
      </c>
      <c r="H44" s="14">
        <f>37738/1000</f>
        <v>38</v>
      </c>
      <c r="J44" s="14">
        <f t="shared" si="2"/>
        <v>193</v>
      </c>
    </row>
    <row r="45" spans="1:10" ht="12.75">
      <c r="A45" s="7">
        <f t="shared" si="3"/>
        <v>22</v>
      </c>
      <c r="B45" s="7" t="s">
        <v>26</v>
      </c>
      <c r="C45" t="s">
        <v>41</v>
      </c>
      <c r="F45" s="14">
        <f>43302/1000</f>
        <v>43</v>
      </c>
      <c r="H45" s="14">
        <f>30920/1000</f>
        <v>31</v>
      </c>
      <c r="J45" s="14">
        <f t="shared" si="2"/>
        <v>74</v>
      </c>
    </row>
    <row r="46" spans="1:10" ht="12.75">
      <c r="A46" s="7">
        <f t="shared" si="3"/>
        <v>23</v>
      </c>
      <c r="B46" s="7"/>
      <c r="C46" t="s">
        <v>42</v>
      </c>
      <c r="F46" s="14">
        <f>8081/1000</f>
        <v>8</v>
      </c>
      <c r="H46" s="14">
        <v>0</v>
      </c>
      <c r="J46" s="14">
        <f t="shared" si="2"/>
        <v>8</v>
      </c>
    </row>
    <row r="47" spans="1:10" ht="12.75">
      <c r="A47" s="7">
        <f t="shared" si="3"/>
        <v>24</v>
      </c>
      <c r="B47" s="7" t="s">
        <v>26</v>
      </c>
      <c r="C47" t="s">
        <v>43</v>
      </c>
      <c r="F47" s="14">
        <f>3108796/1000</f>
        <v>3109</v>
      </c>
      <c r="H47" s="14">
        <f>200514/1000</f>
        <v>201</v>
      </c>
      <c r="J47" s="14">
        <f t="shared" si="2"/>
        <v>3310</v>
      </c>
    </row>
    <row r="48" spans="1:10" ht="12.75">
      <c r="A48" s="7">
        <f t="shared" si="3"/>
        <v>25</v>
      </c>
      <c r="B48" s="7" t="s">
        <v>26</v>
      </c>
      <c r="C48" t="s">
        <v>44</v>
      </c>
      <c r="F48" s="14">
        <f>258075/1000</f>
        <v>258</v>
      </c>
      <c r="H48" s="14">
        <f>11447/1000</f>
        <v>11</v>
      </c>
      <c r="J48" s="14">
        <f t="shared" si="2"/>
        <v>269</v>
      </c>
    </row>
    <row r="49" spans="1:10" ht="12.75">
      <c r="A49" s="7">
        <f t="shared" si="3"/>
        <v>26</v>
      </c>
      <c r="B49" s="7" t="s">
        <v>45</v>
      </c>
      <c r="C49" t="s">
        <v>46</v>
      </c>
      <c r="F49" s="14">
        <f>9372/1000</f>
        <v>9</v>
      </c>
      <c r="H49" s="14">
        <f>-9372/1000</f>
        <v>-9</v>
      </c>
      <c r="J49" s="14">
        <f t="shared" si="2"/>
        <v>0</v>
      </c>
    </row>
    <row r="50" spans="1:10" ht="12.75">
      <c r="A50" s="7">
        <f t="shared" si="3"/>
        <v>27</v>
      </c>
      <c r="B50" s="7"/>
      <c r="C50" t="s">
        <v>47</v>
      </c>
      <c r="F50" s="14">
        <f>159594/1000</f>
        <v>160</v>
      </c>
      <c r="H50" s="14">
        <v>0</v>
      </c>
      <c r="J50" s="14">
        <f t="shared" si="2"/>
        <v>160</v>
      </c>
    </row>
    <row r="51" spans="1:10" ht="12.75">
      <c r="A51" s="7">
        <f t="shared" si="3"/>
        <v>28</v>
      </c>
      <c r="B51" s="7" t="s">
        <v>26</v>
      </c>
      <c r="C51" t="s">
        <v>48</v>
      </c>
      <c r="F51" s="14">
        <f>115924/1000</f>
        <v>116</v>
      </c>
      <c r="H51" s="14">
        <f>-4450/1000</f>
        <v>-4</v>
      </c>
      <c r="J51" s="14">
        <f t="shared" si="2"/>
        <v>112</v>
      </c>
    </row>
    <row r="52" spans="1:10" ht="12.75">
      <c r="A52" s="7"/>
      <c r="B52" s="7" t="s">
        <v>49</v>
      </c>
      <c r="C52" t="s">
        <v>50</v>
      </c>
      <c r="F52" s="14">
        <f>42000/1000</f>
        <v>42</v>
      </c>
      <c r="G52" s="16"/>
      <c r="H52" s="14">
        <f>-42000/1000</f>
        <v>-42</v>
      </c>
      <c r="J52" s="14">
        <f t="shared" si="2"/>
        <v>0</v>
      </c>
    </row>
    <row r="53" spans="1:10" ht="12.75">
      <c r="A53" s="7">
        <f>A51+1</f>
        <v>29</v>
      </c>
      <c r="B53" s="7" t="s">
        <v>26</v>
      </c>
      <c r="C53" t="s">
        <v>51</v>
      </c>
      <c r="F53" s="18">
        <f>40000/1000</f>
        <v>40</v>
      </c>
      <c r="H53" s="18">
        <f>-40000/1000</f>
        <v>-40</v>
      </c>
      <c r="J53" s="14">
        <f t="shared" si="2"/>
        <v>0</v>
      </c>
    </row>
    <row r="54" spans="1:10" ht="12.75">
      <c r="A54" s="7">
        <f>A53+1</f>
        <v>30</v>
      </c>
      <c r="B54" s="7"/>
      <c r="C54" t="s">
        <v>52</v>
      </c>
      <c r="F54" s="19">
        <f>SUM(F41:F53)</f>
        <v>9443</v>
      </c>
      <c r="H54" s="19">
        <f>SUM(H41:H53)</f>
        <v>37</v>
      </c>
      <c r="J54" s="19">
        <f>SUM(J41:J53)</f>
        <v>9480</v>
      </c>
    </row>
    <row r="55" spans="1:10" ht="12.75">
      <c r="A55" s="7"/>
      <c r="B55" s="7"/>
      <c r="F55" s="14"/>
      <c r="H55" s="14"/>
      <c r="J55" s="14"/>
    </row>
    <row r="56" spans="1:10" ht="12.75">
      <c r="A56" s="7"/>
      <c r="B56" s="7"/>
      <c r="F56" s="14"/>
      <c r="H56" s="14"/>
      <c r="J56" s="14"/>
    </row>
    <row r="57" spans="1:10" ht="12.75">
      <c r="A57" s="7">
        <f>A54+1</f>
        <v>31</v>
      </c>
      <c r="B57" s="7"/>
      <c r="C57" s="20" t="s">
        <v>53</v>
      </c>
      <c r="F57" s="19">
        <f>SUM(F54)</f>
        <v>9443</v>
      </c>
      <c r="H57" s="19">
        <f>H54</f>
        <v>37</v>
      </c>
      <c r="J57" s="19">
        <f>SUM(J54)</f>
        <v>9480</v>
      </c>
    </row>
    <row r="58" spans="1:10" ht="12.75">
      <c r="A58" s="7"/>
      <c r="B58" s="7"/>
      <c r="C58" s="20"/>
      <c r="F58" s="14"/>
      <c r="H58" s="14"/>
      <c r="J58" s="14"/>
    </row>
    <row r="59" spans="1:10" ht="12.75">
      <c r="A59" s="7"/>
      <c r="B59" s="7"/>
      <c r="F59" s="14"/>
      <c r="H59" s="14"/>
      <c r="J59" s="14"/>
    </row>
    <row r="60" spans="1:10" ht="12.75">
      <c r="A60" s="7">
        <f>A57+1</f>
        <v>32</v>
      </c>
      <c r="B60" s="7"/>
      <c r="C60" s="20" t="s">
        <v>54</v>
      </c>
      <c r="F60" s="19">
        <f>F37-F57</f>
        <v>-7399</v>
      </c>
      <c r="H60" s="19">
        <f>H37-H57</f>
        <v>124</v>
      </c>
      <c r="J60" s="19">
        <f>J37-J57</f>
        <v>-7275</v>
      </c>
    </row>
    <row r="61" spans="1:8" ht="12.75">
      <c r="A61" s="7"/>
      <c r="B61" s="7"/>
      <c r="C61" s="20"/>
      <c r="F61" s="14"/>
      <c r="H61" s="14"/>
    </row>
    <row r="62" spans="1:8" ht="12.75">
      <c r="A62" s="7"/>
      <c r="B62" s="7"/>
      <c r="C62" s="20"/>
      <c r="F62" s="14"/>
      <c r="H62" s="14"/>
    </row>
    <row r="63" spans="1:8" ht="12.75">
      <c r="A63" s="7"/>
      <c r="B63" s="7" t="s">
        <v>24</v>
      </c>
      <c r="C63" s="22" t="s">
        <v>55</v>
      </c>
      <c r="F63" s="14"/>
      <c r="H63" s="14"/>
    </row>
    <row r="64" spans="1:8" ht="12.75">
      <c r="A64" s="7" t="s">
        <v>26</v>
      </c>
      <c r="B64" s="7" t="s">
        <v>37</v>
      </c>
      <c r="C64" s="22" t="s">
        <v>56</v>
      </c>
      <c r="F64" s="14"/>
      <c r="H64" s="14"/>
    </row>
    <row r="65" spans="1:8" ht="12.75">
      <c r="A65" s="7"/>
      <c r="B65" s="7" t="s">
        <v>45</v>
      </c>
      <c r="C65" s="22" t="s">
        <v>57</v>
      </c>
      <c r="F65" s="14"/>
      <c r="H65" s="14"/>
    </row>
    <row r="66" spans="1:8" ht="12.75">
      <c r="A66" s="7"/>
      <c r="B66" s="7" t="s">
        <v>49</v>
      </c>
      <c r="C66" s="22" t="s">
        <v>58</v>
      </c>
      <c r="F66" s="14"/>
      <c r="G66" s="14"/>
      <c r="H66" s="14"/>
    </row>
    <row r="67" spans="1:8" ht="12.75" customHeight="1">
      <c r="A67" s="7"/>
      <c r="B67" s="7" t="s">
        <v>26</v>
      </c>
      <c r="C67" s="22" t="s">
        <v>26</v>
      </c>
      <c r="F67" s="14"/>
      <c r="G67" s="16"/>
      <c r="H67" s="14"/>
    </row>
    <row r="68" spans="1:8" ht="12.75">
      <c r="A68" s="7" t="s">
        <v>26</v>
      </c>
      <c r="H68"/>
    </row>
    <row r="69" spans="1:8" ht="12.75">
      <c r="A69" s="7"/>
      <c r="H69"/>
    </row>
    <row r="70" spans="1:8" ht="12.75">
      <c r="A70" s="7"/>
      <c r="D70" s="24" t="s">
        <v>26</v>
      </c>
      <c r="E70" s="24"/>
      <c r="H70"/>
    </row>
    <row r="71" spans="1:8" ht="12.75">
      <c r="A71" s="7"/>
      <c r="D71" t="s">
        <v>26</v>
      </c>
      <c r="H71"/>
    </row>
    <row r="72" spans="1:8" ht="12.75">
      <c r="A72" s="7"/>
      <c r="D72" t="s">
        <v>26</v>
      </c>
      <c r="H72"/>
    </row>
    <row r="73" spans="1:8" ht="12.75">
      <c r="A73" s="7"/>
      <c r="H73"/>
    </row>
  </sheetData>
  <printOptions/>
  <pageMargins left="1" right="0" top="0.5" bottom="0" header="0.5" footer="0.25"/>
  <pageSetup orientation="portrait" scale="85" r:id="rId1"/>
  <headerFooter alignWithMargins="0">
    <oddHeader>&amp;RExhibit No. ___(SJK-2)</oddHeader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vz9tr1</cp:lastModifiedBy>
  <cp:lastPrinted>2009-01-17T18:32:23Z</cp:lastPrinted>
  <dcterms:created xsi:type="dcterms:W3CDTF">2009-01-17T18:28:18Z</dcterms:created>
  <dcterms:modified xsi:type="dcterms:W3CDTF">2009-01-17T18:32:27Z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090135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