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olors4.xml" ContentType="application/vnd.ms-office.chartcolorstyle+xml"/>
  <Override PartName="/xl/worksheets/sheet1.xml" ContentType="application/vnd.openxmlformats-officedocument.spreadsheetml.worksheet+xml"/>
  <Override PartName="/xl/charts/chart4.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style2.xml" ContentType="application/vnd.ms-office.chartstyle+xml"/>
  <Override PartName="/xl/charts/style4.xml" ContentType="application/vnd.ms-office.chartstyle+xml"/>
  <Override PartName="/xl/drawings/drawing4.xml" ContentType="application/vnd.openxmlformats-officedocument.drawing+xml"/>
  <Override PartName="/xl/charts/style3.xml" ContentType="application/vnd.ms-office.chartstyle+xml"/>
  <Override PartName="/xl/charts/colors3.xml" ContentType="application/vnd.ms-office.chartcolorstyle+xml"/>
  <Override PartName="/xl/charts/chart3.xml" ContentType="application/vnd.openxmlformats-officedocument.drawingml.chart+xml"/>
  <Override PartName="/xl/drawings/drawing3.xml" ContentType="application/vnd.openxmlformats-officedocument.drawing+xml"/>
  <Override PartName="/xl/charts/colors2.xml" ContentType="application/vnd.ms-office.chartcolorstyle+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docProps/custom.xml" ContentType="application/vnd.openxmlformats-officedocument.custom-properties+xml"/>
  <Override PartName="/xl/comments4.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cmcguire\Desktop\Bench Request\"/>
    </mc:Choice>
  </mc:AlternateContent>
  <bookViews>
    <workbookView xWindow="11625" yWindow="-15" windowWidth="11475" windowHeight="9105" tabRatio="768" firstSheet="1" activeTab="1"/>
  </bookViews>
  <sheets>
    <sheet name="Notes" sheetId="16" state="hidden" r:id="rId1"/>
    <sheet name="Summary" sheetId="9" r:id="rId2"/>
    <sheet name="ROR" sheetId="7" r:id="rId3"/>
    <sheet name="Attrition 12.2013 to 2015" sheetId="5" r:id="rId4"/>
    <sheet name="trends - Net Plant after DFIT" sheetId="11" r:id="rId5"/>
    <sheet name="trends - adj other rev" sheetId="15" r:id="rId6"/>
    <sheet name="trends - adj taxes" sheetId="14" r:id="rId7"/>
    <sheet name="trends - Adj Dep Amort" sheetId="13" r:id="rId8"/>
    <sheet name="trends - Adj Operating Exp" sheetId="12" r:id="rId9"/>
    <sheet name="Cost Trends" sheetId="1" state="hidden" r:id="rId10"/>
    <sheet name="Weighted Revenue Growth" sheetId="4" state="hidden" r:id="rId11"/>
    <sheet name="Forecast Bill Determinants" sheetId="8" state="hidden" r:id="rId12"/>
    <sheet name="Riders and Gas Cost Revenue" sheetId="2" state="hidden" r:id="rId13"/>
    <sheet name="Reg Amort and Other RB" sheetId="6" state="hidden" r:id="rId14"/>
    <sheet name="06.2013 Revenue Model" sheetId="10" state="hidden" r:id="rId15"/>
  </sheets>
  <definedNames>
    <definedName name="Base1_Billing2">'06.2013 Revenue Model'!$O$7</definedName>
    <definedName name="ID_Elec">#REF!</definedName>
    <definedName name="ID_Gas">#REF!</definedName>
    <definedName name="_xlnm.Print_Area" localSheetId="14">'06.2013 Revenue Model'!$A$1:$J$281</definedName>
    <definedName name="_xlnm.Print_Area" localSheetId="3">'Attrition 12.2013 to 2015'!$A$1:$Q$100</definedName>
    <definedName name="_xlnm.Print_Area" localSheetId="9">'Cost Trends'!$A$2:$S$204</definedName>
    <definedName name="_xlnm.Print_Area" localSheetId="12">'Riders and Gas Cost Revenue'!$A$1:$AO$65</definedName>
    <definedName name="_xlnm.Print_Area" localSheetId="2">ROR!$A$1:$O$26</definedName>
    <definedName name="_xlnm.Print_Area" localSheetId="1">Summary!$A$1:$M$38</definedName>
    <definedName name="Print_for_CBReport">#REF!</definedName>
    <definedName name="Print_for_Checking">#REF!</definedName>
    <definedName name="_xlnm.Print_Titles" localSheetId="14">'06.2013 Revenue Model'!$1:$5</definedName>
    <definedName name="_xlnm.Print_Titles" localSheetId="9">'Cost Trends'!$2:$2</definedName>
    <definedName name="_xlnm.Print_Titles" localSheetId="12">'Riders and Gas Cost Revenue'!$A:$F,'Riders and Gas Cost Revenue'!$5:$9</definedName>
    <definedName name="Summary">#REF!</definedName>
    <definedName name="WA_Elec">#REF!</definedName>
    <definedName name="WA_Gas">#REF!</definedName>
    <definedName name="Z_5BE913A1_B14F_11D2_B0DC_0000832CDFF0_.wvu.Cols" localSheetId="9" hidden="1">'Cost Trends'!#REF!</definedName>
    <definedName name="Z_5BE913A1_B14F_11D2_B0DC_0000832CDFF0_.wvu.PrintArea" localSheetId="9" hidden="1">'Cost Trends'!$Q$11:$Q$91</definedName>
    <definedName name="Z_5BE913A1_B14F_11D2_B0DC_0000832CDFF0_.wvu.PrintTitles" localSheetId="9" hidden="1">'Cost Trends'!$A:$D,'Cost Trends'!$1:$8</definedName>
    <definedName name="Z_A15D1964_B049_11D2_8670_0000832CEEE8_.wvu.Cols" localSheetId="9" hidden="1">'Cost Trends'!#REF!</definedName>
    <definedName name="Z_A15D1964_B049_11D2_8670_0000832CEEE8_.wvu.PrintArea" localSheetId="9" hidden="1">'Cost Trends'!$Q$11:$Q$91</definedName>
    <definedName name="Z_A15D1964_B049_11D2_8670_0000832CEEE8_.wvu.PrintTitles" localSheetId="9" hidden="1">'Cost Trends'!$A:$D,'Cost Trends'!$1:$8</definedName>
  </definedNames>
  <calcPr calcId="152511"/>
  <customWorkbookViews>
    <customWorkbookView name="Kathy Mitchell - Personal View" guid="{A15D1964-B049-11D2-8670-0000832CEEE8}" mergeInterval="0" personalView="1" maximized="1" windowWidth="796" windowHeight="436" activeSheetId="1"/>
    <customWorkbookView name="Don Falkner - Personal View" guid="{5BE913A1-B14F-11D2-B0DC-0000832CDFF0}" mergeInterval="0" personalView="1" maximized="1" windowWidth="1020" windowHeight="604" activeSheetId="2"/>
  </customWorkbookViews>
</workbook>
</file>

<file path=xl/calcChain.xml><?xml version="1.0" encoding="utf-8"?>
<calcChain xmlns="http://schemas.openxmlformats.org/spreadsheetml/2006/main">
  <c r="M30" i="9" l="1"/>
  <c r="L28" i="9"/>
  <c r="J28" i="9"/>
  <c r="E13" i="7" l="1"/>
  <c r="D13" i="7"/>
  <c r="K14" i="5"/>
  <c r="E11" i="15"/>
  <c r="E10" i="15"/>
  <c r="E12" i="11"/>
  <c r="E12" i="13"/>
  <c r="E12" i="14"/>
  <c r="E12" i="15"/>
  <c r="N5" i="12"/>
  <c r="C5" i="12" l="1"/>
  <c r="D5" i="12"/>
  <c r="E5" i="12"/>
  <c r="F5" i="12"/>
  <c r="G5" i="12"/>
  <c r="H5" i="12"/>
  <c r="I5" i="12"/>
  <c r="J5" i="12"/>
  <c r="K5" i="12"/>
  <c r="L5" i="12"/>
  <c r="M5" i="12"/>
  <c r="B5" i="12"/>
  <c r="H113" i="1"/>
  <c r="I113" i="1"/>
  <c r="J113" i="1"/>
  <c r="K113" i="1"/>
  <c r="L113" i="1"/>
  <c r="M113" i="1"/>
  <c r="N113" i="1"/>
  <c r="O113" i="1"/>
  <c r="P113" i="1"/>
  <c r="Q113" i="1"/>
  <c r="R113" i="1"/>
  <c r="S113" i="1"/>
  <c r="G113" i="1"/>
  <c r="G12" i="9" l="1"/>
  <c r="Q97" i="5" s="1"/>
  <c r="G185" i="1" l="1"/>
  <c r="G202" i="1" s="1"/>
  <c r="W202" i="1"/>
  <c r="V202" i="1"/>
  <c r="U202" i="1"/>
  <c r="I6" i="15" l="1"/>
  <c r="J6" i="15"/>
  <c r="K6" i="15"/>
  <c r="L6" i="15"/>
  <c r="M6" i="15"/>
  <c r="N6" i="15"/>
  <c r="H6" i="15"/>
  <c r="C5" i="15"/>
  <c r="D5" i="15"/>
  <c r="E5" i="15"/>
  <c r="F5" i="15"/>
  <c r="G5" i="15"/>
  <c r="H5" i="15"/>
  <c r="I5" i="15"/>
  <c r="J5" i="15"/>
  <c r="K5" i="15"/>
  <c r="L5" i="15"/>
  <c r="M5" i="15"/>
  <c r="N5" i="15"/>
  <c r="D11" i="15" s="1"/>
  <c r="B5" i="15"/>
  <c r="I6" i="14"/>
  <c r="J6" i="14"/>
  <c r="K6" i="14"/>
  <c r="L6" i="14"/>
  <c r="M6" i="14"/>
  <c r="N6" i="14"/>
  <c r="H6" i="14"/>
  <c r="C5" i="14"/>
  <c r="D5" i="14"/>
  <c r="E5" i="14"/>
  <c r="F5" i="14"/>
  <c r="G5" i="14"/>
  <c r="H5" i="14"/>
  <c r="I5" i="14"/>
  <c r="J5" i="14"/>
  <c r="K5" i="14"/>
  <c r="L5" i="14"/>
  <c r="M5" i="14"/>
  <c r="N5" i="14"/>
  <c r="D11" i="14" s="1"/>
  <c r="B5" i="14"/>
  <c r="I6" i="13"/>
  <c r="J6" i="13"/>
  <c r="K6" i="13"/>
  <c r="L6" i="13"/>
  <c r="M6" i="13"/>
  <c r="N6" i="13"/>
  <c r="H6" i="13"/>
  <c r="C5" i="13"/>
  <c r="D5" i="13"/>
  <c r="E5" i="13"/>
  <c r="F5" i="13"/>
  <c r="G5" i="13"/>
  <c r="H5" i="13"/>
  <c r="I5" i="13"/>
  <c r="J5" i="13"/>
  <c r="K5" i="13"/>
  <c r="L5" i="13"/>
  <c r="M5" i="13"/>
  <c r="N5" i="13"/>
  <c r="D11" i="13" s="1"/>
  <c r="V179" i="1" s="1"/>
  <c r="V196" i="1" s="1"/>
  <c r="B5" i="13"/>
  <c r="K9" i="12"/>
  <c r="L9" i="12"/>
  <c r="M9" i="12"/>
  <c r="C8" i="12"/>
  <c r="D8" i="12"/>
  <c r="E8" i="12"/>
  <c r="F8" i="12"/>
  <c r="G8" i="12"/>
  <c r="H8" i="12"/>
  <c r="I8" i="12"/>
  <c r="J9" i="12"/>
  <c r="N8" i="12"/>
  <c r="B8" i="12"/>
  <c r="D14" i="12" l="1"/>
  <c r="E14" i="12" s="1"/>
  <c r="D13" i="12"/>
  <c r="D12" i="12"/>
  <c r="D10" i="14"/>
  <c r="V181" i="1"/>
  <c r="V198" i="1" s="1"/>
  <c r="W177" i="1"/>
  <c r="W194" i="1" s="1"/>
  <c r="U177" i="1"/>
  <c r="U194" i="1" s="1"/>
  <c r="V177" i="1"/>
  <c r="V194" i="1" s="1"/>
  <c r="L177" i="1"/>
  <c r="S177" i="1"/>
  <c r="Q177" i="1"/>
  <c r="R177" i="1"/>
  <c r="M177" i="1"/>
  <c r="O177" i="1"/>
  <c r="I177" i="1"/>
  <c r="N177" i="1"/>
  <c r="P177" i="1"/>
  <c r="K177" i="1"/>
  <c r="H177" i="1"/>
  <c r="J177" i="1"/>
  <c r="V175" i="1"/>
  <c r="V192" i="1" s="1"/>
  <c r="D10" i="15"/>
  <c r="D12" i="15" s="1"/>
  <c r="D10" i="13"/>
  <c r="I6" i="11"/>
  <c r="J6" i="11"/>
  <c r="K6" i="11"/>
  <c r="L6" i="11"/>
  <c r="M6" i="11"/>
  <c r="D11" i="11" s="1"/>
  <c r="V183" i="1" s="1"/>
  <c r="V200" i="1" s="1"/>
  <c r="N6" i="11"/>
  <c r="H6" i="11"/>
  <c r="U175" i="1" l="1"/>
  <c r="U192" i="1" s="1"/>
  <c r="D10" i="11"/>
  <c r="U179" i="1"/>
  <c r="U196" i="1" s="1"/>
  <c r="D12" i="13"/>
  <c r="U181" i="1"/>
  <c r="D12" i="14"/>
  <c r="W175" i="1"/>
  <c r="C5" i="11"/>
  <c r="D5" i="11"/>
  <c r="E5" i="11"/>
  <c r="F5" i="11"/>
  <c r="G5" i="11"/>
  <c r="H5" i="11"/>
  <c r="I5" i="11"/>
  <c r="J5" i="11"/>
  <c r="K5" i="11"/>
  <c r="L5" i="11"/>
  <c r="M5" i="11"/>
  <c r="N5" i="11"/>
  <c r="B5" i="11"/>
  <c r="T202" i="1"/>
  <c r="T200" i="1"/>
  <c r="T198" i="1"/>
  <c r="T196" i="1"/>
  <c r="T194" i="1"/>
  <c r="T192" i="1"/>
  <c r="G177" i="1"/>
  <c r="G194" i="1" s="1"/>
  <c r="W179" i="1" l="1"/>
  <c r="U183" i="1"/>
  <c r="D12" i="11"/>
  <c r="W183" i="1"/>
  <c r="U200" i="1"/>
  <c r="W196" i="1"/>
  <c r="G179" i="1"/>
  <c r="G196" i="1" s="1"/>
  <c r="K26" i="5" s="1"/>
  <c r="U198" i="1"/>
  <c r="W181" i="1"/>
  <c r="G175" i="1"/>
  <c r="G192" i="1" s="1"/>
  <c r="W192" i="1"/>
  <c r="K20" i="5"/>
  <c r="S147" i="1"/>
  <c r="S109" i="1"/>
  <c r="AO19" i="2"/>
  <c r="AO21" i="2" s="1"/>
  <c r="AO18" i="2"/>
  <c r="AO27" i="2"/>
  <c r="AN27" i="2"/>
  <c r="AM27" i="2"/>
  <c r="AN21" i="2"/>
  <c r="AM21" i="2"/>
  <c r="AO20" i="2"/>
  <c r="AO13" i="2"/>
  <c r="R14" i="6"/>
  <c r="G183" i="1" l="1"/>
  <c r="G200" i="1" s="1"/>
  <c r="K69" i="5" s="1"/>
  <c r="W200" i="1"/>
  <c r="G181" i="1"/>
  <c r="G198" i="1" s="1"/>
  <c r="K27" i="5" s="1"/>
  <c r="W198" i="1"/>
  <c r="N194" i="1"/>
  <c r="R46" i="6" l="1"/>
  <c r="S83" i="1" s="1"/>
  <c r="R68" i="6"/>
  <c r="R64" i="6"/>
  <c r="R50" i="6"/>
  <c r="R48" i="6"/>
  <c r="R43" i="6"/>
  <c r="R41" i="6"/>
  <c r="R17" i="6" l="1"/>
  <c r="R25" i="6"/>
  <c r="R38" i="6"/>
  <c r="R44" i="6"/>
  <c r="R27" i="6" l="1"/>
  <c r="R28" i="6" s="1"/>
  <c r="R30" i="6"/>
  <c r="R45" i="6"/>
  <c r="R47" i="6" s="1"/>
  <c r="R54" i="6" s="1"/>
  <c r="S73" i="1"/>
  <c r="S75" i="1" s="1"/>
  <c r="S100" i="1"/>
  <c r="S102" i="1"/>
  <c r="S103" i="1"/>
  <c r="S104" i="1"/>
  <c r="S105" i="1"/>
  <c r="S106" i="1"/>
  <c r="S107" i="1"/>
  <c r="S117" i="1"/>
  <c r="S118" i="1"/>
  <c r="S119" i="1"/>
  <c r="S124" i="1"/>
  <c r="S125" i="1"/>
  <c r="S129" i="1"/>
  <c r="S130" i="1"/>
  <c r="S131" i="1"/>
  <c r="S132" i="1"/>
  <c r="S146" i="1"/>
  <c r="S81" i="1"/>
  <c r="S87" i="1"/>
  <c r="S15" i="1"/>
  <c r="S22" i="1"/>
  <c r="AO65" i="2" s="1"/>
  <c r="S28" i="1"/>
  <c r="S34" i="1"/>
  <c r="S45" i="1"/>
  <c r="S149" i="1" l="1"/>
  <c r="S120" i="1"/>
  <c r="S108" i="1"/>
  <c r="S126" i="1"/>
  <c r="S82" i="1"/>
  <c r="S84" i="1" s="1"/>
  <c r="S46" i="1"/>
  <c r="S48" i="1" s="1"/>
  <c r="S56" i="1" s="1"/>
  <c r="G187" i="1"/>
  <c r="G204" i="1" s="1"/>
  <c r="Q54" i="5"/>
  <c r="P54" i="5"/>
  <c r="O54" i="5"/>
  <c r="L54" i="5"/>
  <c r="M54" i="5"/>
  <c r="K54" i="5"/>
  <c r="F54" i="5"/>
  <c r="G54" i="5"/>
  <c r="H54" i="5"/>
  <c r="I54" i="5"/>
  <c r="E54" i="5"/>
  <c r="G129" i="1"/>
  <c r="H129" i="1"/>
  <c r="I129" i="1"/>
  <c r="J129" i="1"/>
  <c r="K129" i="1"/>
  <c r="L129" i="1"/>
  <c r="M129" i="1"/>
  <c r="N129" i="1"/>
  <c r="O129" i="1"/>
  <c r="P129" i="1"/>
  <c r="Q129" i="1"/>
  <c r="R129" i="1"/>
  <c r="G130" i="1"/>
  <c r="H130" i="1"/>
  <c r="I130" i="1"/>
  <c r="J130" i="1"/>
  <c r="K130" i="1"/>
  <c r="L130" i="1"/>
  <c r="M130" i="1"/>
  <c r="N130" i="1"/>
  <c r="O130" i="1"/>
  <c r="P130" i="1"/>
  <c r="Q130" i="1"/>
  <c r="R130" i="1"/>
  <c r="G131" i="1"/>
  <c r="H131" i="1"/>
  <c r="I131" i="1"/>
  <c r="J131" i="1"/>
  <c r="K131" i="1"/>
  <c r="L131" i="1"/>
  <c r="M131" i="1"/>
  <c r="N131" i="1"/>
  <c r="O131" i="1"/>
  <c r="P131" i="1"/>
  <c r="Q131" i="1"/>
  <c r="R131" i="1"/>
  <c r="G132" i="1"/>
  <c r="H132" i="1"/>
  <c r="I132" i="1"/>
  <c r="J132" i="1"/>
  <c r="K132" i="1"/>
  <c r="L132" i="1"/>
  <c r="M132" i="1"/>
  <c r="N132" i="1"/>
  <c r="O132" i="1"/>
  <c r="P132" i="1"/>
  <c r="Q132" i="1"/>
  <c r="R132" i="1"/>
  <c r="G125" i="1"/>
  <c r="H125" i="1"/>
  <c r="I125" i="1"/>
  <c r="J125" i="1"/>
  <c r="K125" i="1"/>
  <c r="L125" i="1"/>
  <c r="M125" i="1"/>
  <c r="N125" i="1"/>
  <c r="O125" i="1"/>
  <c r="P125" i="1"/>
  <c r="Q125" i="1"/>
  <c r="R125" i="1"/>
  <c r="F131" i="1"/>
  <c r="F130" i="1"/>
  <c r="F129" i="1"/>
  <c r="Q124" i="1"/>
  <c r="R124" i="1"/>
  <c r="G117" i="1"/>
  <c r="H117" i="1"/>
  <c r="I117" i="1"/>
  <c r="J117" i="1"/>
  <c r="K117" i="1"/>
  <c r="L117" i="1"/>
  <c r="M117" i="1"/>
  <c r="N117" i="1"/>
  <c r="O117" i="1"/>
  <c r="P117" i="1"/>
  <c r="Q117" i="1"/>
  <c r="R117" i="1"/>
  <c r="G118" i="1"/>
  <c r="H118" i="1"/>
  <c r="I118" i="1"/>
  <c r="J118" i="1"/>
  <c r="K118" i="1"/>
  <c r="L118" i="1"/>
  <c r="M118" i="1"/>
  <c r="N118" i="1"/>
  <c r="O118" i="1"/>
  <c r="P118" i="1"/>
  <c r="Q118" i="1"/>
  <c r="R118" i="1"/>
  <c r="Q119" i="1"/>
  <c r="R119" i="1"/>
  <c r="F118" i="1"/>
  <c r="F117" i="1"/>
  <c r="G100" i="1"/>
  <c r="H100" i="1"/>
  <c r="I100" i="1"/>
  <c r="J100" i="1"/>
  <c r="K100" i="1"/>
  <c r="L100" i="1"/>
  <c r="M100" i="1"/>
  <c r="N100" i="1"/>
  <c r="O100" i="1"/>
  <c r="P100" i="1"/>
  <c r="Q100" i="1"/>
  <c r="R100" i="1"/>
  <c r="F100" i="1"/>
  <c r="Q58" i="5"/>
  <c r="P58" i="5"/>
  <c r="O58" i="5"/>
  <c r="M58" i="5"/>
  <c r="L58" i="5"/>
  <c r="K58" i="5"/>
  <c r="F58" i="5"/>
  <c r="G58" i="5"/>
  <c r="H58" i="5"/>
  <c r="I58" i="5"/>
  <c r="E58" i="5"/>
  <c r="A50" i="5"/>
  <c r="I60" i="5"/>
  <c r="I62" i="5"/>
  <c r="M62" i="5" s="1"/>
  <c r="Q62" i="5" s="1"/>
  <c r="I63" i="5"/>
  <c r="M63" i="5" s="1"/>
  <c r="Q63" i="5" s="1"/>
  <c r="Q120" i="1" l="1"/>
  <c r="R179" i="1" s="1"/>
  <c r="R196" i="1" s="1"/>
  <c r="R120" i="1"/>
  <c r="S179" i="1" s="1"/>
  <c r="S196" i="1" s="1"/>
  <c r="S139" i="1"/>
  <c r="S91" i="1"/>
  <c r="R121" i="1" l="1"/>
  <c r="S142" i="1"/>
  <c r="R162" i="1"/>
  <c r="S162" i="1"/>
  <c r="S121" i="1"/>
  <c r="E32" i="2"/>
  <c r="E40" i="2"/>
  <c r="E35" i="2"/>
  <c r="F24" i="4"/>
  <c r="F23" i="4"/>
  <c r="F17" i="4"/>
  <c r="F18" i="4"/>
  <c r="F16" i="4"/>
  <c r="F15" i="4"/>
  <c r="D28" i="8"/>
  <c r="D27" i="8"/>
  <c r="D26" i="8"/>
  <c r="D30" i="8" s="1"/>
  <c r="F28" i="8"/>
  <c r="F27" i="8"/>
  <c r="F26" i="8"/>
  <c r="F30" i="8" s="1"/>
  <c r="C125" i="1"/>
  <c r="G102" i="1"/>
  <c r="H102" i="1"/>
  <c r="I102" i="1"/>
  <c r="J102" i="1"/>
  <c r="K102" i="1"/>
  <c r="L102" i="1"/>
  <c r="M102" i="1"/>
  <c r="N102" i="1"/>
  <c r="O102" i="1"/>
  <c r="P102" i="1"/>
  <c r="Q102" i="1"/>
  <c r="R102" i="1"/>
  <c r="G103" i="1"/>
  <c r="H103" i="1"/>
  <c r="I103" i="1"/>
  <c r="J103" i="1"/>
  <c r="K103" i="1"/>
  <c r="L103" i="1"/>
  <c r="M103" i="1"/>
  <c r="N103" i="1"/>
  <c r="O103" i="1"/>
  <c r="P103" i="1"/>
  <c r="Q103" i="1"/>
  <c r="R103" i="1"/>
  <c r="G104" i="1"/>
  <c r="H104" i="1"/>
  <c r="I104" i="1"/>
  <c r="J104" i="1"/>
  <c r="K104" i="1"/>
  <c r="L104" i="1"/>
  <c r="M104" i="1"/>
  <c r="N104" i="1"/>
  <c r="O104" i="1"/>
  <c r="P104" i="1"/>
  <c r="Q104" i="1"/>
  <c r="R104" i="1"/>
  <c r="G105" i="1"/>
  <c r="H105" i="1"/>
  <c r="I105" i="1"/>
  <c r="J105" i="1"/>
  <c r="K105" i="1"/>
  <c r="L105" i="1"/>
  <c r="M105" i="1"/>
  <c r="N105" i="1"/>
  <c r="O105" i="1"/>
  <c r="P105" i="1"/>
  <c r="Q105" i="1"/>
  <c r="R105" i="1"/>
  <c r="G106" i="1"/>
  <c r="H106" i="1"/>
  <c r="I106" i="1"/>
  <c r="J106" i="1"/>
  <c r="K106" i="1"/>
  <c r="L106" i="1"/>
  <c r="M106" i="1"/>
  <c r="N106" i="1"/>
  <c r="O106" i="1"/>
  <c r="P106" i="1"/>
  <c r="Q106" i="1"/>
  <c r="R106" i="1"/>
  <c r="G107" i="1"/>
  <c r="H107" i="1"/>
  <c r="I107" i="1"/>
  <c r="J107" i="1"/>
  <c r="K107" i="1"/>
  <c r="L107" i="1"/>
  <c r="M107" i="1"/>
  <c r="N107" i="1"/>
  <c r="O107" i="1"/>
  <c r="P107" i="1"/>
  <c r="Q107" i="1"/>
  <c r="R107" i="1"/>
  <c r="F107" i="1"/>
  <c r="F105" i="1"/>
  <c r="F106" i="1"/>
  <c r="F104" i="1"/>
  <c r="F103" i="1"/>
  <c r="F102" i="1"/>
  <c r="E61" i="1"/>
  <c r="Q108" i="1" l="1"/>
  <c r="M108" i="1"/>
  <c r="I108" i="1"/>
  <c r="R108" i="1"/>
  <c r="J108" i="1"/>
  <c r="G108" i="1"/>
  <c r="N108" i="1"/>
  <c r="O108" i="1"/>
  <c r="K108" i="1"/>
  <c r="F108" i="1"/>
  <c r="P108" i="1"/>
  <c r="L108" i="1"/>
  <c r="H108" i="1"/>
  <c r="F13" i="7" l="1"/>
  <c r="D11" i="7"/>
  <c r="F11" i="7" s="1"/>
  <c r="N18" i="7"/>
  <c r="N20" i="7" s="1"/>
  <c r="E11" i="2" s="1"/>
  <c r="F40" i="7"/>
  <c r="D38" i="7"/>
  <c r="F38" i="7" s="1"/>
  <c r="AE11" i="2" l="1"/>
  <c r="AN11" i="2"/>
  <c r="AA11" i="2"/>
  <c r="AG11" i="2"/>
  <c r="I11" i="2"/>
  <c r="H12" i="5"/>
  <c r="AH11" i="2"/>
  <c r="K11" i="2"/>
  <c r="AD11" i="2"/>
  <c r="AM11" i="2"/>
  <c r="AO11" i="2"/>
  <c r="F15" i="7"/>
  <c r="N22" i="7"/>
  <c r="N24" i="7" s="1"/>
  <c r="E95" i="5" s="1"/>
  <c r="Q95" i="5" s="1"/>
  <c r="F42" i="7"/>
  <c r="D42" i="7"/>
  <c r="D15" i="7"/>
  <c r="AM40" i="2" l="1"/>
  <c r="AM44" i="2" s="1"/>
  <c r="AM35" i="2"/>
  <c r="AM32" i="2"/>
  <c r="AM14" i="2"/>
  <c r="AO40" i="2"/>
  <c r="AO44" i="2" s="1"/>
  <c r="AO35" i="2"/>
  <c r="AO14" i="2"/>
  <c r="AO32" i="2"/>
  <c r="AN40" i="2"/>
  <c r="AN44" i="2" s="1"/>
  <c r="AN32" i="2"/>
  <c r="AN14" i="2"/>
  <c r="AN35" i="2"/>
  <c r="E91" i="5"/>
  <c r="Q91" i="5" s="1"/>
  <c r="H14" i="9"/>
  <c r="H22" i="9"/>
  <c r="H6" i="8"/>
  <c r="F12" i="4" s="1"/>
  <c r="H7" i="8"/>
  <c r="F13" i="4" s="1"/>
  <c r="H8" i="8"/>
  <c r="F14" i="4" s="1"/>
  <c r="H9" i="8"/>
  <c r="F21" i="4" s="1"/>
  <c r="H10" i="8"/>
  <c r="F22" i="4" s="1"/>
  <c r="H11" i="8"/>
  <c r="H12" i="8"/>
  <c r="H13" i="8"/>
  <c r="H14" i="8"/>
  <c r="H15" i="8"/>
  <c r="H16" i="8"/>
  <c r="H17" i="8"/>
  <c r="H18" i="8"/>
  <c r="H19" i="8"/>
  <c r="H20" i="8"/>
  <c r="H21" i="8"/>
  <c r="H22" i="8"/>
  <c r="H23" i="8"/>
  <c r="H26" i="8"/>
  <c r="H27" i="8"/>
  <c r="H28" i="8"/>
  <c r="H29" i="8"/>
  <c r="H30" i="8"/>
  <c r="H5" i="8"/>
  <c r="F11" i="4" s="1"/>
  <c r="S135" i="1" l="1"/>
  <c r="AN33" i="2"/>
  <c r="AN45" i="2" s="1"/>
  <c r="AN47" i="2" s="1"/>
  <c r="AN55" i="2" s="1"/>
  <c r="S110" i="1"/>
  <c r="S111" i="1"/>
  <c r="AM33" i="2"/>
  <c r="AM45" i="2" s="1"/>
  <c r="AM47" i="2" s="1"/>
  <c r="AM55" i="2" s="1"/>
  <c r="S134" i="1"/>
  <c r="S133" i="1"/>
  <c r="AO33" i="2"/>
  <c r="AO45" i="2" s="1"/>
  <c r="AO47" i="2" s="1"/>
  <c r="AO55" i="2" s="1"/>
  <c r="S112" i="1"/>
  <c r="I16" i="9"/>
  <c r="I20" i="9" s="1"/>
  <c r="J14" i="9"/>
  <c r="I22" i="9"/>
  <c r="J22" i="9"/>
  <c r="F43" i="4"/>
  <c r="F42" i="4"/>
  <c r="E42" i="4"/>
  <c r="H23" i="4"/>
  <c r="H22" i="4"/>
  <c r="H24" i="4" s="1"/>
  <c r="H18" i="4"/>
  <c r="H17" i="4"/>
  <c r="H16" i="4"/>
  <c r="H15" i="4"/>
  <c r="I24" i="9" l="1"/>
  <c r="F44" i="4"/>
  <c r="H36" i="5" l="1"/>
  <c r="H33" i="5" l="1"/>
  <c r="H41" i="5"/>
  <c r="N78" i="5"/>
  <c r="N79" i="5" s="1"/>
  <c r="N15" i="5"/>
  <c r="L15" i="5"/>
  <c r="N22" i="5"/>
  <c r="P28" i="5"/>
  <c r="O28" i="5"/>
  <c r="N28" i="5"/>
  <c r="N45" i="5"/>
  <c r="N46" i="5" s="1"/>
  <c r="N34" i="5"/>
  <c r="H78" i="5"/>
  <c r="H72" i="5"/>
  <c r="J72" i="5"/>
  <c r="J45" i="5"/>
  <c r="J46" i="5" s="1"/>
  <c r="J48" i="5" s="1"/>
  <c r="H28" i="5"/>
  <c r="O19" i="5"/>
  <c r="O22" i="5" s="1"/>
  <c r="N48" i="5" l="1"/>
  <c r="N65" i="5" s="1"/>
  <c r="H79" i="5"/>
  <c r="H81" i="5" s="1"/>
  <c r="H86" i="5" s="1"/>
  <c r="E78" i="5"/>
  <c r="I27" i="5"/>
  <c r="I77" i="5"/>
  <c r="I84" i="5"/>
  <c r="I32" i="5"/>
  <c r="I44" i="5"/>
  <c r="I13" i="5"/>
  <c r="M13" i="5" s="1"/>
  <c r="I21" i="5"/>
  <c r="I31" i="5"/>
  <c r="I37" i="5"/>
  <c r="I43" i="5"/>
  <c r="I71" i="5"/>
  <c r="I80" i="5"/>
  <c r="I85" i="5"/>
  <c r="E15" i="5"/>
  <c r="I20" i="5"/>
  <c r="I42" i="5"/>
  <c r="I70" i="5"/>
  <c r="G22" i="5"/>
  <c r="I26" i="5"/>
  <c r="E72" i="5"/>
  <c r="I76" i="5"/>
  <c r="I83" i="5"/>
  <c r="I14" i="5"/>
  <c r="M14" i="5" s="1"/>
  <c r="I25" i="5"/>
  <c r="I38" i="5"/>
  <c r="I82" i="5"/>
  <c r="E22" i="5"/>
  <c r="H22" i="5"/>
  <c r="I75" i="5"/>
  <c r="G15" i="5"/>
  <c r="E28" i="5"/>
  <c r="G34" i="5"/>
  <c r="E34" i="5"/>
  <c r="I69" i="5"/>
  <c r="G78" i="5"/>
  <c r="G72" i="5"/>
  <c r="G45" i="5"/>
  <c r="G28" i="5"/>
  <c r="E45" i="5"/>
  <c r="I19" i="5"/>
  <c r="I28" i="5" l="1"/>
  <c r="E79" i="5"/>
  <c r="E81" i="5" s="1"/>
  <c r="E86" i="5" s="1"/>
  <c r="E92" i="5" s="1"/>
  <c r="G79" i="5"/>
  <c r="G81" i="5" s="1"/>
  <c r="G86" i="5" s="1"/>
  <c r="G46" i="5"/>
  <c r="G48" i="5" s="1"/>
  <c r="E46" i="5"/>
  <c r="E48" i="5" s="1"/>
  <c r="E65" i="5" s="1"/>
  <c r="H15" i="5"/>
  <c r="O12" i="5"/>
  <c r="O15" i="5" s="1"/>
  <c r="I78" i="5"/>
  <c r="I12" i="5"/>
  <c r="M19" i="5"/>
  <c r="I22" i="5"/>
  <c r="I72" i="5"/>
  <c r="G61" i="5" l="1"/>
  <c r="G65" i="5" s="1"/>
  <c r="E93" i="5"/>
  <c r="E94" i="5" s="1"/>
  <c r="E96" i="5" s="1"/>
  <c r="E88" i="5"/>
  <c r="O41" i="5"/>
  <c r="O45" i="5" s="1"/>
  <c r="I41" i="5"/>
  <c r="H45" i="5"/>
  <c r="I15" i="5"/>
  <c r="M12" i="5"/>
  <c r="J26" i="9" s="1"/>
  <c r="L26" i="9" s="1"/>
  <c r="I36" i="5"/>
  <c r="O36" i="5"/>
  <c r="H34" i="5"/>
  <c r="O33" i="5"/>
  <c r="O34" i="5" s="1"/>
  <c r="I33" i="5"/>
  <c r="I79" i="5"/>
  <c r="I81" i="5" s="1"/>
  <c r="I86" i="5" s="1"/>
  <c r="W61" i="2"/>
  <c r="L14" i="1"/>
  <c r="L146" i="1" s="1"/>
  <c r="L13" i="1"/>
  <c r="R61" i="2"/>
  <c r="I14" i="1"/>
  <c r="I13" i="1"/>
  <c r="T61" i="2"/>
  <c r="L147" i="1"/>
  <c r="G146" i="1"/>
  <c r="H146" i="1"/>
  <c r="I146" i="1"/>
  <c r="J146" i="1"/>
  <c r="K146" i="1"/>
  <c r="M146" i="1"/>
  <c r="N146" i="1"/>
  <c r="O146" i="1"/>
  <c r="P146" i="1"/>
  <c r="Q146" i="1"/>
  <c r="R146" i="1"/>
  <c r="F146" i="1"/>
  <c r="M15" i="5" l="1"/>
  <c r="O46" i="5"/>
  <c r="O48" i="5" s="1"/>
  <c r="I34" i="5"/>
  <c r="I45" i="5"/>
  <c r="H46" i="5"/>
  <c r="H48" i="5" s="1"/>
  <c r="H65" i="5" s="1"/>
  <c r="L149" i="1"/>
  <c r="O60" i="5" l="1"/>
  <c r="O65" i="5" s="1"/>
  <c r="I46" i="5"/>
  <c r="I48" i="5" s="1"/>
  <c r="F125" i="1" l="1"/>
  <c r="P109" i="1"/>
  <c r="O109" i="1"/>
  <c r="N109" i="1"/>
  <c r="M109" i="1"/>
  <c r="L109" i="1"/>
  <c r="H109" i="1"/>
  <c r="W19" i="2"/>
  <c r="H13" i="2"/>
  <c r="F147" i="1" s="1"/>
  <c r="F149" i="1" s="1"/>
  <c r="J13" i="2"/>
  <c r="G147" i="1" s="1"/>
  <c r="G149" i="1" s="1"/>
  <c r="G150" i="1" s="1"/>
  <c r="L13" i="2"/>
  <c r="H147" i="1" s="1"/>
  <c r="H149" i="1" s="1"/>
  <c r="N13" i="2"/>
  <c r="I147" i="1" s="1"/>
  <c r="I149" i="1" s="1"/>
  <c r="I150" i="1" s="1"/>
  <c r="P13" i="2"/>
  <c r="J147" i="1" s="1"/>
  <c r="J149" i="1" s="1"/>
  <c r="R13" i="2"/>
  <c r="K147" i="1" s="1"/>
  <c r="K149" i="1" s="1"/>
  <c r="T19" i="2"/>
  <c r="W13" i="2"/>
  <c r="M147" i="1" s="1"/>
  <c r="M149" i="1" s="1"/>
  <c r="Z19" i="2"/>
  <c r="AC19" i="2"/>
  <c r="AL63" i="2"/>
  <c r="R109" i="1" s="1"/>
  <c r="AL61" i="2"/>
  <c r="AL13" i="2" s="1"/>
  <c r="R147" i="1" s="1"/>
  <c r="R149" i="1" s="1"/>
  <c r="AI63" i="2"/>
  <c r="AI19" i="2" s="1"/>
  <c r="AI61" i="2"/>
  <c r="AI13" i="2" s="1"/>
  <c r="Q147" i="1" s="1"/>
  <c r="Q149" i="1" s="1"/>
  <c r="AF61" i="2"/>
  <c r="AF13" i="2" s="1"/>
  <c r="P147" i="1" s="1"/>
  <c r="P149" i="1" s="1"/>
  <c r="P150" i="1" s="1"/>
  <c r="AF63" i="2"/>
  <c r="AF19" i="2" s="1"/>
  <c r="AC61" i="2"/>
  <c r="AC13" i="2" s="1"/>
  <c r="O147" i="1" s="1"/>
  <c r="O149" i="1" s="1"/>
  <c r="O150" i="1" s="1"/>
  <c r="Z61" i="2"/>
  <c r="Z13" i="2" s="1"/>
  <c r="N147" i="1" s="1"/>
  <c r="N149" i="1" s="1"/>
  <c r="R63" i="2"/>
  <c r="K109" i="1" s="1"/>
  <c r="P63" i="2"/>
  <c r="P19" i="2" s="1"/>
  <c r="N63" i="2"/>
  <c r="I109" i="1" s="1"/>
  <c r="L63" i="2"/>
  <c r="L19" i="2" s="1"/>
  <c r="H63" i="2"/>
  <c r="H19" i="2" s="1"/>
  <c r="J63" i="2"/>
  <c r="G109" i="1" s="1"/>
  <c r="T20" i="2"/>
  <c r="P20" i="2"/>
  <c r="AL20" i="2"/>
  <c r="AL18" i="2"/>
  <c r="AI20" i="2"/>
  <c r="AI18" i="2"/>
  <c r="AF20" i="2"/>
  <c r="AF18" i="2"/>
  <c r="AC20" i="2"/>
  <c r="AC18" i="2"/>
  <c r="Z20" i="2"/>
  <c r="Z18" i="2"/>
  <c r="W20" i="2"/>
  <c r="W18" i="2"/>
  <c r="T18" i="2"/>
  <c r="R20" i="2"/>
  <c r="R18" i="2"/>
  <c r="P18" i="2"/>
  <c r="N20" i="2"/>
  <c r="N18" i="2"/>
  <c r="L20" i="2"/>
  <c r="L18" i="2"/>
  <c r="J20" i="2"/>
  <c r="J18" i="2"/>
  <c r="AL27" i="2"/>
  <c r="AI27" i="2"/>
  <c r="AF27" i="2"/>
  <c r="AC27" i="2"/>
  <c r="Z27" i="2"/>
  <c r="W27" i="2"/>
  <c r="T27" i="2"/>
  <c r="R27" i="2"/>
  <c r="P27" i="2"/>
  <c r="N27" i="2"/>
  <c r="L27" i="2"/>
  <c r="J27" i="2"/>
  <c r="H20" i="2"/>
  <c r="H18" i="2"/>
  <c r="H27" i="2"/>
  <c r="Q83" i="1"/>
  <c r="R83" i="1"/>
  <c r="Q73" i="1"/>
  <c r="R73" i="1"/>
  <c r="S150" i="1" l="1"/>
  <c r="R150" i="1"/>
  <c r="Q150" i="1"/>
  <c r="N19" i="2"/>
  <c r="N21" i="2" s="1"/>
  <c r="J19" i="2"/>
  <c r="Q109" i="1"/>
  <c r="AL19" i="2"/>
  <c r="AL21" i="2" s="1"/>
  <c r="J150" i="1"/>
  <c r="H150" i="1"/>
  <c r="F109" i="1"/>
  <c r="J109" i="1"/>
  <c r="R19" i="2"/>
  <c r="R21" i="2" s="1"/>
  <c r="R11" i="2" s="1"/>
  <c r="K150" i="1"/>
  <c r="L150" i="1"/>
  <c r="M150" i="1"/>
  <c r="N150" i="1"/>
  <c r="H21" i="2"/>
  <c r="W21" i="2"/>
  <c r="P21" i="2"/>
  <c r="P11" i="2" s="1"/>
  <c r="T21" i="2"/>
  <c r="T11" i="2" s="1"/>
  <c r="AI21" i="2"/>
  <c r="AF21" i="2"/>
  <c r="AC21" i="2"/>
  <c r="Z21" i="2"/>
  <c r="Z11" i="2" s="1"/>
  <c r="L21" i="2"/>
  <c r="J21" i="2"/>
  <c r="P15" i="6"/>
  <c r="O15" i="6"/>
  <c r="O17" i="6"/>
  <c r="P42" i="1" s="1"/>
  <c r="P119" i="1" s="1"/>
  <c r="P120" i="1" s="1"/>
  <c r="N15" i="6"/>
  <c r="M15" i="6"/>
  <c r="M17" i="6" s="1"/>
  <c r="N42" i="1" s="1"/>
  <c r="N119" i="1" s="1"/>
  <c r="N120" i="1" s="1"/>
  <c r="L15" i="6"/>
  <c r="L17" i="6" s="1"/>
  <c r="M42" i="1" s="1"/>
  <c r="M119" i="1" s="1"/>
  <c r="M120" i="1" s="1"/>
  <c r="K15" i="6"/>
  <c r="K17" i="6" s="1"/>
  <c r="L42" i="1" s="1"/>
  <c r="L119" i="1" s="1"/>
  <c r="L120" i="1" s="1"/>
  <c r="J14" i="6"/>
  <c r="J17" i="6" s="1"/>
  <c r="K42" i="1" s="1"/>
  <c r="K119" i="1" s="1"/>
  <c r="K120" i="1" s="1"/>
  <c r="J15" i="6"/>
  <c r="J16" i="6"/>
  <c r="I14" i="6"/>
  <c r="I15" i="6"/>
  <c r="I16" i="6"/>
  <c r="H15" i="6"/>
  <c r="G15" i="6"/>
  <c r="G17" i="6" s="1"/>
  <c r="H42" i="1" s="1"/>
  <c r="H119" i="1" s="1"/>
  <c r="H120" i="1" s="1"/>
  <c r="F66" i="6"/>
  <c r="G73" i="1" s="1"/>
  <c r="G66" i="6"/>
  <c r="H73" i="1" s="1"/>
  <c r="H66" i="6"/>
  <c r="I73" i="1" s="1"/>
  <c r="I66" i="6"/>
  <c r="J73" i="1" s="1"/>
  <c r="J66" i="6"/>
  <c r="K73" i="1" s="1"/>
  <c r="K66" i="6"/>
  <c r="L73" i="1" s="1"/>
  <c r="L66" i="6"/>
  <c r="M73" i="1" s="1"/>
  <c r="M66" i="6"/>
  <c r="N73" i="1" s="1"/>
  <c r="N66" i="6"/>
  <c r="O73" i="1" s="1"/>
  <c r="O66" i="6"/>
  <c r="P73" i="1" s="1"/>
  <c r="F67" i="6"/>
  <c r="G83" i="1" s="1"/>
  <c r="G67" i="6"/>
  <c r="H83" i="1" s="1"/>
  <c r="H67" i="6"/>
  <c r="I83" i="1" s="1"/>
  <c r="I67" i="6"/>
  <c r="J83" i="1" s="1"/>
  <c r="J67" i="6"/>
  <c r="K83" i="1" s="1"/>
  <c r="K67" i="6"/>
  <c r="L83" i="1" s="1"/>
  <c r="L67" i="6"/>
  <c r="M83" i="1" s="1"/>
  <c r="M67" i="6"/>
  <c r="N83" i="1" s="1"/>
  <c r="N67" i="6"/>
  <c r="O83" i="1" s="1"/>
  <c r="O67" i="6"/>
  <c r="P83" i="1" s="1"/>
  <c r="F15" i="6"/>
  <c r="F17" i="6" s="1"/>
  <c r="G42" i="1" s="1"/>
  <c r="G119" i="1" s="1"/>
  <c r="G120" i="1" s="1"/>
  <c r="H17" i="6"/>
  <c r="I42" i="1" s="1"/>
  <c r="I119" i="1" s="1"/>
  <c r="I120" i="1" s="1"/>
  <c r="N17" i="6"/>
  <c r="O42" i="1" s="1"/>
  <c r="O119" i="1" s="1"/>
  <c r="O120" i="1" s="1"/>
  <c r="P17" i="6"/>
  <c r="Q17" i="6"/>
  <c r="Q15" i="6"/>
  <c r="P25" i="6"/>
  <c r="P30" i="6" s="1"/>
  <c r="O25" i="6"/>
  <c r="N25" i="6"/>
  <c r="M25" i="6"/>
  <c r="L25" i="6"/>
  <c r="K25" i="6"/>
  <c r="J25" i="6"/>
  <c r="I25" i="6"/>
  <c r="H25" i="6"/>
  <c r="G25" i="6"/>
  <c r="F25" i="6"/>
  <c r="E25" i="6"/>
  <c r="Q25" i="6"/>
  <c r="Q30" i="6" s="1"/>
  <c r="P68" i="6"/>
  <c r="Q68" i="6"/>
  <c r="E67" i="6"/>
  <c r="F83" i="1" s="1"/>
  <c r="E66" i="6"/>
  <c r="F73" i="1" s="1"/>
  <c r="M179" i="1" l="1"/>
  <c r="M196" i="1" s="1"/>
  <c r="L121" i="1"/>
  <c r="L162" i="1"/>
  <c r="E30" i="6"/>
  <c r="F43" i="1"/>
  <c r="F124" i="1" s="1"/>
  <c r="I30" i="6"/>
  <c r="J43" i="1"/>
  <c r="J124" i="1" s="1"/>
  <c r="M30" i="6"/>
  <c r="N43" i="1"/>
  <c r="N124" i="1" s="1"/>
  <c r="N179" i="1"/>
  <c r="N196" i="1" s="1"/>
  <c r="M162" i="1"/>
  <c r="M121" i="1"/>
  <c r="H30" i="6"/>
  <c r="I43" i="1"/>
  <c r="I124" i="1" s="1"/>
  <c r="L30" i="6"/>
  <c r="M43" i="1"/>
  <c r="M124" i="1" s="1"/>
  <c r="I179" i="1"/>
  <c r="I196" i="1" s="1"/>
  <c r="H162" i="1"/>
  <c r="H121" i="1"/>
  <c r="Q179" i="1"/>
  <c r="Q196" i="1" s="1"/>
  <c r="Q162" i="1"/>
  <c r="P121" i="1"/>
  <c r="Q121" i="1"/>
  <c r="P162" i="1"/>
  <c r="F30" i="6"/>
  <c r="G43" i="1"/>
  <c r="G124" i="1" s="1"/>
  <c r="J30" i="6"/>
  <c r="K43" i="1"/>
  <c r="K124" i="1" s="1"/>
  <c r="N30" i="6"/>
  <c r="O43" i="1"/>
  <c r="O124" i="1" s="1"/>
  <c r="J179" i="1"/>
  <c r="J196" i="1" s="1"/>
  <c r="I162" i="1"/>
  <c r="I121" i="1"/>
  <c r="I17" i="6"/>
  <c r="J42" i="1" s="1"/>
  <c r="J119" i="1" s="1"/>
  <c r="J120" i="1" s="1"/>
  <c r="O179" i="1"/>
  <c r="O196" i="1" s="1"/>
  <c r="N121" i="1"/>
  <c r="N162" i="1"/>
  <c r="P179" i="1"/>
  <c r="P196" i="1" s="1"/>
  <c r="O162" i="1"/>
  <c r="O121" i="1"/>
  <c r="G30" i="6"/>
  <c r="H43" i="1"/>
  <c r="H124" i="1" s="1"/>
  <c r="K30" i="6"/>
  <c r="L43" i="1"/>
  <c r="L124" i="1" s="1"/>
  <c r="O30" i="6"/>
  <c r="P43" i="1"/>
  <c r="P124" i="1" s="1"/>
  <c r="H179" i="1"/>
  <c r="L179" i="1"/>
  <c r="L196" i="1" s="1"/>
  <c r="K162" i="1"/>
  <c r="K121" i="1"/>
  <c r="H11" i="2"/>
  <c r="H14" i="2" s="1"/>
  <c r="P40" i="2"/>
  <c r="P44" i="2" s="1"/>
  <c r="N11" i="2"/>
  <c r="N35" i="2" s="1"/>
  <c r="W11" i="2"/>
  <c r="W40" i="2" s="1"/>
  <c r="W44" i="2" s="1"/>
  <c r="AL11" i="2"/>
  <c r="AL35" i="2" s="1"/>
  <c r="AF11" i="2"/>
  <c r="AF40" i="2" s="1"/>
  <c r="AF44" i="2" s="1"/>
  <c r="J11" i="2"/>
  <c r="J35" i="2" s="1"/>
  <c r="Z32" i="2"/>
  <c r="AI11" i="2"/>
  <c r="AI40" i="2" s="1"/>
  <c r="AI44" i="2" s="1"/>
  <c r="L11" i="2"/>
  <c r="L35" i="2" s="1"/>
  <c r="AC11" i="2"/>
  <c r="AC35" i="2" s="1"/>
  <c r="R32" i="2"/>
  <c r="R35" i="2"/>
  <c r="E64" i="6"/>
  <c r="F87" i="1" s="1"/>
  <c r="Q44" i="6"/>
  <c r="P44" i="6"/>
  <c r="O44" i="6"/>
  <c r="N44" i="6"/>
  <c r="M44" i="6"/>
  <c r="L44" i="6"/>
  <c r="K44" i="6"/>
  <c r="J44" i="6"/>
  <c r="I44" i="6"/>
  <c r="H44" i="6"/>
  <c r="G44" i="6"/>
  <c r="F44" i="6"/>
  <c r="E44" i="6"/>
  <c r="Q38" i="6"/>
  <c r="P38" i="6"/>
  <c r="O38" i="6"/>
  <c r="N38" i="6"/>
  <c r="M38" i="6"/>
  <c r="L38" i="6"/>
  <c r="K38" i="6"/>
  <c r="J38" i="6"/>
  <c r="I38" i="6"/>
  <c r="H38" i="6"/>
  <c r="G38" i="6"/>
  <c r="F38" i="6"/>
  <c r="E38" i="6"/>
  <c r="F27" i="6"/>
  <c r="F28" i="6" s="1"/>
  <c r="G27" i="6"/>
  <c r="G28" i="6" s="1"/>
  <c r="H27" i="6"/>
  <c r="H28" i="6" s="1"/>
  <c r="I27" i="6"/>
  <c r="I28" i="6" s="1"/>
  <c r="J27" i="6"/>
  <c r="J28" i="6" s="1"/>
  <c r="K27" i="6"/>
  <c r="K28" i="6" s="1"/>
  <c r="L27" i="6"/>
  <c r="L28" i="6" s="1"/>
  <c r="M27" i="6"/>
  <c r="M28" i="6" s="1"/>
  <c r="N27" i="6"/>
  <c r="N28" i="6" s="1"/>
  <c r="O27" i="6"/>
  <c r="P27" i="6"/>
  <c r="P28" i="6" s="1"/>
  <c r="Q27" i="6"/>
  <c r="Q28" i="6" s="1"/>
  <c r="E27" i="6"/>
  <c r="E28" i="6" s="1"/>
  <c r="E15" i="6"/>
  <c r="E17" i="6" s="1"/>
  <c r="F42" i="1" s="1"/>
  <c r="F119" i="1" s="1"/>
  <c r="F120" i="1" s="1"/>
  <c r="G121" i="1" s="1"/>
  <c r="M64" i="6"/>
  <c r="N87" i="1" s="1"/>
  <c r="L64" i="6"/>
  <c r="M87" i="1" s="1"/>
  <c r="K64" i="6"/>
  <c r="L87" i="1" s="1"/>
  <c r="J64" i="6"/>
  <c r="K87" i="1" s="1"/>
  <c r="I64" i="6"/>
  <c r="J87" i="1" s="1"/>
  <c r="H64" i="6"/>
  <c r="I87" i="1" s="1"/>
  <c r="G64" i="6"/>
  <c r="H87" i="1" s="1"/>
  <c r="F64" i="6"/>
  <c r="G87" i="1" s="1"/>
  <c r="K179" i="1" l="1"/>
  <c r="K196" i="1" s="1"/>
  <c r="J162" i="1"/>
  <c r="J121" i="1"/>
  <c r="H32" i="2"/>
  <c r="F133" i="1" s="1"/>
  <c r="H40" i="2"/>
  <c r="H44" i="2" s="1"/>
  <c r="H35" i="2"/>
  <c r="Z40" i="2"/>
  <c r="Z44" i="2" s="1"/>
  <c r="Z14" i="2"/>
  <c r="Z35" i="2"/>
  <c r="W32" i="2"/>
  <c r="W33" i="2" s="1"/>
  <c r="W14" i="2"/>
  <c r="L32" i="2"/>
  <c r="L33" i="2" s="1"/>
  <c r="AL14" i="2"/>
  <c r="L14" i="2"/>
  <c r="P14" i="2"/>
  <c r="L40" i="2"/>
  <c r="L44" i="2" s="1"/>
  <c r="N32" i="2"/>
  <c r="N14" i="2"/>
  <c r="N40" i="2"/>
  <c r="N44" i="2" s="1"/>
  <c r="J32" i="2"/>
  <c r="G133" i="1" s="1"/>
  <c r="P32" i="2"/>
  <c r="J133" i="1" s="1"/>
  <c r="W35" i="2"/>
  <c r="M110" i="1" s="1"/>
  <c r="AF35" i="2"/>
  <c r="P110" i="1" s="1"/>
  <c r="P35" i="2"/>
  <c r="J110" i="1" s="1"/>
  <c r="J40" i="2"/>
  <c r="J44" i="2" s="1"/>
  <c r="R33" i="2"/>
  <c r="K133" i="1"/>
  <c r="AI35" i="2"/>
  <c r="Q110" i="1" s="1"/>
  <c r="AI14" i="2"/>
  <c r="AF14" i="2"/>
  <c r="AF32" i="2"/>
  <c r="Z33" i="2"/>
  <c r="N133" i="1"/>
  <c r="AL40" i="2"/>
  <c r="AL44" i="2" s="1"/>
  <c r="AL32" i="2"/>
  <c r="AC14" i="2"/>
  <c r="AC40" i="2"/>
  <c r="AC44" i="2" s="1"/>
  <c r="AI32" i="2"/>
  <c r="J14" i="2"/>
  <c r="AC32" i="2"/>
  <c r="T32" i="2"/>
  <c r="T35" i="2"/>
  <c r="T40" i="2"/>
  <c r="T44" i="2" s="1"/>
  <c r="T14" i="2"/>
  <c r="R14" i="2"/>
  <c r="R40" i="2"/>
  <c r="R44" i="2" s="1"/>
  <c r="F45" i="6"/>
  <c r="F47" i="6" s="1"/>
  <c r="F54" i="6" s="1"/>
  <c r="J45" i="6"/>
  <c r="J47" i="6" s="1"/>
  <c r="J54" i="6" s="1"/>
  <c r="P64" i="6"/>
  <c r="Q87" i="1" s="1"/>
  <c r="G45" i="6"/>
  <c r="G47" i="6" s="1"/>
  <c r="G54" i="6" s="1"/>
  <c r="K45" i="6"/>
  <c r="K47" i="6" s="1"/>
  <c r="K54" i="6" s="1"/>
  <c r="N45" i="6"/>
  <c r="N47" i="6" s="1"/>
  <c r="N54" i="6" s="1"/>
  <c r="H45" i="6"/>
  <c r="H47" i="6" s="1"/>
  <c r="H54" i="6" s="1"/>
  <c r="L45" i="6"/>
  <c r="L47" i="6" s="1"/>
  <c r="L54" i="6" s="1"/>
  <c r="P45" i="6"/>
  <c r="P47" i="6" s="1"/>
  <c r="P54" i="6" s="1"/>
  <c r="E45" i="6"/>
  <c r="E47" i="6" s="1"/>
  <c r="E54" i="6" s="1"/>
  <c r="I45" i="6"/>
  <c r="I47" i="6" s="1"/>
  <c r="I54" i="6" s="1"/>
  <c r="M45" i="6"/>
  <c r="M47" i="6" s="1"/>
  <c r="M54" i="6" s="1"/>
  <c r="Q45" i="6"/>
  <c r="Q47" i="6" s="1"/>
  <c r="Q54" i="6" s="1"/>
  <c r="O45" i="6"/>
  <c r="O47" i="6" s="1"/>
  <c r="O54" i="6" s="1"/>
  <c r="N64" i="6"/>
  <c r="O87" i="1" s="1"/>
  <c r="O64" i="6"/>
  <c r="P87" i="1" s="1"/>
  <c r="O28" i="6"/>
  <c r="Q64" i="6"/>
  <c r="R87" i="1" s="1"/>
  <c r="H33" i="2" l="1"/>
  <c r="H45" i="2" s="1"/>
  <c r="H47" i="2" s="1"/>
  <c r="H55" i="2" s="1"/>
  <c r="F110" i="1"/>
  <c r="N110" i="1"/>
  <c r="Z45" i="2"/>
  <c r="Z47" i="2" s="1"/>
  <c r="Z55" i="2" s="1"/>
  <c r="L45" i="2"/>
  <c r="L47" i="2" s="1"/>
  <c r="L55" i="2" s="1"/>
  <c r="I110" i="1"/>
  <c r="M133" i="1"/>
  <c r="H133" i="1"/>
  <c r="H110" i="1"/>
  <c r="J33" i="2"/>
  <c r="J45" i="2" s="1"/>
  <c r="J47" i="2" s="1"/>
  <c r="J55" i="2" s="1"/>
  <c r="R110" i="1"/>
  <c r="G110" i="1"/>
  <c r="W45" i="2"/>
  <c r="W47" i="2" s="1"/>
  <c r="W55" i="2" s="1"/>
  <c r="P33" i="2"/>
  <c r="P45" i="2" s="1"/>
  <c r="P47" i="2" s="1"/>
  <c r="P55" i="2" s="1"/>
  <c r="I133" i="1"/>
  <c r="N33" i="2"/>
  <c r="N45" i="2" s="1"/>
  <c r="N47" i="2" s="1"/>
  <c r="N55" i="2" s="1"/>
  <c r="R45" i="2"/>
  <c r="R47" i="2" s="1"/>
  <c r="R55" i="2" s="1"/>
  <c r="L110" i="1"/>
  <c r="O110" i="1"/>
  <c r="AF33" i="2"/>
  <c r="AF45" i="2" s="1"/>
  <c r="AF47" i="2" s="1"/>
  <c r="AF55" i="2" s="1"/>
  <c r="P133" i="1"/>
  <c r="AC33" i="2"/>
  <c r="AC45" i="2" s="1"/>
  <c r="AC47" i="2" s="1"/>
  <c r="AC55" i="2" s="1"/>
  <c r="O133" i="1"/>
  <c r="AI33" i="2"/>
  <c r="AI45" i="2" s="1"/>
  <c r="AI47" i="2" s="1"/>
  <c r="AI55" i="2" s="1"/>
  <c r="Q133" i="1"/>
  <c r="AL33" i="2"/>
  <c r="AL45" i="2" s="1"/>
  <c r="AL47" i="2" s="1"/>
  <c r="AL55" i="2" s="1"/>
  <c r="R133" i="1"/>
  <c r="T33" i="2"/>
  <c r="T45" i="2" s="1"/>
  <c r="T47" i="2" s="1"/>
  <c r="T55" i="2" s="1"/>
  <c r="L133" i="1"/>
  <c r="K110" i="1"/>
  <c r="AJ36" i="2"/>
  <c r="AJ11" i="2" s="1"/>
  <c r="AJ40" i="2" s="1"/>
  <c r="AJ44" i="2" s="1"/>
  <c r="AK41" i="2"/>
  <c r="AK11" i="2" s="1"/>
  <c r="AK35" i="2" s="1"/>
  <c r="AK27" i="2"/>
  <c r="AJ27" i="2"/>
  <c r="AK21" i="2"/>
  <c r="AJ21" i="2"/>
  <c r="R15" i="1"/>
  <c r="R22" i="1"/>
  <c r="AL65" i="2" s="1"/>
  <c r="R28" i="1"/>
  <c r="R34" i="1"/>
  <c r="R45" i="1"/>
  <c r="R75" i="1"/>
  <c r="R81" i="1"/>
  <c r="R82" i="1" l="1"/>
  <c r="R84" i="1" s="1"/>
  <c r="AK40" i="2"/>
  <c r="AK44" i="2" s="1"/>
  <c r="AK14" i="2"/>
  <c r="R126" i="1"/>
  <c r="R46" i="1"/>
  <c r="R48" i="1" s="1"/>
  <c r="R56" i="1" s="1"/>
  <c r="AJ32" i="2"/>
  <c r="R134" i="1" s="1"/>
  <c r="AJ35" i="2"/>
  <c r="R111" i="1" s="1"/>
  <c r="AJ14" i="2"/>
  <c r="AK32" i="2"/>
  <c r="S136" i="1" s="1"/>
  <c r="F40" i="4"/>
  <c r="E40" i="4"/>
  <c r="F39" i="4"/>
  <c r="E39" i="4"/>
  <c r="F38" i="4"/>
  <c r="E38" i="4"/>
  <c r="F37" i="4"/>
  <c r="E37" i="4"/>
  <c r="H32" i="4"/>
  <c r="H31" i="4"/>
  <c r="H30" i="4"/>
  <c r="H29" i="4"/>
  <c r="H28" i="4"/>
  <c r="H27" i="4"/>
  <c r="H25" i="4"/>
  <c r="F25" i="4"/>
  <c r="G42" i="4" s="1"/>
  <c r="H19" i="4"/>
  <c r="I16" i="4" s="1"/>
  <c r="F19" i="4"/>
  <c r="E19" i="4"/>
  <c r="G38" i="4" l="1"/>
  <c r="I38" i="4" s="1"/>
  <c r="G40" i="4"/>
  <c r="I40" i="4" s="1"/>
  <c r="S183" i="1"/>
  <c r="S200" i="1" s="1"/>
  <c r="R139" i="1"/>
  <c r="S140" i="1" s="1"/>
  <c r="S166" i="1"/>
  <c r="I42" i="4"/>
  <c r="F41" i="4"/>
  <c r="I11" i="4"/>
  <c r="I15" i="4"/>
  <c r="I14" i="4"/>
  <c r="I18" i="4"/>
  <c r="I13" i="4"/>
  <c r="I17" i="4"/>
  <c r="I12" i="4"/>
  <c r="E41" i="4"/>
  <c r="G39" i="4"/>
  <c r="I39" i="4" s="1"/>
  <c r="R91" i="1"/>
  <c r="R112" i="1"/>
  <c r="AK33" i="2"/>
  <c r="AK45" i="2" s="1"/>
  <c r="AK47" i="2" s="1"/>
  <c r="AK55" i="2" s="1"/>
  <c r="R135" i="1"/>
  <c r="R136" i="1" s="1"/>
  <c r="S181" i="1" s="1"/>
  <c r="S198" i="1" s="1"/>
  <c r="AJ33" i="2"/>
  <c r="AJ45" i="2" s="1"/>
  <c r="AJ47" i="2" s="1"/>
  <c r="AJ55" i="2" s="1"/>
  <c r="G37" i="4"/>
  <c r="I37" i="4" s="1"/>
  <c r="S175" i="1" l="1"/>
  <c r="S192" i="1" s="1"/>
  <c r="S185" i="1"/>
  <c r="S202" i="1" s="1"/>
  <c r="S160" i="1"/>
  <c r="S164" i="1"/>
  <c r="S168" i="1"/>
  <c r="S114" i="1"/>
  <c r="S137" i="1"/>
  <c r="Q56" i="6"/>
  <c r="R142" i="1"/>
  <c r="S143" i="1" s="1"/>
  <c r="I44" i="4"/>
  <c r="P19" i="5" s="1"/>
  <c r="I19" i="4"/>
  <c r="G41" i="4"/>
  <c r="F78" i="5"/>
  <c r="F72" i="5"/>
  <c r="F45" i="5"/>
  <c r="F34" i="5"/>
  <c r="F28" i="5"/>
  <c r="F22" i="5"/>
  <c r="F15" i="5"/>
  <c r="P22" i="5" l="1"/>
  <c r="Q19" i="5"/>
  <c r="F79" i="5"/>
  <c r="F81" i="5" s="1"/>
  <c r="F86" i="5" s="1"/>
  <c r="F61" i="5" s="1"/>
  <c r="I61" i="5" s="1"/>
  <c r="I65" i="5" s="1"/>
  <c r="L21" i="5"/>
  <c r="F46" i="5"/>
  <c r="F48" i="5" s="1"/>
  <c r="G23" i="4"/>
  <c r="G18" i="4"/>
  <c r="G17" i="4"/>
  <c r="G16" i="4"/>
  <c r="G15" i="4"/>
  <c r="G21" i="4"/>
  <c r="G14" i="4"/>
  <c r="G13" i="4"/>
  <c r="G12" i="4"/>
  <c r="G11" i="4"/>
  <c r="E22" i="4"/>
  <c r="G22" i="4" s="1"/>
  <c r="E24" i="4"/>
  <c r="G24" i="4" l="1"/>
  <c r="E43" i="4"/>
  <c r="E25" i="4"/>
  <c r="F65" i="5"/>
  <c r="M21" i="5"/>
  <c r="Q21" i="5" s="1"/>
  <c r="L126" i="1"/>
  <c r="K126" i="1"/>
  <c r="J126" i="1"/>
  <c r="I126" i="1"/>
  <c r="H126" i="1"/>
  <c r="G126" i="1"/>
  <c r="F132" i="1"/>
  <c r="F126" i="1"/>
  <c r="G27" i="2"/>
  <c r="G21" i="2"/>
  <c r="O27" i="2"/>
  <c r="M27" i="2"/>
  <c r="K27" i="2"/>
  <c r="I27" i="2"/>
  <c r="O21" i="2"/>
  <c r="M21" i="2"/>
  <c r="K21" i="2"/>
  <c r="I21" i="2"/>
  <c r="Q27" i="2"/>
  <c r="Q21" i="2"/>
  <c r="S27" i="2"/>
  <c r="S21" i="2"/>
  <c r="V27" i="2"/>
  <c r="U27" i="2"/>
  <c r="V21" i="2"/>
  <c r="U21" i="2"/>
  <c r="Y27" i="2"/>
  <c r="X27" i="2"/>
  <c r="Y21" i="2"/>
  <c r="X21" i="2"/>
  <c r="AB27" i="2"/>
  <c r="AA27" i="2"/>
  <c r="AB21" i="2"/>
  <c r="AA21" i="2"/>
  <c r="AE27" i="2"/>
  <c r="AD27" i="2"/>
  <c r="AE21" i="2"/>
  <c r="AD21" i="2"/>
  <c r="AG21" i="2"/>
  <c r="AG27" i="2"/>
  <c r="AH27" i="2"/>
  <c r="AH21" i="2"/>
  <c r="L81" i="1"/>
  <c r="K81" i="1"/>
  <c r="J81" i="1"/>
  <c r="I81" i="1"/>
  <c r="H81" i="1"/>
  <c r="G81" i="1"/>
  <c r="F81" i="1"/>
  <c r="L75" i="1"/>
  <c r="K75" i="1"/>
  <c r="J75" i="1"/>
  <c r="I75" i="1"/>
  <c r="H75" i="1"/>
  <c r="G75" i="1"/>
  <c r="F75" i="1"/>
  <c r="L45" i="1"/>
  <c r="K45" i="1"/>
  <c r="J45" i="1"/>
  <c r="I45" i="1"/>
  <c r="H45" i="1"/>
  <c r="G45" i="1"/>
  <c r="F45" i="1"/>
  <c r="L34" i="1"/>
  <c r="K34" i="1"/>
  <c r="J34" i="1"/>
  <c r="I34" i="1"/>
  <c r="H34" i="1"/>
  <c r="G34" i="1"/>
  <c r="F34" i="1"/>
  <c r="L28" i="1"/>
  <c r="K28" i="1"/>
  <c r="J28" i="1"/>
  <c r="I28" i="1"/>
  <c r="H28" i="1"/>
  <c r="G28" i="1"/>
  <c r="F28" i="1"/>
  <c r="L22" i="1"/>
  <c r="T65" i="2" s="1"/>
  <c r="K22" i="1"/>
  <c r="R65" i="2" s="1"/>
  <c r="J22" i="1"/>
  <c r="P65" i="2" s="1"/>
  <c r="I22" i="1"/>
  <c r="N65" i="2" s="1"/>
  <c r="H22" i="1"/>
  <c r="L65" i="2" s="1"/>
  <c r="G22" i="1"/>
  <c r="J65" i="2" s="1"/>
  <c r="F22" i="1"/>
  <c r="H65" i="2" s="1"/>
  <c r="L15" i="1"/>
  <c r="K15" i="1"/>
  <c r="J15" i="1"/>
  <c r="I15" i="1"/>
  <c r="H15" i="1"/>
  <c r="G15" i="1"/>
  <c r="F15" i="1"/>
  <c r="N81" i="1"/>
  <c r="M81" i="1"/>
  <c r="N75" i="1"/>
  <c r="M75" i="1"/>
  <c r="N45" i="1"/>
  <c r="M45" i="1"/>
  <c r="N34" i="1"/>
  <c r="M34" i="1"/>
  <c r="N28" i="1"/>
  <c r="M28" i="1"/>
  <c r="N22" i="1"/>
  <c r="Z65" i="2" s="1"/>
  <c r="M22" i="1"/>
  <c r="W65" i="2" s="1"/>
  <c r="N15" i="1"/>
  <c r="M15" i="1"/>
  <c r="O81" i="1"/>
  <c r="O75" i="1"/>
  <c r="O45" i="1"/>
  <c r="O34" i="1"/>
  <c r="O28" i="1"/>
  <c r="O22" i="1"/>
  <c r="AC65" i="2" s="1"/>
  <c r="O15" i="1"/>
  <c r="P81" i="1"/>
  <c r="P75" i="1"/>
  <c r="P45" i="1"/>
  <c r="P34" i="1"/>
  <c r="P28" i="1"/>
  <c r="P22" i="1"/>
  <c r="AF65" i="2" s="1"/>
  <c r="P15" i="1"/>
  <c r="Q81" i="1"/>
  <c r="Q75" i="1"/>
  <c r="Q45" i="1"/>
  <c r="Q34" i="1"/>
  <c r="Q28" i="1"/>
  <c r="Q22" i="1"/>
  <c r="Q15" i="1"/>
  <c r="G43" i="4" l="1"/>
  <c r="G44" i="4" s="1"/>
  <c r="E44" i="4"/>
  <c r="Q82" i="1"/>
  <c r="Q84" i="1" s="1"/>
  <c r="R183" i="1" s="1"/>
  <c r="M82" i="1"/>
  <c r="M84" i="1" s="1"/>
  <c r="N183" i="1" s="1"/>
  <c r="Q46" i="1"/>
  <c r="Q48" i="1" s="1"/>
  <c r="Q56" i="1" s="1"/>
  <c r="AI65" i="2"/>
  <c r="M126" i="1"/>
  <c r="G11" i="2"/>
  <c r="G35" i="2" s="1"/>
  <c r="M11" i="2"/>
  <c r="M32" i="2" s="1"/>
  <c r="O126" i="1"/>
  <c r="Q126" i="1"/>
  <c r="H33" i="4"/>
  <c r="I21" i="4"/>
  <c r="J13" i="4"/>
  <c r="J14" i="4"/>
  <c r="J12" i="4"/>
  <c r="J18" i="4"/>
  <c r="J15" i="4"/>
  <c r="J16" i="4"/>
  <c r="J17" i="4"/>
  <c r="I22" i="4"/>
  <c r="J22" i="4" s="1"/>
  <c r="I23" i="4"/>
  <c r="J23" i="4" s="1"/>
  <c r="I24" i="4"/>
  <c r="J24" i="4" s="1"/>
  <c r="P126" i="1"/>
  <c r="N126" i="1"/>
  <c r="AG40" i="2"/>
  <c r="AG44" i="2" s="1"/>
  <c r="AE40" i="2"/>
  <c r="AE44" i="2" s="1"/>
  <c r="X11" i="2"/>
  <c r="X40" i="2" s="1"/>
  <c r="X44" i="2" s="1"/>
  <c r="AB11" i="2"/>
  <c r="AB40" i="2" s="1"/>
  <c r="AB44" i="2" s="1"/>
  <c r="V11" i="2"/>
  <c r="V40" i="2" s="1"/>
  <c r="V44" i="2" s="1"/>
  <c r="Q11" i="2"/>
  <c r="Q35" i="2" s="1"/>
  <c r="K40" i="2"/>
  <c r="K44" i="2" s="1"/>
  <c r="O11" i="2"/>
  <c r="O40" i="2" s="1"/>
  <c r="O44" i="2" s="1"/>
  <c r="AH14" i="2"/>
  <c r="AD40" i="2"/>
  <c r="AD44" i="2" s="1"/>
  <c r="AA40" i="2"/>
  <c r="AA44" i="2" s="1"/>
  <c r="Y11" i="2"/>
  <c r="Y40" i="2" s="1"/>
  <c r="Y44" i="2" s="1"/>
  <c r="U11" i="2"/>
  <c r="U40" i="2" s="1"/>
  <c r="U44" i="2" s="1"/>
  <c r="S11" i="2"/>
  <c r="S35" i="2" s="1"/>
  <c r="I40" i="2"/>
  <c r="I44" i="2" s="1"/>
  <c r="O32" i="2"/>
  <c r="F82" i="1"/>
  <c r="F84" i="1" s="1"/>
  <c r="F46" i="1"/>
  <c r="G82" i="1"/>
  <c r="G84" i="1" s="1"/>
  <c r="H183" i="1" s="1"/>
  <c r="G46" i="1"/>
  <c r="G48" i="1" s="1"/>
  <c r="G56" i="1" s="1"/>
  <c r="H82" i="1"/>
  <c r="H84" i="1" s="1"/>
  <c r="I183" i="1" s="1"/>
  <c r="H46" i="1"/>
  <c r="H48" i="1" s="1"/>
  <c r="H56" i="1" s="1"/>
  <c r="I82" i="1"/>
  <c r="I84" i="1" s="1"/>
  <c r="J183" i="1" s="1"/>
  <c r="I46" i="1"/>
  <c r="I48" i="1" s="1"/>
  <c r="I56" i="1" s="1"/>
  <c r="J82" i="1"/>
  <c r="J84" i="1" s="1"/>
  <c r="K183" i="1" s="1"/>
  <c r="J46" i="1"/>
  <c r="J48" i="1" s="1"/>
  <c r="J56" i="1" s="1"/>
  <c r="K82" i="1"/>
  <c r="K84" i="1" s="1"/>
  <c r="L183" i="1" s="1"/>
  <c r="K46" i="1"/>
  <c r="K48" i="1" s="1"/>
  <c r="K56" i="1" s="1"/>
  <c r="L82" i="1"/>
  <c r="L84" i="1" s="1"/>
  <c r="M183" i="1" s="1"/>
  <c r="L46" i="1"/>
  <c r="L48" i="1" s="1"/>
  <c r="L56" i="1" s="1"/>
  <c r="M46" i="1"/>
  <c r="M48" i="1" s="1"/>
  <c r="M56" i="1" s="1"/>
  <c r="N82" i="1"/>
  <c r="N84" i="1" s="1"/>
  <c r="O183" i="1" s="1"/>
  <c r="N46" i="1"/>
  <c r="N48" i="1" s="1"/>
  <c r="N56" i="1" s="1"/>
  <c r="P82" i="1"/>
  <c r="P84" i="1" s="1"/>
  <c r="Q183" i="1" s="1"/>
  <c r="O82" i="1"/>
  <c r="O84" i="1" s="1"/>
  <c r="P183" i="1" s="1"/>
  <c r="P46" i="1"/>
  <c r="P48" i="1" s="1"/>
  <c r="P56" i="1" s="1"/>
  <c r="O46" i="1"/>
  <c r="O48" i="1" s="1"/>
  <c r="O56" i="1" s="1"/>
  <c r="L139" i="1" l="1"/>
  <c r="M200" i="1"/>
  <c r="J139" i="1"/>
  <c r="H139" i="1"/>
  <c r="I200" i="1"/>
  <c r="F139" i="1"/>
  <c r="Q139" i="1"/>
  <c r="R140" i="1" s="1"/>
  <c r="R200" i="1"/>
  <c r="M139" i="1"/>
  <c r="N200" i="1"/>
  <c r="O139" i="1"/>
  <c r="P200" i="1"/>
  <c r="K139" i="1"/>
  <c r="L200" i="1"/>
  <c r="I139" i="1"/>
  <c r="J140" i="1" s="1"/>
  <c r="J200" i="1"/>
  <c r="G139" i="1"/>
  <c r="H200" i="1"/>
  <c r="P139" i="1"/>
  <c r="P140" i="1" s="1"/>
  <c r="Q200" i="1"/>
  <c r="N139" i="1"/>
  <c r="O200" i="1"/>
  <c r="L140" i="1"/>
  <c r="N140" i="1"/>
  <c r="K140" i="1"/>
  <c r="G140" i="1"/>
  <c r="K200" i="1"/>
  <c r="AA32" i="2"/>
  <c r="AA33" i="2" s="1"/>
  <c r="Q14" i="2"/>
  <c r="M14" i="2"/>
  <c r="Q91" i="1"/>
  <c r="R185" i="1" s="1"/>
  <c r="R166" i="1"/>
  <c r="G40" i="2"/>
  <c r="F111" i="1" s="1"/>
  <c r="F113" i="1" s="1"/>
  <c r="F91" i="1"/>
  <c r="AD14" i="2"/>
  <c r="AD32" i="2"/>
  <c r="P134" i="1" s="1"/>
  <c r="S40" i="2"/>
  <c r="S44" i="2" s="1"/>
  <c r="X32" i="2"/>
  <c r="N134" i="1" s="1"/>
  <c r="J21" i="4"/>
  <c r="J25" i="4" s="1"/>
  <c r="K13" i="5" s="1"/>
  <c r="P13" i="5" s="1"/>
  <c r="I25" i="4"/>
  <c r="U32" i="2"/>
  <c r="M134" i="1" s="1"/>
  <c r="AD35" i="2"/>
  <c r="P111" i="1" s="1"/>
  <c r="Q40" i="2"/>
  <c r="Q44" i="2" s="1"/>
  <c r="Q32" i="2"/>
  <c r="Q33" i="2" s="1"/>
  <c r="J91" i="1"/>
  <c r="K185" i="1" s="1"/>
  <c r="J166" i="1"/>
  <c r="H91" i="1"/>
  <c r="I185" i="1" s="1"/>
  <c r="H166" i="1"/>
  <c r="P91" i="1"/>
  <c r="Q185" i="1" s="1"/>
  <c r="P166" i="1"/>
  <c r="O91" i="1"/>
  <c r="P185" i="1" s="1"/>
  <c r="O166" i="1"/>
  <c r="K91" i="1"/>
  <c r="L185" i="1" s="1"/>
  <c r="K166" i="1"/>
  <c r="I91" i="1"/>
  <c r="J185" i="1" s="1"/>
  <c r="I166" i="1"/>
  <c r="G91" i="1"/>
  <c r="H185" i="1" s="1"/>
  <c r="L91" i="1"/>
  <c r="M185" i="1" s="1"/>
  <c r="L166" i="1"/>
  <c r="N91" i="1"/>
  <c r="O185" i="1" s="1"/>
  <c r="N166" i="1"/>
  <c r="M91" i="1"/>
  <c r="N185" i="1" s="1"/>
  <c r="M166" i="1"/>
  <c r="Q166" i="1"/>
  <c r="H196" i="1"/>
  <c r="Y32" i="2"/>
  <c r="Y33" i="2" s="1"/>
  <c r="AB32" i="2"/>
  <c r="O135" i="1" s="1"/>
  <c r="AE32" i="2"/>
  <c r="P135" i="1" s="1"/>
  <c r="M35" i="2"/>
  <c r="AH40" i="2"/>
  <c r="AH44" i="2" s="1"/>
  <c r="M40" i="2"/>
  <c r="M44" i="2" s="1"/>
  <c r="AH35" i="2"/>
  <c r="AH32" i="2"/>
  <c r="Q135" i="1" s="1"/>
  <c r="AA35" i="2"/>
  <c r="O111" i="1" s="1"/>
  <c r="AA14" i="2"/>
  <c r="X35" i="2"/>
  <c r="N111" i="1" s="1"/>
  <c r="X14" i="2"/>
  <c r="U35" i="2"/>
  <c r="M111" i="1" s="1"/>
  <c r="U14" i="2"/>
  <c r="G32" i="2"/>
  <c r="F134" i="1" s="1"/>
  <c r="F136" i="1" s="1"/>
  <c r="G14" i="2"/>
  <c r="AE35" i="2"/>
  <c r="P112" i="1" s="1"/>
  <c r="AE14" i="2"/>
  <c r="AB35" i="2"/>
  <c r="O112" i="1" s="1"/>
  <c r="AB14" i="2"/>
  <c r="Y35" i="2"/>
  <c r="N112" i="1" s="1"/>
  <c r="Y14" i="2"/>
  <c r="V32" i="2"/>
  <c r="V35" i="2"/>
  <c r="M112" i="1" s="1"/>
  <c r="V14" i="2"/>
  <c r="J11" i="4"/>
  <c r="S32" i="2"/>
  <c r="S14" i="2"/>
  <c r="O33" i="2"/>
  <c r="J134" i="1"/>
  <c r="J136" i="1" s="1"/>
  <c r="K181" i="1" s="1"/>
  <c r="K198" i="1" s="1"/>
  <c r="M33" i="2"/>
  <c r="I134" i="1"/>
  <c r="I136" i="1" s="1"/>
  <c r="J181" i="1" s="1"/>
  <c r="J198" i="1" s="1"/>
  <c r="F48" i="1"/>
  <c r="F56" i="1" s="1"/>
  <c r="O35" i="2"/>
  <c r="J111" i="1" s="1"/>
  <c r="K35" i="2"/>
  <c r="H111" i="1" s="1"/>
  <c r="K32" i="2"/>
  <c r="I35" i="2"/>
  <c r="G111" i="1" s="1"/>
  <c r="I32" i="2"/>
  <c r="I14" i="2"/>
  <c r="K14" i="2"/>
  <c r="O14" i="2"/>
  <c r="AG14" i="2"/>
  <c r="AG32" i="2"/>
  <c r="AG35" i="2"/>
  <c r="Q111" i="1" s="1"/>
  <c r="O140" i="1" l="1"/>
  <c r="H140" i="1"/>
  <c r="M140" i="1"/>
  <c r="Q140" i="1"/>
  <c r="I140" i="1"/>
  <c r="M142" i="1"/>
  <c r="J142" i="1"/>
  <c r="L142" i="1"/>
  <c r="M202" i="1"/>
  <c r="J19" i="4"/>
  <c r="K12" i="5" s="1"/>
  <c r="P12" i="5" s="1"/>
  <c r="R202" i="1"/>
  <c r="Q142" i="1"/>
  <c r="J202" i="1"/>
  <c r="I142" i="1"/>
  <c r="J143" i="1" s="1"/>
  <c r="P202" i="1"/>
  <c r="O142" i="1"/>
  <c r="G56" i="6"/>
  <c r="H142" i="1"/>
  <c r="M56" i="6"/>
  <c r="N142" i="1"/>
  <c r="H202" i="1"/>
  <c r="G142" i="1"/>
  <c r="J56" i="6"/>
  <c r="K142" i="1"/>
  <c r="K143" i="1" s="1"/>
  <c r="Q202" i="1"/>
  <c r="P142" i="1"/>
  <c r="F142" i="1"/>
  <c r="J137" i="1"/>
  <c r="O134" i="1"/>
  <c r="O136" i="1" s="1"/>
  <c r="P181" i="1" s="1"/>
  <c r="P198" i="1" s="1"/>
  <c r="I168" i="1"/>
  <c r="N56" i="6"/>
  <c r="R168" i="1"/>
  <c r="P56" i="6"/>
  <c r="N135" i="1"/>
  <c r="N136" i="1" s="1"/>
  <c r="O181" i="1" s="1"/>
  <c r="O198" i="1" s="1"/>
  <c r="G44" i="2"/>
  <c r="N168" i="1"/>
  <c r="L168" i="1"/>
  <c r="H56" i="6"/>
  <c r="I202" i="1"/>
  <c r="J168" i="1"/>
  <c r="P168" i="1"/>
  <c r="L202" i="1"/>
  <c r="K56" i="6"/>
  <c r="U33" i="2"/>
  <c r="U45" i="2" s="1"/>
  <c r="U47" i="2" s="1"/>
  <c r="U55" i="2" s="1"/>
  <c r="E56" i="6"/>
  <c r="M168" i="1"/>
  <c r="O168" i="1"/>
  <c r="I56" i="6"/>
  <c r="K111" i="1"/>
  <c r="L175" i="1" s="1"/>
  <c r="L192" i="1" s="1"/>
  <c r="L111" i="1"/>
  <c r="M175" i="1" s="1"/>
  <c r="M192" i="1" s="1"/>
  <c r="Q13" i="5"/>
  <c r="X33" i="2"/>
  <c r="X45" i="2" s="1"/>
  <c r="X47" i="2" s="1"/>
  <c r="X55" i="2" s="1"/>
  <c r="AA45" i="2"/>
  <c r="AA47" i="2" s="1"/>
  <c r="AA55" i="2" s="1"/>
  <c r="K134" i="1"/>
  <c r="K136" i="1" s="1"/>
  <c r="L181" i="1" s="1"/>
  <c r="L198" i="1" s="1"/>
  <c r="AH33" i="2"/>
  <c r="AH45" i="2" s="1"/>
  <c r="AH47" i="2" s="1"/>
  <c r="AH55" i="2" s="1"/>
  <c r="AD33" i="2"/>
  <c r="AD45" i="2" s="1"/>
  <c r="AD47" i="2" s="1"/>
  <c r="AD55" i="2" s="1"/>
  <c r="G33" i="2"/>
  <c r="Q112" i="1"/>
  <c r="R175" i="1" s="1"/>
  <c r="R192" i="1" s="1"/>
  <c r="Q45" i="2"/>
  <c r="Q47" i="2" s="1"/>
  <c r="Q55" i="2" s="1"/>
  <c r="M45" i="2"/>
  <c r="M47" i="2" s="1"/>
  <c r="M55" i="2" s="1"/>
  <c r="AB33" i="2"/>
  <c r="AB45" i="2" s="1"/>
  <c r="AB47" i="2" s="1"/>
  <c r="AB55" i="2" s="1"/>
  <c r="AE33" i="2"/>
  <c r="AE45" i="2" s="1"/>
  <c r="AE47" i="2" s="1"/>
  <c r="AE55" i="2" s="1"/>
  <c r="Q175" i="1"/>
  <c r="Q192" i="1" s="1"/>
  <c r="Q168" i="1"/>
  <c r="O56" i="6"/>
  <c r="H168" i="1"/>
  <c r="O202" i="1"/>
  <c r="F56" i="6"/>
  <c r="K168" i="1"/>
  <c r="L56" i="6"/>
  <c r="K202" i="1"/>
  <c r="N175" i="1"/>
  <c r="N192" i="1" s="1"/>
  <c r="O45" i="2"/>
  <c r="O47" i="2" s="1"/>
  <c r="O55" i="2" s="1"/>
  <c r="L43" i="5"/>
  <c r="P136" i="1"/>
  <c r="Q181" i="1" s="1"/>
  <c r="Q198" i="1" s="1"/>
  <c r="I111" i="1"/>
  <c r="J175" i="1" s="1"/>
  <c r="J192" i="1" s="1"/>
  <c r="AG33" i="2"/>
  <c r="AG45" i="2" s="1"/>
  <c r="AG47" i="2" s="1"/>
  <c r="AG55" i="2" s="1"/>
  <c r="Q134" i="1"/>
  <c r="Q136" i="1" s="1"/>
  <c r="R181" i="1" s="1"/>
  <c r="R198" i="1" s="1"/>
  <c r="O175" i="1"/>
  <c r="O192" i="1" s="1"/>
  <c r="P175" i="1"/>
  <c r="P192" i="1" s="1"/>
  <c r="Y45" i="2"/>
  <c r="Y47" i="2" s="1"/>
  <c r="Y55" i="2" s="1"/>
  <c r="V33" i="2"/>
  <c r="V45" i="2" s="1"/>
  <c r="V47" i="2" s="1"/>
  <c r="V55" i="2" s="1"/>
  <c r="M135" i="1"/>
  <c r="M136" i="1" s="1"/>
  <c r="N181" i="1" s="1"/>
  <c r="N198" i="1" s="1"/>
  <c r="J164" i="1"/>
  <c r="S33" i="2"/>
  <c r="S45" i="2" s="1"/>
  <c r="L134" i="1"/>
  <c r="L136" i="1" s="1"/>
  <c r="M181" i="1" s="1"/>
  <c r="M198" i="1" s="1"/>
  <c r="K175" i="1"/>
  <c r="K192" i="1" s="1"/>
  <c r="I175" i="1"/>
  <c r="I192" i="1" s="1"/>
  <c r="K33" i="2"/>
  <c r="K45" i="2" s="1"/>
  <c r="H134" i="1"/>
  <c r="H136" i="1" s="1"/>
  <c r="I181" i="1" s="1"/>
  <c r="I198" i="1" s="1"/>
  <c r="H175" i="1"/>
  <c r="H192" i="1" s="1"/>
  <c r="I33" i="2"/>
  <c r="I45" i="2" s="1"/>
  <c r="G134" i="1"/>
  <c r="G136" i="1" s="1"/>
  <c r="H181" i="1" s="1"/>
  <c r="M143" i="1" l="1"/>
  <c r="G137" i="1"/>
  <c r="N143" i="1"/>
  <c r="H160" i="1"/>
  <c r="G114" i="1"/>
  <c r="P36" i="5"/>
  <c r="Q12" i="5"/>
  <c r="G18" i="9" s="1"/>
  <c r="P33" i="5"/>
  <c r="P34" i="5" s="1"/>
  <c r="P41" i="5"/>
  <c r="P45" i="5" s="1"/>
  <c r="P137" i="1"/>
  <c r="L137" i="1"/>
  <c r="Q143" i="1"/>
  <c r="R143" i="1"/>
  <c r="O143" i="1"/>
  <c r="L143" i="1"/>
  <c r="P143" i="1"/>
  <c r="G143" i="1"/>
  <c r="H143" i="1"/>
  <c r="I143" i="1"/>
  <c r="N137" i="1"/>
  <c r="Q137" i="1"/>
  <c r="R137" i="1"/>
  <c r="K137" i="1"/>
  <c r="H137" i="1"/>
  <c r="I137" i="1"/>
  <c r="M137" i="1"/>
  <c r="O137" i="1"/>
  <c r="J114" i="1"/>
  <c r="M114" i="1"/>
  <c r="N114" i="1"/>
  <c r="K114" i="1"/>
  <c r="Q114" i="1"/>
  <c r="R114" i="1"/>
  <c r="H114" i="1"/>
  <c r="O114" i="1"/>
  <c r="I114" i="1"/>
  <c r="L114" i="1"/>
  <c r="P114" i="1"/>
  <c r="G45" i="2"/>
  <c r="G47" i="2" s="1"/>
  <c r="G55" i="2" s="1"/>
  <c r="K164" i="1"/>
  <c r="M43" i="5"/>
  <c r="Q43" i="5" s="1"/>
  <c r="N202" i="1"/>
  <c r="K32" i="5"/>
  <c r="K42" i="5"/>
  <c r="L26" i="5"/>
  <c r="R164" i="1"/>
  <c r="P164" i="1"/>
  <c r="O164" i="1"/>
  <c r="Q160" i="1"/>
  <c r="R160" i="1"/>
  <c r="O160" i="1"/>
  <c r="N160" i="1"/>
  <c r="Q164" i="1"/>
  <c r="P160" i="1"/>
  <c r="N164" i="1"/>
  <c r="I164" i="1"/>
  <c r="L164" i="1"/>
  <c r="M164" i="1"/>
  <c r="L160" i="1"/>
  <c r="M160" i="1"/>
  <c r="J160" i="1"/>
  <c r="K160" i="1"/>
  <c r="H164" i="1"/>
  <c r="I160" i="1"/>
  <c r="S47" i="2"/>
  <c r="S55" i="2" s="1"/>
  <c r="K47" i="2"/>
  <c r="K55" i="2" s="1"/>
  <c r="I47" i="2"/>
  <c r="I55" i="2" s="1"/>
  <c r="P46" i="5" l="1"/>
  <c r="M26" i="5"/>
  <c r="Q26" i="5" s="1"/>
  <c r="L84" i="5"/>
  <c r="K80" i="5"/>
  <c r="L80" i="5" s="1"/>
  <c r="K76" i="5"/>
  <c r="L76" i="5" s="1"/>
  <c r="K70" i="5"/>
  <c r="L70" i="5" s="1"/>
  <c r="L82" i="5"/>
  <c r="L83" i="5"/>
  <c r="K71" i="5"/>
  <c r="L71" i="5" s="1"/>
  <c r="K75" i="5"/>
  <c r="L75" i="5" s="1"/>
  <c r="L85" i="5"/>
  <c r="M85" i="5" s="1"/>
  <c r="Q85" i="5" s="1"/>
  <c r="K77" i="5"/>
  <c r="L77" i="5" s="1"/>
  <c r="L69" i="5"/>
  <c r="H198" i="1"/>
  <c r="L27" i="5"/>
  <c r="M27" i="5" s="1"/>
  <c r="Q27" i="5" s="1"/>
  <c r="P14" i="5"/>
  <c r="L32" i="5"/>
  <c r="L42" i="5"/>
  <c r="Q14" i="5" l="1"/>
  <c r="Q15" i="5" s="1"/>
  <c r="P15" i="5"/>
  <c r="P48" i="5" s="1"/>
  <c r="M77" i="5"/>
  <c r="Q77" i="5" s="1"/>
  <c r="M83" i="5"/>
  <c r="Q83" i="5" s="1"/>
  <c r="M80" i="5"/>
  <c r="Q80" i="5" s="1"/>
  <c r="M42" i="5"/>
  <c r="Q42" i="5" s="1"/>
  <c r="M69" i="5"/>
  <c r="Q69" i="5" s="1"/>
  <c r="M71" i="5"/>
  <c r="Q71" i="5" s="1"/>
  <c r="M76" i="5"/>
  <c r="Q76" i="5" s="1"/>
  <c r="M75" i="5"/>
  <c r="M70" i="5"/>
  <c r="Q70" i="5" s="1"/>
  <c r="M32" i="5"/>
  <c r="Q32" i="5" s="1"/>
  <c r="M82" i="5"/>
  <c r="Q82" i="5" s="1"/>
  <c r="M84" i="5"/>
  <c r="Q84" i="5" s="1"/>
  <c r="L78" i="5"/>
  <c r="L72" i="5"/>
  <c r="K44" i="5"/>
  <c r="L44" i="5" s="1"/>
  <c r="K33" i="5"/>
  <c r="L33" i="5" s="1"/>
  <c r="K36" i="5"/>
  <c r="L36" i="5" s="1"/>
  <c r="K38" i="5"/>
  <c r="L38" i="5" s="1"/>
  <c r="K41" i="5"/>
  <c r="L41" i="5" s="1"/>
  <c r="K31" i="5"/>
  <c r="L31" i="5" s="1"/>
  <c r="K37" i="5"/>
  <c r="L37" i="5" s="1"/>
  <c r="K25" i="5"/>
  <c r="L25" i="5" s="1"/>
  <c r="L20" i="5"/>
  <c r="P60" i="5" l="1"/>
  <c r="P65" i="5" s="1"/>
  <c r="L79" i="5"/>
  <c r="L81" i="5" s="1"/>
  <c r="L86" i="5" s="1"/>
  <c r="L61" i="5" s="1"/>
  <c r="M61" i="5" s="1"/>
  <c r="Q61" i="5" s="1"/>
  <c r="Q72" i="5"/>
  <c r="M78" i="5"/>
  <c r="Q75" i="5"/>
  <c r="Q78" i="5" s="1"/>
  <c r="L22" i="5"/>
  <c r="M20" i="5"/>
  <c r="L45" i="5"/>
  <c r="M41" i="5"/>
  <c r="Q41" i="5" s="1"/>
  <c r="M44" i="5"/>
  <c r="Q44" i="5" s="1"/>
  <c r="L28" i="5"/>
  <c r="M25" i="5"/>
  <c r="M38" i="5"/>
  <c r="Q38" i="5" s="1"/>
  <c r="L34" i="5"/>
  <c r="M31" i="5"/>
  <c r="Q31" i="5" s="1"/>
  <c r="M33" i="5"/>
  <c r="Q33" i="5" s="1"/>
  <c r="M37" i="5"/>
  <c r="Q37" i="5" s="1"/>
  <c r="M36" i="5"/>
  <c r="Q36" i="5" s="1"/>
  <c r="M72" i="5"/>
  <c r="Q79" i="5" l="1"/>
  <c r="Q81" i="5" s="1"/>
  <c r="Q86" i="5" s="1"/>
  <c r="Q45" i="5"/>
  <c r="M28" i="5"/>
  <c r="Q25" i="5"/>
  <c r="Q28" i="5" s="1"/>
  <c r="M79" i="5"/>
  <c r="M81" i="5" s="1"/>
  <c r="M86" i="5" s="1"/>
  <c r="M22" i="5"/>
  <c r="Q20" i="5"/>
  <c r="Q22" i="5" s="1"/>
  <c r="M34" i="5"/>
  <c r="Q34" i="5"/>
  <c r="L46" i="5"/>
  <c r="L48" i="5" s="1"/>
  <c r="M45" i="5"/>
  <c r="L60" i="5" l="1"/>
  <c r="M60" i="5" s="1"/>
  <c r="Q60" i="5" s="1"/>
  <c r="Q92" i="5"/>
  <c r="F12" i="9"/>
  <c r="H12" i="9" s="1"/>
  <c r="Q46" i="5"/>
  <c r="Q48" i="5" s="1"/>
  <c r="M46" i="5"/>
  <c r="M48" i="5" s="1"/>
  <c r="M65" i="5" l="1"/>
  <c r="L65" i="5"/>
  <c r="Q65" i="5"/>
  <c r="F18" i="9" s="1"/>
  <c r="H18" i="9" s="1"/>
  <c r="J12" i="9"/>
  <c r="J16" i="9" s="1"/>
  <c r="H16" i="9"/>
  <c r="J18" i="9" l="1"/>
  <c r="H20" i="9"/>
  <c r="H24" i="9" s="1"/>
  <c r="Q93" i="5"/>
  <c r="Q94" i="5" s="1"/>
  <c r="Q96" i="5" s="1"/>
  <c r="Q98" i="5" s="1"/>
  <c r="Q99" i="5" s="1"/>
  <c r="Q88" i="5"/>
  <c r="J20" i="9" l="1"/>
  <c r="J24" i="9" s="1"/>
  <c r="J32" i="9" s="1"/>
  <c r="L18" i="9"/>
  <c r="M24" i="9"/>
  <c r="M26" i="9" s="1"/>
  <c r="J30" i="9" l="1"/>
  <c r="F19" i="7"/>
</calcChain>
</file>

<file path=xl/comments1.xml><?xml version="1.0" encoding="utf-8"?>
<comments xmlns="http://schemas.openxmlformats.org/spreadsheetml/2006/main">
  <authors>
    <author>gzhkw6</author>
  </authors>
  <commentList>
    <comment ref="I13" authorId="0" shapeId="0">
      <text>
        <r>
          <rPr>
            <b/>
            <sz val="9"/>
            <color indexed="81"/>
            <rFont val="Tahoma"/>
            <family val="2"/>
          </rPr>
          <t>gzhkw6:</t>
        </r>
        <r>
          <rPr>
            <sz val="9"/>
            <color indexed="81"/>
            <rFont val="Tahoma"/>
            <family val="2"/>
          </rPr>
          <t xml:space="preserve">
transportation revenue was overstated  and other revenue was understated in CB reports.  Corrected here.</t>
        </r>
      </text>
    </comment>
    <comment ref="L13" authorId="0" shapeId="0">
      <text>
        <r>
          <rPr>
            <b/>
            <sz val="9"/>
            <color indexed="81"/>
            <rFont val="Tahoma"/>
            <family val="2"/>
          </rPr>
          <t>gzhkw6:</t>
        </r>
        <r>
          <rPr>
            <sz val="9"/>
            <color indexed="81"/>
            <rFont val="Tahoma"/>
            <family val="2"/>
          </rPr>
          <t xml:space="preserve">
put special contract transportation revenue back in transportation revenue, increases other operating revenue same amount</t>
        </r>
      </text>
    </comment>
    <comment ref="R149" authorId="0" shapeId="0">
      <text>
        <r>
          <rPr>
            <b/>
            <sz val="9"/>
            <color indexed="81"/>
            <rFont val="Tahoma"/>
            <family val="2"/>
          </rPr>
          <t>gzhkw6:</t>
        </r>
        <r>
          <rPr>
            <sz val="9"/>
            <color indexed="81"/>
            <rFont val="Tahoma"/>
            <family val="2"/>
          </rPr>
          <t xml:space="preserve">
Reflects dramatic increase in sale of recycled materials which is captured in 06.2013 test year.</t>
        </r>
      </text>
    </comment>
  </commentList>
</comments>
</file>

<file path=xl/comments2.xml><?xml version="1.0" encoding="utf-8"?>
<comments xmlns="http://schemas.openxmlformats.org/spreadsheetml/2006/main">
  <authors>
    <author>gzhkw6</author>
  </authors>
  <commentList>
    <comment ref="T61" authorId="0" shapeId="0">
      <text>
        <r>
          <rPr>
            <b/>
            <sz val="9"/>
            <color indexed="81"/>
            <rFont val="Tahoma"/>
            <family val="2"/>
          </rPr>
          <t>gzhkw6:</t>
        </r>
        <r>
          <rPr>
            <sz val="9"/>
            <color indexed="81"/>
            <rFont val="Tahoma"/>
            <family val="2"/>
          </rPr>
          <t xml:space="preserve">
eliminated in rev norm adj, not changed for cb</t>
        </r>
      </text>
    </comment>
  </commentList>
</comments>
</file>

<file path=xl/comments3.xml><?xml version="1.0" encoding="utf-8"?>
<comments xmlns="http://schemas.openxmlformats.org/spreadsheetml/2006/main">
  <authors>
    <author>gzhkw6</author>
  </authors>
  <commentList>
    <comment ref="R22" authorId="0" shapeId="0">
      <text>
        <r>
          <rPr>
            <b/>
            <sz val="9"/>
            <color indexed="81"/>
            <rFont val="Tahoma"/>
            <family val="2"/>
          </rPr>
          <t>gzhkw6:</t>
        </r>
        <r>
          <rPr>
            <sz val="9"/>
            <color indexed="81"/>
            <rFont val="Tahoma"/>
            <family val="2"/>
          </rPr>
          <t xml:space="preserve">
Eliminate Adder Schedules Adjustment removed the decoupling rebate amortization from CB results</t>
        </r>
      </text>
    </comment>
  </commentList>
</comments>
</file>

<file path=xl/comments4.xml><?xml version="1.0" encoding="utf-8"?>
<comments xmlns="http://schemas.openxmlformats.org/spreadsheetml/2006/main">
  <authors>
    <author>KZX5DR</author>
    <author>Joe Miller</author>
  </authors>
  <commentList>
    <comment ref="J12" authorId="0" shapeId="0">
      <text>
        <r>
          <rPr>
            <sz val="9"/>
            <color rgb="FF000000"/>
            <rFont val="Tahoma"/>
            <family val="2"/>
          </rPr>
          <t>WSU, 8 million annual minimum</t>
        </r>
      </text>
    </comment>
    <comment ref="J60" authorId="0" shapeId="0">
      <text>
        <r>
          <rPr>
            <sz val="9"/>
            <color rgb="FF000000"/>
            <rFont val="Tahoma"/>
            <family val="2"/>
          </rPr>
          <t>WSU
Fixed Charge - $200/mo.
Capital Charge - $26,132/mo.
Total - $26,332/mo.
Collected over 20 yrs; effective 8/1/2003</t>
        </r>
      </text>
    </comment>
    <comment ref="J63" authorId="1" shapeId="0">
      <text>
        <r>
          <rPr>
            <b/>
            <sz val="8"/>
            <color rgb="FF000000"/>
            <rFont val="Tahoma"/>
            <family val="2"/>
          </rPr>
          <t>Joe Miller:</t>
        </r>
        <r>
          <rPr>
            <sz val="8"/>
            <color rgb="FF000000"/>
            <rFont val="Tahoma"/>
            <family val="2"/>
          </rPr>
          <t xml:space="preserve">
$.01 for first 10 million therms/year; $.005 for all therms over 10 million</t>
        </r>
      </text>
    </comment>
    <comment ref="B94" authorId="1" shapeId="0">
      <text>
        <r>
          <rPr>
            <b/>
            <sz val="8"/>
            <color rgb="FF000000"/>
            <rFont val="Tahoma"/>
            <family val="2"/>
          </rPr>
          <t>Joe Miller:</t>
        </r>
        <r>
          <rPr>
            <sz val="8"/>
            <color rgb="FF000000"/>
            <rFont val="Tahoma"/>
            <family val="2"/>
          </rPr>
          <t xml:space="preserve">
Rate dependent upon prior year usage</t>
        </r>
      </text>
    </comment>
  </commentList>
</comments>
</file>

<file path=xl/sharedStrings.xml><?xml version="1.0" encoding="utf-8"?>
<sst xmlns="http://schemas.openxmlformats.org/spreadsheetml/2006/main" count="1175" uniqueCount="519">
  <si>
    <t>Line</t>
  </si>
  <si>
    <t>Restated</t>
  </si>
  <si>
    <t>No.</t>
  </si>
  <si>
    <t>DESCRIPTION</t>
  </si>
  <si>
    <t>Taxes</t>
  </si>
  <si>
    <t>Total</t>
  </si>
  <si>
    <t>REVENUES</t>
  </si>
  <si>
    <t>Total General Business</t>
  </si>
  <si>
    <t>Total Transportation</t>
  </si>
  <si>
    <t>Other Revenues</t>
  </si>
  <si>
    <t>Total Gas Revenues</t>
  </si>
  <si>
    <t>EXPENSES</t>
  </si>
  <si>
    <t>City Gate Purchases</t>
  </si>
  <si>
    <t>Purchased Gas Expense</t>
  </si>
  <si>
    <t>Net Nat Gas Storage Trans</t>
  </si>
  <si>
    <t>Total Production</t>
  </si>
  <si>
    <t>Underground Storage</t>
  </si>
  <si>
    <t>Operating Expenses</t>
  </si>
  <si>
    <t>Total Underground Storage</t>
  </si>
  <si>
    <t>Distribution</t>
  </si>
  <si>
    <t>Total Distribution</t>
  </si>
  <si>
    <t>Customer Accounting</t>
  </si>
  <si>
    <t>Customer Service &amp; Information</t>
  </si>
  <si>
    <t>Sales Expenses</t>
  </si>
  <si>
    <t>Administrative &amp; General</t>
  </si>
  <si>
    <t>Total Admin. &amp; General</t>
  </si>
  <si>
    <t>Total Gas Expense</t>
  </si>
  <si>
    <t>OPERATING INCOME BEFORE FIT</t>
  </si>
  <si>
    <t>FEDERAL INCOME TAX</t>
  </si>
  <si>
    <t>Current Accrual</t>
  </si>
  <si>
    <t>Deferred FIT</t>
  </si>
  <si>
    <t>Amort ITC</t>
  </si>
  <si>
    <t>NET OPERATING INCOME</t>
  </si>
  <si>
    <t>Distribution Plant</t>
  </si>
  <si>
    <t>General Plant</t>
  </si>
  <si>
    <t>Total Plant in Service</t>
  </si>
  <si>
    <t>GAS INVENTORY</t>
  </si>
  <si>
    <t>GAIN ON SALE OF BUILDING</t>
  </si>
  <si>
    <t>TOTAL RATE BASE</t>
  </si>
  <si>
    <t xml:space="preserve">(000'S OF DOLLARS)   </t>
  </si>
  <si>
    <t>RATE BASE</t>
  </si>
  <si>
    <t>PLANT IN SERVICE</t>
  </si>
  <si>
    <t>DEFERRED TAXES</t>
  </si>
  <si>
    <t>AVISTA UTILITIES</t>
  </si>
  <si>
    <t>NET PLANT</t>
  </si>
  <si>
    <t xml:space="preserve">WORKING CAPITAL </t>
  </si>
  <si>
    <t>Debt Interest</t>
  </si>
  <si>
    <t>Depreciation/Amortization</t>
  </si>
  <si>
    <t xml:space="preserve">WASHINGTON NATURAL GAS RESULTS </t>
  </si>
  <si>
    <t>ACCUMULATED DEPRECIATION/AMORT</t>
  </si>
  <si>
    <t>Net Plant After DFIT</t>
  </si>
  <si>
    <t>Production Expenses</t>
  </si>
  <si>
    <t>Regulatory Amortizations</t>
  </si>
  <si>
    <t>Total Accumulated Depreciation/Amortization</t>
  </si>
  <si>
    <t>OTHER</t>
  </si>
  <si>
    <t>COMMISSION BASIS REPORTS INPUT</t>
  </si>
  <si>
    <t>(Note 1)</t>
  </si>
  <si>
    <t>Remove</t>
  </si>
  <si>
    <t>DSM</t>
  </si>
  <si>
    <t>Amort.</t>
  </si>
  <si>
    <t xml:space="preserve">       2011       </t>
  </si>
  <si>
    <t>Decoup.</t>
  </si>
  <si>
    <t xml:space="preserve">       2010       </t>
  </si>
  <si>
    <t xml:space="preserve">       2009       </t>
  </si>
  <si>
    <t xml:space="preserve">       2008       </t>
  </si>
  <si>
    <t xml:space="preserve">       2007       </t>
  </si>
  <si>
    <t>Operating expenses excluding production</t>
  </si>
  <si>
    <t>Adjusted operating expenses</t>
  </si>
  <si>
    <t>Adjusted depreciation/amortization</t>
  </si>
  <si>
    <t>Adjusted taxes other than income</t>
  </si>
  <si>
    <t>2004*</t>
  </si>
  <si>
    <t>2006*</t>
  </si>
  <si>
    <t xml:space="preserve">* </t>
  </si>
  <si>
    <t>In the 2004 and 2006 CBR's the DSM was removed in the revenue normalization adjustment.</t>
  </si>
  <si>
    <t>Rate base</t>
  </si>
  <si>
    <t>Annual Growth Rates</t>
  </si>
  <si>
    <t>2001-2002</t>
  </si>
  <si>
    <t>2002-2003</t>
  </si>
  <si>
    <t>2003-2004</t>
  </si>
  <si>
    <t>2004-2005</t>
  </si>
  <si>
    <t>2005-2006</t>
  </si>
  <si>
    <t>2006-2007</t>
  </si>
  <si>
    <t>2007-2008</t>
  </si>
  <si>
    <t>2008-2009</t>
  </si>
  <si>
    <t>2009-2010</t>
  </si>
  <si>
    <t>2010-2011</t>
  </si>
  <si>
    <t xml:space="preserve">WASHINGTON NATURAL GAS </t>
  </si>
  <si>
    <t>BILLING DETERMINANT INDEX</t>
  </si>
  <si>
    <t>General Svc</t>
  </si>
  <si>
    <t>Lrg Gen Svc</t>
  </si>
  <si>
    <t>Description</t>
  </si>
  <si>
    <t>Schedule</t>
  </si>
  <si>
    <t>Ex Lrg Gen Svc</t>
  </si>
  <si>
    <t>111/112</t>
  </si>
  <si>
    <t>121/122</t>
  </si>
  <si>
    <t>Interruptible Svc</t>
  </si>
  <si>
    <t>131/132</t>
  </si>
  <si>
    <t>Transportation Svc</t>
  </si>
  <si>
    <t>Special Contract</t>
  </si>
  <si>
    <t>Billing</t>
  </si>
  <si>
    <t>Determinant</t>
  </si>
  <si>
    <t>Volumes</t>
  </si>
  <si>
    <t>Revenue</t>
  </si>
  <si>
    <t>Model</t>
  </si>
  <si>
    <t>Forecast</t>
  </si>
  <si>
    <t>Growth</t>
  </si>
  <si>
    <t>Basic/Min</t>
  </si>
  <si>
    <t>Total Revenue</t>
  </si>
  <si>
    <t xml:space="preserve">   Total</t>
  </si>
  <si>
    <t>Weight</t>
  </si>
  <si>
    <t>Weighted</t>
  </si>
  <si>
    <t>A</t>
  </si>
  <si>
    <t>B</t>
  </si>
  <si>
    <t>C</t>
  </si>
  <si>
    <t>D</t>
  </si>
  <si>
    <t>E</t>
  </si>
  <si>
    <t>F=(E-D)/D</t>
  </si>
  <si>
    <t>G</t>
  </si>
  <si>
    <t>H=G/SUM G</t>
  </si>
  <si>
    <t>I=FxH</t>
  </si>
  <si>
    <t>ANNUAL AND COMPOUND GROWTH RATES</t>
  </si>
  <si>
    <t>Increase</t>
  </si>
  <si>
    <t>(Decrease)</t>
  </si>
  <si>
    <t>Gas Costs</t>
  </si>
  <si>
    <t>Per Therm</t>
  </si>
  <si>
    <t>Change in Purchased Gas Cost</t>
  </si>
  <si>
    <t>ATTRITION ADJUSTED REVENUE REQUIREMENT</t>
  </si>
  <si>
    <t>Proposed Rate of Return</t>
  </si>
  <si>
    <t>Net Operating Income Requirement</t>
  </si>
  <si>
    <t>Net Operating Income per Above</t>
  </si>
  <si>
    <t>Net Operating Income Deficiency</t>
  </si>
  <si>
    <t>Conversion Factor</t>
  </si>
  <si>
    <t>Revenue Requirement</t>
  </si>
  <si>
    <t>Revenue Growth Factor</t>
  </si>
  <si>
    <t>Attrition Adjusted Revenue Requirement</t>
  </si>
  <si>
    <t>2011-2012</t>
  </si>
  <si>
    <t xml:space="preserve">       2012       </t>
  </si>
  <si>
    <t xml:space="preserve">AVISTA UTILITIES  </t>
  </si>
  <si>
    <t xml:space="preserve">(000'S OF DOLLARS)  </t>
  </si>
  <si>
    <t>Check Total</t>
  </si>
  <si>
    <t>Regulatory Deferrals &amp; Amorts Excluding Revenue</t>
  </si>
  <si>
    <t>Deferred Debits and Credits</t>
  </si>
  <si>
    <t>Other</t>
  </si>
  <si>
    <t>ADFIT on Gain on Sale of Office Bldg</t>
  </si>
  <si>
    <t>ADFIT</t>
  </si>
  <si>
    <t>Customer Advances</t>
  </si>
  <si>
    <t>Dist Plant</t>
  </si>
  <si>
    <t>Customer Deposits</t>
  </si>
  <si>
    <t xml:space="preserve">WASHINGTON NATURAL GAS RESULTS  </t>
  </si>
  <si>
    <t>Administration and General as filed</t>
  </si>
  <si>
    <t>Depreciation Expense - General Plant</t>
  </si>
  <si>
    <t>Amortization Expense - Intangible Plant</t>
  </si>
  <si>
    <t>Amortization Expense - Leasehold Improvements</t>
  </si>
  <si>
    <t>Total Plant Related Depreciation/Amortization</t>
  </si>
  <si>
    <t>DSM Investment</t>
  </si>
  <si>
    <t>WA GRC JP O&amp;M Deferral</t>
  </si>
  <si>
    <t>WA Decoupling Deferral</t>
  </si>
  <si>
    <t>WA Decoupling Amortization</t>
  </si>
  <si>
    <t>Hamilton Street Bridge Amortization</t>
  </si>
  <si>
    <t>Gas Cost</t>
  </si>
  <si>
    <t>Sales For Resale Revenue</t>
  </si>
  <si>
    <t>Non PGA Gas Expense</t>
  </si>
  <si>
    <t>check</t>
  </si>
  <si>
    <t>Add Non PGA production O&amp;M expenses</t>
  </si>
  <si>
    <t>June 2013</t>
  </si>
  <si>
    <t>Factor</t>
  </si>
  <si>
    <t>Cost</t>
  </si>
  <si>
    <t>Escalate Non-Energy Cost</t>
  </si>
  <si>
    <t>Adjusted Other Revenue</t>
  </si>
  <si>
    <t>RATE OF RETURN</t>
  </si>
  <si>
    <t>2013 TO 2015 WEIGHTED REVENUE GROWTH</t>
  </si>
  <si>
    <t>Transp</t>
  </si>
  <si>
    <t>Spec Cont Trans</t>
  </si>
  <si>
    <t>WA101</t>
  </si>
  <si>
    <t>WA111</t>
  </si>
  <si>
    <t>WA121</t>
  </si>
  <si>
    <t>WA132</t>
  </si>
  <si>
    <t>WA146</t>
  </si>
  <si>
    <t>WA148</t>
  </si>
  <si>
    <t>ID101</t>
  </si>
  <si>
    <t>ID111</t>
  </si>
  <si>
    <t>ID132</t>
  </si>
  <si>
    <t>ID146</t>
  </si>
  <si>
    <t>ID147</t>
  </si>
  <si>
    <t>ID159</t>
  </si>
  <si>
    <t>OR410</t>
  </si>
  <si>
    <t>OR420</t>
  </si>
  <si>
    <t>OR424</t>
  </si>
  <si>
    <t>OR440</t>
  </si>
  <si>
    <t>OR444</t>
  </si>
  <si>
    <t>OR447</t>
  </si>
  <si>
    <t>OR456</t>
  </si>
  <si>
    <t>WA</t>
  </si>
  <si>
    <t>ID</t>
  </si>
  <si>
    <t>OR</t>
  </si>
  <si>
    <t>Grand Total</t>
  </si>
  <si>
    <t>GSFM v3 05 06 02 U5 2013-14 PGA Update V2 (30 day avg pricing 6-28-13).xlsm</t>
  </si>
  <si>
    <t>Load</t>
  </si>
  <si>
    <t>Total by Rate Sched:</t>
  </si>
  <si>
    <t>Total by State:</t>
  </si>
  <si>
    <t>avg Customers</t>
  </si>
  <si>
    <t>bills</t>
  </si>
  <si>
    <t>Bill Determ Tab</t>
  </si>
  <si>
    <t>Escalation Factor</t>
  </si>
  <si>
    <t>2.5 year</t>
  </si>
  <si>
    <t>Revenue Conversion Factor</t>
  </si>
  <si>
    <t xml:space="preserve"> Cap Structure</t>
  </si>
  <si>
    <t>ProForma</t>
  </si>
  <si>
    <t xml:space="preserve">Line </t>
  </si>
  <si>
    <t>Capital</t>
  </si>
  <si>
    <t>Component</t>
  </si>
  <si>
    <t>Structure</t>
  </si>
  <si>
    <t>Revenues</t>
  </si>
  <si>
    <t>Total Debt</t>
  </si>
  <si>
    <t>Expense:</t>
  </si>
  <si>
    <t>Common</t>
  </si>
  <si>
    <t xml:space="preserve">  Uncollectibles</t>
  </si>
  <si>
    <t xml:space="preserve">  Commission Fees</t>
  </si>
  <si>
    <t xml:space="preserve">  Washington Excise Tax</t>
  </si>
  <si>
    <t xml:space="preserve">    Total Expense</t>
  </si>
  <si>
    <t>Net Operating Income Before FIT</t>
  </si>
  <si>
    <t xml:space="preserve"> Proposed Cap Structure</t>
  </si>
  <si>
    <t xml:space="preserve">  Federal Income Tax @ 35%</t>
  </si>
  <si>
    <t>REVENUE CONVERSION FACTOR</t>
  </si>
  <si>
    <t>Washington - Natural Gas System</t>
  </si>
  <si>
    <t>Washington -Natural Gas System</t>
  </si>
  <si>
    <t>$000s</t>
  </si>
  <si>
    <t>CBR</t>
  </si>
  <si>
    <t>Commission Basis Results of Operations</t>
  </si>
  <si>
    <t>Note: The Other (Deferred Debits and Credits) Category has been restated in prior years to reflect consistency with the current reporting format.</t>
  </si>
  <si>
    <t>CBR Line 9</t>
  </si>
  <si>
    <t xml:space="preserve">Customer Service and Information </t>
  </si>
  <si>
    <t>Sales</t>
  </si>
  <si>
    <t>Administrative and General</t>
  </si>
  <si>
    <t>CBR Line 13</t>
  </si>
  <si>
    <t>CBR Line 17</t>
  </si>
  <si>
    <t>CBR Line 18</t>
  </si>
  <si>
    <t>CBR Line 19</t>
  </si>
  <si>
    <t>CBR Line 20</t>
  </si>
  <si>
    <t>Calculation of General Revenue Requirement</t>
  </si>
  <si>
    <t>(000's of Dollars)</t>
  </si>
  <si>
    <t>(a)</t>
  </si>
  <si>
    <t>(b)</t>
  </si>
  <si>
    <t xml:space="preserve">(c) </t>
  </si>
  <si>
    <t>(e)</t>
  </si>
  <si>
    <t>(f)</t>
  </si>
  <si>
    <t>(g)</t>
  </si>
  <si>
    <t>Attrition</t>
  </si>
  <si>
    <t xml:space="preserve">Revenue </t>
  </si>
  <si>
    <t>Attrition Adjusted</t>
  </si>
  <si>
    <t xml:space="preserve">Final </t>
  </si>
  <si>
    <t>Balances</t>
  </si>
  <si>
    <t>Growth Factor</t>
  </si>
  <si>
    <t>Attrition Rate Base</t>
  </si>
  <si>
    <t>Attrition Net Operating Income</t>
  </si>
  <si>
    <t>Total General Business Revenues</t>
  </si>
  <si>
    <t>Percentage Revenue Increase</t>
  </si>
  <si>
    <t xml:space="preserve">Notes: </t>
  </si>
  <si>
    <t>(i)</t>
  </si>
  <si>
    <t>Natural Gas Data for Escalators</t>
  </si>
  <si>
    <t>Natural Gas Growth  Rate Analysis and Escalation Factor Calculation</t>
  </si>
  <si>
    <t>7A</t>
  </si>
  <si>
    <t>14A</t>
  </si>
  <si>
    <t xml:space="preserve">Requirement </t>
  </si>
  <si>
    <t xml:space="preserve">2014 Temporary </t>
  </si>
  <si>
    <t>Other Cost &amp; Revenue Adjustments</t>
  </si>
  <si>
    <t>Determine Base Cost and Revenue to Escalate</t>
  </si>
  <si>
    <t>AVISTA'S 2015 NATURAL GAS ATTRITION REVENUE REQUIREMENT</t>
  </si>
  <si>
    <t>[A]</t>
  </si>
  <si>
    <t>[B]</t>
  </si>
  <si>
    <t>[C]</t>
  </si>
  <si>
    <t>[D]</t>
  </si>
  <si>
    <t>[E]</t>
  </si>
  <si>
    <t>[F]</t>
  </si>
  <si>
    <t>[G]</t>
  </si>
  <si>
    <t>[H]</t>
  </si>
  <si>
    <t>[I]</t>
  </si>
  <si>
    <t>[J]</t>
  </si>
  <si>
    <t>[K]</t>
  </si>
  <si>
    <t>2015 Revenue</t>
  </si>
  <si>
    <t>Line No.</t>
  </si>
  <si>
    <t>Total Depreciation/Amortization</t>
  </si>
  <si>
    <t>Annual Percentage Change</t>
  </si>
  <si>
    <t>CBR Line 10</t>
  </si>
  <si>
    <t>CBR Line 14</t>
  </si>
  <si>
    <t>CBR Line 21</t>
  </si>
  <si>
    <t>CBR Line 22</t>
  </si>
  <si>
    <t>Note: The Regulatory Amortizations Category has been restated in prior years to reflect consistency with the current reporting format.</t>
  </si>
  <si>
    <t>Total Regulatory Amortizations</t>
  </si>
  <si>
    <t>Exclude Adder Schedule amortizations (Decoupling Surcharge/Rebate) from Regulatory Amortizations</t>
  </si>
  <si>
    <t>Adjusted Regulatory Amortizations</t>
  </si>
  <si>
    <t>Adjusted Operating Expenses</t>
  </si>
  <si>
    <t>Deduct Gas Cost Rev Related Expenses</t>
  </si>
  <si>
    <t>Deduct DSM Tariff Rider Expenses</t>
  </si>
  <si>
    <t>Deduct Decoupling Surcharge/Rebate Expenses</t>
  </si>
  <si>
    <t>Exclude Gas Cost and Adder Schedule Expenses (DSM Tariff Rider, Decoupling Surcharge/Rebate) from O&amp;M</t>
  </si>
  <si>
    <t>Exclude Gas Cost and Adder Schedule excise taxes (DSM Tariff Rider, Decoupling Surcharge/Rebate) from Taxes Other Than Income Tax</t>
  </si>
  <si>
    <t>Adjusted Taxes Other Than Income</t>
  </si>
  <si>
    <t>CBR Line 11</t>
  </si>
  <si>
    <t>CBR Line 15</t>
  </si>
  <si>
    <t>CBR Line 23</t>
  </si>
  <si>
    <t>Total Taxes Other Than Income</t>
  </si>
  <si>
    <t>Deduct DSM Tariff Rider Excise Tax</t>
  </si>
  <si>
    <t>Deduct Gas Cost Excise Tax</t>
  </si>
  <si>
    <t>Deduct Decoupling Surcharge/Rebate Excise Tax</t>
  </si>
  <si>
    <t>Net Plant After Deferred Income Tax</t>
  </si>
  <si>
    <t>CBR Line 42</t>
  </si>
  <si>
    <t>Total Rate Base</t>
  </si>
  <si>
    <t>CBR Line 47</t>
  </si>
  <si>
    <t>CBR Line 3</t>
  </si>
  <si>
    <t>Deduct Gas Cost Deferral related revenues</t>
  </si>
  <si>
    <t>Exclude Gas Cost Deferral related and JP Storage non-recurring revenues from Other Operating Revenue</t>
  </si>
  <si>
    <t>Adjusted Other Operating Revenue</t>
  </si>
  <si>
    <t>Other Operating Revenue</t>
  </si>
  <si>
    <t>Deduct JP Storage allocated revenue (ended 2007)</t>
  </si>
  <si>
    <t>Alternative Operating Expense Factor</t>
  </si>
  <si>
    <t>Incremental Revenue Normalization Adjustment</t>
  </si>
  <si>
    <t>Exclude Normalized Gas Costs and Revenue</t>
  </si>
  <si>
    <t>Escalation Amount</t>
  </si>
  <si>
    <t>Trended 2015 Non-Energy Cost</t>
  </si>
  <si>
    <t>(plus) Revenue Growth</t>
  </si>
  <si>
    <t>2015 Revenue and Cost</t>
  </si>
  <si>
    <t>Not used due to deminimus values that resulted in extraordinary variablility</t>
  </si>
  <si>
    <t>2015 NATURAL GAS ATTRITION STUDY</t>
  </si>
  <si>
    <t>Proposed Cost of Capital</t>
  </si>
  <si>
    <t>TRANSPORT</t>
  </si>
  <si>
    <t>SCH 148 - WSU/</t>
  </si>
  <si>
    <t>WORK PAPER</t>
  </si>
  <si>
    <t xml:space="preserve"> </t>
  </si>
  <si>
    <t>GEN SERVICE</t>
  </si>
  <si>
    <t>LRG GEN SVC</t>
  </si>
  <si>
    <t>EX LRG GEN SVC</t>
  </si>
  <si>
    <t>INTERRUPTIBLE</t>
  </si>
  <si>
    <t>BF GOODRICH</t>
  </si>
  <si>
    <t>REFERENCE</t>
  </si>
  <si>
    <t>TOTAL</t>
  </si>
  <si>
    <t>SCHEDULE 101</t>
  </si>
  <si>
    <t>SCH. 111&amp;112</t>
  </si>
  <si>
    <t>SCH. 121&amp;122</t>
  </si>
  <si>
    <t>SCH. 131&amp;132</t>
  </si>
  <si>
    <t>SCHEDULE 146</t>
  </si>
  <si>
    <t>SCHEDULE 148</t>
  </si>
  <si>
    <t>ANN. MINIMUM</t>
  </si>
  <si>
    <t>PRESENT BILL DETERMINANTS</t>
  </si>
  <si>
    <t>THERMS</t>
  </si>
  <si>
    <t>PDE-G-7</t>
  </si>
  <si>
    <t>BLOCK 1</t>
  </si>
  <si>
    <t>BLOCK 2</t>
  </si>
  <si>
    <t>BLOCK 3</t>
  </si>
  <si>
    <t>BLOCK 4</t>
  </si>
  <si>
    <t>BLOCK 5</t>
  </si>
  <si>
    <t>SUBTOTAL</t>
  </si>
  <si>
    <t>LOAD ADJUSTMENT</t>
  </si>
  <si>
    <t>ADJUSTMENT TO ACTUAL</t>
  </si>
  <si>
    <t>TOTAL BEFORE ADJUSTMENT</t>
  </si>
  <si>
    <t>PDE-G-3</t>
  </si>
  <si>
    <t>WEATHER &amp; UNBILLED REV. ADJ.</t>
  </si>
  <si>
    <t>TOTAL PROFORMA THERMS</t>
  </si>
  <si>
    <t>TOTAL BILLS</t>
  </si>
  <si>
    <t>TOTAL MINIMUM BILLS</t>
  </si>
  <si>
    <t>PROPOSED BILL DETERMINANTS</t>
  </si>
  <si>
    <t>NET SHIFTING ADJUSTMENT</t>
  </si>
  <si>
    <t>SCHEDULE 111</t>
  </si>
  <si>
    <t>SCHEDULE 121</t>
  </si>
  <si>
    <t>SCHEDULE 131</t>
  </si>
  <si>
    <t>PRESENT RATES</t>
  </si>
  <si>
    <t>PDE-G-12/13</t>
  </si>
  <si>
    <t>BASIC CHARGE</t>
  </si>
  <si>
    <t>MONTHLY MINIMUM</t>
  </si>
  <si>
    <t>BLOCK 1 PER THERM</t>
  </si>
  <si>
    <t>BLOCK 2 PER THERM</t>
  </si>
  <si>
    <t>BLOCK 3 PER THERM</t>
  </si>
  <si>
    <t>BLOCK 4 PER THERM</t>
  </si>
  <si>
    <t>BLOCK 5 PER THERM</t>
  </si>
  <si>
    <t>ADJUST TO ACTUAL PER THERM</t>
  </si>
  <si>
    <t>PROPOSED RATES</t>
  </si>
  <si>
    <t>(1) Block 1 - Kaiser-Trentwood - workpaper PDE-G-18</t>
  </si>
  <si>
    <t>Block 2 - Lamb-Weston - workpaper PDE-G-20</t>
  </si>
  <si>
    <t>Block 3 - Mutual Materials - workpaper PDE-G-24</t>
  </si>
  <si>
    <t>Block 4 - Washington Potato - workpaper PDE-G-22</t>
  </si>
  <si>
    <t>Block 5 - Avista Electric generating facilities billed at 2.091 cents/therm (Sch. 148 floor)</t>
  </si>
  <si>
    <t>(2) Monthly minimum / rate per therm - workpaper PDE-G-26</t>
  </si>
  <si>
    <t>Note: Rates include Sch. 150 (Purch. Gas Cost Adj.)</t>
  </si>
  <si>
    <t>PRESENT REVENUE</t>
  </si>
  <si>
    <t>BASE TARIFF REVENUE</t>
  </si>
  <si>
    <t>ANNUAL MINIMUM</t>
  </si>
  <si>
    <t>ADJUST TO ACTUAL</t>
  </si>
  <si>
    <t>TOTAL BASE TARIFF REVENUE</t>
  </si>
  <si>
    <t>ADJUSTMENT REVENUE</t>
  </si>
  <si>
    <t>UNBILLED REVENUE ADJUSTMENT</t>
  </si>
  <si>
    <t>PDE-G-14</t>
  </si>
  <si>
    <t>UNBILLED LOAD THERMS</t>
  </si>
  <si>
    <t>PDE-G-2/5</t>
  </si>
  <si>
    <t>UNBILLED LOAD RATE</t>
  </si>
  <si>
    <t>UNBILLED LOAD REVENUE</t>
  </si>
  <si>
    <t>WEATHER-SENSITIVE THERMS</t>
  </si>
  <si>
    <t>WEATHER-SENSITIVE RATE</t>
  </si>
  <si>
    <t>WEATHER-SENSITIVE REVENUE</t>
  </si>
  <si>
    <t>TOTAL UNBILLED THERM ADJ</t>
  </si>
  <si>
    <t>TOTAL UNBILLED REVENUE ADJ</t>
  </si>
  <si>
    <t>WEATHER NORMALIZATION ADJ</t>
  </si>
  <si>
    <t>PDE-G-16</t>
  </si>
  <si>
    <t>OTHER ADJUSTMENTS</t>
  </si>
  <si>
    <t>TOTAL ADJUSTMENT REVENUE</t>
  </si>
  <si>
    <t>TOTAL PRESENT REVENUE</t>
  </si>
  <si>
    <t>PROPOSED REVENUE</t>
  </si>
  <si>
    <t>BASE LOAD THERMS</t>
  </si>
  <si>
    <t>BASE LOAD RATE</t>
  </si>
  <si>
    <t>BASE LOAD REVENUE</t>
  </si>
  <si>
    <t>TOTAL PROPOSED REVENUE</t>
  </si>
  <si>
    <t>TOTAL INCREASED REVENUE</t>
  </si>
  <si>
    <t>PERCENT REVENUE INCREASE</t>
  </si>
  <si>
    <t>BASE LOAD</t>
  </si>
  <si>
    <t>WTHR-SENS.</t>
  </si>
  <si>
    <t>RATES</t>
  </si>
  <si>
    <t>REVENUE</t>
  </si>
  <si>
    <t>THERMS(1)</t>
  </si>
  <si>
    <t>PRESENT BASELOAD AND WEATHER-SENSITIVE RATE</t>
  </si>
  <si>
    <t>0-70 THERMS</t>
  </si>
  <si>
    <t>OVER 70 THERMS</t>
  </si>
  <si>
    <t>AVERAGE RATE</t>
  </si>
  <si>
    <t>PROPOSED BASELOAD AND WEATHER-SENSITIVE RATE</t>
  </si>
  <si>
    <t>(1) Base load per bill for Schedule 101 is shown on workpaper PDE-G-17 multiplied by total billings from PDE-G-1, or</t>
  </si>
  <si>
    <t>14 X 1,768,267 = 24,755,738</t>
  </si>
  <si>
    <t>0-200 THERMS</t>
  </si>
  <si>
    <t>201-1,000 THERMS</t>
  </si>
  <si>
    <t>OVER 1,000 THERMS</t>
  </si>
  <si>
    <t>(1) Base load per bill for Schedule 111 is shown on workpaper PDE-G-17 multiplied by total billings from PDE-G-1, or</t>
  </si>
  <si>
    <t>535 X 29,797 = 15,941,395</t>
  </si>
  <si>
    <t>0-500 THERMS</t>
  </si>
  <si>
    <t>501-1,000 THERMS</t>
  </si>
  <si>
    <t>1001-10,000 THERMS</t>
  </si>
  <si>
    <t>10,001-25,000 THERMS</t>
  </si>
  <si>
    <t>OVER 25,000 THERMS</t>
  </si>
  <si>
    <t>(1) Base load per bill for Schedule 121 is shown on workpaper PDE-G-17 multiplied by total billings from PDE-G-1, or</t>
  </si>
  <si>
    <t>13,021 X 336 = 4,375,056</t>
  </si>
  <si>
    <t>AVISTA UTILITIES
WASHINGTON GAS
PRO FORMA REVENUE UNDER PRESENT AND PROPOSED BASE TARIFF RATES
12 MONTHS ENDED JUNE 30, 2013</t>
  </si>
  <si>
    <t>2011-2013</t>
  </si>
  <si>
    <t>2010-2013</t>
  </si>
  <si>
    <t>2009-2013</t>
  </si>
  <si>
    <t>2012-2013</t>
  </si>
  <si>
    <t>2001-2013</t>
  </si>
  <si>
    <t>2002-2013</t>
  </si>
  <si>
    <t>2003-2013</t>
  </si>
  <si>
    <t>2004-2013</t>
  </si>
  <si>
    <t>2005-2013</t>
  </si>
  <si>
    <t>2006-2013</t>
  </si>
  <si>
    <t>2007-2013</t>
  </si>
  <si>
    <t>2008-2013</t>
  </si>
  <si>
    <t>TWELVE MONTHS ENDED DECEMBER 31, 2000 - 2013</t>
  </si>
  <si>
    <t>Proposed Working Capital AMA 12.2013</t>
  </si>
  <si>
    <t>Dec 2013 Commission Basis Report Restated Totals</t>
  </si>
  <si>
    <t>(plus) 12.2013 Pro-Formed Gas Cost/Revenue</t>
  </si>
  <si>
    <t>NATURAL GAS COST AND REVENUE TREND CALCULATIONS 2001-2013</t>
  </si>
  <si>
    <t>Twelve Months Ended December 31, 2013</t>
  </si>
  <si>
    <t>December 2013 Escalation Base</t>
  </si>
  <si>
    <t>Actual Cost of Capital</t>
  </si>
  <si>
    <t xml:space="preserve">       2013  **     </t>
  </si>
  <si>
    <t>**</t>
  </si>
  <si>
    <t xml:space="preserve">2013 Commission Basis Report included Eliminate Adder Schedule adjustment that removed the DSM Tariff Rider and the Decoupling Rebate revenues and expenses, also consolidated all PGA related gas costs into "City Gate Purchases" </t>
  </si>
  <si>
    <t>Note 1:  Washington gas 12ME December 2013 conversion factor amounts.</t>
  </si>
  <si>
    <t>(d)</t>
  </si>
  <si>
    <t>After Attrition</t>
  </si>
  <si>
    <t>Adjustments (i)</t>
  </si>
  <si>
    <t>2 years</t>
  </si>
  <si>
    <t>Capital Structure</t>
  </si>
  <si>
    <t>Trend Factor</t>
  </si>
  <si>
    <t>Operating Exp. Factor</t>
  </si>
  <si>
    <t>Compound Growth Rates to 2013</t>
  </si>
  <si>
    <t>Used Column</t>
  </si>
  <si>
    <t>Compounded</t>
  </si>
  <si>
    <t>Zero</t>
  </si>
  <si>
    <t>Reg 2007-2013</t>
  </si>
  <si>
    <t>Reg 2001-2013</t>
  </si>
  <si>
    <t>Net Plant after DFIT (2001-2013)</t>
  </si>
  <si>
    <t>Net Plant after DFIT (2007-2013)</t>
  </si>
  <si>
    <t>Rate</t>
  </si>
  <si>
    <t>Adj Dep Amort (2001-2013)</t>
  </si>
  <si>
    <t>Adj Dep Amort (2007-2013)</t>
  </si>
  <si>
    <t>Adj taxes other than income (2001-2013)</t>
  </si>
  <si>
    <t>Adj taxes other than income (2007-2013)</t>
  </si>
  <si>
    <t>From Avista response to Staff DR 115, Attachment B</t>
  </si>
  <si>
    <t>Adj Other Rev trend</t>
  </si>
  <si>
    <t>x</t>
  </si>
  <si>
    <t>Weighted 50-50</t>
  </si>
  <si>
    <t>Trend Shape</t>
  </si>
  <si>
    <t>Linear</t>
  </si>
  <si>
    <t>Best</t>
  </si>
  <si>
    <t>Revenue/NOI Factor</t>
  </si>
  <si>
    <t>Future Test Year</t>
  </si>
  <si>
    <t>Regression (2001-2013)</t>
  </si>
  <si>
    <t>Regression (2007-2013)</t>
  </si>
  <si>
    <t>Weighted 50-50 (not plotted)</t>
  </si>
  <si>
    <t>Growth Trends - Adjusted Other Revenue</t>
  </si>
  <si>
    <t>Adjusted other revenue (2001-2013)</t>
  </si>
  <si>
    <t>Adjusted other revenue (2007-2013)</t>
  </si>
  <si>
    <t>Growth Trends - Adjusted Operating Expense (natural gas)</t>
  </si>
  <si>
    <t>Regression 2001-2013</t>
  </si>
  <si>
    <t>Regression 2007-2013</t>
  </si>
  <si>
    <t>Growth Trends - Adjusted Taxes other than Income</t>
  </si>
  <si>
    <t>Growth Trends - Adjusted Depreciation/Amortization</t>
  </si>
  <si>
    <t>Growth Trends - Net Plant after DFIT (Natural Gas)</t>
  </si>
  <si>
    <t>Adj Op Exp (2001-2013)</t>
  </si>
  <si>
    <t>over 2014</t>
  </si>
  <si>
    <t>Regression 2001-2013 (excl. 2009-2012)</t>
  </si>
  <si>
    <t>2 year</t>
  </si>
  <si>
    <t>Adj Op Exp (2001-2013, excl. 2009-2012)</t>
  </si>
  <si>
    <t>Regression 2001-2012 (de-weight 09-12)</t>
  </si>
  <si>
    <t>Adj Op Exp (2009-2012)</t>
  </si>
  <si>
    <t>KenDecoup</t>
  </si>
  <si>
    <t>Attrition Revenue Deficiency (Surplus)</t>
  </si>
  <si>
    <t>Attrition-Based Revenue Requirement</t>
  </si>
  <si>
    <t>Plus After Attrition Adjustments</t>
  </si>
  <si>
    <t>Avista-proposed rate</t>
  </si>
  <si>
    <t>(Shown in plot below; used for attrition analysis)</t>
  </si>
  <si>
    <t>Slope (Annual $)</t>
  </si>
  <si>
    <t xml:space="preserve">Rate Increase </t>
  </si>
  <si>
    <t>The Adjustment included after the attrition calculated revenue requirement of $8.167 million shown above was deemed necessary by Avista in order to account for 1/3 of atmospheric testing expenses (or $262,000). This adjustment represents amounts not included in the 12/31/2013 normalized commission basis results used as the starting point of the Company's updated attrition analysis.  See workpapers included with Staff_DR_115-Attachment E. Staff does not contest this adjustment.</t>
  </si>
  <si>
    <t>Rate of Return (pre-attrition adjustment)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</si>
</sst>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5" formatCode="&quot;$&quot;#,##0_);\(&quot;$&quot;#,##0\)"/>
    <numFmt numFmtId="6" formatCode="&quot;$&quot;#,##0_);[Red]\(&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000"/>
    <numFmt numFmtId="165" formatCode="&quot;$&quot;#,##0"/>
    <numFmt numFmtId="166" formatCode="&quot;$&quot;#,##0.00000"/>
    <numFmt numFmtId="167" formatCode="_(* #,##0.00000_);_(* \(#,##0.00000\);_(* &quot;-&quot;?????_);_(@_)"/>
    <numFmt numFmtId="168" formatCode="_(* #,##0_);_(* \(#,##0\);_(* &quot;-&quot;??_);_(@_)"/>
    <numFmt numFmtId="169" formatCode="#,##0.0000"/>
    <numFmt numFmtId="170" formatCode="0.0000"/>
    <numFmt numFmtId="171" formatCode="0.000000"/>
    <numFmt numFmtId="172" formatCode="0.000%"/>
    <numFmt numFmtId="173" formatCode="0.00000"/>
    <numFmt numFmtId="174" formatCode="_(* #,##0.000000_);_(* \(#,##0.000000\);_(* &quot;-&quot;??_);_(@_)"/>
    <numFmt numFmtId="175" formatCode="#,##0_);\(#,##0\);"/>
    <numFmt numFmtId="176" formatCode=";;;"/>
    <numFmt numFmtId="177" formatCode="0_);\(0\)"/>
    <numFmt numFmtId="178" formatCode="&quot;$&quot;#,##0.00;\-&quot;$&quot;#,##0.00;"/>
    <numFmt numFmtId="179" formatCode="#,##0.000\¢\ ;\(#,##0.000\¢\);"/>
    <numFmt numFmtId="180" formatCode="#,##0.000\¢\ ;\(#,##0.000\¢\)"/>
    <numFmt numFmtId="181" formatCode="&quot;$&quot;#,##0_);\(&quot;$&quot;#,##0\);"/>
    <numFmt numFmtId="182" formatCode="#,##0.000"/>
  </numFmts>
  <fonts count="5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Geneva"/>
    </font>
    <font>
      <sz val="9"/>
      <name val="Times New Roman"/>
      <family val="1"/>
    </font>
    <font>
      <sz val="12"/>
      <name val="Times New Roman"/>
      <family val="1"/>
    </font>
    <font>
      <u/>
      <sz val="10"/>
      <color theme="0"/>
      <name val="Arial"/>
      <family val="2"/>
    </font>
    <font>
      <u/>
      <sz val="7.5"/>
      <color theme="0"/>
      <name val="Arial"/>
      <family val="2"/>
    </font>
    <font>
      <sz val="9"/>
      <color theme="1"/>
      <name val="Times New Roman"/>
      <family val="1"/>
    </font>
    <font>
      <b/>
      <sz val="9"/>
      <color theme="1"/>
      <name val="Times New Roman"/>
      <family val="1"/>
    </font>
    <font>
      <sz val="12"/>
      <color indexed="10"/>
      <name val="Times New Roman"/>
      <family val="1"/>
    </font>
    <font>
      <u/>
      <sz val="10"/>
      <name val="Arial"/>
      <family val="2"/>
    </font>
    <font>
      <b/>
      <sz val="9"/>
      <name val="Times New Roman"/>
      <family val="1"/>
    </font>
    <font>
      <b/>
      <sz val="10"/>
      <name val="Times New Roman"/>
      <family val="1"/>
    </font>
    <font>
      <u/>
      <sz val="9"/>
      <color theme="1"/>
      <name val="Times New Roman"/>
      <family val="1"/>
    </font>
    <font>
      <sz val="10"/>
      <name val="Arial"/>
      <family val="2"/>
    </font>
    <font>
      <sz val="10"/>
      <color theme="1"/>
      <name val="Arial"/>
      <family val="2"/>
    </font>
    <font>
      <b/>
      <sz val="10"/>
      <name val="Arial"/>
      <family val="2"/>
    </font>
    <font>
      <sz val="9"/>
      <color indexed="81"/>
      <name val="Tahoma"/>
      <family val="2"/>
    </font>
    <font>
      <b/>
      <sz val="9"/>
      <color indexed="81"/>
      <name val="Tahoma"/>
      <family val="2"/>
    </font>
    <font>
      <sz val="10"/>
      <name val="Arial"/>
      <family val="2"/>
    </font>
    <font>
      <sz val="9"/>
      <color rgb="FF0000FF"/>
      <name val="Times New Roman"/>
      <family val="1"/>
    </font>
    <font>
      <b/>
      <i/>
      <sz val="10"/>
      <name val="Times New Roman"/>
      <family val="1"/>
    </font>
    <font>
      <sz val="10"/>
      <name val="Times New Roman"/>
      <family val="1"/>
    </font>
    <font>
      <i/>
      <sz val="10"/>
      <name val="Times New Roman"/>
      <family val="1"/>
    </font>
    <font>
      <sz val="10"/>
      <color indexed="12"/>
      <name val="Times New Roman"/>
      <family val="1"/>
    </font>
    <font>
      <sz val="11"/>
      <color indexed="8"/>
      <name val="Calibri"/>
      <family val="2"/>
    </font>
    <font>
      <sz val="10"/>
      <color indexed="48"/>
      <name val="Times New Roman"/>
      <family val="1"/>
    </font>
    <font>
      <b/>
      <sz val="16"/>
      <name val="Times New Roman"/>
      <family val="1"/>
    </font>
    <font>
      <b/>
      <sz val="12"/>
      <name val="Times New Roman"/>
      <family val="1"/>
    </font>
    <font>
      <u/>
      <sz val="7.5"/>
      <color indexed="9"/>
      <name val="Arial"/>
      <family val="2"/>
    </font>
    <font>
      <sz val="12"/>
      <name val="Arial"/>
      <family val="2"/>
    </font>
    <font>
      <sz val="8"/>
      <color indexed="56"/>
      <name val="Arial"/>
      <family val="2"/>
    </font>
    <font>
      <sz val="10"/>
      <name val="MS Sans Serif"/>
      <family val="2"/>
    </font>
    <font>
      <b/>
      <sz val="10"/>
      <name val="MS Sans Serif"/>
      <family val="2"/>
    </font>
    <font>
      <sz val="10"/>
      <color theme="1"/>
      <name val="Times New Roman"/>
      <family val="1"/>
    </font>
    <font>
      <b/>
      <sz val="14"/>
      <name val="Times New Roman"/>
      <family val="1"/>
    </font>
    <font>
      <b/>
      <sz val="11"/>
      <name val="Times New Roman"/>
      <family val="1"/>
    </font>
    <font>
      <sz val="11"/>
      <name val="Arial"/>
      <family val="2"/>
    </font>
    <font>
      <b/>
      <sz val="10"/>
      <color theme="1"/>
      <name val="Times New Roman"/>
      <family val="1"/>
    </font>
    <font>
      <sz val="8"/>
      <name val="Arial"/>
      <family val="2"/>
    </font>
    <font>
      <sz val="8"/>
      <name val="Geneva"/>
    </font>
    <font>
      <b/>
      <sz val="8"/>
      <name val="Courier"/>
      <family val="3"/>
    </font>
    <font>
      <sz val="8"/>
      <name val="Arial Narrow"/>
      <family val="2"/>
    </font>
    <font>
      <sz val="8"/>
      <color rgb="FF0000FF"/>
      <name val="Geneva"/>
    </font>
    <font>
      <sz val="8"/>
      <color rgb="FF0000FF"/>
      <name val="Arial"/>
      <family val="2"/>
    </font>
    <font>
      <b/>
      <sz val="8"/>
      <name val="Arial"/>
      <family val="2"/>
    </font>
    <font>
      <u/>
      <sz val="8"/>
      <name val="Arial"/>
      <family val="2"/>
    </font>
    <font>
      <sz val="9"/>
      <color rgb="FF000000"/>
      <name val="Tahoma"/>
      <family val="2"/>
    </font>
    <font>
      <b/>
      <sz val="8"/>
      <color rgb="FF000000"/>
      <name val="Tahoma"/>
      <family val="2"/>
    </font>
    <font>
      <sz val="8"/>
      <color rgb="FF000000"/>
      <name val="Tahoma"/>
      <family val="2"/>
    </font>
    <font>
      <b/>
      <sz val="9"/>
      <name val="Arial"/>
      <family val="2"/>
    </font>
    <font>
      <sz val="10"/>
      <color rgb="FFFF0000"/>
      <name val="Arial"/>
      <family val="2"/>
    </font>
    <font>
      <b/>
      <sz val="16"/>
      <name val="Arial"/>
      <family val="2"/>
    </font>
  </fonts>
  <fills count="16">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mediumGray">
        <fgColor indexed="22"/>
      </patternFill>
    </fill>
    <fill>
      <patternFill patternType="solid">
        <fgColor indexed="57"/>
        <bgColor indexed="64"/>
      </patternFill>
    </fill>
    <fill>
      <patternFill patternType="solid">
        <fgColor rgb="FFFFFFFF"/>
        <bgColor rgb="FF000000"/>
      </patternFill>
    </fill>
    <fill>
      <patternFill patternType="solid">
        <fgColor rgb="FFFFFF00"/>
        <bgColor rgb="FF000000"/>
      </patternFill>
    </fill>
    <fill>
      <patternFill patternType="solid">
        <fgColor rgb="FFFFFF00"/>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5" tint="0.39997558519241921"/>
        <bgColor indexed="64"/>
      </patternFill>
    </fill>
  </fills>
  <borders count="37">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
      <left/>
      <right/>
      <top style="thin">
        <color indexed="64"/>
      </top>
      <bottom style="thin">
        <color indexed="64"/>
      </bottom>
      <diagonal/>
    </border>
    <border>
      <left style="thin">
        <color auto="1"/>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14">
    <xf numFmtId="0" fontId="0" fillId="0" borderId="0"/>
    <xf numFmtId="0" fontId="6" fillId="0" borderId="0"/>
    <xf numFmtId="0" fontId="6" fillId="0" borderId="0"/>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5" fillId="0" borderId="0"/>
    <xf numFmtId="44" fontId="5" fillId="0" borderId="0" applyFont="0" applyFill="0" applyBorder="0" applyAlignment="0" applyProtection="0"/>
    <xf numFmtId="0" fontId="13" fillId="2" borderId="0"/>
    <xf numFmtId="0" fontId="8" fillId="0" borderId="0"/>
    <xf numFmtId="0" fontId="5" fillId="0" borderId="0"/>
    <xf numFmtId="0" fontId="5" fillId="0" borderId="0"/>
    <xf numFmtId="9" fontId="5" fillId="0" borderId="0" applyFont="0" applyFill="0" applyBorder="0" applyAlignment="0" applyProtection="0"/>
    <xf numFmtId="43" fontId="18" fillId="0" borderId="0" applyFont="0" applyFill="0" applyBorder="0" applyAlignment="0" applyProtection="0"/>
    <xf numFmtId="0" fontId="19" fillId="0" borderId="0"/>
    <xf numFmtId="9" fontId="23" fillId="0" borderId="0" applyFont="0" applyFill="0" applyBorder="0" applyAlignment="0" applyProtection="0"/>
    <xf numFmtId="0" fontId="4" fillId="0" borderId="0"/>
    <xf numFmtId="9" fontId="29" fillId="0" borderId="0" applyFont="0" applyFill="0" applyBorder="0" applyAlignment="0" applyProtection="0"/>
    <xf numFmtId="43" fontId="29" fillId="0" borderId="0" applyFont="0" applyFill="0" applyBorder="0" applyAlignment="0" applyProtection="0"/>
    <xf numFmtId="0" fontId="6" fillId="0" borderId="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4" fontId="5" fillId="0" borderId="0" applyFont="0" applyFill="0" applyBorder="0" applyAlignment="0" applyProtection="0"/>
    <xf numFmtId="44" fontId="29" fillId="0" borderId="0" applyFont="0" applyFill="0" applyBorder="0" applyAlignment="0" applyProtection="0"/>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3" fillId="0" borderId="0"/>
    <xf numFmtId="0" fontId="3" fillId="0" borderId="0"/>
    <xf numFmtId="0" fontId="5" fillId="0" borderId="0">
      <alignment readingOrder="1"/>
    </xf>
    <xf numFmtId="0" fontId="3" fillId="0" borderId="0"/>
    <xf numFmtId="0" fontId="5" fillId="0" borderId="0"/>
    <xf numFmtId="0" fontId="5" fillId="0" borderId="0">
      <alignment readingOrder="1"/>
    </xf>
    <xf numFmtId="0" fontId="5" fillId="0" borderId="0"/>
    <xf numFmtId="0" fontId="5" fillId="0" borderId="0">
      <alignment readingOrder="1"/>
    </xf>
    <xf numFmtId="0" fontId="6"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9" fontId="5" fillId="0" borderId="0" applyFont="0" applyFill="0" applyBorder="0" applyAlignment="0" applyProtection="0"/>
    <xf numFmtId="9" fontId="29"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4" fillId="0" borderId="0" applyFont="0" applyFill="0" applyBorder="0" applyAlignment="0" applyProtection="0"/>
    <xf numFmtId="44" fontId="5" fillId="0" borderId="0" applyFont="0" applyFill="0" applyBorder="0" applyAlignment="0" applyProtection="0"/>
    <xf numFmtId="44" fontId="34" fillId="0" borderId="0" applyFont="0" applyFill="0" applyBorder="0" applyAlignment="0" applyProtection="0"/>
    <xf numFmtId="44" fontId="26" fillId="0" borderId="0" applyFont="0" applyFill="0" applyBorder="0" applyAlignment="0" applyProtection="0"/>
    <xf numFmtId="44" fontId="5" fillId="0" borderId="0" applyFont="0" applyFill="0" applyBorder="0" applyAlignment="0" applyProtection="0"/>
    <xf numFmtId="0" fontId="26" fillId="0" borderId="0"/>
    <xf numFmtId="9" fontId="8" fillId="0" borderId="0" applyFont="0" applyFill="0" applyBorder="0" applyAlignment="0" applyProtection="0"/>
    <xf numFmtId="9" fontId="26" fillId="0" borderId="0" applyFont="0" applyFill="0" applyBorder="0" applyAlignment="0" applyProtection="0"/>
    <xf numFmtId="38" fontId="35" fillId="0" borderId="0" applyNumberFormat="0" applyFont="0" applyFill="0" applyBorder="0">
      <alignment horizontal="left" indent="4"/>
      <protection locked="0"/>
    </xf>
    <xf numFmtId="0" fontId="36" fillId="0" borderId="0" applyNumberFormat="0" applyFont="0" applyFill="0" applyBorder="0" applyAlignment="0" applyProtection="0">
      <alignment horizontal="left"/>
    </xf>
    <xf numFmtId="15" fontId="36" fillId="0" borderId="0" applyFont="0" applyFill="0" applyBorder="0" applyAlignment="0" applyProtection="0"/>
    <xf numFmtId="4" fontId="36" fillId="0" borderId="0" applyFont="0" applyFill="0" applyBorder="0" applyAlignment="0" applyProtection="0"/>
    <xf numFmtId="0" fontId="37" fillId="0" borderId="27">
      <alignment horizontal="center"/>
    </xf>
    <xf numFmtId="3" fontId="36" fillId="0" borderId="0" applyFont="0" applyFill="0" applyBorder="0" applyAlignment="0" applyProtection="0"/>
    <xf numFmtId="0" fontId="36" fillId="4" borderId="0" applyNumberFormat="0" applyFont="0" applyBorder="0" applyAlignment="0" applyProtection="0"/>
    <xf numFmtId="168" fontId="34" fillId="3" borderId="0" applyFont="0" applyFill="0" applyBorder="0" applyAlignment="0" applyProtection="0">
      <alignment wrapText="1"/>
    </xf>
    <xf numFmtId="0" fontId="5" fillId="5" borderId="0" applyNumberFormat="0" applyFont="0" applyFill="0" applyBorder="0" applyAlignment="0" applyProtection="0"/>
    <xf numFmtId="0" fontId="3" fillId="0" borderId="0"/>
    <xf numFmtId="3" fontId="19" fillId="0" borderId="0"/>
    <xf numFmtId="3" fontId="19" fillId="0" borderId="0"/>
    <xf numFmtId="0" fontId="5" fillId="0" borderId="0"/>
    <xf numFmtId="43" fontId="5" fillId="0" borderId="0" applyFont="0" applyFill="0" applyBorder="0" applyAlignment="0" applyProtection="0"/>
    <xf numFmtId="0" fontId="2" fillId="0" borderId="0"/>
    <xf numFmtId="0" fontId="2" fillId="0" borderId="0"/>
    <xf numFmtId="0" fontId="2" fillId="0" borderId="0"/>
    <xf numFmtId="43" fontId="5" fillId="0" borderId="0" applyFont="0" applyFill="0" applyBorder="0" applyAlignment="0" applyProtection="0"/>
    <xf numFmtId="0" fontId="2" fillId="0" borderId="0"/>
    <xf numFmtId="0" fontId="2" fillId="0" borderId="0"/>
    <xf numFmtId="0" fontId="2" fillId="0" borderId="0"/>
    <xf numFmtId="0" fontId="2" fillId="0" borderId="0"/>
    <xf numFmtId="43" fontId="5"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43" fontId="5" fillId="0" borderId="0" applyFont="0" applyFill="0" applyBorder="0" applyAlignment="0" applyProtection="0"/>
    <xf numFmtId="43" fontId="5" fillId="0" borderId="0" applyFont="0" applyFill="0" applyBorder="0" applyAlignment="0" applyProtection="0"/>
    <xf numFmtId="0" fontId="2" fillId="0" borderId="0"/>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8" fillId="0" borderId="0"/>
    <xf numFmtId="0" fontId="2" fillId="0" borderId="0"/>
    <xf numFmtId="9"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4" fontId="29"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9" fillId="0" borderId="0" applyFont="0" applyFill="0" applyBorder="0" applyAlignment="0" applyProtection="0"/>
    <xf numFmtId="9" fontId="5" fillId="0" borderId="0" applyFont="0" applyFill="0" applyBorder="0" applyAlignment="0" applyProtection="0"/>
    <xf numFmtId="9" fontId="29"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5" fillId="0" borderId="0" applyFont="0" applyFill="0" applyBorder="0" applyAlignment="0" applyProtection="0"/>
    <xf numFmtId="43"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cellStyleXfs>
  <cellXfs count="484">
    <xf numFmtId="0" fontId="0" fillId="0" borderId="0" xfId="0"/>
    <xf numFmtId="0" fontId="7" fillId="0" borderId="0" xfId="0" applyFont="1"/>
    <xf numFmtId="0" fontId="11" fillId="0" borderId="0" xfId="2" applyNumberFormat="1" applyFont="1" applyAlignment="1">
      <alignment horizontal="left"/>
    </xf>
    <xf numFmtId="0" fontId="11" fillId="0" borderId="0" xfId="2" applyFont="1"/>
    <xf numFmtId="3" fontId="12" fillId="0" borderId="0" xfId="2" applyNumberFormat="1" applyFont="1"/>
    <xf numFmtId="0" fontId="12" fillId="0" borderId="0" xfId="2" applyNumberFormat="1" applyFont="1" applyAlignment="1">
      <alignment horizontal="center"/>
    </xf>
    <xf numFmtId="0" fontId="12" fillId="0" borderId="0" xfId="2" applyFont="1" applyAlignment="1">
      <alignment horizontal="center"/>
    </xf>
    <xf numFmtId="3" fontId="12" fillId="0" borderId="0" xfId="2" applyNumberFormat="1" applyFont="1" applyAlignment="1">
      <alignment horizontal="center"/>
    </xf>
    <xf numFmtId="0" fontId="12" fillId="0" borderId="1" xfId="2" applyNumberFormat="1" applyFont="1" applyBorder="1" applyAlignment="1">
      <alignment horizontal="center"/>
    </xf>
    <xf numFmtId="0" fontId="12" fillId="0" borderId="2" xfId="2" applyFont="1" applyBorder="1" applyAlignment="1">
      <alignment horizontal="center"/>
    </xf>
    <xf numFmtId="0" fontId="12" fillId="0" borderId="3" xfId="2" applyFont="1" applyBorder="1" applyAlignment="1">
      <alignment horizontal="center"/>
    </xf>
    <xf numFmtId="0" fontId="11" fillId="0" borderId="4" xfId="2" applyFont="1" applyBorder="1"/>
    <xf numFmtId="0" fontId="12" fillId="0" borderId="5" xfId="2" applyNumberFormat="1" applyFont="1" applyBorder="1" applyAlignment="1">
      <alignment horizontal="center"/>
    </xf>
    <xf numFmtId="0" fontId="12" fillId="0" borderId="6" xfId="2" applyFont="1" applyBorder="1" applyAlignment="1">
      <alignment horizontal="center"/>
    </xf>
    <xf numFmtId="0" fontId="12" fillId="0" borderId="0" xfId="2" applyFont="1" applyBorder="1" applyAlignment="1">
      <alignment horizontal="center"/>
    </xf>
    <xf numFmtId="0" fontId="11" fillId="0" borderId="7" xfId="2" applyFont="1" applyBorder="1"/>
    <xf numFmtId="3" fontId="12" fillId="0" borderId="5" xfId="2" applyNumberFormat="1" applyFont="1" applyBorder="1" applyAlignment="1">
      <alignment horizontal="center"/>
    </xf>
    <xf numFmtId="0" fontId="12" fillId="0" borderId="8" xfId="2" applyNumberFormat="1" applyFont="1" applyBorder="1" applyAlignment="1">
      <alignment horizontal="center"/>
    </xf>
    <xf numFmtId="0" fontId="12" fillId="0" borderId="9" xfId="2" applyFont="1" applyBorder="1" applyAlignment="1">
      <alignment horizontal="center"/>
    </xf>
    <xf numFmtId="0" fontId="12" fillId="0" borderId="10" xfId="2" applyFont="1" applyBorder="1" applyAlignment="1">
      <alignment horizontal="center"/>
    </xf>
    <xf numFmtId="0" fontId="12" fillId="0" borderId="11" xfId="2" applyFont="1" applyBorder="1" applyAlignment="1">
      <alignment horizontal="center"/>
    </xf>
    <xf numFmtId="3" fontId="12" fillId="0" borderId="8" xfId="2" applyNumberFormat="1" applyFont="1" applyBorder="1" applyAlignment="1">
      <alignment horizontal="center"/>
    </xf>
    <xf numFmtId="0" fontId="11" fillId="0" borderId="0" xfId="2" applyNumberFormat="1" applyFont="1" applyAlignment="1">
      <alignment horizontal="center"/>
    </xf>
    <xf numFmtId="5" fontId="11" fillId="0" borderId="0" xfId="2" applyNumberFormat="1" applyFont="1"/>
    <xf numFmtId="37" fontId="11" fillId="0" borderId="0" xfId="2" applyNumberFormat="1" applyFont="1"/>
    <xf numFmtId="0" fontId="11" fillId="0" borderId="0" xfId="2" applyNumberFormat="1" applyFont="1" applyBorder="1" applyAlignment="1">
      <alignment horizontal="center"/>
    </xf>
    <xf numFmtId="37" fontId="11" fillId="0" borderId="0" xfId="2" applyNumberFormat="1" applyFont="1" applyBorder="1"/>
    <xf numFmtId="0" fontId="11" fillId="0" borderId="0" xfId="2" applyFont="1" applyBorder="1"/>
    <xf numFmtId="0" fontId="11" fillId="0" borderId="0" xfId="2" applyFont="1" applyFill="1"/>
    <xf numFmtId="3" fontId="12" fillId="0" borderId="0" xfId="2" applyNumberFormat="1" applyFont="1" applyFill="1"/>
    <xf numFmtId="0" fontId="11" fillId="0" borderId="0" xfId="2" applyNumberFormat="1" applyFont="1" applyFill="1" applyAlignment="1">
      <alignment horizontal="center"/>
    </xf>
    <xf numFmtId="0" fontId="11" fillId="0" borderId="0" xfId="1" applyFont="1" applyFill="1" applyAlignment="1">
      <alignment horizontal="right"/>
    </xf>
    <xf numFmtId="41" fontId="12" fillId="0" borderId="0" xfId="2" applyNumberFormat="1" applyFont="1"/>
    <xf numFmtId="41" fontId="12" fillId="0" borderId="10" xfId="2" applyNumberFormat="1" applyFont="1" applyBorder="1"/>
    <xf numFmtId="41" fontId="12" fillId="0" borderId="13" xfId="2" applyNumberFormat="1" applyFont="1" applyBorder="1"/>
    <xf numFmtId="41" fontId="12" fillId="0" borderId="0" xfId="2" applyNumberFormat="1" applyFont="1" applyBorder="1"/>
    <xf numFmtId="42" fontId="12" fillId="0" borderId="0" xfId="2" applyNumberFormat="1" applyFont="1"/>
    <xf numFmtId="5" fontId="12" fillId="0" borderId="0" xfId="2" applyNumberFormat="1" applyFont="1"/>
    <xf numFmtId="42" fontId="12" fillId="0" borderId="12" xfId="2" applyNumberFormat="1" applyFont="1" applyBorder="1"/>
    <xf numFmtId="1" fontId="12" fillId="0" borderId="1" xfId="2" applyNumberFormat="1" applyFont="1" applyBorder="1" applyAlignment="1">
      <alignment horizontal="center"/>
    </xf>
    <xf numFmtId="0" fontId="0" fillId="0" borderId="0" xfId="0" applyAlignment="1">
      <alignment horizontal="center"/>
    </xf>
    <xf numFmtId="0" fontId="5" fillId="0" borderId="0" xfId="0" applyFont="1" applyAlignment="1">
      <alignment horizontal="center"/>
    </xf>
    <xf numFmtId="0" fontId="0" fillId="0" borderId="0" xfId="0" applyAlignment="1">
      <alignment horizontal="centerContinuous"/>
    </xf>
    <xf numFmtId="0" fontId="14" fillId="0" borderId="0" xfId="0" applyFont="1" applyAlignment="1">
      <alignment horizontal="center"/>
    </xf>
    <xf numFmtId="3" fontId="0" fillId="0" borderId="0" xfId="0" applyNumberFormat="1"/>
    <xf numFmtId="3" fontId="0" fillId="0" borderId="10" xfId="0" applyNumberFormat="1" applyBorder="1"/>
    <xf numFmtId="3" fontId="0" fillId="0" borderId="13" xfId="0" applyNumberFormat="1" applyBorder="1"/>
    <xf numFmtId="0" fontId="0" fillId="0" borderId="6" xfId="0" applyBorder="1"/>
    <xf numFmtId="0" fontId="14" fillId="0" borderId="6" xfId="0" quotePrefix="1" applyFont="1" applyBorder="1" applyAlignment="1">
      <alignment horizontal="centerContinuous"/>
    </xf>
    <xf numFmtId="0" fontId="0" fillId="0" borderId="6" xfId="0" applyBorder="1" applyAlignment="1">
      <alignment horizontal="center"/>
    </xf>
    <xf numFmtId="0" fontId="5" fillId="0" borderId="6" xfId="0" applyFont="1" applyBorder="1" applyAlignment="1">
      <alignment horizontal="center"/>
    </xf>
    <xf numFmtId="0" fontId="14" fillId="0" borderId="6" xfId="0" applyFont="1" applyBorder="1" applyAlignment="1">
      <alignment horizontal="center"/>
    </xf>
    <xf numFmtId="3" fontId="0" fillId="0" borderId="6" xfId="0" applyNumberFormat="1" applyBorder="1"/>
    <xf numFmtId="3" fontId="0" fillId="0" borderId="9" xfId="0" applyNumberFormat="1" applyBorder="1"/>
    <xf numFmtId="3" fontId="0" fillId="0" borderId="14" xfId="0" applyNumberFormat="1" applyBorder="1"/>
    <xf numFmtId="0" fontId="0" fillId="0" borderId="7" xfId="0" applyBorder="1"/>
    <xf numFmtId="0" fontId="0" fillId="0" borderId="7" xfId="0" applyBorder="1" applyAlignment="1">
      <alignment horizontal="centerContinuous"/>
    </xf>
    <xf numFmtId="0" fontId="5" fillId="0" borderId="7" xfId="0" applyFont="1" applyBorder="1" applyAlignment="1">
      <alignment horizontal="center"/>
    </xf>
    <xf numFmtId="0" fontId="14" fillId="0" borderId="7" xfId="0" applyFont="1" applyBorder="1" applyAlignment="1">
      <alignment horizontal="center"/>
    </xf>
    <xf numFmtId="3" fontId="0" fillId="0" borderId="7" xfId="0" applyNumberFormat="1" applyBorder="1"/>
    <xf numFmtId="3" fontId="0" fillId="0" borderId="11" xfId="0" applyNumberFormat="1" applyBorder="1"/>
    <xf numFmtId="3" fontId="0" fillId="0" borderId="15" xfId="0" applyNumberFormat="1" applyBorder="1"/>
    <xf numFmtId="3" fontId="12" fillId="0" borderId="10" xfId="2" applyNumberFormat="1" applyFont="1" applyBorder="1"/>
    <xf numFmtId="3" fontId="12" fillId="0" borderId="16" xfId="2" applyNumberFormat="1" applyFont="1" applyFill="1" applyBorder="1"/>
    <xf numFmtId="3" fontId="12" fillId="0" borderId="16" xfId="2" applyNumberFormat="1" applyFont="1" applyBorder="1"/>
    <xf numFmtId="0" fontId="14" fillId="0" borderId="6" xfId="0" applyFont="1" applyBorder="1" applyAlignment="1">
      <alignment horizontal="centerContinuous"/>
    </xf>
    <xf numFmtId="0" fontId="12" fillId="0" borderId="0" xfId="2" applyFont="1" applyFill="1"/>
    <xf numFmtId="0" fontId="12" fillId="0" borderId="0" xfId="2" applyFont="1"/>
    <xf numFmtId="0" fontId="15" fillId="0" borderId="0" xfId="0" applyFont="1"/>
    <xf numFmtId="0" fontId="14" fillId="0" borderId="0" xfId="0" applyFont="1"/>
    <xf numFmtId="0" fontId="5" fillId="0" borderId="0" xfId="0" applyFont="1"/>
    <xf numFmtId="10" fontId="0" fillId="0" borderId="0" xfId="0" applyNumberFormat="1"/>
    <xf numFmtId="0" fontId="16" fillId="0" borderId="10" xfId="0" applyFont="1" applyBorder="1"/>
    <xf numFmtId="0" fontId="11" fillId="0" borderId="10" xfId="2" applyFont="1" applyBorder="1"/>
    <xf numFmtId="0" fontId="17" fillId="0" borderId="0" xfId="2" applyNumberFormat="1" applyFont="1" applyAlignment="1">
      <alignment horizontal="center"/>
    </xf>
    <xf numFmtId="0" fontId="11" fillId="0" borderId="0" xfId="2" applyFont="1" applyBorder="1" applyAlignment="1">
      <alignment horizontal="center"/>
    </xf>
    <xf numFmtId="0" fontId="11" fillId="0" borderId="0" xfId="2" applyFont="1" applyAlignment="1">
      <alignment horizontal="center"/>
    </xf>
    <xf numFmtId="42" fontId="11" fillId="0" borderId="0" xfId="2" applyNumberFormat="1" applyFont="1"/>
    <xf numFmtId="41" fontId="11" fillId="0" borderId="0" xfId="2" applyNumberFormat="1" applyFont="1"/>
    <xf numFmtId="41" fontId="11" fillId="0" borderId="10" xfId="2" applyNumberFormat="1" applyFont="1" applyBorder="1"/>
    <xf numFmtId="42" fontId="11" fillId="0" borderId="12" xfId="2" applyNumberFormat="1" applyFont="1" applyBorder="1"/>
    <xf numFmtId="41" fontId="11" fillId="0" borderId="13" xfId="2" applyNumberFormat="1" applyFont="1" applyBorder="1"/>
    <xf numFmtId="41" fontId="11" fillId="0" borderId="0" xfId="2" applyNumberFormat="1" applyFont="1" applyBorder="1"/>
    <xf numFmtId="3" fontId="11" fillId="0" borderId="0" xfId="2" applyNumberFormat="1" applyFont="1" applyFill="1"/>
    <xf numFmtId="10" fontId="11" fillId="0" borderId="0" xfId="2" applyNumberFormat="1" applyFont="1"/>
    <xf numFmtId="0" fontId="0" fillId="0" borderId="10" xfId="0" applyBorder="1" applyAlignment="1">
      <alignment horizontal="center"/>
    </xf>
    <xf numFmtId="0" fontId="5" fillId="0" borderId="10" xfId="0" applyFont="1" applyBorder="1"/>
    <xf numFmtId="0" fontId="0" fillId="0" borderId="10" xfId="0" applyBorder="1"/>
    <xf numFmtId="3" fontId="0" fillId="0" borderId="2" xfId="0" applyNumberFormat="1" applyBorder="1"/>
    <xf numFmtId="0" fontId="7" fillId="0" borderId="0" xfId="2" applyFont="1" applyAlignment="1">
      <alignment horizontal="right"/>
    </xf>
    <xf numFmtId="3" fontId="12" fillId="0" borderId="0" xfId="2" applyNumberFormat="1" applyFont="1" applyBorder="1"/>
    <xf numFmtId="0" fontId="17" fillId="0" borderId="0" xfId="2" applyNumberFormat="1" applyFont="1" applyBorder="1" applyAlignment="1">
      <alignment horizontal="center"/>
    </xf>
    <xf numFmtId="0" fontId="17" fillId="0" borderId="0" xfId="2" applyFont="1" applyBorder="1" applyAlignment="1">
      <alignment horizontal="center"/>
    </xf>
    <xf numFmtId="10" fontId="0" fillId="0" borderId="0" xfId="0" applyNumberFormat="1" applyFill="1"/>
    <xf numFmtId="0" fontId="19" fillId="0" borderId="0" xfId="15"/>
    <xf numFmtId="0" fontId="19" fillId="0" borderId="10" xfId="15" applyBorder="1" applyAlignment="1">
      <alignment horizontal="center"/>
    </xf>
    <xf numFmtId="168" fontId="0" fillId="0" borderId="0" xfId="0" applyNumberFormat="1"/>
    <xf numFmtId="168" fontId="0" fillId="0" borderId="0" xfId="14" applyNumberFormat="1" applyFont="1"/>
    <xf numFmtId="168" fontId="5" fillId="0" borderId="0" xfId="14" applyNumberFormat="1" applyFont="1"/>
    <xf numFmtId="3" fontId="7" fillId="0" borderId="0" xfId="0" applyNumberFormat="1" applyFont="1" applyFill="1" applyAlignment="1">
      <alignment horizontal="center"/>
    </xf>
    <xf numFmtId="3" fontId="7" fillId="0" borderId="0" xfId="0" applyNumberFormat="1" applyFont="1" applyFill="1"/>
    <xf numFmtId="5" fontId="7" fillId="0" borderId="0" xfId="0" applyNumberFormat="1" applyFont="1" applyFill="1" applyBorder="1"/>
    <xf numFmtId="0" fontId="20" fillId="0" borderId="0" xfId="0" applyFont="1"/>
    <xf numFmtId="0" fontId="5" fillId="0" borderId="0" xfId="0" applyFont="1" applyAlignment="1">
      <alignment horizontal="right"/>
    </xf>
    <xf numFmtId="168" fontId="5" fillId="0" borderId="0" xfId="14" applyNumberFormat="1" applyFont="1" applyBorder="1"/>
    <xf numFmtId="168" fontId="0" fillId="0" borderId="3" xfId="14" applyNumberFormat="1" applyFont="1" applyBorder="1"/>
    <xf numFmtId="168" fontId="0" fillId="0" borderId="3" xfId="0" applyNumberFormat="1" applyBorder="1"/>
    <xf numFmtId="42" fontId="7" fillId="0" borderId="0" xfId="0" applyNumberFormat="1" applyFont="1" applyFill="1" applyBorder="1"/>
    <xf numFmtId="0" fontId="0" fillId="0" borderId="0" xfId="0" applyBorder="1"/>
    <xf numFmtId="0" fontId="0" fillId="0" borderId="0" xfId="0" applyBorder="1" applyAlignment="1">
      <alignment horizontal="centerContinuous"/>
    </xf>
    <xf numFmtId="0" fontId="5" fillId="0" borderId="0" xfId="0" applyFont="1" applyBorder="1" applyAlignment="1">
      <alignment horizontal="center"/>
    </xf>
    <xf numFmtId="0" fontId="14" fillId="0" borderId="0" xfId="0" applyFont="1" applyBorder="1" applyAlignment="1">
      <alignment horizontal="center"/>
    </xf>
    <xf numFmtId="3" fontId="0" fillId="0" borderId="0" xfId="0" applyNumberFormat="1" applyBorder="1"/>
    <xf numFmtId="3" fontId="0" fillId="0" borderId="3" xfId="0" applyNumberFormat="1" applyBorder="1"/>
    <xf numFmtId="3" fontId="0" fillId="0" borderId="4" xfId="0" applyNumberFormat="1" applyBorder="1"/>
    <xf numFmtId="0" fontId="14" fillId="0" borderId="0" xfId="0" applyFont="1" applyBorder="1" applyAlignment="1">
      <alignment horizontal="centerContinuous"/>
    </xf>
    <xf numFmtId="0" fontId="0" fillId="0" borderId="0" xfId="0" applyBorder="1" applyAlignment="1">
      <alignment horizontal="center"/>
    </xf>
    <xf numFmtId="0" fontId="14" fillId="0" borderId="0" xfId="0" quotePrefix="1" applyFont="1" applyBorder="1" applyAlignment="1">
      <alignment horizontal="centerContinuous"/>
    </xf>
    <xf numFmtId="41" fontId="0" fillId="0" borderId="0" xfId="0" applyNumberFormat="1"/>
    <xf numFmtId="10" fontId="7" fillId="0" borderId="0" xfId="13" applyNumberFormat="1" applyFont="1" applyFill="1" applyBorder="1"/>
    <xf numFmtId="169" fontId="11" fillId="0" borderId="0" xfId="2" applyNumberFormat="1" applyFont="1"/>
    <xf numFmtId="10" fontId="11" fillId="0" borderId="0" xfId="16" applyNumberFormat="1" applyFont="1"/>
    <xf numFmtId="10" fontId="12" fillId="0" borderId="0" xfId="16" applyNumberFormat="1" applyFont="1"/>
    <xf numFmtId="10" fontId="7" fillId="0" borderId="0" xfId="16" applyNumberFormat="1" applyFont="1" applyFill="1" applyBorder="1"/>
    <xf numFmtId="0" fontId="14" fillId="0" borderId="0" xfId="0" quotePrefix="1" applyFont="1" applyAlignment="1">
      <alignment horizontal="center"/>
    </xf>
    <xf numFmtId="17" fontId="14" fillId="0" borderId="0" xfId="0" quotePrefix="1" applyNumberFormat="1" applyFont="1" applyAlignment="1">
      <alignment horizontal="center"/>
    </xf>
    <xf numFmtId="3" fontId="0" fillId="0" borderId="0" xfId="0" applyNumberFormat="1" applyFill="1"/>
    <xf numFmtId="165" fontId="0" fillId="0" borderId="0" xfId="0" applyNumberFormat="1" applyFill="1"/>
    <xf numFmtId="165" fontId="0" fillId="0" borderId="10" xfId="0" applyNumberFormat="1" applyFill="1" applyBorder="1"/>
    <xf numFmtId="10" fontId="0" fillId="0" borderId="10" xfId="0" applyNumberFormat="1" applyFill="1" applyBorder="1"/>
    <xf numFmtId="10" fontId="0" fillId="0" borderId="0" xfId="0" applyNumberFormat="1" applyFill="1" applyBorder="1"/>
    <xf numFmtId="10" fontId="0" fillId="0" borderId="17" xfId="0" applyNumberFormat="1" applyFill="1" applyBorder="1"/>
    <xf numFmtId="0" fontId="0" fillId="0" borderId="0" xfId="0" applyFill="1"/>
    <xf numFmtId="0" fontId="0" fillId="0" borderId="10" xfId="0" applyFill="1" applyBorder="1"/>
    <xf numFmtId="0" fontId="0" fillId="0" borderId="0" xfId="0" applyFill="1" applyAlignment="1">
      <alignment horizontal="center"/>
    </xf>
    <xf numFmtId="0" fontId="14" fillId="0" borderId="0" xfId="0" applyFont="1" applyFill="1" applyAlignment="1">
      <alignment horizontal="center"/>
    </xf>
    <xf numFmtId="166" fontId="0" fillId="0" borderId="0" xfId="0" applyNumberFormat="1" applyFill="1"/>
    <xf numFmtId="3" fontId="0" fillId="0" borderId="10" xfId="0" applyNumberFormat="1" applyFill="1" applyBorder="1"/>
    <xf numFmtId="165" fontId="0" fillId="0" borderId="0" xfId="0" applyNumberFormat="1" applyFill="1" applyBorder="1"/>
    <xf numFmtId="165" fontId="0" fillId="0" borderId="17" xfId="0" applyNumberFormat="1" applyFill="1" applyBorder="1"/>
    <xf numFmtId="10" fontId="24" fillId="0" borderId="0" xfId="2" applyNumberFormat="1" applyFont="1"/>
    <xf numFmtId="10" fontId="0" fillId="0" borderId="0" xfId="0" applyNumberFormat="1" applyBorder="1"/>
    <xf numFmtId="10" fontId="11" fillId="0" borderId="0" xfId="2" applyNumberFormat="1" applyFont="1" applyBorder="1"/>
    <xf numFmtId="3" fontId="11" fillId="0" borderId="3" xfId="2" applyNumberFormat="1" applyFont="1" applyBorder="1" applyAlignment="1">
      <alignment horizontal="center"/>
    </xf>
    <xf numFmtId="0" fontId="11" fillId="0" borderId="3" xfId="2" applyFont="1" applyBorder="1" applyAlignment="1">
      <alignment horizontal="center"/>
    </xf>
    <xf numFmtId="41" fontId="11" fillId="0" borderId="3" xfId="2" applyNumberFormat="1" applyFont="1" applyBorder="1"/>
    <xf numFmtId="42" fontId="11" fillId="0" borderId="13" xfId="2" applyNumberFormat="1" applyFont="1" applyBorder="1"/>
    <xf numFmtId="42" fontId="11" fillId="0" borderId="3" xfId="2" applyNumberFormat="1" applyFont="1" applyBorder="1"/>
    <xf numFmtId="42" fontId="11" fillId="0" borderId="16" xfId="2" applyNumberFormat="1" applyFont="1" applyBorder="1"/>
    <xf numFmtId="10" fontId="11" fillId="0" borderId="0" xfId="2" applyNumberFormat="1" applyFont="1" applyFill="1"/>
    <xf numFmtId="42" fontId="11" fillId="0" borderId="0" xfId="2" applyNumberFormat="1" applyFont="1" applyFill="1"/>
    <xf numFmtId="41" fontId="11" fillId="0" borderId="0" xfId="2" applyNumberFormat="1" applyFont="1" applyFill="1"/>
    <xf numFmtId="42" fontId="11" fillId="0" borderId="12" xfId="2" applyNumberFormat="1" applyFont="1" applyFill="1" applyBorder="1"/>
    <xf numFmtId="164" fontId="0" fillId="0" borderId="0" xfId="0" applyNumberFormat="1" applyFill="1"/>
    <xf numFmtId="42" fontId="11" fillId="0" borderId="0" xfId="2" applyNumberFormat="1" applyFont="1" applyBorder="1"/>
    <xf numFmtId="41" fontId="11" fillId="0" borderId="10" xfId="2" applyNumberFormat="1" applyFont="1" applyFill="1" applyBorder="1"/>
    <xf numFmtId="42" fontId="11" fillId="0" borderId="0" xfId="2" applyNumberFormat="1" applyFont="1" applyFill="1" applyBorder="1"/>
    <xf numFmtId="0" fontId="5" fillId="0" borderId="0" xfId="0" applyFont="1" applyFill="1" applyAlignment="1">
      <alignment horizontal="center"/>
    </xf>
    <xf numFmtId="3" fontId="0" fillId="0" borderId="4" xfId="0" applyNumberFormat="1" applyFill="1" applyBorder="1"/>
    <xf numFmtId="3" fontId="0" fillId="0" borderId="7" xfId="0" applyNumberFormat="1" applyFill="1" applyBorder="1"/>
    <xf numFmtId="3" fontId="0" fillId="0" borderId="11" xfId="0" applyNumberFormat="1" applyFill="1" applyBorder="1"/>
    <xf numFmtId="3" fontId="0" fillId="0" borderId="3" xfId="0" applyNumberFormat="1" applyFill="1" applyBorder="1"/>
    <xf numFmtId="0" fontId="12" fillId="0" borderId="0" xfId="2" applyNumberFormat="1" applyFont="1" applyFill="1" applyAlignment="1">
      <alignment horizontal="center"/>
    </xf>
    <xf numFmtId="0" fontId="0" fillId="0" borderId="0" xfId="0" applyFill="1" applyBorder="1"/>
    <xf numFmtId="0" fontId="4" fillId="0" borderId="0" xfId="17"/>
    <xf numFmtId="0" fontId="16" fillId="0" borderId="0" xfId="0" applyFont="1" applyAlignment="1">
      <alignment horizontal="centerContinuous"/>
    </xf>
    <xf numFmtId="0" fontId="25" fillId="0" borderId="0" xfId="0" applyFont="1" applyAlignment="1">
      <alignment horizontal="centerContinuous"/>
    </xf>
    <xf numFmtId="0" fontId="16" fillId="0" borderId="21" xfId="17" applyFont="1" applyFill="1" applyBorder="1" applyAlignment="1">
      <alignment horizontal="left"/>
    </xf>
    <xf numFmtId="0" fontId="16" fillId="0" borderId="22" xfId="17" applyFont="1" applyFill="1" applyBorder="1" applyAlignment="1">
      <alignment horizontal="center"/>
    </xf>
    <xf numFmtId="0" fontId="16" fillId="0" borderId="23" xfId="17" applyFont="1" applyFill="1" applyBorder="1" applyAlignment="1">
      <alignment horizontal="center"/>
    </xf>
    <xf numFmtId="0" fontId="26" fillId="0" borderId="0" xfId="0" applyFont="1"/>
    <xf numFmtId="0" fontId="27" fillId="0" borderId="0" xfId="0" applyFont="1"/>
    <xf numFmtId="37" fontId="26" fillId="0" borderId="24" xfId="1" applyNumberFormat="1" applyFont="1" applyFill="1" applyBorder="1"/>
    <xf numFmtId="37" fontId="26" fillId="0" borderId="0" xfId="1" applyNumberFormat="1" applyFont="1" applyFill="1" applyBorder="1"/>
    <xf numFmtId="0" fontId="16" fillId="0" borderId="0" xfId="17" applyFont="1" applyFill="1" applyBorder="1" applyAlignment="1">
      <alignment horizontal="center"/>
    </xf>
    <xf numFmtId="37" fontId="28" fillId="0" borderId="0" xfId="1" applyNumberFormat="1" applyFont="1" applyFill="1" applyBorder="1"/>
    <xf numFmtId="37" fontId="26" fillId="0" borderId="25" xfId="1" applyNumberFormat="1" applyFont="1" applyFill="1" applyBorder="1"/>
    <xf numFmtId="0" fontId="16" fillId="0" borderId="0" xfId="0" applyFont="1" applyAlignment="1">
      <alignment horizontal="center"/>
    </xf>
    <xf numFmtId="0" fontId="25" fillId="0" borderId="0" xfId="0" applyFont="1" applyBorder="1" applyAlignment="1">
      <alignment horizontal="center"/>
    </xf>
    <xf numFmtId="0" fontId="26" fillId="0" borderId="0" xfId="17" applyFont="1" applyFill="1" applyBorder="1"/>
    <xf numFmtId="0" fontId="16" fillId="0" borderId="10" xfId="0" applyFont="1" applyBorder="1" applyAlignment="1">
      <alignment horizontal="center"/>
    </xf>
    <xf numFmtId="0" fontId="16" fillId="0" borderId="0" xfId="0" applyFont="1" applyBorder="1" applyAlignment="1">
      <alignment horizontal="center"/>
    </xf>
    <xf numFmtId="0" fontId="25" fillId="0" borderId="10" xfId="0" applyFont="1" applyBorder="1" applyAlignment="1">
      <alignment horizontal="center"/>
    </xf>
    <xf numFmtId="0" fontId="16" fillId="0" borderId="10" xfId="17" applyFont="1" applyFill="1" applyBorder="1" applyAlignment="1">
      <alignment horizontal="center"/>
    </xf>
    <xf numFmtId="0" fontId="26" fillId="0" borderId="25" xfId="17" applyFont="1" applyFill="1" applyBorder="1"/>
    <xf numFmtId="0" fontId="26" fillId="0" borderId="0" xfId="0" applyFont="1" applyAlignment="1">
      <alignment horizontal="center"/>
    </xf>
    <xf numFmtId="0" fontId="16" fillId="0" borderId="0" xfId="0" applyFont="1"/>
    <xf numFmtId="171" fontId="27" fillId="0" borderId="0" xfId="0" applyNumberFormat="1" applyFont="1"/>
    <xf numFmtId="5" fontId="26" fillId="0" borderId="0" xfId="17" applyNumberFormat="1" applyFont="1" applyFill="1" applyBorder="1"/>
    <xf numFmtId="10" fontId="26" fillId="0" borderId="0" xfId="18" applyNumberFormat="1" applyFont="1" applyFill="1" applyBorder="1"/>
    <xf numFmtId="10" fontId="28" fillId="0" borderId="0" xfId="18" applyNumberFormat="1" applyFont="1" applyFill="1" applyBorder="1"/>
    <xf numFmtId="37" fontId="16" fillId="0" borderId="25" xfId="1" applyNumberFormat="1" applyFont="1" applyFill="1" applyBorder="1" applyAlignment="1">
      <alignment horizontal="center"/>
    </xf>
    <xf numFmtId="168" fontId="26" fillId="0" borderId="0" xfId="19" applyNumberFormat="1" applyFont="1" applyFill="1" applyBorder="1"/>
    <xf numFmtId="10" fontId="16" fillId="0" borderId="25" xfId="18" applyNumberFormat="1" applyFont="1" applyFill="1" applyBorder="1" applyAlignment="1">
      <alignment horizontal="center"/>
    </xf>
    <xf numFmtId="171" fontId="16" fillId="0" borderId="0" xfId="0" applyNumberFormat="1" applyFont="1"/>
    <xf numFmtId="171" fontId="26" fillId="0" borderId="0" xfId="0" applyNumberFormat="1" applyFont="1"/>
    <xf numFmtId="172" fontId="26" fillId="0" borderId="0" xfId="18" applyNumberFormat="1" applyFont="1" applyFill="1" applyBorder="1"/>
    <xf numFmtId="172" fontId="28" fillId="0" borderId="0" xfId="18" applyNumberFormat="1" applyFont="1" applyFill="1" applyBorder="1"/>
    <xf numFmtId="10" fontId="26" fillId="0" borderId="16" xfId="18" applyNumberFormat="1" applyFont="1" applyFill="1" applyBorder="1"/>
    <xf numFmtId="37" fontId="26" fillId="0" borderId="26" xfId="1" applyNumberFormat="1" applyFont="1" applyFill="1" applyBorder="1"/>
    <xf numFmtId="0" fontId="26" fillId="0" borderId="27" xfId="17" applyFont="1" applyFill="1" applyBorder="1"/>
    <xf numFmtId="168" fontId="26" fillId="0" borderId="27" xfId="19" applyNumberFormat="1" applyFont="1" applyFill="1" applyBorder="1"/>
    <xf numFmtId="10" fontId="26" fillId="0" borderId="27" xfId="18" applyNumberFormat="1" applyFont="1" applyFill="1" applyBorder="1"/>
    <xf numFmtId="10" fontId="28" fillId="0" borderId="27" xfId="18" applyNumberFormat="1" applyFont="1" applyFill="1" applyBorder="1"/>
    <xf numFmtId="37" fontId="26" fillId="0" borderId="28" xfId="1" applyNumberFormat="1" applyFont="1" applyFill="1" applyBorder="1"/>
    <xf numFmtId="171" fontId="27" fillId="0" borderId="13" xfId="0" applyNumberFormat="1" applyFont="1" applyBorder="1"/>
    <xf numFmtId="171" fontId="27" fillId="0" borderId="0" xfId="0" applyNumberFormat="1" applyFont="1" applyBorder="1"/>
    <xf numFmtId="10" fontId="30" fillId="0" borderId="0" xfId="0" applyNumberFormat="1" applyFont="1"/>
    <xf numFmtId="171" fontId="27" fillId="0" borderId="10" xfId="0" applyNumberFormat="1" applyFont="1" applyBorder="1"/>
    <xf numFmtId="173" fontId="27" fillId="0" borderId="12" xfId="0" applyNumberFormat="1" applyFont="1" applyBorder="1"/>
    <xf numFmtId="0" fontId="11" fillId="0" borderId="10" xfId="2" applyNumberFormat="1" applyFont="1" applyBorder="1" applyAlignment="1">
      <alignment horizontal="left"/>
    </xf>
    <xf numFmtId="3" fontId="32" fillId="0" borderId="0" xfId="0" applyNumberFormat="1" applyFont="1" applyFill="1" applyBorder="1" applyAlignment="1"/>
    <xf numFmtId="42" fontId="12" fillId="0" borderId="0" xfId="2" applyNumberFormat="1" applyFont="1" applyBorder="1"/>
    <xf numFmtId="3" fontId="7" fillId="0" borderId="0" xfId="0" applyNumberFormat="1" applyFont="1" applyFill="1" applyAlignment="1">
      <alignment vertical="top"/>
    </xf>
    <xf numFmtId="10" fontId="32" fillId="0" borderId="0" xfId="13" applyNumberFormat="1" applyFont="1" applyFill="1" applyBorder="1" applyAlignment="1">
      <alignment horizontal="center"/>
    </xf>
    <xf numFmtId="0" fontId="11" fillId="0" borderId="0" xfId="2" applyFont="1" applyFill="1" applyAlignment="1">
      <alignment horizontal="right"/>
    </xf>
    <xf numFmtId="3" fontId="11" fillId="0" borderId="3" xfId="2" applyNumberFormat="1" applyFont="1" applyFill="1" applyBorder="1"/>
    <xf numFmtId="3" fontId="11" fillId="0" borderId="10" xfId="2" applyNumberFormat="1" applyFont="1" applyFill="1" applyBorder="1"/>
    <xf numFmtId="10" fontId="12" fillId="0" borderId="19" xfId="2" applyNumberFormat="1" applyFont="1" applyBorder="1"/>
    <xf numFmtId="10" fontId="20" fillId="0" borderId="19" xfId="0" applyNumberFormat="1" applyFont="1" applyBorder="1"/>
    <xf numFmtId="10" fontId="20" fillId="0" borderId="20" xfId="0" applyNumberFormat="1" applyFont="1" applyBorder="1"/>
    <xf numFmtId="41" fontId="26" fillId="0" borderId="0" xfId="0" applyNumberFormat="1" applyFont="1"/>
    <xf numFmtId="174" fontId="26" fillId="0" borderId="0" xfId="14" applyNumberFormat="1" applyFont="1"/>
    <xf numFmtId="5" fontId="26" fillId="0" borderId="0" xfId="0" applyNumberFormat="1" applyFont="1"/>
    <xf numFmtId="10" fontId="26" fillId="0" borderId="0" xfId="13" applyNumberFormat="1" applyFont="1" applyBorder="1"/>
    <xf numFmtId="172" fontId="26" fillId="0" borderId="0" xfId="13" applyNumberFormat="1" applyFont="1" applyBorder="1"/>
    <xf numFmtId="10" fontId="26" fillId="0" borderId="10" xfId="13" applyNumberFormat="1" applyFont="1" applyBorder="1"/>
    <xf numFmtId="5" fontId="26" fillId="0" borderId="0" xfId="0" applyNumberFormat="1" applyFont="1" applyFill="1"/>
    <xf numFmtId="5" fontId="26" fillId="0" borderId="10" xfId="0" applyNumberFormat="1" applyFont="1" applyBorder="1"/>
    <xf numFmtId="174" fontId="26" fillId="0" borderId="0" xfId="0" applyNumberFormat="1" applyFont="1" applyBorder="1"/>
    <xf numFmtId="173" fontId="26" fillId="0" borderId="0" xfId="0" applyNumberFormat="1" applyFont="1"/>
    <xf numFmtId="0" fontId="26" fillId="0" borderId="0" xfId="0" applyFont="1" applyBorder="1"/>
    <xf numFmtId="5" fontId="16" fillId="0" borderId="0" xfId="0" applyNumberFormat="1" applyFont="1" applyBorder="1"/>
    <xf numFmtId="5" fontId="26" fillId="0" borderId="0" xfId="0" applyNumberFormat="1" applyFont="1" applyBorder="1"/>
    <xf numFmtId="6" fontId="16" fillId="0" borderId="0" xfId="0" applyNumberFormat="1" applyFont="1"/>
    <xf numFmtId="5" fontId="16" fillId="0" borderId="0" xfId="0" applyNumberFormat="1" applyFont="1"/>
    <xf numFmtId="37" fontId="26" fillId="0" borderId="0" xfId="1" applyNumberFormat="1" applyFont="1"/>
    <xf numFmtId="0" fontId="26" fillId="0" borderId="0" xfId="0" applyFont="1" applyFill="1" applyBorder="1"/>
    <xf numFmtId="10" fontId="16" fillId="0" borderId="0" xfId="13" applyNumberFormat="1" applyFont="1" applyBorder="1"/>
    <xf numFmtId="10" fontId="16" fillId="0" borderId="16" xfId="13" applyNumberFormat="1" applyFont="1" applyBorder="1"/>
    <xf numFmtId="0" fontId="26" fillId="0" borderId="0" xfId="1" applyFont="1"/>
    <xf numFmtId="0" fontId="26" fillId="0" borderId="0" xfId="1" applyFont="1" applyBorder="1"/>
    <xf numFmtId="0" fontId="5" fillId="0" borderId="0" xfId="0" applyFont="1" applyAlignment="1">
      <alignment horizontal="left" vertical="top"/>
    </xf>
    <xf numFmtId="42" fontId="26" fillId="0" borderId="10" xfId="0" applyNumberFormat="1" applyFont="1" applyBorder="1"/>
    <xf numFmtId="5" fontId="16" fillId="0" borderId="29" xfId="0" applyNumberFormat="1" applyFont="1" applyBorder="1"/>
    <xf numFmtId="42" fontId="26" fillId="0" borderId="0" xfId="0" applyNumberFormat="1" applyFont="1" applyBorder="1"/>
    <xf numFmtId="10" fontId="0" fillId="0" borderId="19" xfId="0" applyNumberFormat="1" applyBorder="1"/>
    <xf numFmtId="0" fontId="16" fillId="0" borderId="0" xfId="0" applyFont="1" applyAlignment="1">
      <alignment horizontal="center"/>
    </xf>
    <xf numFmtId="0" fontId="0" fillId="0" borderId="0" xfId="0" quotePrefix="1" applyAlignment="1">
      <alignment vertical="top"/>
    </xf>
    <xf numFmtId="0" fontId="11" fillId="0" borderId="10" xfId="2" applyFont="1" applyBorder="1" applyAlignment="1">
      <alignment horizontal="center"/>
    </xf>
    <xf numFmtId="3" fontId="31" fillId="0" borderId="0" xfId="12" applyNumberFormat="1" applyFont="1" applyFill="1" applyBorder="1" applyAlignment="1"/>
    <xf numFmtId="0" fontId="38" fillId="0" borderId="0" xfId="2" applyNumberFormat="1" applyFont="1" applyAlignment="1">
      <alignment horizontal="left"/>
    </xf>
    <xf numFmtId="3" fontId="8" fillId="0" borderId="0" xfId="12" applyNumberFormat="1" applyFont="1" applyFill="1" applyAlignment="1">
      <alignment vertical="top" wrapText="1"/>
    </xf>
    <xf numFmtId="3" fontId="26" fillId="0" borderId="0" xfId="12" applyNumberFormat="1" applyFont="1" applyFill="1" applyBorder="1" applyAlignment="1">
      <alignment horizontal="center" wrapText="1"/>
    </xf>
    <xf numFmtId="0" fontId="41" fillId="0" borderId="0" xfId="0" applyFont="1"/>
    <xf numFmtId="0" fontId="16" fillId="0" borderId="0" xfId="0" applyFont="1" applyAlignment="1">
      <alignment horizontal="center"/>
    </xf>
    <xf numFmtId="0" fontId="42" fillId="0" borderId="0" xfId="2" applyNumberFormat="1" applyFont="1" applyAlignment="1">
      <alignment horizontal="left"/>
    </xf>
    <xf numFmtId="0" fontId="11" fillId="0" borderId="0" xfId="2" applyNumberFormat="1" applyFont="1" applyFill="1" applyAlignment="1">
      <alignment horizontal="center" wrapText="1"/>
    </xf>
    <xf numFmtId="0" fontId="15" fillId="0" borderId="10" xfId="0" applyFont="1" applyBorder="1" applyAlignment="1">
      <alignment horizontal="center"/>
    </xf>
    <xf numFmtId="3" fontId="11" fillId="0" borderId="10" xfId="2" applyNumberFormat="1" applyFont="1" applyBorder="1"/>
    <xf numFmtId="3" fontId="11" fillId="0" borderId="3" xfId="2" applyNumberFormat="1" applyFont="1" applyBorder="1"/>
    <xf numFmtId="3" fontId="11" fillId="0" borderId="0" xfId="2" applyNumberFormat="1" applyFont="1"/>
    <xf numFmtId="0" fontId="11" fillId="0" borderId="0" xfId="2" applyFont="1" applyAlignment="1">
      <alignment horizontal="left"/>
    </xf>
    <xf numFmtId="3" fontId="7" fillId="0" borderId="0" xfId="0" applyNumberFormat="1" applyFont="1" applyFill="1" applyAlignment="1"/>
    <xf numFmtId="1" fontId="15" fillId="0" borderId="0" xfId="150" applyNumberFormat="1" applyFont="1" applyFill="1" applyBorder="1" applyAlignment="1">
      <alignment horizontal="center"/>
    </xf>
    <xf numFmtId="0" fontId="12" fillId="0" borderId="0" xfId="20" applyFont="1" applyFill="1"/>
    <xf numFmtId="0" fontId="12" fillId="0" borderId="0" xfId="2" applyFont="1" applyBorder="1" applyAlignment="1">
      <alignment horizontal="center" vertical="center"/>
    </xf>
    <xf numFmtId="0" fontId="11" fillId="0" borderId="0" xfId="2" applyFont="1" applyBorder="1" applyAlignment="1">
      <alignment horizontal="center" vertical="center"/>
    </xf>
    <xf numFmtId="0" fontId="11" fillId="0" borderId="10" xfId="2" applyFont="1" applyBorder="1" applyAlignment="1">
      <alignment horizontal="center" vertical="center"/>
    </xf>
    <xf numFmtId="0" fontId="12" fillId="0" borderId="0" xfId="2" applyFont="1" applyAlignment="1">
      <alignment horizontal="left"/>
    </xf>
    <xf numFmtId="10" fontId="5" fillId="0" borderId="0" xfId="0" applyNumberFormat="1" applyFont="1"/>
    <xf numFmtId="0" fontId="43" fillId="0" borderId="0" xfId="0" applyFont="1" applyBorder="1" applyAlignment="1">
      <alignment horizontal="left"/>
    </xf>
    <xf numFmtId="0" fontId="43" fillId="0" borderId="0" xfId="0" applyFont="1" applyBorder="1"/>
    <xf numFmtId="0" fontId="43" fillId="0" borderId="0" xfId="0" applyFont="1" applyBorder="1" applyAlignment="1">
      <alignment horizontal="center"/>
    </xf>
    <xf numFmtId="0" fontId="44" fillId="0" borderId="0" xfId="0" applyFont="1" applyBorder="1" applyAlignment="1">
      <alignment horizontal="left"/>
    </xf>
    <xf numFmtId="0" fontId="43" fillId="0" borderId="10" xfId="0" applyFont="1" applyBorder="1" applyAlignment="1">
      <alignment horizontal="center"/>
    </xf>
    <xf numFmtId="0" fontId="45" fillId="0" borderId="10" xfId="0" applyFont="1" applyBorder="1"/>
    <xf numFmtId="0" fontId="43" fillId="0" borderId="10" xfId="0" applyFont="1" applyBorder="1"/>
    <xf numFmtId="175" fontId="43" fillId="0" borderId="0" xfId="0" applyNumberFormat="1" applyFont="1" applyBorder="1"/>
    <xf numFmtId="175" fontId="43" fillId="0" borderId="3" xfId="0" applyNumberFormat="1" applyFont="1" applyBorder="1"/>
    <xf numFmtId="175" fontId="43" fillId="0" borderId="10" xfId="0" applyNumberFormat="1" applyFont="1" applyBorder="1"/>
    <xf numFmtId="175" fontId="43" fillId="0" borderId="0" xfId="0" applyNumberFormat="1" applyFont="1" applyBorder="1" applyAlignment="1">
      <alignment horizontal="center"/>
    </xf>
    <xf numFmtId="3" fontId="43" fillId="0" borderId="0" xfId="0" applyNumberFormat="1" applyFont="1" applyBorder="1"/>
    <xf numFmtId="176" fontId="44" fillId="0" borderId="0" xfId="0" applyNumberFormat="1" applyFont="1" applyBorder="1"/>
    <xf numFmtId="3" fontId="43" fillId="6" borderId="0" xfId="0" applyNumberFormat="1" applyFont="1" applyFill="1" applyBorder="1"/>
    <xf numFmtId="177" fontId="43" fillId="0" borderId="0" xfId="0" applyNumberFormat="1" applyFont="1" applyBorder="1" applyAlignment="1">
      <alignment horizontal="center"/>
    </xf>
    <xf numFmtId="0" fontId="46" fillId="0" borderId="0" xfId="0" applyFont="1" applyBorder="1" applyAlignment="1">
      <alignment horizontal="left"/>
    </xf>
    <xf numFmtId="178" fontId="44" fillId="0" borderId="0" xfId="0" applyNumberFormat="1" applyFont="1" applyBorder="1"/>
    <xf numFmtId="178" fontId="47" fillId="0" borderId="0" xfId="0" applyNumberFormat="1" applyFont="1" applyBorder="1"/>
    <xf numFmtId="0" fontId="48" fillId="0" borderId="0" xfId="0" applyFont="1" applyBorder="1"/>
    <xf numFmtId="179" fontId="44" fillId="0" borderId="0" xfId="0" applyNumberFormat="1" applyFont="1" applyBorder="1"/>
    <xf numFmtId="179" fontId="47" fillId="0" borderId="0" xfId="0" applyNumberFormat="1" applyFont="1" applyBorder="1"/>
    <xf numFmtId="179" fontId="47" fillId="0" borderId="0" xfId="0" applyNumberFormat="1" applyFont="1" applyFill="1" applyBorder="1"/>
    <xf numFmtId="180" fontId="43" fillId="0" borderId="0" xfId="0" applyNumberFormat="1" applyFont="1" applyBorder="1"/>
    <xf numFmtId="0" fontId="49" fillId="0" borderId="0" xfId="0" applyFont="1" applyBorder="1"/>
    <xf numFmtId="0" fontId="43" fillId="0" borderId="0" xfId="0" applyFont="1" applyFill="1" applyBorder="1"/>
    <xf numFmtId="5" fontId="43" fillId="0" borderId="0" xfId="0" applyNumberFormat="1" applyFont="1" applyBorder="1"/>
    <xf numFmtId="0" fontId="43" fillId="0" borderId="0" xfId="0" applyFont="1" applyBorder="1" applyAlignment="1">
      <alignment horizontal="left" indent="1"/>
    </xf>
    <xf numFmtId="6" fontId="43" fillId="0" borderId="0" xfId="8" applyNumberFormat="1" applyFont="1" applyBorder="1"/>
    <xf numFmtId="181" fontId="43" fillId="0" borderId="0" xfId="0" applyNumberFormat="1" applyFont="1" applyBorder="1"/>
    <xf numFmtId="175" fontId="43" fillId="0" borderId="0" xfId="8" applyNumberFormat="1" applyFont="1" applyBorder="1"/>
    <xf numFmtId="175" fontId="43" fillId="0" borderId="0" xfId="0" applyNumberFormat="1" applyFont="1" applyFill="1" applyBorder="1"/>
    <xf numFmtId="0" fontId="43" fillId="0" borderId="3" xfId="0" applyFont="1" applyBorder="1"/>
    <xf numFmtId="5" fontId="43" fillId="0" borderId="3" xfId="0" applyNumberFormat="1" applyFont="1" applyBorder="1"/>
    <xf numFmtId="37" fontId="43" fillId="0" borderId="10" xfId="8" applyNumberFormat="1" applyFont="1" applyBorder="1"/>
    <xf numFmtId="37" fontId="43" fillId="0" borderId="10" xfId="0" applyNumberFormat="1" applyFont="1" applyBorder="1"/>
    <xf numFmtId="37" fontId="43" fillId="0" borderId="0" xfId="8" applyNumberFormat="1" applyFont="1" applyBorder="1"/>
    <xf numFmtId="37" fontId="43" fillId="0" borderId="0" xfId="0" applyNumberFormat="1" applyFont="1" applyBorder="1"/>
    <xf numFmtId="6" fontId="43" fillId="0" borderId="3" xfId="8" applyNumberFormat="1" applyFont="1" applyBorder="1"/>
    <xf numFmtId="0" fontId="44" fillId="0" borderId="0" xfId="0" applyFont="1" applyBorder="1"/>
    <xf numFmtId="0" fontId="43" fillId="0" borderId="13" xfId="0" applyFont="1" applyBorder="1"/>
    <xf numFmtId="5" fontId="43" fillId="0" borderId="0" xfId="0" applyNumberFormat="1" applyFont="1" applyFill="1" applyBorder="1"/>
    <xf numFmtId="0" fontId="43" fillId="0" borderId="0" xfId="0" applyFont="1" applyFill="1" applyBorder="1" applyAlignment="1">
      <alignment horizontal="left"/>
    </xf>
    <xf numFmtId="3" fontId="43" fillId="0" borderId="0" xfId="0" applyNumberFormat="1" applyFont="1" applyBorder="1" applyAlignment="1">
      <alignment horizontal="left" indent="1"/>
    </xf>
    <xf numFmtId="168" fontId="48" fillId="0" borderId="0" xfId="96" applyNumberFormat="1" applyFont="1" applyFill="1" applyBorder="1"/>
    <xf numFmtId="180" fontId="43" fillId="0" borderId="0" xfId="0" applyNumberFormat="1" applyFont="1" applyBorder="1" applyAlignment="1">
      <alignment horizontal="left" indent="1"/>
    </xf>
    <xf numFmtId="5" fontId="43" fillId="0" borderId="0" xfId="0" applyNumberFormat="1" applyFont="1" applyBorder="1" applyAlignment="1">
      <alignment horizontal="left" indent="1"/>
    </xf>
    <xf numFmtId="5" fontId="43" fillId="0" borderId="0" xfId="8" applyNumberFormat="1" applyFont="1" applyBorder="1"/>
    <xf numFmtId="37" fontId="48" fillId="0" borderId="0" xfId="8" applyNumberFormat="1" applyFont="1" applyBorder="1"/>
    <xf numFmtId="37" fontId="48" fillId="0" borderId="0" xfId="0" applyNumberFormat="1" applyFont="1" applyBorder="1"/>
    <xf numFmtId="180" fontId="43" fillId="0" borderId="0" xfId="0" applyNumberFormat="1" applyFont="1" applyFill="1" applyBorder="1"/>
    <xf numFmtId="37" fontId="48" fillId="0" borderId="0" xfId="0" applyNumberFormat="1" applyFont="1" applyFill="1" applyBorder="1"/>
    <xf numFmtId="5" fontId="43" fillId="0" borderId="10" xfId="8" applyNumberFormat="1" applyFont="1" applyBorder="1"/>
    <xf numFmtId="5" fontId="43" fillId="0" borderId="10" xfId="0" applyNumberFormat="1" applyFont="1" applyBorder="1"/>
    <xf numFmtId="180" fontId="43" fillId="0" borderId="10" xfId="0" applyNumberFormat="1" applyFont="1" applyBorder="1"/>
    <xf numFmtId="182" fontId="43" fillId="0" borderId="10" xfId="0" applyNumberFormat="1" applyFont="1" applyBorder="1"/>
    <xf numFmtId="0" fontId="49" fillId="0" borderId="0" xfId="0" applyFont="1" applyBorder="1" applyAlignment="1">
      <alignment horizontal="left"/>
    </xf>
    <xf numFmtId="5" fontId="49" fillId="0" borderId="0" xfId="0" applyNumberFormat="1" applyFont="1" applyBorder="1"/>
    <xf numFmtId="10" fontId="49" fillId="0" borderId="0" xfId="0" applyNumberFormat="1" applyFont="1" applyBorder="1"/>
    <xf numFmtId="10" fontId="43" fillId="0" borderId="0" xfId="0" applyNumberFormat="1" applyFont="1" applyBorder="1"/>
    <xf numFmtId="39" fontId="43" fillId="0" borderId="0" xfId="0" applyNumberFormat="1" applyFont="1" applyBorder="1"/>
    <xf numFmtId="0" fontId="50" fillId="0" borderId="0" xfId="0" applyFont="1" applyBorder="1"/>
    <xf numFmtId="37" fontId="44" fillId="0" borderId="0" xfId="0" applyNumberFormat="1" applyFont="1" applyBorder="1"/>
    <xf numFmtId="0" fontId="43" fillId="7" borderId="0" xfId="0" applyFont="1" applyFill="1" applyBorder="1"/>
    <xf numFmtId="7" fontId="43" fillId="0" borderId="0" xfId="0" applyNumberFormat="1" applyFont="1" applyBorder="1"/>
    <xf numFmtId="0" fontId="54" fillId="0" borderId="0" xfId="0" applyFont="1" applyBorder="1" applyAlignment="1">
      <alignment wrapText="1"/>
    </xf>
    <xf numFmtId="41" fontId="12" fillId="0" borderId="0" xfId="2" applyNumberFormat="1" applyFont="1" applyFill="1"/>
    <xf numFmtId="42" fontId="12" fillId="0" borderId="0" xfId="2" applyNumberFormat="1" applyFont="1" applyFill="1"/>
    <xf numFmtId="41" fontId="12" fillId="0" borderId="10" xfId="2" applyNumberFormat="1" applyFont="1" applyFill="1" applyBorder="1"/>
    <xf numFmtId="41" fontId="12" fillId="0" borderId="0" xfId="2" applyNumberFormat="1" applyFont="1" applyFill="1" applyBorder="1"/>
    <xf numFmtId="168" fontId="0" fillId="0" borderId="0" xfId="14" applyNumberFormat="1" applyFont="1" applyFill="1"/>
    <xf numFmtId="3" fontId="12" fillId="0" borderId="0" xfId="2" applyNumberFormat="1" applyFont="1" applyFill="1" applyBorder="1"/>
    <xf numFmtId="0" fontId="16" fillId="0" borderId="0" xfId="0" applyFont="1" applyFill="1" applyAlignment="1">
      <alignment horizontal="center"/>
    </xf>
    <xf numFmtId="0" fontId="16" fillId="0" borderId="10" xfId="0" applyFont="1" applyFill="1" applyBorder="1" applyAlignment="1">
      <alignment horizontal="center"/>
    </xf>
    <xf numFmtId="0" fontId="26" fillId="0" borderId="10" xfId="0" applyFont="1" applyBorder="1"/>
    <xf numFmtId="37" fontId="26" fillId="0" borderId="0" xfId="2" applyNumberFormat="1" applyFont="1"/>
    <xf numFmtId="3" fontId="12" fillId="0" borderId="0" xfId="20" applyNumberFormat="1" applyFont="1" applyBorder="1"/>
    <xf numFmtId="10" fontId="20" fillId="0" borderId="18" xfId="0" applyNumberFormat="1" applyFont="1" applyBorder="1"/>
    <xf numFmtId="0" fontId="0" fillId="0" borderId="30" xfId="0" applyBorder="1"/>
    <xf numFmtId="0" fontId="0" fillId="0" borderId="31" xfId="0" applyBorder="1"/>
    <xf numFmtId="0" fontId="0" fillId="0" borderId="32" xfId="0" applyBorder="1"/>
    <xf numFmtId="0" fontId="0" fillId="0" borderId="24" xfId="0" applyBorder="1"/>
    <xf numFmtId="0" fontId="0" fillId="0" borderId="25" xfId="0" applyBorder="1"/>
    <xf numFmtId="0" fontId="55" fillId="8" borderId="24" xfId="0" applyFont="1" applyFill="1" applyBorder="1"/>
    <xf numFmtId="0" fontId="55" fillId="8" borderId="25" xfId="0" applyFont="1" applyFill="1" applyBorder="1"/>
    <xf numFmtId="0" fontId="0" fillId="0" borderId="26" xfId="0" applyBorder="1"/>
    <xf numFmtId="0" fontId="0" fillId="0" borderId="27" xfId="0" applyBorder="1"/>
    <xf numFmtId="0" fontId="0" fillId="0" borderId="28" xfId="0" applyBorder="1"/>
    <xf numFmtId="10" fontId="11" fillId="0" borderId="19" xfId="2" applyNumberFormat="1" applyFont="1" applyBorder="1"/>
    <xf numFmtId="10" fontId="20" fillId="10" borderId="0" xfId="0" applyNumberFormat="1" applyFont="1" applyFill="1" applyBorder="1"/>
    <xf numFmtId="10" fontId="12" fillId="0" borderId="0" xfId="2" applyNumberFormat="1" applyFont="1" applyBorder="1"/>
    <xf numFmtId="10" fontId="20" fillId="0" borderId="0" xfId="0" applyNumberFormat="1" applyFont="1" applyBorder="1"/>
    <xf numFmtId="10" fontId="20" fillId="10" borderId="0" xfId="0" applyNumberFormat="1" applyFont="1" applyFill="1"/>
    <xf numFmtId="10" fontId="20" fillId="9" borderId="18" xfId="0" applyNumberFormat="1" applyFont="1" applyFill="1" applyBorder="1"/>
    <xf numFmtId="10" fontId="20" fillId="9" borderId="19" xfId="0" applyNumberFormat="1" applyFont="1" applyFill="1" applyBorder="1"/>
    <xf numFmtId="10" fontId="20" fillId="9" borderId="20" xfId="0" applyNumberFormat="1" applyFont="1" applyFill="1" applyBorder="1"/>
    <xf numFmtId="10" fontId="20" fillId="9" borderId="0" xfId="0" applyNumberFormat="1" applyFont="1" applyFill="1"/>
    <xf numFmtId="0" fontId="0" fillId="0" borderId="33" xfId="0" applyBorder="1"/>
    <xf numFmtId="0" fontId="5" fillId="0" borderId="33" xfId="0" applyFont="1" applyBorder="1"/>
    <xf numFmtId="0" fontId="5" fillId="0" borderId="34" xfId="0" applyFont="1" applyBorder="1"/>
    <xf numFmtId="0" fontId="55" fillId="8" borderId="0" xfId="0" applyFont="1" applyFill="1"/>
    <xf numFmtId="170" fontId="0" fillId="0" borderId="0" xfId="0" applyNumberFormat="1"/>
    <xf numFmtId="10" fontId="19" fillId="0" borderId="0" xfId="2" applyNumberFormat="1" applyFont="1"/>
    <xf numFmtId="0" fontId="19" fillId="0" borderId="0" xfId="2" applyFont="1"/>
    <xf numFmtId="10" fontId="19" fillId="0" borderId="0" xfId="2" applyNumberFormat="1" applyFont="1" applyFill="1"/>
    <xf numFmtId="0" fontId="19" fillId="0" borderId="0" xfId="2" applyFont="1" applyFill="1"/>
    <xf numFmtId="0" fontId="5" fillId="0" borderId="24" xfId="0" applyFont="1" applyBorder="1"/>
    <xf numFmtId="0" fontId="5" fillId="0" borderId="25" xfId="0" applyFont="1" applyBorder="1"/>
    <xf numFmtId="0" fontId="15" fillId="0" borderId="10" xfId="0" applyFont="1" applyBorder="1"/>
    <xf numFmtId="0" fontId="15" fillId="0" borderId="11" xfId="0" applyFont="1" applyBorder="1"/>
    <xf numFmtId="0" fontId="56" fillId="0" borderId="0" xfId="0" applyFont="1"/>
    <xf numFmtId="3" fontId="7" fillId="0" borderId="0" xfId="0" applyNumberFormat="1" applyFont="1"/>
    <xf numFmtId="0" fontId="7" fillId="0" borderId="10" xfId="0" applyFont="1" applyBorder="1"/>
    <xf numFmtId="0" fontId="7" fillId="0" borderId="7" xfId="0" applyFont="1" applyBorder="1"/>
    <xf numFmtId="0" fontId="7" fillId="0" borderId="11" xfId="0" applyFont="1" applyBorder="1"/>
    <xf numFmtId="170" fontId="7" fillId="0" borderId="0" xfId="0" applyNumberFormat="1" applyFont="1"/>
    <xf numFmtId="3" fontId="7" fillId="0" borderId="10" xfId="0" applyNumberFormat="1" applyFont="1" applyBorder="1"/>
    <xf numFmtId="3" fontId="7" fillId="0" borderId="0" xfId="0" applyNumberFormat="1" applyFont="1" applyBorder="1"/>
    <xf numFmtId="10" fontId="28" fillId="9" borderId="35" xfId="18" applyNumberFormat="1" applyFont="1" applyFill="1" applyBorder="1"/>
    <xf numFmtId="3" fontId="7" fillId="0" borderId="0" xfId="0" applyNumberFormat="1" applyFont="1" applyFill="1" applyBorder="1"/>
    <xf numFmtId="0" fontId="7" fillId="0" borderId="8" xfId="0" applyFont="1" applyBorder="1"/>
    <xf numFmtId="0" fontId="15" fillId="0" borderId="8" xfId="0" applyFont="1" applyBorder="1"/>
    <xf numFmtId="0" fontId="7" fillId="0" borderId="5" xfId="0" applyFont="1" applyBorder="1"/>
    <xf numFmtId="10" fontId="15" fillId="11" borderId="35" xfId="0" applyNumberFormat="1" applyFont="1" applyFill="1" applyBorder="1"/>
    <xf numFmtId="10" fontId="15" fillId="12" borderId="35" xfId="0" applyNumberFormat="1" applyFont="1" applyFill="1" applyBorder="1"/>
    <xf numFmtId="10" fontId="24" fillId="11" borderId="35" xfId="16" applyNumberFormat="1" applyFont="1" applyFill="1" applyBorder="1"/>
    <xf numFmtId="10" fontId="15" fillId="14" borderId="35" xfId="0" applyNumberFormat="1" applyFont="1" applyFill="1" applyBorder="1"/>
    <xf numFmtId="10" fontId="20" fillId="14" borderId="0" xfId="0" applyNumberFormat="1" applyFont="1" applyFill="1"/>
    <xf numFmtId="10" fontId="24" fillId="14" borderId="35" xfId="2" applyNumberFormat="1" applyFont="1" applyFill="1" applyBorder="1"/>
    <xf numFmtId="10" fontId="11" fillId="14" borderId="0" xfId="2" applyNumberFormat="1" applyFont="1" applyFill="1"/>
    <xf numFmtId="10" fontId="20" fillId="12" borderId="0" xfId="0" applyNumberFormat="1" applyFont="1" applyFill="1"/>
    <xf numFmtId="10" fontId="24" fillId="12" borderId="35" xfId="2" applyNumberFormat="1" applyFont="1" applyFill="1" applyBorder="1"/>
    <xf numFmtId="10" fontId="11" fillId="12" borderId="0" xfId="2" applyNumberFormat="1" applyFont="1" applyFill="1"/>
    <xf numFmtId="10" fontId="15" fillId="13" borderId="35" xfId="0" applyNumberFormat="1" applyFont="1" applyFill="1" applyBorder="1"/>
    <xf numFmtId="10" fontId="20" fillId="13" borderId="0" xfId="0" applyNumberFormat="1" applyFont="1" applyFill="1"/>
    <xf numFmtId="10" fontId="24" fillId="13" borderId="35" xfId="2" applyNumberFormat="1" applyFont="1" applyFill="1" applyBorder="1"/>
    <xf numFmtId="10" fontId="11" fillId="13" borderId="0" xfId="2" applyNumberFormat="1" applyFont="1" applyFill="1"/>
    <xf numFmtId="10" fontId="20" fillId="15" borderId="0" xfId="0" applyNumberFormat="1" applyFont="1" applyFill="1"/>
    <xf numFmtId="10" fontId="24" fillId="15" borderId="35" xfId="2" applyNumberFormat="1" applyFont="1" applyFill="1" applyBorder="1"/>
    <xf numFmtId="10" fontId="11" fillId="15" borderId="0" xfId="2" applyNumberFormat="1" applyFont="1" applyFill="1"/>
    <xf numFmtId="42" fontId="11" fillId="0" borderId="31" xfId="2" applyNumberFormat="1" applyFont="1" applyFill="1" applyBorder="1"/>
    <xf numFmtId="41" fontId="11" fillId="0" borderId="27" xfId="2" applyNumberFormat="1" applyFont="1" applyFill="1" applyBorder="1"/>
    <xf numFmtId="41" fontId="11" fillId="0" borderId="28" xfId="2" applyNumberFormat="1" applyFont="1" applyFill="1" applyBorder="1"/>
    <xf numFmtId="42" fontId="11" fillId="8" borderId="12" xfId="2" applyNumberFormat="1" applyFont="1" applyFill="1" applyBorder="1"/>
    <xf numFmtId="42" fontId="11" fillId="8" borderId="16" xfId="2" applyNumberFormat="1" applyFont="1" applyFill="1" applyBorder="1"/>
    <xf numFmtId="5" fontId="26" fillId="0" borderId="14" xfId="0" applyNumberFormat="1" applyFont="1" applyBorder="1"/>
    <xf numFmtId="5" fontId="16" fillId="0" borderId="14" xfId="0" applyNumberFormat="1" applyFont="1" applyBorder="1"/>
    <xf numFmtId="5" fontId="16" fillId="8" borderId="35" xfId="0" applyNumberFormat="1" applyFont="1" applyFill="1" applyBorder="1"/>
    <xf numFmtId="42" fontId="16" fillId="8" borderId="35" xfId="0" applyNumberFormat="1" applyFont="1" applyFill="1" applyBorder="1"/>
    <xf numFmtId="42" fontId="16" fillId="0" borderId="0" xfId="0" applyNumberFormat="1" applyFont="1" applyFill="1" applyBorder="1"/>
    <xf numFmtId="42" fontId="12" fillId="8" borderId="35" xfId="2" applyNumberFormat="1" applyFont="1" applyFill="1" applyBorder="1"/>
    <xf numFmtId="0" fontId="11" fillId="0" borderId="30" xfId="2" applyFont="1" applyBorder="1"/>
    <xf numFmtId="0" fontId="11" fillId="0" borderId="31" xfId="2" applyFont="1" applyBorder="1"/>
    <xf numFmtId="3" fontId="12" fillId="0" borderId="31" xfId="2" applyNumberFormat="1" applyFont="1" applyBorder="1"/>
    <xf numFmtId="0" fontId="11" fillId="0" borderId="32" xfId="2" applyFont="1" applyBorder="1"/>
    <xf numFmtId="0" fontId="11" fillId="0" borderId="24" xfId="2" applyFont="1" applyBorder="1"/>
    <xf numFmtId="10" fontId="11" fillId="0" borderId="25" xfId="2" applyNumberFormat="1" applyFont="1" applyBorder="1"/>
    <xf numFmtId="42" fontId="11" fillId="0" borderId="25" xfId="2" applyNumberFormat="1" applyFont="1" applyBorder="1"/>
    <xf numFmtId="41" fontId="11" fillId="0" borderId="34" xfId="2" applyNumberFormat="1" applyFont="1" applyFill="1" applyBorder="1"/>
    <xf numFmtId="42" fontId="11" fillId="0" borderId="25" xfId="2" applyNumberFormat="1" applyFont="1" applyFill="1" applyBorder="1"/>
    <xf numFmtId="0" fontId="11" fillId="0" borderId="34" xfId="2" applyFont="1" applyBorder="1"/>
    <xf numFmtId="167" fontId="11" fillId="0" borderId="25" xfId="2" applyNumberFormat="1" applyFont="1" applyBorder="1"/>
    <xf numFmtId="42" fontId="12" fillId="0" borderId="25" xfId="2" applyNumberFormat="1" applyFont="1" applyFill="1" applyBorder="1"/>
    <xf numFmtId="0" fontId="11" fillId="0" borderId="26" xfId="2" applyFont="1" applyBorder="1"/>
    <xf numFmtId="0" fontId="11" fillId="0" borderId="27" xfId="2" applyFont="1" applyBorder="1"/>
    <xf numFmtId="3" fontId="12" fillId="0" borderId="27" xfId="2" applyNumberFormat="1" applyFont="1" applyBorder="1"/>
    <xf numFmtId="10" fontId="12" fillId="0" borderId="0" xfId="16" applyNumberFormat="1" applyFont="1" applyBorder="1"/>
    <xf numFmtId="0" fontId="7" fillId="0" borderId="0" xfId="0" applyFont="1" applyBorder="1"/>
    <xf numFmtId="170" fontId="7" fillId="0" borderId="10" xfId="0" applyNumberFormat="1" applyFont="1" applyBorder="1"/>
    <xf numFmtId="0" fontId="7" fillId="0" borderId="1" xfId="0" applyFont="1" applyBorder="1"/>
    <xf numFmtId="0" fontId="7" fillId="0" borderId="8" xfId="0" applyFont="1" applyFill="1" applyBorder="1"/>
    <xf numFmtId="10" fontId="15" fillId="15" borderId="36" xfId="0" applyNumberFormat="1" applyFont="1" applyFill="1" applyBorder="1"/>
    <xf numFmtId="10" fontId="7" fillId="0" borderId="8" xfId="0" applyNumberFormat="1" applyFont="1" applyBorder="1"/>
    <xf numFmtId="41" fontId="11" fillId="0" borderId="30" xfId="2" applyNumberFormat="1" applyFont="1" applyFill="1" applyBorder="1"/>
    <xf numFmtId="42" fontId="11" fillId="0" borderId="32" xfId="2" applyNumberFormat="1" applyFont="1" applyFill="1" applyBorder="1"/>
    <xf numFmtId="41" fontId="11" fillId="0" borderId="26" xfId="2" applyNumberFormat="1" applyFont="1" applyFill="1" applyBorder="1"/>
    <xf numFmtId="10" fontId="26" fillId="0" borderId="0" xfId="0" applyNumberFormat="1" applyFont="1" applyBorder="1"/>
    <xf numFmtId="10" fontId="16" fillId="0" borderId="0" xfId="0" applyNumberFormat="1" applyFont="1" applyBorder="1"/>
    <xf numFmtId="10" fontId="26" fillId="15" borderId="29" xfId="0" applyNumberFormat="1" applyFont="1" applyFill="1" applyBorder="1"/>
    <xf numFmtId="0" fontId="26" fillId="0" borderId="0" xfId="0" applyFont="1" applyAlignment="1">
      <alignment horizontal="left" vertical="top" wrapText="1"/>
    </xf>
    <xf numFmtId="0" fontId="40" fillId="0" borderId="0" xfId="0" applyFont="1" applyAlignment="1">
      <alignment horizontal="center"/>
    </xf>
    <xf numFmtId="0" fontId="16" fillId="0" borderId="0" xfId="17" applyFont="1" applyAlignment="1">
      <alignment horizontal="center"/>
    </xf>
    <xf numFmtId="3" fontId="11" fillId="0" borderId="10" xfId="2" applyNumberFormat="1" applyFont="1" applyBorder="1" applyAlignment="1">
      <alignment horizontal="center"/>
    </xf>
    <xf numFmtId="0" fontId="11" fillId="0" borderId="10" xfId="2" applyFont="1" applyBorder="1" applyAlignment="1">
      <alignment horizontal="center"/>
    </xf>
    <xf numFmtId="0" fontId="11" fillId="0" borderId="3" xfId="2" applyFont="1" applyBorder="1" applyAlignment="1">
      <alignment horizontal="center" vertical="center" wrapText="1"/>
    </xf>
    <xf numFmtId="0" fontId="11" fillId="0" borderId="0" xfId="2" applyFont="1" applyBorder="1" applyAlignment="1">
      <alignment horizontal="center" vertical="center" wrapText="1"/>
    </xf>
    <xf numFmtId="0" fontId="11" fillId="0" borderId="10" xfId="2" applyFont="1" applyBorder="1" applyAlignment="1">
      <alignment horizontal="center" vertical="center" wrapText="1"/>
    </xf>
    <xf numFmtId="3" fontId="31" fillId="0" borderId="0" xfId="12" applyNumberFormat="1" applyFont="1" applyFill="1" applyBorder="1" applyAlignment="1">
      <alignment horizontal="center"/>
    </xf>
    <xf numFmtId="3" fontId="39" fillId="0" borderId="27" xfId="12" applyNumberFormat="1" applyFont="1" applyFill="1" applyBorder="1" applyAlignment="1">
      <alignment horizontal="center"/>
    </xf>
    <xf numFmtId="170" fontId="11" fillId="0" borderId="3" xfId="2" applyNumberFormat="1" applyFont="1" applyBorder="1" applyAlignment="1">
      <alignment horizontal="center" wrapText="1"/>
    </xf>
    <xf numFmtId="170" fontId="11" fillId="0" borderId="0" xfId="2" quotePrefix="1" applyNumberFormat="1" applyFont="1" applyBorder="1" applyAlignment="1">
      <alignment horizontal="center" wrapText="1"/>
    </xf>
    <xf numFmtId="170" fontId="11" fillId="0" borderId="10" xfId="2" quotePrefix="1" applyNumberFormat="1" applyFont="1" applyBorder="1" applyAlignment="1">
      <alignment horizontal="center" wrapText="1"/>
    </xf>
    <xf numFmtId="0" fontId="11" fillId="0" borderId="3" xfId="2" applyFont="1" applyBorder="1" applyAlignment="1">
      <alignment horizontal="center" wrapText="1"/>
    </xf>
    <xf numFmtId="0" fontId="11" fillId="0" borderId="0" xfId="2" quotePrefix="1" applyFont="1" applyBorder="1" applyAlignment="1">
      <alignment horizontal="center" wrapText="1"/>
    </xf>
    <xf numFmtId="0" fontId="11" fillId="0" borderId="10" xfId="2" quotePrefix="1" applyFont="1" applyBorder="1" applyAlignment="1">
      <alignment horizontal="center" wrapText="1"/>
    </xf>
    <xf numFmtId="0" fontId="11" fillId="0" borderId="3" xfId="2" applyFont="1" applyFill="1" applyBorder="1" applyAlignment="1">
      <alignment horizontal="center" wrapText="1"/>
    </xf>
    <xf numFmtId="0" fontId="11" fillId="0" borderId="0" xfId="2" applyFont="1" applyFill="1" applyBorder="1" applyAlignment="1">
      <alignment horizontal="center" wrapText="1"/>
    </xf>
    <xf numFmtId="0" fontId="11" fillId="0" borderId="10" xfId="2" applyFont="1" applyFill="1" applyBorder="1" applyAlignment="1">
      <alignment horizontal="center" wrapText="1"/>
    </xf>
    <xf numFmtId="0" fontId="11" fillId="0" borderId="0" xfId="2" applyFont="1" applyBorder="1" applyAlignment="1">
      <alignment horizontal="center" wrapText="1"/>
    </xf>
    <xf numFmtId="0" fontId="11" fillId="0" borderId="10" xfId="2" applyFont="1" applyBorder="1" applyAlignment="1">
      <alignment horizontal="center" wrapText="1"/>
    </xf>
    <xf numFmtId="3" fontId="26" fillId="0" borderId="0" xfId="12" applyNumberFormat="1" applyFont="1" applyFill="1" applyAlignment="1">
      <alignment horizontal="left" vertical="top" wrapText="1"/>
    </xf>
    <xf numFmtId="170" fontId="11" fillId="0" borderId="3" xfId="2" quotePrefix="1" applyNumberFormat="1" applyFont="1" applyBorder="1" applyAlignment="1">
      <alignment horizontal="center" vertical="center" wrapText="1"/>
    </xf>
    <xf numFmtId="170" fontId="11" fillId="0" borderId="0" xfId="2" quotePrefix="1" applyNumberFormat="1" applyFont="1" applyBorder="1" applyAlignment="1">
      <alignment horizontal="center" vertical="center" wrapText="1"/>
    </xf>
    <xf numFmtId="170" fontId="11" fillId="0" borderId="10" xfId="2" quotePrefix="1" applyNumberFormat="1" applyFont="1" applyBorder="1" applyAlignment="1">
      <alignment horizontal="center" vertical="center" wrapText="1"/>
    </xf>
    <xf numFmtId="170" fontId="11" fillId="0" borderId="3" xfId="2" quotePrefix="1" applyNumberFormat="1" applyFont="1" applyBorder="1" applyAlignment="1">
      <alignment horizontal="center" wrapText="1"/>
    </xf>
    <xf numFmtId="10" fontId="32" fillId="0" borderId="0" xfId="13" applyNumberFormat="1" applyFont="1" applyFill="1" applyBorder="1" applyAlignment="1">
      <alignment horizontal="center"/>
    </xf>
    <xf numFmtId="3" fontId="39" fillId="0" borderId="0" xfId="0" applyNumberFormat="1" applyFont="1" applyFill="1" applyBorder="1" applyAlignment="1">
      <alignment horizontal="center"/>
    </xf>
    <xf numFmtId="3" fontId="31" fillId="0" borderId="0" xfId="0" applyNumberFormat="1" applyFont="1" applyFill="1" applyBorder="1" applyAlignment="1">
      <alignment horizontal="center"/>
    </xf>
    <xf numFmtId="3" fontId="32" fillId="0" borderId="0" xfId="0" applyNumberFormat="1" applyFont="1" applyFill="1" applyBorder="1" applyAlignment="1">
      <alignment horizontal="center"/>
    </xf>
    <xf numFmtId="0" fontId="16" fillId="0" borderId="0" xfId="0" applyFont="1" applyAlignment="1">
      <alignment horizontal="center"/>
    </xf>
    <xf numFmtId="0" fontId="14" fillId="0" borderId="6" xfId="0" quotePrefix="1" applyFont="1" applyBorder="1" applyAlignment="1">
      <alignment horizontal="center"/>
    </xf>
    <xf numFmtId="0" fontId="14" fillId="0" borderId="0" xfId="0" quotePrefix="1" applyFont="1" applyBorder="1" applyAlignment="1">
      <alignment horizontal="center"/>
    </xf>
    <xf numFmtId="0" fontId="14" fillId="0" borderId="7" xfId="0" quotePrefix="1" applyFont="1" applyBorder="1" applyAlignment="1">
      <alignment horizontal="center"/>
    </xf>
    <xf numFmtId="0" fontId="54" fillId="0" borderId="0" xfId="0" applyFont="1" applyBorder="1" applyAlignment="1">
      <alignment horizontal="center" wrapText="1"/>
    </xf>
  </cellXfs>
  <cellStyles count="214">
    <cellStyle name="Comma" xfId="14" builtinId="3"/>
    <cellStyle name="Comma [0] 2" xfId="22"/>
    <cellStyle name="Comma 10" xfId="96"/>
    <cellStyle name="Comma 11" xfId="124"/>
    <cellStyle name="Comma 12" xfId="90"/>
    <cellStyle name="Comma 13" xfId="95"/>
    <cellStyle name="Comma 14" xfId="85"/>
    <cellStyle name="Comma 15" xfId="125"/>
    <cellStyle name="Comma 16" xfId="150"/>
    <cellStyle name="Comma 2" xfId="23"/>
    <cellStyle name="Comma 2 2" xfId="24"/>
    <cellStyle name="Comma 3" xfId="25"/>
    <cellStyle name="Comma 3 2" xfId="60"/>
    <cellStyle name="Comma 4" xfId="26"/>
    <cellStyle name="Comma 4 2" xfId="27"/>
    <cellStyle name="Comma 4 2 2" xfId="106"/>
    <cellStyle name="Comma 4 3" xfId="105"/>
    <cellStyle name="Comma 5" xfId="28"/>
    <cellStyle name="Comma 5 2" xfId="107"/>
    <cellStyle name="Comma 6" xfId="19"/>
    <cellStyle name="Comma 6 2" xfId="104"/>
    <cellStyle name="Comma 7" xfId="58"/>
    <cellStyle name="Comma 7 2" xfId="121"/>
    <cellStyle name="Comma 7 2 2" xfId="147"/>
    <cellStyle name="Comma 7 2 2 2" xfId="211"/>
    <cellStyle name="Comma 7 2 3" xfId="173"/>
    <cellStyle name="Comma 7 3" xfId="93"/>
    <cellStyle name="Comma 7 3 2" xfId="198"/>
    <cellStyle name="Comma 7 4" xfId="136"/>
    <cellStyle name="Comma 7 4 2" xfId="186"/>
    <cellStyle name="Comma 7 5" xfId="160"/>
    <cellStyle name="Comma 8" xfId="21"/>
    <cellStyle name="Comma 9" xfId="81"/>
    <cellStyle name="Currency 2" xfId="8"/>
    <cellStyle name="Currency 2 2" xfId="29"/>
    <cellStyle name="Currency 2 3" xfId="61"/>
    <cellStyle name="Currency 3" xfId="30"/>
    <cellStyle name="Currency 3 2" xfId="62"/>
    <cellStyle name="Currency 3 3" xfId="108"/>
    <cellStyle name="Currency 4" xfId="63"/>
    <cellStyle name="Currency 5" xfId="64"/>
    <cellStyle name="Followed Hyperlink" xfId="4" builtinId="9" customBuiltin="1"/>
    <cellStyle name="Followed Hyperlink 2" xfId="5"/>
    <cellStyle name="Followed Hyperlink 2 2" xfId="31"/>
    <cellStyle name="Followed Hyperlink 2 3" xfId="99"/>
    <cellStyle name="Followed Hyperlink 3" xfId="98"/>
    <cellStyle name="Hyperlink" xfId="3" builtinId="8" customBuiltin="1"/>
    <cellStyle name="Hyperlink 2" xfId="6"/>
    <cellStyle name="Hyperlink 2 2" xfId="32"/>
    <cellStyle name="Hyperlink 2 3" xfId="100"/>
    <cellStyle name="Hyperlink 3" xfId="33"/>
    <cellStyle name="Manual-Input" xfId="9"/>
    <cellStyle name="Normal" xfId="0" builtinId="0"/>
    <cellStyle name="Normal 10" xfId="17"/>
    <cellStyle name="Normal 10 2" xfId="34"/>
    <cellStyle name="Normal 10 2 2" xfId="109"/>
    <cellStyle name="Normal 10 2 2 2" xfId="202"/>
    <cellStyle name="Normal 10 2 3" xfId="127"/>
    <cellStyle name="Normal 10 2 3 2" xfId="177"/>
    <cellStyle name="Normal 10 2 4" xfId="164"/>
    <cellStyle name="Normal 10 3" xfId="102"/>
    <cellStyle name="Normal 10 3 2" xfId="139"/>
    <cellStyle name="Normal 10 3 2 2" xfId="201"/>
    <cellStyle name="Normal 10 3 3" xfId="163"/>
    <cellStyle name="Normal 10 4" xfId="82"/>
    <cellStyle name="Normal 10 4 2" xfId="189"/>
    <cellStyle name="Normal 10 5" xfId="126"/>
    <cellStyle name="Normal 10 5 2" xfId="176"/>
    <cellStyle name="Normal 10 6" xfId="151"/>
    <cellStyle name="Normal 11" xfId="35"/>
    <cellStyle name="Normal 11 2" xfId="110"/>
    <cellStyle name="Normal 11 2 2" xfId="140"/>
    <cellStyle name="Normal 11 2 2 2" xfId="203"/>
    <cellStyle name="Normal 11 2 3" xfId="165"/>
    <cellStyle name="Normal 11 3" xfId="83"/>
    <cellStyle name="Normal 11 3 2" xfId="190"/>
    <cellStyle name="Normal 11 4" xfId="128"/>
    <cellStyle name="Normal 11 4 2" xfId="178"/>
    <cellStyle name="Normal 11 5" xfId="152"/>
    <cellStyle name="Normal 12" xfId="56"/>
    <cellStyle name="Normal 12 2" xfId="119"/>
    <cellStyle name="Normal 12 2 2" xfId="145"/>
    <cellStyle name="Normal 12 2 2 2" xfId="209"/>
    <cellStyle name="Normal 12 2 3" xfId="171"/>
    <cellStyle name="Normal 12 3" xfId="91"/>
    <cellStyle name="Normal 12 3 2" xfId="196"/>
    <cellStyle name="Normal 12 4" xfId="134"/>
    <cellStyle name="Normal 12 4 2" xfId="184"/>
    <cellStyle name="Normal 12 5" xfId="158"/>
    <cellStyle name="Normal 2" xfId="10"/>
    <cellStyle name="Normal 2 2" xfId="11"/>
    <cellStyle name="Normal 2 2 2" xfId="80"/>
    <cellStyle name="Normal 2 2 3" xfId="37"/>
    <cellStyle name="Normal 2 2 3 2" xfId="111"/>
    <cellStyle name="Normal 2 2 3 2 2" xfId="204"/>
    <cellStyle name="Normal 2 2 3 3" xfId="129"/>
    <cellStyle name="Normal 2 2 3 3 2" xfId="179"/>
    <cellStyle name="Normal 2 2 3 4" xfId="166"/>
    <cellStyle name="Normal 2 2 4" xfId="84"/>
    <cellStyle name="Normal 2 2 4 2" xfId="191"/>
    <cellStyle name="Normal 2 2 5" xfId="153"/>
    <cellStyle name="Normal 2 3" xfId="12"/>
    <cellStyle name="Normal 2 4" xfId="59"/>
    <cellStyle name="Normal 2 4 2" xfId="122"/>
    <cellStyle name="Normal 2 4 2 2" xfId="148"/>
    <cellStyle name="Normal 2 4 2 2 2" xfId="212"/>
    <cellStyle name="Normal 2 4 2 3" xfId="174"/>
    <cellStyle name="Normal 2 4 3" xfId="94"/>
    <cellStyle name="Normal 2 4 3 2" xfId="199"/>
    <cellStyle name="Normal 2 4 4" xfId="137"/>
    <cellStyle name="Normal 2 4 4 2" xfId="187"/>
    <cellStyle name="Normal 2 4 5" xfId="161"/>
    <cellStyle name="Normal 2 5" xfId="77"/>
    <cellStyle name="Normal 2 5 2" xfId="123"/>
    <cellStyle name="Normal 2 5 2 2" xfId="149"/>
    <cellStyle name="Normal 2 5 2 2 2" xfId="213"/>
    <cellStyle name="Normal 2 5 2 3" xfId="175"/>
    <cellStyle name="Normal 2 5 3" xfId="97"/>
    <cellStyle name="Normal 2 5 3 2" xfId="200"/>
    <cellStyle name="Normal 2 5 4" xfId="138"/>
    <cellStyle name="Normal 2 5 4 2" xfId="188"/>
    <cellStyle name="Normal 2 5 5" xfId="162"/>
    <cellStyle name="Normal 2 6" xfId="36"/>
    <cellStyle name="Normal 2 7" xfId="101"/>
    <cellStyle name="Normal 2_Gas CBR Summary" xfId="38"/>
    <cellStyle name="Normal 3" xfId="39"/>
    <cellStyle name="Normal 3 2" xfId="40"/>
    <cellStyle name="Normal 3 3" xfId="78"/>
    <cellStyle name="Normal 3_Gas CBR Summary" xfId="41"/>
    <cellStyle name="Normal 4" xfId="42"/>
    <cellStyle name="Normal 5" xfId="43"/>
    <cellStyle name="Normal 5 2" xfId="44"/>
    <cellStyle name="Normal 5 2 2" xfId="45"/>
    <cellStyle name="Normal 5_GRCW" xfId="65"/>
    <cellStyle name="Normal 6" xfId="7"/>
    <cellStyle name="Normal 6 2" xfId="79"/>
    <cellStyle name="Normal 7" xfId="46"/>
    <cellStyle name="Normal 7 2" xfId="47"/>
    <cellStyle name="Normal 7 2 2" xfId="48"/>
    <cellStyle name="Normal 7 2 2 2" xfId="114"/>
    <cellStyle name="Normal 7 2 2 2 2" xfId="143"/>
    <cellStyle name="Normal 7 2 2 2 2 2" xfId="207"/>
    <cellStyle name="Normal 7 2 2 2 3" xfId="169"/>
    <cellStyle name="Normal 7 2 2 3" xfId="88"/>
    <cellStyle name="Normal 7 2 2 3 2" xfId="194"/>
    <cellStyle name="Normal 7 2 2 4" xfId="132"/>
    <cellStyle name="Normal 7 2 2 4 2" xfId="182"/>
    <cellStyle name="Normal 7 2 2 5" xfId="156"/>
    <cellStyle name="Normal 7 2 3" xfId="113"/>
    <cellStyle name="Normal 7 2 3 2" xfId="142"/>
    <cellStyle name="Normal 7 2 3 2 2" xfId="206"/>
    <cellStyle name="Normal 7 2 3 3" xfId="168"/>
    <cellStyle name="Normal 7 2 4" xfId="87"/>
    <cellStyle name="Normal 7 2 4 2" xfId="193"/>
    <cellStyle name="Normal 7 2 5" xfId="131"/>
    <cellStyle name="Normal 7 2 5 2" xfId="181"/>
    <cellStyle name="Normal 7 2 6" xfId="155"/>
    <cellStyle name="Normal 7 3" xfId="112"/>
    <cellStyle name="Normal 7 3 2" xfId="141"/>
    <cellStyle name="Normal 7 3 2 2" xfId="205"/>
    <cellStyle name="Normal 7 3 3" xfId="167"/>
    <cellStyle name="Normal 7 4" xfId="86"/>
    <cellStyle name="Normal 7 4 2" xfId="192"/>
    <cellStyle name="Normal 7 5" xfId="130"/>
    <cellStyle name="Normal 7 5 2" xfId="180"/>
    <cellStyle name="Normal 7 6" xfId="154"/>
    <cellStyle name="Normal 8" xfId="15"/>
    <cellStyle name="Normal 9" xfId="49"/>
    <cellStyle name="Normal 9 2" xfId="115"/>
    <cellStyle name="Normal 9 2 2" xfId="144"/>
    <cellStyle name="Normal 9 2 2 2" xfId="208"/>
    <cellStyle name="Normal 9 2 3" xfId="170"/>
    <cellStyle name="Normal 9 3" xfId="89"/>
    <cellStyle name="Normal 9 3 2" xfId="195"/>
    <cellStyle name="Normal 9 4" xfId="133"/>
    <cellStyle name="Normal 9 4 2" xfId="183"/>
    <cellStyle name="Normal 9 5" xfId="157"/>
    <cellStyle name="Normal_WAElec6_97" xfId="1"/>
    <cellStyle name="Normal_WAGas6_97" xfId="2"/>
    <cellStyle name="Normal_WAGas6_97 2" xfId="20"/>
    <cellStyle name="Percent" xfId="16" builtinId="5"/>
    <cellStyle name="Percent 2" xfId="13"/>
    <cellStyle name="Percent 2 2" xfId="50"/>
    <cellStyle name="Percent 3" xfId="51"/>
    <cellStyle name="Percent 3 2" xfId="66"/>
    <cellStyle name="Percent 3 3" xfId="67"/>
    <cellStyle name="Percent 3 4" xfId="116"/>
    <cellStyle name="Percent 4" xfId="52"/>
    <cellStyle name="Percent 5" xfId="53"/>
    <cellStyle name="Percent 5 2" xfId="117"/>
    <cellStyle name="Percent 6" xfId="54"/>
    <cellStyle name="Percent 6 2" xfId="118"/>
    <cellStyle name="Percent 7" xfId="18"/>
    <cellStyle name="Percent 7 2" xfId="103"/>
    <cellStyle name="Percent 8" xfId="55"/>
    <cellStyle name="Percent 9" xfId="57"/>
    <cellStyle name="Percent 9 2" xfId="120"/>
    <cellStyle name="Percent 9 2 2" xfId="146"/>
    <cellStyle name="Percent 9 2 2 2" xfId="210"/>
    <cellStyle name="Percent 9 2 3" xfId="172"/>
    <cellStyle name="Percent 9 3" xfId="92"/>
    <cellStyle name="Percent 9 3 2" xfId="197"/>
    <cellStyle name="Percent 9 4" xfId="135"/>
    <cellStyle name="Percent 9 4 2" xfId="185"/>
    <cellStyle name="Percent 9 5" xfId="159"/>
    <cellStyle name="PS_Comma" xfId="68"/>
    <cellStyle name="PSChar" xfId="69"/>
    <cellStyle name="PSDate" xfId="70"/>
    <cellStyle name="PSDec" xfId="71"/>
    <cellStyle name="PSHeading" xfId="72"/>
    <cellStyle name="PSInt" xfId="73"/>
    <cellStyle name="PSSpacer" xfId="74"/>
    <cellStyle name="WM_STANDARD" xfId="75"/>
    <cellStyle name="WMI_Standard" xfId="76"/>
  </cellStyles>
  <dxfs count="2">
    <dxf>
      <fill>
        <patternFill>
          <bgColor theme="8" tint="0.59996337778862885"/>
        </patternFill>
      </fill>
    </dxf>
    <dxf>
      <fill>
        <patternFill>
          <bgColor theme="8" tint="0.79998168889431442"/>
        </patternFill>
      </fill>
      <border>
        <left style="thin">
          <color theme="8" tint="0.59996337778862885"/>
        </left>
        <right style="thin">
          <color theme="8" tint="0.59996337778862885"/>
        </right>
        <top style="thin">
          <color theme="8" tint="0.59996337778862885"/>
        </top>
        <bottom style="thin">
          <color theme="8" tint="0.59996337778862885"/>
        </bottom>
      </border>
    </dxf>
  </dxfs>
  <tableStyles count="1" defaultTableStyle="TableStyleMedium9" defaultPivotStyle="PivotStyleLight16">
    <tableStyle name="Table Style 1" pivot="0" count="2">
      <tableStyleElement type="wholeTable" dxfId="1"/>
      <tableStyleElement type="headerRow"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Net Plant after DFIT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'trends - Net Plant after DFIT'!$A$5</c:f>
              <c:strCache>
                <c:ptCount val="1"/>
                <c:pt idx="0">
                  <c:v>Net Plant after DFIT (2001-2013)</c:v>
                </c:pt>
              </c:strCache>
            </c:strRef>
          </c:tx>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54627276486500453"/>
                  <c:y val="0.28059367171937383"/>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'trends - Net Plant after DFIT'!$B$4:$N$4</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xVal>
          <c:yVal>
            <c:numRef>
              <c:f>'trends - Net Plant after DFIT'!$B$5:$N$5</c:f>
              <c:numCache>
                <c:formatCode>#,##0</c:formatCode>
                <c:ptCount val="13"/>
                <c:pt idx="0">
                  <c:v>129500</c:v>
                </c:pt>
                <c:pt idx="1">
                  <c:v>129740</c:v>
                </c:pt>
                <c:pt idx="2">
                  <c:v>125044</c:v>
                </c:pt>
                <c:pt idx="3">
                  <c:v>124950</c:v>
                </c:pt>
                <c:pt idx="4">
                  <c:v>132617</c:v>
                </c:pt>
                <c:pt idx="5">
                  <c:v>140789</c:v>
                </c:pt>
                <c:pt idx="6">
                  <c:v>145500</c:v>
                </c:pt>
                <c:pt idx="7">
                  <c:v>154054</c:v>
                </c:pt>
                <c:pt idx="8">
                  <c:v>173806</c:v>
                </c:pt>
                <c:pt idx="9">
                  <c:v>177901</c:v>
                </c:pt>
                <c:pt idx="10">
                  <c:v>183553</c:v>
                </c:pt>
                <c:pt idx="11">
                  <c:v>195287</c:v>
                </c:pt>
                <c:pt idx="12">
                  <c:v>207759</c:v>
                </c:pt>
              </c:numCache>
            </c:numRef>
          </c:yVal>
          <c:smooth val="0"/>
        </c:ser>
        <c:ser>
          <c:idx val="1"/>
          <c:order val="1"/>
          <c:tx>
            <c:strRef>
              <c:f>'trends - Net Plant after DFIT'!$A$6</c:f>
              <c:strCache>
                <c:ptCount val="1"/>
                <c:pt idx="0">
                  <c:v>Net Plant after DFIT (2007-2013)</c:v>
                </c:pt>
              </c:strCache>
            </c:strRef>
          </c:tx>
          <c:spPr>
            <a:ln w="28575"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1"/>
            <c:dispEq val="1"/>
            <c:trendlineLbl>
              <c:layout>
                <c:manualLayout>
                  <c:x val="-0.32958800691489054"/>
                  <c:y val="0.46592799678541813"/>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'trends - Net Plant after DFIT'!$B$4:$N$4</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xVal>
          <c:yVal>
            <c:numRef>
              <c:f>'trends - Net Plant after DFIT'!$B$6:$N$6</c:f>
              <c:numCache>
                <c:formatCode>#,##0</c:formatCode>
                <c:ptCount val="13"/>
                <c:pt idx="6">
                  <c:v>145500</c:v>
                </c:pt>
                <c:pt idx="7">
                  <c:v>154054</c:v>
                </c:pt>
                <c:pt idx="8">
                  <c:v>173806</c:v>
                </c:pt>
                <c:pt idx="9">
                  <c:v>177901</c:v>
                </c:pt>
                <c:pt idx="10">
                  <c:v>183553</c:v>
                </c:pt>
                <c:pt idx="11">
                  <c:v>195287</c:v>
                </c:pt>
                <c:pt idx="12">
                  <c:v>207759</c:v>
                </c:pt>
              </c:numCache>
            </c:numRef>
          </c:yVal>
          <c:smooth val="0"/>
        </c:ser>
        <c:dLbls>
          <c:showLegendKey val="0"/>
          <c:showVal val="0"/>
          <c:showCatName val="0"/>
          <c:showSerName val="0"/>
          <c:showPercent val="0"/>
          <c:showBubbleSize val="0"/>
        </c:dLbls>
        <c:axId val="212159456"/>
        <c:axId val="212159848"/>
      </c:scatterChart>
      <c:valAx>
        <c:axId val="21215945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159848"/>
        <c:crosses val="autoZero"/>
        <c:crossBetween val="midCat"/>
      </c:valAx>
      <c:valAx>
        <c:axId val="212159848"/>
        <c:scaling>
          <c:orientation val="minMax"/>
          <c:min val="1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Net Plant after DFIT (x $1,000)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159456"/>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'trends - adj other rev'!$A$5</c:f>
              <c:strCache>
                <c:ptCount val="1"/>
                <c:pt idx="0">
                  <c:v>Adjusted other revenue (2001-2013)</c:v>
                </c:pt>
              </c:strCache>
            </c:strRef>
          </c:tx>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48974029865366719"/>
                  <c:y val="0.14232646814913608"/>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'trends - adj other rev'!$B$4:$N$4</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xVal>
          <c:yVal>
            <c:numRef>
              <c:f>'trends - adj other rev'!$B$5:$N$5</c:f>
              <c:numCache>
                <c:formatCode>#,##0</c:formatCode>
                <c:ptCount val="13"/>
                <c:pt idx="0">
                  <c:v>8</c:v>
                </c:pt>
                <c:pt idx="1">
                  <c:v>9</c:v>
                </c:pt>
                <c:pt idx="2">
                  <c:v>9</c:v>
                </c:pt>
                <c:pt idx="3">
                  <c:v>12</c:v>
                </c:pt>
                <c:pt idx="4">
                  <c:v>74</c:v>
                </c:pt>
                <c:pt idx="5">
                  <c:v>11</c:v>
                </c:pt>
                <c:pt idx="6">
                  <c:v>13</c:v>
                </c:pt>
                <c:pt idx="7">
                  <c:v>75</c:v>
                </c:pt>
                <c:pt idx="8">
                  <c:v>93</c:v>
                </c:pt>
                <c:pt idx="9">
                  <c:v>64</c:v>
                </c:pt>
                <c:pt idx="10">
                  <c:v>47</c:v>
                </c:pt>
                <c:pt idx="11">
                  <c:v>285</c:v>
                </c:pt>
                <c:pt idx="12">
                  <c:v>403</c:v>
                </c:pt>
              </c:numCache>
            </c:numRef>
          </c:yVal>
          <c:smooth val="0"/>
        </c:ser>
        <c:ser>
          <c:idx val="1"/>
          <c:order val="1"/>
          <c:tx>
            <c:strRef>
              <c:f>'trends - adj other rev'!$A$6</c:f>
              <c:strCache>
                <c:ptCount val="1"/>
                <c:pt idx="0">
                  <c:v>Adjusted other revenue (2007-2013)</c:v>
                </c:pt>
              </c:strCache>
            </c:strRef>
          </c:tx>
          <c:spPr>
            <a:ln w="28575"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1"/>
            <c:dispEq val="1"/>
            <c:trendlineLbl>
              <c:layout>
                <c:manualLayout>
                  <c:x val="-4.4149372931018088E-2"/>
                  <c:y val="-8.5828481537527673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'trends - adj other rev'!$B$4:$N$4</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xVal>
          <c:yVal>
            <c:numRef>
              <c:f>'trends - adj other rev'!$B$6:$N$6</c:f>
              <c:numCache>
                <c:formatCode>General</c:formatCode>
                <c:ptCount val="13"/>
                <c:pt idx="6" formatCode="#,##0">
                  <c:v>13</c:v>
                </c:pt>
                <c:pt idx="7" formatCode="#,##0">
                  <c:v>75</c:v>
                </c:pt>
                <c:pt idx="8" formatCode="#,##0">
                  <c:v>93</c:v>
                </c:pt>
                <c:pt idx="9" formatCode="#,##0">
                  <c:v>64</c:v>
                </c:pt>
                <c:pt idx="10" formatCode="#,##0">
                  <c:v>47</c:v>
                </c:pt>
                <c:pt idx="11" formatCode="#,##0">
                  <c:v>285</c:v>
                </c:pt>
                <c:pt idx="12" formatCode="#,##0">
                  <c:v>403</c:v>
                </c:pt>
              </c:numCache>
            </c:numRef>
          </c:yVal>
          <c:smooth val="0"/>
        </c:ser>
        <c:dLbls>
          <c:showLegendKey val="0"/>
          <c:showVal val="0"/>
          <c:showCatName val="0"/>
          <c:showSerName val="0"/>
          <c:showPercent val="0"/>
          <c:showBubbleSize val="0"/>
        </c:dLbls>
        <c:axId val="212160240"/>
        <c:axId val="212156712"/>
      </c:scatterChart>
      <c:valAx>
        <c:axId val="21216024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156712"/>
        <c:crosses val="autoZero"/>
        <c:crossBetween val="midCat"/>
      </c:valAx>
      <c:valAx>
        <c:axId val="212156712"/>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Adjusted</a:t>
                </a:r>
                <a:r>
                  <a:rPr lang="en-US" baseline="0"/>
                  <a:t> other Revenue (x $1,000)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16024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Adjusted</a:t>
            </a:r>
            <a:r>
              <a:rPr lang="en-US" baseline="0"/>
              <a:t> Taxes other than Income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'trends - adj taxes'!$A$5</c:f>
              <c:strCache>
                <c:ptCount val="1"/>
                <c:pt idx="0">
                  <c:v>Adj taxes other than income (2001-2013)</c:v>
                </c:pt>
              </c:strCache>
            </c:strRef>
          </c:tx>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3861752586993798"/>
                  <c:y val="4.0620876588899672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'trends - adj taxes'!$B$4:$N$4</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xVal>
          <c:yVal>
            <c:numRef>
              <c:f>'trends - adj taxes'!$B$5:$N$5</c:f>
              <c:numCache>
                <c:formatCode>#,##0</c:formatCode>
                <c:ptCount val="13"/>
                <c:pt idx="0">
                  <c:v>3119</c:v>
                </c:pt>
                <c:pt idx="1">
                  <c:v>3720</c:v>
                </c:pt>
                <c:pt idx="2">
                  <c:v>3367</c:v>
                </c:pt>
                <c:pt idx="3">
                  <c:v>3765</c:v>
                </c:pt>
                <c:pt idx="4">
                  <c:v>3357</c:v>
                </c:pt>
                <c:pt idx="5">
                  <c:v>3589</c:v>
                </c:pt>
                <c:pt idx="6">
                  <c:v>3541</c:v>
                </c:pt>
                <c:pt idx="7">
                  <c:v>2961</c:v>
                </c:pt>
                <c:pt idx="8">
                  <c:v>3728</c:v>
                </c:pt>
                <c:pt idx="9">
                  <c:v>3834</c:v>
                </c:pt>
                <c:pt idx="10">
                  <c:v>4316.6743270000006</c:v>
                </c:pt>
                <c:pt idx="11">
                  <c:v>4592</c:v>
                </c:pt>
                <c:pt idx="12">
                  <c:v>5191</c:v>
                </c:pt>
              </c:numCache>
            </c:numRef>
          </c:yVal>
          <c:smooth val="0"/>
        </c:ser>
        <c:ser>
          <c:idx val="1"/>
          <c:order val="1"/>
          <c:tx>
            <c:strRef>
              <c:f>'trends - adj taxes'!$A$6</c:f>
              <c:strCache>
                <c:ptCount val="1"/>
                <c:pt idx="0">
                  <c:v>Adj taxes other than income (2007-2013)</c:v>
                </c:pt>
              </c:strCache>
            </c:strRef>
          </c:tx>
          <c:spPr>
            <a:ln w="28575"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1"/>
            <c:dispEq val="1"/>
            <c:trendlineLbl>
              <c:layout>
                <c:manualLayout>
                  <c:x val="-0.10889104057009125"/>
                  <c:y val="0.3143309376404285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'trends - adj taxes'!$B$4:$N$4</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xVal>
          <c:yVal>
            <c:numRef>
              <c:f>'trends - adj taxes'!$B$6:$N$6</c:f>
              <c:numCache>
                <c:formatCode>General</c:formatCode>
                <c:ptCount val="13"/>
                <c:pt idx="6" formatCode="#,##0">
                  <c:v>3541</c:v>
                </c:pt>
                <c:pt idx="7" formatCode="#,##0">
                  <c:v>2961</c:v>
                </c:pt>
                <c:pt idx="8" formatCode="#,##0">
                  <c:v>3728</c:v>
                </c:pt>
                <c:pt idx="9" formatCode="#,##0">
                  <c:v>3834</c:v>
                </c:pt>
                <c:pt idx="10" formatCode="#,##0">
                  <c:v>4316.6743270000006</c:v>
                </c:pt>
                <c:pt idx="11" formatCode="#,##0">
                  <c:v>4592</c:v>
                </c:pt>
                <c:pt idx="12" formatCode="#,##0">
                  <c:v>5191</c:v>
                </c:pt>
              </c:numCache>
            </c:numRef>
          </c:yVal>
          <c:smooth val="0"/>
        </c:ser>
        <c:dLbls>
          <c:showLegendKey val="0"/>
          <c:showVal val="0"/>
          <c:showCatName val="0"/>
          <c:showSerName val="0"/>
          <c:showPercent val="0"/>
          <c:showBubbleSize val="0"/>
        </c:dLbls>
        <c:axId val="212161808"/>
        <c:axId val="212157496"/>
      </c:scatterChart>
      <c:valAx>
        <c:axId val="2121618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157496"/>
        <c:crosses val="autoZero"/>
        <c:crossBetween val="midCat"/>
      </c:valAx>
      <c:valAx>
        <c:axId val="212157496"/>
        <c:scaling>
          <c:orientation val="minMax"/>
          <c:min val="2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Taxes other</a:t>
                </a:r>
                <a:r>
                  <a:rPr lang="en-US" baseline="0"/>
                  <a:t> than Income (x $1,000)</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16180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Adjusted</a:t>
            </a:r>
            <a:r>
              <a:rPr lang="en-US" baseline="0"/>
              <a:t> Depreciation/Amortization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'trends - Adj Dep Amort'!$A$5</c:f>
              <c:strCache>
                <c:ptCount val="1"/>
                <c:pt idx="0">
                  <c:v>Adj Dep Amort (2001-2013)</c:v>
                </c:pt>
              </c:strCache>
            </c:strRef>
          </c:tx>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44316707533268868"/>
                  <c:y val="0.2178061480179055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'trends - Adj Dep Amort'!$B$4:$N$4</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xVal>
          <c:yVal>
            <c:numRef>
              <c:f>'trends - Adj Dep Amort'!$B$5:$N$5</c:f>
              <c:numCache>
                <c:formatCode>#,##0</c:formatCode>
                <c:ptCount val="13"/>
                <c:pt idx="0">
                  <c:v>5724</c:v>
                </c:pt>
                <c:pt idx="1">
                  <c:v>6068</c:v>
                </c:pt>
                <c:pt idx="2">
                  <c:v>6379</c:v>
                </c:pt>
                <c:pt idx="3">
                  <c:v>6391</c:v>
                </c:pt>
                <c:pt idx="4">
                  <c:v>6741</c:v>
                </c:pt>
                <c:pt idx="5">
                  <c:v>6963</c:v>
                </c:pt>
                <c:pt idx="6">
                  <c:v>7413</c:v>
                </c:pt>
                <c:pt idx="7">
                  <c:v>7752</c:v>
                </c:pt>
                <c:pt idx="8">
                  <c:v>8456</c:v>
                </c:pt>
                <c:pt idx="9">
                  <c:v>9127</c:v>
                </c:pt>
                <c:pt idx="10">
                  <c:v>9778</c:v>
                </c:pt>
                <c:pt idx="11">
                  <c:v>10692</c:v>
                </c:pt>
                <c:pt idx="12">
                  <c:v>12173</c:v>
                </c:pt>
              </c:numCache>
            </c:numRef>
          </c:yVal>
          <c:smooth val="0"/>
        </c:ser>
        <c:ser>
          <c:idx val="1"/>
          <c:order val="1"/>
          <c:tx>
            <c:strRef>
              <c:f>'trends - Adj Dep Amort'!$A$6</c:f>
              <c:strCache>
                <c:ptCount val="1"/>
                <c:pt idx="0">
                  <c:v>Adj Dep Amort (2007-2013)</c:v>
                </c:pt>
              </c:strCache>
            </c:strRef>
          </c:tx>
          <c:spPr>
            <a:ln w="28575"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1"/>
            <c:dispEq val="1"/>
            <c:trendlineLbl>
              <c:layout>
                <c:manualLayout>
                  <c:x val="-0.19975523207625356"/>
                  <c:y val="0.40971468372278708"/>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'trends - Adj Dep Amort'!$B$4:$N$4</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xVal>
          <c:yVal>
            <c:numRef>
              <c:f>'trends - Adj Dep Amort'!$B$6:$N$6</c:f>
              <c:numCache>
                <c:formatCode>General</c:formatCode>
                <c:ptCount val="13"/>
                <c:pt idx="6" formatCode="#,##0">
                  <c:v>7413</c:v>
                </c:pt>
                <c:pt idx="7" formatCode="#,##0">
                  <c:v>7752</c:v>
                </c:pt>
                <c:pt idx="8" formatCode="#,##0">
                  <c:v>8456</c:v>
                </c:pt>
                <c:pt idx="9" formatCode="#,##0">
                  <c:v>9127</c:v>
                </c:pt>
                <c:pt idx="10" formatCode="#,##0">
                  <c:v>9778</c:v>
                </c:pt>
                <c:pt idx="11" formatCode="#,##0">
                  <c:v>10692</c:v>
                </c:pt>
                <c:pt idx="12" formatCode="#,##0">
                  <c:v>12173</c:v>
                </c:pt>
              </c:numCache>
            </c:numRef>
          </c:yVal>
          <c:smooth val="0"/>
        </c:ser>
        <c:dLbls>
          <c:showLegendKey val="0"/>
          <c:showVal val="0"/>
          <c:showCatName val="0"/>
          <c:showSerName val="0"/>
          <c:showPercent val="0"/>
          <c:showBubbleSize val="0"/>
        </c:dLbls>
        <c:axId val="212158672"/>
        <c:axId val="212157888"/>
      </c:scatterChart>
      <c:valAx>
        <c:axId val="21215867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157888"/>
        <c:crosses val="autoZero"/>
        <c:crossBetween val="midCat"/>
      </c:valAx>
      <c:valAx>
        <c:axId val="212157888"/>
        <c:scaling>
          <c:orientation val="minMax"/>
          <c:min val="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Depreciation/Amortization</a:t>
                </a:r>
                <a:r>
                  <a:rPr lang="en-US" baseline="0"/>
                  <a:t> (x $1,000)</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15867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Adjusted</a:t>
            </a:r>
            <a:r>
              <a:rPr lang="en-US" baseline="0"/>
              <a:t> Operating Expense (2001-2013, excl. 2009-2012)</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'trends - Adj Operating Exp'!$A$8</c:f>
              <c:strCache>
                <c:ptCount val="1"/>
                <c:pt idx="0">
                  <c:v>Adj Op Exp (2001-2013, excl. 2009-2012)</c:v>
                </c:pt>
              </c:strCache>
            </c:strRef>
          </c:tx>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42891889193198679"/>
                  <c:y val="0.11480235682513795"/>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'trends - Adj Operating Exp'!$B$4:$N$4</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xVal>
          <c:yVal>
            <c:numRef>
              <c:f>'trends - Adj Operating Exp'!$B$8:$N$8</c:f>
              <c:numCache>
                <c:formatCode>#,##0</c:formatCode>
                <c:ptCount val="13"/>
                <c:pt idx="0">
                  <c:v>16390</c:v>
                </c:pt>
                <c:pt idx="1">
                  <c:v>19734</c:v>
                </c:pt>
                <c:pt idx="2">
                  <c:v>20837</c:v>
                </c:pt>
                <c:pt idx="3">
                  <c:v>20042</c:v>
                </c:pt>
                <c:pt idx="4">
                  <c:v>20675</c:v>
                </c:pt>
                <c:pt idx="5">
                  <c:v>20604</c:v>
                </c:pt>
                <c:pt idx="6">
                  <c:v>21291</c:v>
                </c:pt>
                <c:pt idx="7">
                  <c:v>21878</c:v>
                </c:pt>
                <c:pt idx="12">
                  <c:v>31098</c:v>
                </c:pt>
              </c:numCache>
            </c:numRef>
          </c:yVal>
          <c:smooth val="0"/>
        </c:ser>
        <c:ser>
          <c:idx val="1"/>
          <c:order val="1"/>
          <c:tx>
            <c:strRef>
              <c:f>'trends - Adj Operating Exp'!$A$9</c:f>
              <c:strCache>
                <c:ptCount val="1"/>
                <c:pt idx="0">
                  <c:v>Adj Op Exp (2009-2012)</c:v>
                </c:pt>
              </c:strCache>
            </c:strRef>
          </c:tx>
          <c:spPr>
            <a:ln w="28575" cap="rnd">
              <a:noFill/>
              <a:round/>
            </a:ln>
            <a:effectLst/>
          </c:spPr>
          <c:marker>
            <c:symbol val="circle"/>
            <c:size val="5"/>
            <c:spPr>
              <a:solidFill>
                <a:schemeClr val="accent2"/>
              </a:solidFill>
              <a:ln w="9525">
                <a:solidFill>
                  <a:schemeClr val="accent2"/>
                </a:solidFill>
              </a:ln>
              <a:effectLst/>
            </c:spPr>
          </c:marker>
          <c:xVal>
            <c:numRef>
              <c:f>'trends - Adj Operating Exp'!$B$4:$N$4</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xVal>
          <c:yVal>
            <c:numRef>
              <c:f>'trends - Adj Operating Exp'!$B$9:$N$9</c:f>
              <c:numCache>
                <c:formatCode>General</c:formatCode>
                <c:ptCount val="13"/>
                <c:pt idx="8" formatCode="#,##0">
                  <c:v>24669</c:v>
                </c:pt>
                <c:pt idx="9" formatCode="#,##0">
                  <c:v>26056</c:v>
                </c:pt>
                <c:pt idx="10" formatCode="#,##0">
                  <c:v>27900.852941999998</c:v>
                </c:pt>
                <c:pt idx="11" formatCode="#,##0">
                  <c:v>30802</c:v>
                </c:pt>
              </c:numCache>
            </c:numRef>
          </c:yVal>
          <c:smooth val="0"/>
        </c:ser>
        <c:dLbls>
          <c:showLegendKey val="0"/>
          <c:showVal val="0"/>
          <c:showCatName val="0"/>
          <c:showSerName val="0"/>
          <c:showPercent val="0"/>
          <c:showBubbleSize val="0"/>
        </c:dLbls>
        <c:axId val="212155928"/>
        <c:axId val="212156320"/>
      </c:scatterChart>
      <c:valAx>
        <c:axId val="212155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156320"/>
        <c:crosses val="autoZero"/>
        <c:crossBetween val="midCat"/>
      </c:valAx>
      <c:valAx>
        <c:axId val="212156320"/>
        <c:scaling>
          <c:orientation val="minMax"/>
          <c:min val="1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Operating Expense (x</a:t>
                </a:r>
                <a:r>
                  <a:rPr lang="en-US" baseline="0"/>
                  <a:t> $1,000)</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15592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14</xdr:row>
      <xdr:rowOff>19050</xdr:rowOff>
    </xdr:from>
    <xdr:to>
      <xdr:col>11</xdr:col>
      <xdr:colOff>0</xdr:colOff>
      <xdr:row>35</xdr:row>
      <xdr:rowOff>7620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xdr:colOff>
      <xdr:row>14</xdr:row>
      <xdr:rowOff>11430</xdr:rowOff>
    </xdr:from>
    <xdr:to>
      <xdr:col>11</xdr:col>
      <xdr:colOff>7620</xdr:colOff>
      <xdr:row>35</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14</xdr:row>
      <xdr:rowOff>26670</xdr:rowOff>
    </xdr:from>
    <xdr:to>
      <xdr:col>10</xdr:col>
      <xdr:colOff>449580</xdr:colOff>
      <xdr:row>35</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13</xdr:row>
      <xdr:rowOff>163830</xdr:rowOff>
    </xdr:from>
    <xdr:to>
      <xdr:col>11</xdr:col>
      <xdr:colOff>7620</xdr:colOff>
      <xdr:row>35</xdr:row>
      <xdr:rowOff>7620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15</xdr:row>
      <xdr:rowOff>158115</xdr:rowOff>
    </xdr:from>
    <xdr:to>
      <xdr:col>10</xdr:col>
      <xdr:colOff>453390</xdr:colOff>
      <xdr:row>37</xdr:row>
      <xdr:rowOff>7620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4.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5.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
  <sheetViews>
    <sheetView workbookViewId="0">
      <selection activeCell="A3" sqref="A3"/>
    </sheetView>
  </sheetViews>
  <sheetFormatPr defaultRowHeight="12.75"/>
  <sheetData>
    <row r="2" spans="1:1">
      <c r="A2" t="s">
        <v>481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W234"/>
  <sheetViews>
    <sheetView showRuler="0" topLeftCell="A185" zoomScaleNormal="100" zoomScaleSheetLayoutView="100" workbookViewId="0">
      <selection activeCell="G194" sqref="G194"/>
    </sheetView>
  </sheetViews>
  <sheetFormatPr defaultColWidth="10.5703125" defaultRowHeight="12"/>
  <cols>
    <col min="1" max="1" width="4.85546875" style="22" customWidth="1"/>
    <col min="2" max="2" width="1.5703125" style="3" customWidth="1"/>
    <col min="3" max="3" width="9" style="3" customWidth="1"/>
    <col min="4" max="4" width="23" style="3" customWidth="1"/>
    <col min="5" max="5" width="2.85546875" style="3" customWidth="1"/>
    <col min="6" max="6" width="0.85546875" style="4" customWidth="1"/>
    <col min="7" max="17" width="9.42578125" style="4" customWidth="1"/>
    <col min="18" max="18" width="9.42578125" style="3" customWidth="1"/>
    <col min="19" max="22" width="10.5703125" style="3" customWidth="1"/>
    <col min="23" max="23" width="12.28515625" style="3" customWidth="1"/>
    <col min="24" max="16384" width="10.5703125" style="3"/>
  </cols>
  <sheetData>
    <row r="1" spans="1:19" ht="21" customHeight="1">
      <c r="A1" s="457"/>
      <c r="B1" s="457"/>
      <c r="C1" s="457"/>
      <c r="D1" s="457"/>
      <c r="E1" s="457"/>
      <c r="F1" s="457"/>
      <c r="G1" s="457"/>
      <c r="H1" s="457"/>
      <c r="I1" s="457"/>
      <c r="J1" s="457"/>
      <c r="K1" s="457"/>
      <c r="L1" s="457"/>
      <c r="M1" s="457"/>
      <c r="N1" s="457"/>
      <c r="O1" s="457"/>
      <c r="P1" s="457"/>
      <c r="Q1" s="457"/>
      <c r="R1" s="457"/>
    </row>
    <row r="2" spans="1:19" ht="29.1" customHeight="1">
      <c r="A2" s="476" t="s">
        <v>453</v>
      </c>
      <c r="B2" s="476"/>
      <c r="C2" s="476"/>
      <c r="D2" s="476"/>
      <c r="E2" s="476"/>
      <c r="F2" s="476"/>
      <c r="G2" s="476"/>
      <c r="H2" s="476"/>
      <c r="I2" s="476"/>
      <c r="J2" s="476"/>
      <c r="K2" s="476"/>
      <c r="L2" s="476"/>
      <c r="M2" s="476"/>
      <c r="N2" s="476"/>
      <c r="O2" s="476"/>
      <c r="P2" s="476"/>
      <c r="Q2" s="476"/>
      <c r="R2" s="476"/>
    </row>
    <row r="3" spans="1:19" ht="37.35" customHeight="1">
      <c r="A3" s="256" t="s">
        <v>43</v>
      </c>
      <c r="F3" s="211"/>
      <c r="G3" s="211"/>
      <c r="H3" s="211"/>
      <c r="I3" s="211"/>
      <c r="J3" s="211"/>
      <c r="K3" s="211"/>
      <c r="L3" s="211"/>
      <c r="M3" s="211"/>
      <c r="N3" s="211"/>
      <c r="O3" s="211"/>
      <c r="P3" s="211"/>
      <c r="Q3" s="211"/>
      <c r="R3" s="211"/>
    </row>
    <row r="4" spans="1:19" ht="13.5" customHeight="1">
      <c r="A4" s="256" t="s">
        <v>48</v>
      </c>
      <c r="E4" s="478" t="s">
        <v>228</v>
      </c>
      <c r="F4" s="478"/>
      <c r="G4" s="478"/>
      <c r="H4" s="478"/>
      <c r="I4" s="478"/>
      <c r="J4" s="478"/>
      <c r="K4" s="478"/>
      <c r="L4" s="478"/>
      <c r="M4" s="478"/>
      <c r="N4" s="478"/>
      <c r="O4" s="478"/>
      <c r="P4" s="478"/>
      <c r="Q4" s="478"/>
      <c r="R4" s="478"/>
    </row>
    <row r="5" spans="1:19" ht="5.25" customHeight="1">
      <c r="A5" s="251"/>
    </row>
    <row r="6" spans="1:19" s="6" customFormat="1" ht="11.45" customHeight="1">
      <c r="A6" s="256" t="s">
        <v>39</v>
      </c>
      <c r="B6" s="2"/>
      <c r="C6" s="2"/>
      <c r="D6" s="2"/>
      <c r="E6" s="2"/>
      <c r="F6" s="4"/>
      <c r="G6" s="4"/>
      <c r="H6" s="4"/>
      <c r="I6" s="4"/>
      <c r="J6" s="4"/>
      <c r="K6" s="4"/>
      <c r="L6" s="4"/>
      <c r="M6" s="4"/>
      <c r="N6" s="4"/>
      <c r="O6" s="4"/>
      <c r="P6" s="4"/>
      <c r="Q6" s="4"/>
      <c r="R6" s="3"/>
      <c r="S6" s="24"/>
    </row>
    <row r="7" spans="1:19" s="6" customFormat="1" ht="8.25" customHeight="1">
      <c r="A7" s="5"/>
      <c r="F7" s="7"/>
      <c r="G7" s="7"/>
      <c r="H7" s="7"/>
      <c r="I7" s="7"/>
      <c r="J7" s="7"/>
      <c r="K7" s="7"/>
      <c r="L7" s="7"/>
      <c r="M7" s="7"/>
      <c r="N7" s="7"/>
      <c r="O7" s="7"/>
      <c r="P7" s="7"/>
      <c r="Q7" s="7"/>
    </row>
    <row r="8" spans="1:19" s="6" customFormat="1">
      <c r="A8" s="8"/>
      <c r="B8" s="9"/>
      <c r="C8" s="10"/>
      <c r="D8" s="11"/>
      <c r="E8" s="11"/>
      <c r="F8" s="39">
        <v>2000</v>
      </c>
      <c r="G8" s="39">
        <v>2001</v>
      </c>
      <c r="H8" s="39">
        <v>2002</v>
      </c>
      <c r="I8" s="39">
        <v>2003</v>
      </c>
      <c r="J8" s="39">
        <v>2004</v>
      </c>
      <c r="K8" s="39">
        <v>2005</v>
      </c>
      <c r="L8" s="39">
        <v>2006</v>
      </c>
      <c r="M8" s="39">
        <v>2007</v>
      </c>
      <c r="N8" s="39">
        <v>2008</v>
      </c>
      <c r="O8" s="39">
        <v>2009</v>
      </c>
      <c r="P8" s="39">
        <v>2010</v>
      </c>
      <c r="Q8" s="39">
        <v>2011</v>
      </c>
      <c r="R8" s="39">
        <v>2012</v>
      </c>
      <c r="S8" s="39">
        <v>2013</v>
      </c>
    </row>
    <row r="9" spans="1:19">
      <c r="A9" s="12" t="s">
        <v>0</v>
      </c>
      <c r="B9" s="13"/>
      <c r="C9" s="14"/>
      <c r="D9" s="15"/>
      <c r="E9" s="15"/>
      <c r="F9" s="16" t="s">
        <v>1</v>
      </c>
      <c r="G9" s="16" t="s">
        <v>1</v>
      </c>
      <c r="H9" s="16" t="s">
        <v>1</v>
      </c>
      <c r="I9" s="16" t="s">
        <v>1</v>
      </c>
      <c r="J9" s="16" t="s">
        <v>1</v>
      </c>
      <c r="K9" s="16" t="s">
        <v>1</v>
      </c>
      <c r="L9" s="16" t="s">
        <v>1</v>
      </c>
      <c r="M9" s="16" t="s">
        <v>1</v>
      </c>
      <c r="N9" s="16" t="s">
        <v>1</v>
      </c>
      <c r="O9" s="16" t="s">
        <v>1</v>
      </c>
      <c r="P9" s="16" t="s">
        <v>1</v>
      </c>
      <c r="Q9" s="16" t="s">
        <v>1</v>
      </c>
      <c r="R9" s="16" t="s">
        <v>1</v>
      </c>
      <c r="S9" s="16" t="s">
        <v>1</v>
      </c>
    </row>
    <row r="10" spans="1:19" s="23" customFormat="1">
      <c r="A10" s="17" t="s">
        <v>2</v>
      </c>
      <c r="B10" s="18"/>
      <c r="C10" s="19"/>
      <c r="D10" s="20" t="s">
        <v>3</v>
      </c>
      <c r="E10" s="20"/>
      <c r="F10" s="21" t="s">
        <v>5</v>
      </c>
      <c r="G10" s="21" t="s">
        <v>5</v>
      </c>
      <c r="H10" s="21" t="s">
        <v>5</v>
      </c>
      <c r="I10" s="21" t="s">
        <v>5</v>
      </c>
      <c r="J10" s="21" t="s">
        <v>5</v>
      </c>
      <c r="K10" s="21" t="s">
        <v>5</v>
      </c>
      <c r="L10" s="21" t="s">
        <v>5</v>
      </c>
      <c r="M10" s="21" t="s">
        <v>5</v>
      </c>
      <c r="N10" s="21" t="s">
        <v>5</v>
      </c>
      <c r="O10" s="21" t="s">
        <v>5</v>
      </c>
      <c r="P10" s="21" t="s">
        <v>5</v>
      </c>
      <c r="Q10" s="21" t="s">
        <v>5</v>
      </c>
      <c r="R10" s="21" t="s">
        <v>5</v>
      </c>
      <c r="S10" s="21" t="s">
        <v>5</v>
      </c>
    </row>
    <row r="11" spans="1:19">
      <c r="B11" s="3" t="s">
        <v>6</v>
      </c>
      <c r="R11" s="4"/>
      <c r="S11" s="4"/>
    </row>
    <row r="12" spans="1:19">
      <c r="A12" s="22">
        <v>1</v>
      </c>
      <c r="B12" s="23" t="s">
        <v>7</v>
      </c>
      <c r="C12" s="23"/>
      <c r="D12" s="23"/>
      <c r="E12" s="23"/>
      <c r="F12" s="36">
        <v>89522</v>
      </c>
      <c r="G12" s="36">
        <v>144574</v>
      </c>
      <c r="H12" s="36">
        <v>148580</v>
      </c>
      <c r="I12" s="36">
        <v>137031</v>
      </c>
      <c r="J12" s="36">
        <v>159265</v>
      </c>
      <c r="K12" s="36">
        <v>178724</v>
      </c>
      <c r="L12" s="36">
        <v>197821</v>
      </c>
      <c r="M12" s="36">
        <v>209186</v>
      </c>
      <c r="N12" s="36">
        <v>203727</v>
      </c>
      <c r="O12" s="36">
        <v>182706</v>
      </c>
      <c r="P12" s="36">
        <v>142370</v>
      </c>
      <c r="Q12" s="36">
        <v>152457</v>
      </c>
      <c r="R12" s="36">
        <v>142048</v>
      </c>
      <c r="S12" s="36">
        <v>144257</v>
      </c>
    </row>
    <row r="13" spans="1:19">
      <c r="A13" s="22">
        <v>2</v>
      </c>
      <c r="B13" s="24" t="s">
        <v>8</v>
      </c>
      <c r="D13" s="24"/>
      <c r="E13" s="24"/>
      <c r="F13" s="32">
        <v>4525</v>
      </c>
      <c r="G13" s="32">
        <v>4274</v>
      </c>
      <c r="H13" s="32">
        <v>3878</v>
      </c>
      <c r="I13" s="32">
        <f>4392-1000</f>
        <v>3392</v>
      </c>
      <c r="J13" s="32">
        <v>2842</v>
      </c>
      <c r="K13" s="32">
        <v>3440</v>
      </c>
      <c r="L13" s="32">
        <f>1446+1665</f>
        <v>3111</v>
      </c>
      <c r="M13" s="32">
        <v>3263</v>
      </c>
      <c r="N13" s="32">
        <v>3369</v>
      </c>
      <c r="O13" s="32">
        <v>3275</v>
      </c>
      <c r="P13" s="32">
        <v>3155</v>
      </c>
      <c r="Q13" s="32">
        <v>3448</v>
      </c>
      <c r="R13" s="32">
        <v>3627</v>
      </c>
      <c r="S13" s="32">
        <v>3915</v>
      </c>
    </row>
    <row r="14" spans="1:19" ht="11.1" customHeight="1">
      <c r="A14" s="22">
        <v>3</v>
      </c>
      <c r="B14" s="24" t="s">
        <v>9</v>
      </c>
      <c r="D14" s="24"/>
      <c r="E14" s="24"/>
      <c r="F14" s="33">
        <v>2377</v>
      </c>
      <c r="G14" s="33">
        <v>2541</v>
      </c>
      <c r="H14" s="33">
        <v>2340</v>
      </c>
      <c r="I14" s="33">
        <f>1183+1000</f>
        <v>2183</v>
      </c>
      <c r="J14" s="33">
        <v>2168</v>
      </c>
      <c r="K14" s="33">
        <v>30131</v>
      </c>
      <c r="L14" s="33">
        <f>4037-1665</f>
        <v>2372</v>
      </c>
      <c r="M14" s="33">
        <v>68416</v>
      </c>
      <c r="N14" s="33">
        <v>153093</v>
      </c>
      <c r="O14" s="33">
        <v>84085</v>
      </c>
      <c r="P14" s="33">
        <v>115257</v>
      </c>
      <c r="Q14" s="33">
        <v>98841</v>
      </c>
      <c r="R14" s="33">
        <v>68107</v>
      </c>
      <c r="S14" s="33">
        <v>403</v>
      </c>
    </row>
    <row r="15" spans="1:19">
      <c r="A15" s="22">
        <v>4</v>
      </c>
      <c r="B15" s="3" t="s">
        <v>10</v>
      </c>
      <c r="C15" s="24"/>
      <c r="D15" s="24"/>
      <c r="E15" s="24"/>
      <c r="F15" s="32">
        <f t="shared" ref="F15" si="0">SUM(F12:F14)</f>
        <v>96424</v>
      </c>
      <c r="G15" s="32">
        <f t="shared" ref="G15" si="1">SUM(G12:G14)</f>
        <v>151389</v>
      </c>
      <c r="H15" s="32">
        <f t="shared" ref="H15" si="2">SUM(H12:H14)</f>
        <v>154798</v>
      </c>
      <c r="I15" s="32">
        <f t="shared" ref="I15" si="3">SUM(I12:I14)</f>
        <v>142606</v>
      </c>
      <c r="J15" s="32">
        <f t="shared" ref="J15" si="4">SUM(J12:J14)</f>
        <v>164275</v>
      </c>
      <c r="K15" s="32">
        <f t="shared" ref="K15" si="5">SUM(K12:K14)</f>
        <v>212295</v>
      </c>
      <c r="L15" s="32">
        <f t="shared" ref="L15" si="6">SUM(L12:L14)</f>
        <v>203304</v>
      </c>
      <c r="M15" s="32">
        <f t="shared" ref="M15:N15" si="7">SUM(M12:M14)</f>
        <v>280865</v>
      </c>
      <c r="N15" s="32">
        <f t="shared" si="7"/>
        <v>360189</v>
      </c>
      <c r="O15" s="32">
        <f>SUM(O12:O14)</f>
        <v>270066</v>
      </c>
      <c r="P15" s="32">
        <f>SUM(P12:P14)</f>
        <v>260782</v>
      </c>
      <c r="Q15" s="32">
        <f>SUM(Q12:Q14)</f>
        <v>254746</v>
      </c>
      <c r="R15" s="32">
        <f>SUM(R12:R14)</f>
        <v>213782</v>
      </c>
      <c r="S15" s="32">
        <f>SUM(S12:S14)</f>
        <v>148575</v>
      </c>
    </row>
    <row r="16" spans="1:19">
      <c r="C16" s="24"/>
      <c r="D16" s="24"/>
      <c r="E16" s="24"/>
      <c r="F16" s="32"/>
      <c r="G16" s="32"/>
      <c r="H16" s="32"/>
      <c r="I16" s="32"/>
      <c r="J16" s="32"/>
      <c r="K16" s="32"/>
      <c r="L16" s="32"/>
      <c r="M16" s="32"/>
      <c r="N16" s="32"/>
      <c r="O16" s="32"/>
      <c r="P16" s="32"/>
      <c r="Q16" s="32"/>
      <c r="R16" s="32"/>
      <c r="S16" s="32"/>
    </row>
    <row r="17" spans="1:19">
      <c r="B17" s="3" t="s">
        <v>11</v>
      </c>
      <c r="C17" s="24"/>
      <c r="D17" s="24"/>
      <c r="E17" s="24"/>
      <c r="F17" s="32"/>
      <c r="G17" s="32"/>
      <c r="H17" s="32"/>
      <c r="I17" s="32"/>
      <c r="J17" s="32"/>
      <c r="K17" s="32"/>
      <c r="L17" s="32"/>
      <c r="M17" s="32"/>
      <c r="N17" s="32"/>
      <c r="O17" s="32"/>
      <c r="P17" s="32"/>
      <c r="Q17" s="32"/>
      <c r="R17" s="32"/>
      <c r="S17" s="32"/>
    </row>
    <row r="18" spans="1:19">
      <c r="B18" s="24" t="s">
        <v>51</v>
      </c>
      <c r="D18" s="24"/>
      <c r="E18" s="24"/>
      <c r="F18" s="32"/>
      <c r="G18" s="32"/>
      <c r="H18" s="32"/>
      <c r="I18" s="32"/>
      <c r="J18" s="32"/>
      <c r="K18" s="32"/>
      <c r="L18" s="32"/>
      <c r="M18" s="32"/>
      <c r="N18" s="32"/>
      <c r="O18" s="32"/>
      <c r="P18" s="32"/>
      <c r="Q18" s="32"/>
      <c r="R18" s="32"/>
      <c r="S18" s="32"/>
    </row>
    <row r="19" spans="1:19">
      <c r="A19" s="22">
        <v>5</v>
      </c>
      <c r="C19" s="24" t="s">
        <v>12</v>
      </c>
      <c r="D19" s="24"/>
      <c r="E19" s="24"/>
      <c r="F19" s="32">
        <v>59659</v>
      </c>
      <c r="G19" s="32">
        <v>106139</v>
      </c>
      <c r="H19" s="32">
        <v>109325</v>
      </c>
      <c r="I19" s="32">
        <v>96222</v>
      </c>
      <c r="J19" s="32">
        <v>114371</v>
      </c>
      <c r="K19" s="32">
        <v>167251</v>
      </c>
      <c r="L19" s="32">
        <v>149802</v>
      </c>
      <c r="M19" s="32">
        <v>222364</v>
      </c>
      <c r="N19" s="32">
        <v>310276</v>
      </c>
      <c r="O19" s="32">
        <v>194267</v>
      </c>
      <c r="P19" s="32">
        <v>197494</v>
      </c>
      <c r="Q19" s="32">
        <v>188167</v>
      </c>
      <c r="R19" s="32">
        <v>139073</v>
      </c>
      <c r="S19" s="32">
        <v>76801</v>
      </c>
    </row>
    <row r="20" spans="1:19">
      <c r="A20" s="22">
        <v>6</v>
      </c>
      <c r="C20" s="24" t="s">
        <v>13</v>
      </c>
      <c r="D20" s="24"/>
      <c r="E20" s="24"/>
      <c r="F20" s="32">
        <v>-1915</v>
      </c>
      <c r="G20" s="32">
        <v>988</v>
      </c>
      <c r="H20" s="32">
        <v>1177</v>
      </c>
      <c r="I20" s="32">
        <v>1186</v>
      </c>
      <c r="J20" s="32">
        <v>369</v>
      </c>
      <c r="K20" s="32">
        <v>651</v>
      </c>
      <c r="L20" s="32">
        <v>653</v>
      </c>
      <c r="M20" s="32">
        <v>792</v>
      </c>
      <c r="N20" s="32">
        <v>-9103</v>
      </c>
      <c r="O20" s="32">
        <v>803</v>
      </c>
      <c r="P20" s="32">
        <v>800</v>
      </c>
      <c r="Q20" s="32">
        <v>14</v>
      </c>
      <c r="R20" s="32">
        <v>130</v>
      </c>
      <c r="S20" s="32">
        <v>891</v>
      </c>
    </row>
    <row r="21" spans="1:19" ht="11.45" customHeight="1">
      <c r="A21" s="22">
        <v>7</v>
      </c>
      <c r="C21" s="24" t="s">
        <v>14</v>
      </c>
      <c r="D21" s="24"/>
      <c r="E21" s="24"/>
      <c r="F21" s="33">
        <v>38</v>
      </c>
      <c r="G21" s="33">
        <v>134</v>
      </c>
      <c r="H21" s="33">
        <v>128</v>
      </c>
      <c r="I21" s="33">
        <v>0</v>
      </c>
      <c r="J21" s="33">
        <v>0</v>
      </c>
      <c r="K21" s="33">
        <v>-8407</v>
      </c>
      <c r="L21" s="33">
        <v>0</v>
      </c>
      <c r="M21" s="33">
        <v>283</v>
      </c>
      <c r="N21" s="33">
        <v>2</v>
      </c>
      <c r="O21" s="33">
        <v>10720</v>
      </c>
      <c r="P21" s="33">
        <v>-3322</v>
      </c>
      <c r="Q21" s="33">
        <v>-4366</v>
      </c>
      <c r="R21" s="33">
        <v>4352</v>
      </c>
      <c r="S21" s="33">
        <v>0</v>
      </c>
    </row>
    <row r="22" spans="1:19">
      <c r="A22" s="22">
        <v>8</v>
      </c>
      <c r="B22" s="24" t="s">
        <v>15</v>
      </c>
      <c r="C22" s="24"/>
      <c r="F22" s="32">
        <f t="shared" ref="F22" si="8">SUM(F19:F21)</f>
        <v>57782</v>
      </c>
      <c r="G22" s="32">
        <f t="shared" ref="G22" si="9">SUM(G19:G21)</f>
        <v>107261</v>
      </c>
      <c r="H22" s="32">
        <f t="shared" ref="H22" si="10">SUM(H19:H21)</f>
        <v>110630</v>
      </c>
      <c r="I22" s="32">
        <f t="shared" ref="I22" si="11">SUM(I19:I21)</f>
        <v>97408</v>
      </c>
      <c r="J22" s="32">
        <f t="shared" ref="J22" si="12">SUM(J19:J21)</f>
        <v>114740</v>
      </c>
      <c r="K22" s="32">
        <f t="shared" ref="K22" si="13">SUM(K19:K21)</f>
        <v>159495</v>
      </c>
      <c r="L22" s="32">
        <f t="shared" ref="L22" si="14">SUM(L19:L21)</f>
        <v>150455</v>
      </c>
      <c r="M22" s="32">
        <f t="shared" ref="M22:N22" si="15">SUM(M19:M21)</f>
        <v>223439</v>
      </c>
      <c r="N22" s="32">
        <f t="shared" si="15"/>
        <v>301175</v>
      </c>
      <c r="O22" s="32">
        <f>SUM(O19:O21)</f>
        <v>205790</v>
      </c>
      <c r="P22" s="32">
        <f>SUM(P19:P21)</f>
        <v>194972</v>
      </c>
      <c r="Q22" s="32">
        <f>SUM(Q19:Q21)</f>
        <v>183815</v>
      </c>
      <c r="R22" s="32">
        <f>SUM(R19:R21)</f>
        <v>143555</v>
      </c>
      <c r="S22" s="32">
        <f>SUM(S19:S21)</f>
        <v>77692</v>
      </c>
    </row>
    <row r="23" spans="1:19">
      <c r="B23" s="24"/>
      <c r="C23" s="24"/>
      <c r="F23" s="32"/>
      <c r="G23" s="32"/>
      <c r="H23" s="32"/>
      <c r="I23" s="32"/>
      <c r="J23" s="32"/>
      <c r="K23" s="32"/>
      <c r="L23" s="32"/>
      <c r="M23" s="32"/>
      <c r="N23" s="32"/>
      <c r="O23" s="32"/>
      <c r="P23" s="32"/>
      <c r="Q23" s="32"/>
      <c r="R23" s="32"/>
      <c r="S23" s="32"/>
    </row>
    <row r="24" spans="1:19">
      <c r="B24" s="24" t="s">
        <v>16</v>
      </c>
      <c r="D24" s="24"/>
      <c r="E24" s="24"/>
      <c r="F24" s="32"/>
      <c r="G24" s="32"/>
      <c r="H24" s="32"/>
      <c r="I24" s="32"/>
      <c r="J24" s="32"/>
      <c r="K24" s="32"/>
      <c r="L24" s="32"/>
      <c r="M24" s="32"/>
      <c r="N24" s="32"/>
      <c r="O24" s="32"/>
      <c r="P24" s="32"/>
      <c r="Q24" s="32"/>
      <c r="R24" s="32"/>
      <c r="S24" s="32"/>
    </row>
    <row r="25" spans="1:19">
      <c r="A25" s="22">
        <v>9</v>
      </c>
      <c r="C25" s="24" t="s">
        <v>17</v>
      </c>
      <c r="D25" s="24"/>
      <c r="E25" s="24"/>
      <c r="F25" s="32">
        <v>312</v>
      </c>
      <c r="G25" s="32">
        <v>322</v>
      </c>
      <c r="H25" s="32">
        <v>357</v>
      </c>
      <c r="I25" s="32">
        <v>342</v>
      </c>
      <c r="J25" s="32">
        <v>381</v>
      </c>
      <c r="K25" s="32">
        <v>450</v>
      </c>
      <c r="L25" s="32">
        <v>492</v>
      </c>
      <c r="M25" s="32">
        <v>451</v>
      </c>
      <c r="N25" s="32">
        <v>436</v>
      </c>
      <c r="O25" s="32">
        <v>403</v>
      </c>
      <c r="P25" s="32">
        <v>380</v>
      </c>
      <c r="Q25" s="32">
        <v>585</v>
      </c>
      <c r="R25" s="32">
        <v>712</v>
      </c>
      <c r="S25" s="32">
        <v>820</v>
      </c>
    </row>
    <row r="26" spans="1:19">
      <c r="A26" s="22">
        <v>10</v>
      </c>
      <c r="C26" s="24" t="s">
        <v>47</v>
      </c>
      <c r="D26" s="24"/>
      <c r="E26" s="24"/>
      <c r="F26" s="32">
        <v>314</v>
      </c>
      <c r="G26" s="32">
        <v>314</v>
      </c>
      <c r="H26" s="32">
        <v>297</v>
      </c>
      <c r="I26" s="32">
        <v>309</v>
      </c>
      <c r="J26" s="32">
        <v>309</v>
      </c>
      <c r="K26" s="32">
        <v>310</v>
      </c>
      <c r="L26" s="32">
        <v>312</v>
      </c>
      <c r="M26" s="32">
        <v>310</v>
      </c>
      <c r="N26" s="32">
        <v>276</v>
      </c>
      <c r="O26" s="32">
        <v>393</v>
      </c>
      <c r="P26" s="32">
        <v>348</v>
      </c>
      <c r="Q26" s="32">
        <v>395</v>
      </c>
      <c r="R26" s="32">
        <v>438</v>
      </c>
      <c r="S26" s="32">
        <v>380</v>
      </c>
    </row>
    <row r="27" spans="1:19" ht="12.75" customHeight="1">
      <c r="A27" s="22">
        <v>11</v>
      </c>
      <c r="C27" s="24" t="s">
        <v>4</v>
      </c>
      <c r="D27" s="24"/>
      <c r="E27" s="24"/>
      <c r="F27" s="33">
        <v>111</v>
      </c>
      <c r="G27" s="33">
        <v>108</v>
      </c>
      <c r="H27" s="33">
        <v>120</v>
      </c>
      <c r="I27" s="33">
        <v>118</v>
      </c>
      <c r="J27" s="33">
        <v>120</v>
      </c>
      <c r="K27" s="33">
        <v>115</v>
      </c>
      <c r="L27" s="33">
        <v>122</v>
      </c>
      <c r="M27" s="33">
        <v>95</v>
      </c>
      <c r="N27" s="33">
        <v>113</v>
      </c>
      <c r="O27" s="33">
        <v>121</v>
      </c>
      <c r="P27" s="33">
        <v>116</v>
      </c>
      <c r="Q27" s="33">
        <v>19</v>
      </c>
      <c r="R27" s="33">
        <v>17</v>
      </c>
      <c r="S27" s="33">
        <v>158</v>
      </c>
    </row>
    <row r="28" spans="1:19">
      <c r="A28" s="22">
        <v>12</v>
      </c>
      <c r="B28" s="24" t="s">
        <v>18</v>
      </c>
      <c r="C28" s="24"/>
      <c r="F28" s="32">
        <f t="shared" ref="F28" si="16">SUM(F25:F27)</f>
        <v>737</v>
      </c>
      <c r="G28" s="32">
        <f t="shared" ref="G28" si="17">SUM(G25:G27)</f>
        <v>744</v>
      </c>
      <c r="H28" s="32">
        <f t="shared" ref="H28" si="18">SUM(H25:H27)</f>
        <v>774</v>
      </c>
      <c r="I28" s="32">
        <f t="shared" ref="I28" si="19">SUM(I25:I27)</f>
        <v>769</v>
      </c>
      <c r="J28" s="32">
        <f t="shared" ref="J28" si="20">SUM(J25:J27)</f>
        <v>810</v>
      </c>
      <c r="K28" s="32">
        <f t="shared" ref="K28" si="21">SUM(K25:K27)</f>
        <v>875</v>
      </c>
      <c r="L28" s="32">
        <f t="shared" ref="L28" si="22">SUM(L25:L27)</f>
        <v>926</v>
      </c>
      <c r="M28" s="32">
        <f t="shared" ref="M28:N28" si="23">SUM(M25:M27)</f>
        <v>856</v>
      </c>
      <c r="N28" s="32">
        <f t="shared" si="23"/>
        <v>825</v>
      </c>
      <c r="O28" s="32">
        <f>SUM(O25:O27)</f>
        <v>917</v>
      </c>
      <c r="P28" s="32">
        <f>SUM(P25:P27)</f>
        <v>844</v>
      </c>
      <c r="Q28" s="32">
        <f>SUM(Q25:Q27)</f>
        <v>999</v>
      </c>
      <c r="R28" s="32">
        <f>SUM(R25:R27)</f>
        <v>1167</v>
      </c>
      <c r="S28" s="32">
        <f>SUM(S25:S27)</f>
        <v>1358</v>
      </c>
    </row>
    <row r="29" spans="1:19">
      <c r="B29" s="24"/>
      <c r="C29" s="24"/>
      <c r="F29" s="32"/>
      <c r="G29" s="32"/>
      <c r="H29" s="32"/>
      <c r="I29" s="32"/>
      <c r="J29" s="32"/>
      <c r="K29" s="32"/>
      <c r="L29" s="32"/>
      <c r="M29" s="32"/>
      <c r="N29" s="32"/>
      <c r="O29" s="32"/>
      <c r="P29" s="32"/>
      <c r="Q29" s="32"/>
      <c r="R29" s="32"/>
      <c r="S29" s="32"/>
    </row>
    <row r="30" spans="1:19" ht="11.25" customHeight="1">
      <c r="B30" s="24" t="s">
        <v>19</v>
      </c>
      <c r="D30" s="24"/>
      <c r="E30" s="24"/>
      <c r="F30" s="32"/>
      <c r="G30" s="32"/>
      <c r="H30" s="32"/>
      <c r="I30" s="32"/>
      <c r="J30" s="32"/>
      <c r="K30" s="32"/>
      <c r="L30" s="32"/>
      <c r="M30" s="32"/>
      <c r="N30" s="32"/>
      <c r="O30" s="32"/>
      <c r="P30" s="32"/>
      <c r="Q30" s="32"/>
      <c r="R30" s="32"/>
      <c r="S30" s="32"/>
    </row>
    <row r="31" spans="1:19">
      <c r="A31" s="22">
        <v>13</v>
      </c>
      <c r="C31" s="24" t="s">
        <v>17</v>
      </c>
      <c r="D31" s="24"/>
      <c r="E31" s="24"/>
      <c r="F31" s="32">
        <v>3956</v>
      </c>
      <c r="G31" s="32">
        <v>4655</v>
      </c>
      <c r="H31" s="32">
        <v>5482</v>
      </c>
      <c r="I31" s="32">
        <v>5762</v>
      </c>
      <c r="J31" s="32">
        <v>5958</v>
      </c>
      <c r="K31" s="32">
        <v>6084</v>
      </c>
      <c r="L31" s="32">
        <v>6359</v>
      </c>
      <c r="M31" s="32">
        <v>6467</v>
      </c>
      <c r="N31" s="32">
        <v>6123</v>
      </c>
      <c r="O31" s="32">
        <v>7700</v>
      </c>
      <c r="P31" s="32">
        <v>7696</v>
      </c>
      <c r="Q31" s="32">
        <v>8854</v>
      </c>
      <c r="R31" s="32">
        <v>9511</v>
      </c>
      <c r="S31" s="32">
        <v>10820</v>
      </c>
    </row>
    <row r="32" spans="1:19" ht="12.95" customHeight="1">
      <c r="A32" s="22">
        <v>14</v>
      </c>
      <c r="C32" s="24" t="s">
        <v>47</v>
      </c>
      <c r="D32" s="24"/>
      <c r="E32" s="24"/>
      <c r="F32" s="32">
        <v>4184</v>
      </c>
      <c r="G32" s="32">
        <v>4390</v>
      </c>
      <c r="H32" s="32">
        <v>4496</v>
      </c>
      <c r="I32" s="32">
        <v>4707</v>
      </c>
      <c r="J32" s="32">
        <v>4902</v>
      </c>
      <c r="K32" s="32">
        <v>5088</v>
      </c>
      <c r="L32" s="32">
        <v>5369</v>
      </c>
      <c r="M32" s="32">
        <v>5605</v>
      </c>
      <c r="N32" s="32">
        <v>5673</v>
      </c>
      <c r="O32" s="32">
        <v>6064</v>
      </c>
      <c r="P32" s="32">
        <v>6367</v>
      </c>
      <c r="Q32" s="32">
        <v>6649</v>
      </c>
      <c r="R32" s="32">
        <v>6978</v>
      </c>
      <c r="S32" s="32">
        <v>7925</v>
      </c>
    </row>
    <row r="33" spans="1:19" ht="11.45" customHeight="1">
      <c r="A33" s="22">
        <v>15</v>
      </c>
      <c r="C33" s="24" t="s">
        <v>4</v>
      </c>
      <c r="D33" s="24"/>
      <c r="E33" s="24"/>
      <c r="F33" s="33">
        <v>4919</v>
      </c>
      <c r="G33" s="33">
        <v>7315</v>
      </c>
      <c r="H33" s="33">
        <v>8070</v>
      </c>
      <c r="I33" s="33">
        <v>7205</v>
      </c>
      <c r="J33" s="33">
        <v>8213</v>
      </c>
      <c r="K33" s="33">
        <v>8573</v>
      </c>
      <c r="L33" s="33">
        <v>9457</v>
      </c>
      <c r="M33" s="33">
        <v>9844</v>
      </c>
      <c r="N33" s="33">
        <v>8941</v>
      </c>
      <c r="O33" s="33">
        <v>8746</v>
      </c>
      <c r="P33" s="33">
        <v>7223</v>
      </c>
      <c r="Q33" s="33">
        <v>8050.6743270000006</v>
      </c>
      <c r="R33" s="33">
        <v>7825</v>
      </c>
      <c r="S33" s="33">
        <v>8116</v>
      </c>
    </row>
    <row r="34" spans="1:19" ht="12.95" customHeight="1">
      <c r="A34" s="22">
        <v>16</v>
      </c>
      <c r="B34" s="24" t="s">
        <v>20</v>
      </c>
      <c r="C34" s="345"/>
      <c r="F34" s="32">
        <f t="shared" ref="F34" si="24">SUM(F31:F33)</f>
        <v>13059</v>
      </c>
      <c r="G34" s="32">
        <f t="shared" ref="G34" si="25">SUM(G31:G33)</f>
        <v>16360</v>
      </c>
      <c r="H34" s="32">
        <f t="shared" ref="H34" si="26">SUM(H31:H33)</f>
        <v>18048</v>
      </c>
      <c r="I34" s="32">
        <f t="shared" ref="I34" si="27">SUM(I31:I33)</f>
        <v>17674</v>
      </c>
      <c r="J34" s="32">
        <f t="shared" ref="J34" si="28">SUM(J31:J33)</f>
        <v>19073</v>
      </c>
      <c r="K34" s="32">
        <f t="shared" ref="K34" si="29">SUM(K31:K33)</f>
        <v>19745</v>
      </c>
      <c r="L34" s="32">
        <f t="shared" ref="L34" si="30">SUM(L31:L33)</f>
        <v>21185</v>
      </c>
      <c r="M34" s="32">
        <f t="shared" ref="M34:N34" si="31">SUM(M31:M33)</f>
        <v>21916</v>
      </c>
      <c r="N34" s="32">
        <f t="shared" si="31"/>
        <v>20737</v>
      </c>
      <c r="O34" s="32">
        <f>SUM(O31:O33)</f>
        <v>22510</v>
      </c>
      <c r="P34" s="32">
        <f>SUM(P31:P33)</f>
        <v>21286</v>
      </c>
      <c r="Q34" s="32">
        <f>SUM(Q31:Q33)</f>
        <v>23553.674327000001</v>
      </c>
      <c r="R34" s="32">
        <f>SUM(R31:R33)</f>
        <v>24314</v>
      </c>
      <c r="S34" s="32">
        <f>SUM(S31:S33)</f>
        <v>26861</v>
      </c>
    </row>
    <row r="35" spans="1:19">
      <c r="C35" s="24"/>
      <c r="D35" s="24"/>
      <c r="E35" s="24"/>
      <c r="F35" s="32"/>
      <c r="G35" s="32"/>
      <c r="H35" s="32"/>
      <c r="I35" s="32"/>
      <c r="J35" s="32"/>
      <c r="K35" s="32"/>
      <c r="L35" s="32"/>
      <c r="M35" s="32"/>
      <c r="N35" s="32"/>
      <c r="O35" s="32"/>
      <c r="P35" s="32"/>
      <c r="Q35" s="32"/>
      <c r="R35" s="32"/>
      <c r="S35" s="32"/>
    </row>
    <row r="36" spans="1:19">
      <c r="A36" s="22">
        <v>17</v>
      </c>
      <c r="B36" s="3" t="s">
        <v>21</v>
      </c>
      <c r="C36" s="24"/>
      <c r="D36" s="24"/>
      <c r="E36" s="24"/>
      <c r="F36" s="32">
        <v>3175</v>
      </c>
      <c r="G36" s="32">
        <v>3367</v>
      </c>
      <c r="H36" s="32">
        <v>4108</v>
      </c>
      <c r="I36" s="32">
        <v>4121</v>
      </c>
      <c r="J36" s="32">
        <v>4337</v>
      </c>
      <c r="K36" s="32">
        <v>4249</v>
      </c>
      <c r="L36" s="32">
        <v>4225</v>
      </c>
      <c r="M36" s="32">
        <v>4487</v>
      </c>
      <c r="N36" s="32">
        <v>4692</v>
      </c>
      <c r="O36" s="32">
        <v>5586</v>
      </c>
      <c r="P36" s="32">
        <v>5234</v>
      </c>
      <c r="Q36" s="32">
        <v>5739.734942</v>
      </c>
      <c r="R36" s="32">
        <v>5796</v>
      </c>
      <c r="S36" s="32">
        <v>6270</v>
      </c>
    </row>
    <row r="37" spans="1:19" ht="11.25" customHeight="1">
      <c r="A37" s="22">
        <v>18</v>
      </c>
      <c r="B37" s="3" t="s">
        <v>22</v>
      </c>
      <c r="C37" s="24"/>
      <c r="D37" s="24"/>
      <c r="E37" s="24"/>
      <c r="F37" s="32">
        <v>507</v>
      </c>
      <c r="G37" s="32">
        <v>1513</v>
      </c>
      <c r="H37" s="32">
        <v>2252</v>
      </c>
      <c r="I37" s="32">
        <v>2747</v>
      </c>
      <c r="J37" s="32">
        <v>480</v>
      </c>
      <c r="K37" s="32">
        <v>3523</v>
      </c>
      <c r="L37" s="32">
        <v>1061</v>
      </c>
      <c r="M37" s="32">
        <v>4658</v>
      </c>
      <c r="N37" s="32">
        <v>5169</v>
      </c>
      <c r="O37" s="32">
        <v>7609</v>
      </c>
      <c r="P37" s="32">
        <v>9505</v>
      </c>
      <c r="Q37" s="32">
        <v>9777</v>
      </c>
      <c r="R37" s="32">
        <v>6955</v>
      </c>
      <c r="S37" s="32">
        <v>983</v>
      </c>
    </row>
    <row r="38" spans="1:19">
      <c r="A38" s="22">
        <v>19</v>
      </c>
      <c r="B38" s="3" t="s">
        <v>23</v>
      </c>
      <c r="C38" s="24"/>
      <c r="D38" s="24"/>
      <c r="E38" s="24"/>
      <c r="F38" s="32">
        <v>703</v>
      </c>
      <c r="G38" s="32">
        <v>445</v>
      </c>
      <c r="H38" s="32">
        <v>375</v>
      </c>
      <c r="I38" s="32">
        <v>492</v>
      </c>
      <c r="J38" s="32">
        <v>427</v>
      </c>
      <c r="K38" s="32">
        <v>320</v>
      </c>
      <c r="L38" s="32">
        <v>496</v>
      </c>
      <c r="M38" s="32">
        <v>516</v>
      </c>
      <c r="N38" s="32">
        <v>442</v>
      </c>
      <c r="O38" s="32">
        <v>497</v>
      </c>
      <c r="P38" s="32">
        <v>105</v>
      </c>
      <c r="Q38" s="32">
        <v>3</v>
      </c>
      <c r="R38" s="32">
        <v>3</v>
      </c>
      <c r="S38" s="32">
        <v>3</v>
      </c>
    </row>
    <row r="39" spans="1:19">
      <c r="C39" s="24"/>
      <c r="D39" s="24"/>
      <c r="E39" s="24"/>
      <c r="F39" s="32"/>
      <c r="G39" s="32"/>
      <c r="H39" s="32"/>
      <c r="I39" s="32"/>
      <c r="J39" s="32"/>
      <c r="K39" s="32"/>
      <c r="L39" s="32"/>
      <c r="M39" s="32"/>
      <c r="N39" s="32"/>
      <c r="O39" s="32"/>
      <c r="P39" s="32"/>
      <c r="Q39" s="32"/>
      <c r="R39" s="32"/>
      <c r="S39" s="32"/>
    </row>
    <row r="40" spans="1:19">
      <c r="B40" s="3" t="s">
        <v>24</v>
      </c>
      <c r="C40" s="24"/>
      <c r="D40" s="24"/>
      <c r="E40" s="24"/>
      <c r="F40" s="32"/>
      <c r="G40" s="32"/>
      <c r="H40" s="32"/>
      <c r="I40" s="32"/>
      <c r="J40" s="32"/>
      <c r="K40" s="32"/>
      <c r="L40" s="32"/>
      <c r="M40" s="32"/>
      <c r="N40" s="32"/>
      <c r="O40" s="32"/>
      <c r="P40" s="32"/>
      <c r="Q40" s="32"/>
      <c r="R40" s="32"/>
      <c r="S40" s="32"/>
    </row>
    <row r="41" spans="1:19">
      <c r="A41" s="22">
        <v>20</v>
      </c>
      <c r="C41" s="24" t="s">
        <v>17</v>
      </c>
      <c r="D41" s="24"/>
      <c r="E41" s="24"/>
      <c r="F41" s="32">
        <v>8004</v>
      </c>
      <c r="G41" s="32">
        <v>7578</v>
      </c>
      <c r="H41" s="32">
        <v>9399</v>
      </c>
      <c r="I41" s="32">
        <v>9827</v>
      </c>
      <c r="J41" s="32">
        <v>8911</v>
      </c>
      <c r="K41" s="32">
        <v>9196</v>
      </c>
      <c r="L41" s="32">
        <v>8393</v>
      </c>
      <c r="M41" s="32">
        <v>8901</v>
      </c>
      <c r="N41" s="32">
        <v>9706</v>
      </c>
      <c r="O41" s="32">
        <v>9770</v>
      </c>
      <c r="P41" s="32">
        <v>11383</v>
      </c>
      <c r="Q41" s="32">
        <v>11585.118</v>
      </c>
      <c r="R41" s="32">
        <v>13419</v>
      </c>
      <c r="S41" s="32">
        <v>11862</v>
      </c>
    </row>
    <row r="42" spans="1:19">
      <c r="A42" s="22">
        <v>21</v>
      </c>
      <c r="C42" s="24" t="s">
        <v>47</v>
      </c>
      <c r="D42" s="24"/>
      <c r="E42" s="24"/>
      <c r="F42" s="32">
        <f>'Reg Amort and Other RB'!E17</f>
        <v>1027</v>
      </c>
      <c r="G42" s="32">
        <f>'Reg Amort and Other RB'!F17</f>
        <v>1020</v>
      </c>
      <c r="H42" s="32">
        <f>'Reg Amort and Other RB'!G17</f>
        <v>1275</v>
      </c>
      <c r="I42" s="32">
        <f>'Reg Amort and Other RB'!H17</f>
        <v>1363</v>
      </c>
      <c r="J42" s="32">
        <f>'Reg Amort and Other RB'!I17</f>
        <v>1180</v>
      </c>
      <c r="K42" s="32">
        <f>'Reg Amort and Other RB'!J17</f>
        <v>1343</v>
      </c>
      <c r="L42" s="32">
        <f>'Reg Amort and Other RB'!K17</f>
        <v>1282</v>
      </c>
      <c r="M42" s="32">
        <f>'Reg Amort and Other RB'!L17</f>
        <v>1498</v>
      </c>
      <c r="N42" s="32">
        <f>'Reg Amort and Other RB'!M17</f>
        <v>1803</v>
      </c>
      <c r="O42" s="32">
        <f>'Reg Amort and Other RB'!N17</f>
        <v>1999</v>
      </c>
      <c r="P42" s="32">
        <f>'Reg Amort and Other RB'!O17</f>
        <v>2412</v>
      </c>
      <c r="Q42" s="32">
        <v>2734</v>
      </c>
      <c r="R42" s="32">
        <v>3276</v>
      </c>
      <c r="S42" s="32">
        <v>3868</v>
      </c>
    </row>
    <row r="43" spans="1:19">
      <c r="A43" s="22">
        <v>22</v>
      </c>
      <c r="C43" s="1" t="s">
        <v>52</v>
      </c>
      <c r="D43" s="24"/>
      <c r="E43" s="24"/>
      <c r="F43" s="32">
        <f>'Reg Amort and Other RB'!E25</f>
        <v>0</v>
      </c>
      <c r="G43" s="32">
        <f>'Reg Amort and Other RB'!F25</f>
        <v>167</v>
      </c>
      <c r="H43" s="32">
        <f>'Reg Amort and Other RB'!G25</f>
        <v>185</v>
      </c>
      <c r="I43" s="32">
        <f>'Reg Amort and Other RB'!H25</f>
        <v>159</v>
      </c>
      <c r="J43" s="32">
        <f>'Reg Amort and Other RB'!I25</f>
        <v>169</v>
      </c>
      <c r="K43" s="32">
        <f>'Reg Amort and Other RB'!J25</f>
        <v>0</v>
      </c>
      <c r="L43" s="32">
        <f>'Reg Amort and Other RB'!K25</f>
        <v>0</v>
      </c>
      <c r="M43" s="32">
        <f>'Reg Amort and Other RB'!L25</f>
        <v>-815</v>
      </c>
      <c r="N43" s="32">
        <f>'Reg Amort and Other RB'!M25</f>
        <v>-242</v>
      </c>
      <c r="O43" s="32">
        <f>'Reg Amort and Other RB'!N25</f>
        <v>440</v>
      </c>
      <c r="P43" s="32">
        <f>'Reg Amort and Other RB'!O25</f>
        <v>216</v>
      </c>
      <c r="Q43" s="32">
        <v>-186</v>
      </c>
      <c r="R43" s="32">
        <v>171</v>
      </c>
      <c r="S43" s="32">
        <v>91</v>
      </c>
    </row>
    <row r="44" spans="1:19" ht="12" customHeight="1">
      <c r="A44" s="22">
        <v>23</v>
      </c>
      <c r="C44" s="24" t="s">
        <v>4</v>
      </c>
      <c r="D44" s="24"/>
      <c r="E44" s="24"/>
      <c r="F44" s="33">
        <v>22</v>
      </c>
      <c r="G44" s="33">
        <v>21</v>
      </c>
      <c r="H44" s="33">
        <v>23</v>
      </c>
      <c r="I44" s="33">
        <v>24</v>
      </c>
      <c r="J44" s="33">
        <v>24</v>
      </c>
      <c r="K44" s="33">
        <v>23</v>
      </c>
      <c r="L44" s="33">
        <v>24</v>
      </c>
      <c r="M44" s="33">
        <v>20</v>
      </c>
      <c r="N44" s="33">
        <v>17</v>
      </c>
      <c r="O44" s="33">
        <v>19</v>
      </c>
      <c r="P44" s="33">
        <v>24</v>
      </c>
      <c r="Q44" s="33">
        <v>0</v>
      </c>
      <c r="R44" s="33">
        <v>-1</v>
      </c>
      <c r="S44" s="33">
        <v>0</v>
      </c>
    </row>
    <row r="45" spans="1:19" ht="11.1" customHeight="1">
      <c r="A45" s="22">
        <v>24</v>
      </c>
      <c r="B45" s="24" t="s">
        <v>25</v>
      </c>
      <c r="C45" s="24"/>
      <c r="F45" s="33">
        <f t="shared" ref="F45" si="32">SUM(F41:F44)</f>
        <v>9053</v>
      </c>
      <c r="G45" s="33">
        <f t="shared" ref="G45" si="33">SUM(G41:G44)</f>
        <v>8786</v>
      </c>
      <c r="H45" s="33">
        <f t="shared" ref="H45" si="34">SUM(H41:H44)</f>
        <v>10882</v>
      </c>
      <c r="I45" s="33">
        <f t="shared" ref="I45" si="35">SUM(I41:I44)</f>
        <v>11373</v>
      </c>
      <c r="J45" s="33">
        <f t="shared" ref="J45" si="36">SUM(J41:J44)</f>
        <v>10284</v>
      </c>
      <c r="K45" s="33">
        <f t="shared" ref="K45" si="37">SUM(K41:K44)</f>
        <v>10562</v>
      </c>
      <c r="L45" s="33">
        <f t="shared" ref="L45" si="38">SUM(L41:L44)</f>
        <v>9699</v>
      </c>
      <c r="M45" s="33">
        <f t="shared" ref="M45:N45" si="39">SUM(M41:M44)</f>
        <v>9604</v>
      </c>
      <c r="N45" s="33">
        <f t="shared" si="39"/>
        <v>11284</v>
      </c>
      <c r="O45" s="33">
        <f>SUM(O41:O44)</f>
        <v>12228</v>
      </c>
      <c r="P45" s="33">
        <f>SUM(P41:P44)</f>
        <v>14035</v>
      </c>
      <c r="Q45" s="33">
        <f>SUM(Q41:Q44)</f>
        <v>14133.118</v>
      </c>
      <c r="R45" s="33">
        <f>SUM(R41:R44)</f>
        <v>16865</v>
      </c>
      <c r="S45" s="33">
        <f>SUM(S41:S44)</f>
        <v>15821</v>
      </c>
    </row>
    <row r="46" spans="1:19" ht="12.95" customHeight="1">
      <c r="A46" s="22">
        <v>25</v>
      </c>
      <c r="B46" s="3" t="s">
        <v>26</v>
      </c>
      <c r="C46" s="24"/>
      <c r="D46" s="24"/>
      <c r="E46" s="24"/>
      <c r="F46" s="33">
        <f t="shared" ref="F46" si="40">F22+F28+F34+F36+F37+F38+F45</f>
        <v>85016</v>
      </c>
      <c r="G46" s="33">
        <f t="shared" ref="G46" si="41">G22+G28+G34+G36+G37+G38+G45</f>
        <v>138476</v>
      </c>
      <c r="H46" s="33">
        <f t="shared" ref="H46" si="42">H22+H28+H34+H36+H37+H38+H45</f>
        <v>147069</v>
      </c>
      <c r="I46" s="33">
        <f t="shared" ref="I46" si="43">I22+I28+I34+I36+I37+I38+I45</f>
        <v>134584</v>
      </c>
      <c r="J46" s="33">
        <f t="shared" ref="J46" si="44">J22+J28+J34+J36+J37+J38+J45</f>
        <v>150151</v>
      </c>
      <c r="K46" s="33">
        <f t="shared" ref="K46" si="45">K22+K28+K34+K36+K37+K38+K45</f>
        <v>198769</v>
      </c>
      <c r="L46" s="33">
        <f t="shared" ref="L46" si="46">L22+L28+L34+L36+L37+L38+L45</f>
        <v>188047</v>
      </c>
      <c r="M46" s="33">
        <f t="shared" ref="M46:N46" si="47">M22+M28+M34+M36+M37+M38+M45</f>
        <v>265476</v>
      </c>
      <c r="N46" s="33">
        <f t="shared" si="47"/>
        <v>344324</v>
      </c>
      <c r="O46" s="33">
        <f>O22+O28+O34+O36+O37+O38+O45</f>
        <v>255137</v>
      </c>
      <c r="P46" s="33">
        <f>P22+P28+P34+P36+P37+P38+P45</f>
        <v>245981</v>
      </c>
      <c r="Q46" s="33">
        <f>Q22+Q28+Q34+Q36+Q37+Q38+Q45</f>
        <v>238020.52726899998</v>
      </c>
      <c r="R46" s="33">
        <f>R22+R28+R34+R36+R37+R38+R45</f>
        <v>198655</v>
      </c>
      <c r="S46" s="33">
        <f>S22+S28+S34+S36+S37+S38+S45</f>
        <v>128988</v>
      </c>
    </row>
    <row r="47" spans="1:19" ht="9" customHeight="1">
      <c r="C47" s="24"/>
      <c r="D47" s="24"/>
      <c r="E47" s="24"/>
      <c r="F47" s="32"/>
      <c r="G47" s="32"/>
      <c r="H47" s="32"/>
      <c r="I47" s="32"/>
      <c r="J47" s="32"/>
      <c r="K47" s="32"/>
      <c r="L47" s="32"/>
      <c r="M47" s="32"/>
      <c r="N47" s="32"/>
      <c r="O47" s="32"/>
      <c r="P47" s="32"/>
      <c r="Q47" s="32"/>
      <c r="R47" s="32"/>
      <c r="S47" s="32"/>
    </row>
    <row r="48" spans="1:19" ht="12.95" customHeight="1">
      <c r="A48" s="22">
        <v>26</v>
      </c>
      <c r="B48" s="3" t="s">
        <v>27</v>
      </c>
      <c r="C48" s="24"/>
      <c r="D48" s="24"/>
      <c r="E48" s="24"/>
      <c r="F48" s="32">
        <f t="shared" ref="F48:L48" si="48">F15-F46</f>
        <v>11408</v>
      </c>
      <c r="G48" s="32">
        <f t="shared" si="48"/>
        <v>12913</v>
      </c>
      <c r="H48" s="32">
        <f t="shared" si="48"/>
        <v>7729</v>
      </c>
      <c r="I48" s="32">
        <f t="shared" si="48"/>
        <v>8022</v>
      </c>
      <c r="J48" s="32">
        <f t="shared" si="48"/>
        <v>14124</v>
      </c>
      <c r="K48" s="32">
        <f t="shared" si="48"/>
        <v>13526</v>
      </c>
      <c r="L48" s="32">
        <f t="shared" si="48"/>
        <v>15257</v>
      </c>
      <c r="M48" s="32">
        <f t="shared" ref="M48:N48" si="49">M15-M46</f>
        <v>15389</v>
      </c>
      <c r="N48" s="32">
        <f t="shared" si="49"/>
        <v>15865</v>
      </c>
      <c r="O48" s="32">
        <f>O15-O46</f>
        <v>14929</v>
      </c>
      <c r="P48" s="32">
        <f>P15-P46</f>
        <v>14801</v>
      </c>
      <c r="Q48" s="32">
        <f>Q15-Q46</f>
        <v>16725.472731000016</v>
      </c>
      <c r="R48" s="32">
        <f>R15-R46</f>
        <v>15127</v>
      </c>
      <c r="S48" s="32">
        <f>S15-S46</f>
        <v>19587</v>
      </c>
    </row>
    <row r="49" spans="1:19">
      <c r="C49" s="24"/>
      <c r="D49" s="24"/>
      <c r="E49" s="24"/>
      <c r="F49" s="32"/>
      <c r="G49" s="32"/>
      <c r="H49" s="32"/>
      <c r="I49" s="32"/>
      <c r="J49" s="32"/>
      <c r="K49" s="32"/>
      <c r="L49" s="32"/>
      <c r="M49" s="32"/>
      <c r="N49" s="32"/>
      <c r="O49" s="32"/>
      <c r="P49" s="32"/>
      <c r="Q49" s="32"/>
      <c r="R49" s="32"/>
      <c r="S49" s="32"/>
    </row>
    <row r="50" spans="1:19">
      <c r="B50" s="3" t="s">
        <v>28</v>
      </c>
      <c r="C50" s="24"/>
      <c r="D50" s="24"/>
      <c r="E50" s="24"/>
      <c r="F50" s="32"/>
      <c r="G50" s="32"/>
      <c r="H50" s="32"/>
      <c r="I50" s="32"/>
      <c r="J50" s="32"/>
      <c r="K50" s="32"/>
      <c r="L50" s="32"/>
      <c r="M50" s="32"/>
      <c r="N50" s="32"/>
      <c r="O50" s="32"/>
      <c r="P50" s="32"/>
      <c r="Q50" s="32"/>
      <c r="R50" s="32"/>
      <c r="S50" s="32"/>
    </row>
    <row r="51" spans="1:19">
      <c r="A51" s="22">
        <v>27</v>
      </c>
      <c r="B51" s="24" t="s">
        <v>29</v>
      </c>
      <c r="D51" s="24"/>
      <c r="E51" s="24"/>
      <c r="F51" s="32">
        <v>-4775</v>
      </c>
      <c r="G51" s="32">
        <v>-256</v>
      </c>
      <c r="H51" s="32">
        <v>6949</v>
      </c>
      <c r="I51" s="32">
        <v>651</v>
      </c>
      <c r="J51" s="32">
        <v>655</v>
      </c>
      <c r="K51" s="32">
        <v>-3110</v>
      </c>
      <c r="L51" s="32">
        <v>6693</v>
      </c>
      <c r="M51" s="32">
        <v>5010</v>
      </c>
      <c r="N51" s="32">
        <v>506</v>
      </c>
      <c r="O51" s="32">
        <v>2468</v>
      </c>
      <c r="P51" s="32">
        <v>-5811</v>
      </c>
      <c r="Q51" s="32">
        <v>-907.43454415000008</v>
      </c>
      <c r="R51" s="32">
        <v>-1185</v>
      </c>
      <c r="S51" s="32">
        <v>4253</v>
      </c>
    </row>
    <row r="52" spans="1:19">
      <c r="A52" s="22">
        <v>28</v>
      </c>
      <c r="B52" s="24" t="s">
        <v>46</v>
      </c>
      <c r="D52" s="24"/>
      <c r="E52" s="24"/>
      <c r="F52" s="32"/>
      <c r="G52" s="32"/>
      <c r="H52" s="32"/>
      <c r="I52" s="32"/>
      <c r="J52" s="32"/>
      <c r="K52" s="32"/>
      <c r="L52" s="32"/>
      <c r="M52" s="32"/>
      <c r="N52" s="32"/>
      <c r="O52" s="32"/>
      <c r="P52" s="32"/>
      <c r="Q52" s="32">
        <v>62.982525000000003</v>
      </c>
      <c r="R52" s="32">
        <v>3</v>
      </c>
      <c r="S52" s="32">
        <v>-56</v>
      </c>
    </row>
    <row r="53" spans="1:19">
      <c r="A53" s="22">
        <v>29</v>
      </c>
      <c r="B53" s="24" t="s">
        <v>30</v>
      </c>
      <c r="D53" s="24"/>
      <c r="E53" s="24"/>
      <c r="F53" s="32">
        <v>6605</v>
      </c>
      <c r="G53" s="32">
        <v>3078</v>
      </c>
      <c r="H53" s="32">
        <v>-6302</v>
      </c>
      <c r="I53" s="32">
        <v>325</v>
      </c>
      <c r="J53" s="32">
        <v>2340</v>
      </c>
      <c r="K53" s="32">
        <v>5522</v>
      </c>
      <c r="L53" s="32">
        <v>-3072</v>
      </c>
      <c r="M53" s="32">
        <v>-1442</v>
      </c>
      <c r="N53" s="32">
        <v>3320</v>
      </c>
      <c r="O53" s="32">
        <v>1238</v>
      </c>
      <c r="P53" s="32">
        <v>9594</v>
      </c>
      <c r="Q53" s="32">
        <v>5691</v>
      </c>
      <c r="R53" s="32">
        <v>5033</v>
      </c>
      <c r="S53" s="32">
        <v>1403</v>
      </c>
    </row>
    <row r="54" spans="1:19" s="23" customFormat="1">
      <c r="A54" s="22">
        <v>30</v>
      </c>
      <c r="B54" s="24" t="s">
        <v>31</v>
      </c>
      <c r="C54" s="3"/>
      <c r="D54" s="24"/>
      <c r="E54" s="24"/>
      <c r="F54" s="33">
        <v>-31</v>
      </c>
      <c r="G54" s="33">
        <v>-30</v>
      </c>
      <c r="H54" s="33">
        <v>-31</v>
      </c>
      <c r="I54" s="33">
        <v>-31</v>
      </c>
      <c r="J54" s="33">
        <v>-31</v>
      </c>
      <c r="K54" s="33">
        <v>-30</v>
      </c>
      <c r="L54" s="33">
        <v>-30</v>
      </c>
      <c r="M54" s="33">
        <v>-31</v>
      </c>
      <c r="N54" s="33">
        <v>-31</v>
      </c>
      <c r="O54" s="33">
        <v>-30</v>
      </c>
      <c r="P54" s="33">
        <v>-29</v>
      </c>
      <c r="Q54" s="33">
        <v>-27</v>
      </c>
      <c r="R54" s="33">
        <v>-25</v>
      </c>
      <c r="S54" s="33">
        <v>-24</v>
      </c>
    </row>
    <row r="55" spans="1:19" ht="12.75" customHeight="1">
      <c r="F55" s="32"/>
      <c r="G55" s="32"/>
      <c r="H55" s="32"/>
      <c r="I55" s="32"/>
      <c r="J55" s="32"/>
      <c r="K55" s="32"/>
      <c r="L55" s="32"/>
      <c r="M55" s="32"/>
      <c r="N55" s="32"/>
      <c r="O55" s="32"/>
      <c r="P55" s="32"/>
      <c r="Q55" s="32"/>
      <c r="R55" s="32"/>
      <c r="S55" s="32"/>
    </row>
    <row r="56" spans="1:19" ht="12.75" customHeight="1" thickBot="1">
      <c r="A56" s="22">
        <v>31</v>
      </c>
      <c r="B56" s="23" t="s">
        <v>32</v>
      </c>
      <c r="C56" s="23"/>
      <c r="D56" s="23"/>
      <c r="E56" s="23"/>
      <c r="F56" s="38">
        <f t="shared" ref="F56:L56" si="50">F48-F51-F52-F53-F54</f>
        <v>9609</v>
      </c>
      <c r="G56" s="38">
        <f t="shared" si="50"/>
        <v>10121</v>
      </c>
      <c r="H56" s="38">
        <f t="shared" si="50"/>
        <v>7113</v>
      </c>
      <c r="I56" s="38">
        <f t="shared" si="50"/>
        <v>7077</v>
      </c>
      <c r="J56" s="38">
        <f t="shared" si="50"/>
        <v>11160</v>
      </c>
      <c r="K56" s="38">
        <f t="shared" si="50"/>
        <v>11144</v>
      </c>
      <c r="L56" s="38">
        <f t="shared" si="50"/>
        <v>11666</v>
      </c>
      <c r="M56" s="38">
        <f t="shared" ref="M56:N56" si="51">M48-M51-M52-M53-M54</f>
        <v>11852</v>
      </c>
      <c r="N56" s="38">
        <f t="shared" si="51"/>
        <v>12070</v>
      </c>
      <c r="O56" s="38">
        <f>O48-O51-O52-O53-O54</f>
        <v>11253</v>
      </c>
      <c r="P56" s="38">
        <f>P48-P51-P52-P53-P54</f>
        <v>11047</v>
      </c>
      <c r="Q56" s="38">
        <f>Q48-Q51-Q52-Q53-Q54</f>
        <v>11905.924750150018</v>
      </c>
      <c r="R56" s="38">
        <f>R48-R51-R52-R53-R54</f>
        <v>11301</v>
      </c>
      <c r="S56" s="38">
        <f>S48-S51-S52-S53-S54</f>
        <v>14011</v>
      </c>
    </row>
    <row r="57" spans="1:19" ht="12.75" customHeight="1" thickTop="1">
      <c r="B57" s="23"/>
      <c r="C57" s="23"/>
      <c r="D57" s="23"/>
      <c r="E57" s="23"/>
      <c r="F57" s="212"/>
      <c r="G57" s="212"/>
      <c r="H57" s="212"/>
      <c r="I57" s="212"/>
      <c r="J57" s="212"/>
      <c r="K57" s="212"/>
      <c r="L57" s="212"/>
      <c r="M57" s="212"/>
      <c r="N57" s="212"/>
      <c r="O57" s="212"/>
      <c r="P57" s="212"/>
      <c r="Q57" s="212"/>
      <c r="R57" s="212"/>
    </row>
    <row r="58" spans="1:19" ht="12.6" customHeight="1">
      <c r="B58" s="23"/>
      <c r="C58" s="23"/>
      <c r="D58" s="213" t="s">
        <v>287</v>
      </c>
      <c r="E58" s="23"/>
      <c r="F58" s="212"/>
      <c r="G58" s="212"/>
      <c r="H58" s="212"/>
      <c r="I58" s="212"/>
      <c r="J58" s="212"/>
      <c r="K58" s="212"/>
      <c r="L58" s="212"/>
      <c r="M58" s="212"/>
      <c r="N58" s="212"/>
      <c r="O58" s="212"/>
      <c r="P58" s="212"/>
      <c r="Q58" s="212"/>
      <c r="R58" s="212"/>
    </row>
    <row r="59" spans="1:19" ht="29.1" customHeight="1">
      <c r="A59" s="477"/>
      <c r="B59" s="477"/>
      <c r="C59" s="477"/>
      <c r="D59" s="477"/>
      <c r="E59" s="477"/>
      <c r="F59" s="477"/>
      <c r="G59" s="477"/>
      <c r="H59" s="477"/>
      <c r="I59" s="477"/>
      <c r="J59" s="477"/>
      <c r="K59" s="477"/>
      <c r="L59" s="477"/>
      <c r="M59" s="477"/>
      <c r="N59" s="477"/>
      <c r="O59" s="477"/>
      <c r="P59" s="477"/>
      <c r="Q59" s="477"/>
      <c r="R59" s="477"/>
    </row>
    <row r="60" spans="1:19" ht="39.75" customHeight="1">
      <c r="A60" s="251" t="s">
        <v>43</v>
      </c>
      <c r="R60" s="4"/>
    </row>
    <row r="61" spans="1:19" ht="14.25" customHeight="1">
      <c r="A61" s="251" t="s">
        <v>48</v>
      </c>
      <c r="E61" s="478" t="str">
        <f>E4</f>
        <v>Commission Basis Results of Operations</v>
      </c>
      <c r="F61" s="478"/>
      <c r="G61" s="478"/>
      <c r="H61" s="478"/>
      <c r="I61" s="478"/>
      <c r="J61" s="478"/>
      <c r="K61" s="478"/>
      <c r="L61" s="478"/>
      <c r="M61" s="478"/>
      <c r="N61" s="478"/>
      <c r="O61" s="478"/>
      <c r="P61" s="478"/>
      <c r="Q61" s="478"/>
      <c r="R61" s="478"/>
    </row>
    <row r="62" spans="1:19" ht="0.75" customHeight="1">
      <c r="A62" s="251"/>
      <c r="R62" s="4"/>
    </row>
    <row r="63" spans="1:19" s="6" customFormat="1" ht="14.1" customHeight="1">
      <c r="A63" s="251" t="s">
        <v>39</v>
      </c>
      <c r="B63" s="2"/>
      <c r="C63" s="2"/>
      <c r="D63" s="2"/>
      <c r="E63" s="2"/>
      <c r="F63" s="4"/>
      <c r="G63" s="4"/>
      <c r="H63" s="4"/>
      <c r="I63" s="4"/>
      <c r="J63" s="4"/>
      <c r="K63" s="4"/>
      <c r="L63" s="4"/>
      <c r="M63" s="4"/>
      <c r="N63" s="4"/>
      <c r="O63" s="4"/>
      <c r="P63" s="4"/>
      <c r="Q63" s="4"/>
      <c r="R63" s="4"/>
      <c r="S63" s="24"/>
    </row>
    <row r="64" spans="1:19" s="6" customFormat="1" ht="5.25" customHeight="1">
      <c r="A64" s="2"/>
      <c r="B64" s="3"/>
      <c r="C64" s="3"/>
      <c r="D64" s="3"/>
      <c r="E64" s="3"/>
      <c r="F64" s="4"/>
      <c r="G64" s="4"/>
      <c r="H64" s="4"/>
      <c r="I64" s="4"/>
      <c r="J64" s="4"/>
      <c r="K64" s="4"/>
      <c r="L64" s="4"/>
      <c r="M64" s="4"/>
      <c r="N64" s="4"/>
      <c r="O64" s="4"/>
      <c r="P64" s="4"/>
      <c r="Q64" s="4"/>
      <c r="R64" s="4"/>
    </row>
    <row r="65" spans="1:19" s="6" customFormat="1" ht="6.75" customHeight="1">
      <c r="A65" s="5"/>
      <c r="F65" s="7"/>
      <c r="G65" s="7"/>
      <c r="H65" s="7"/>
      <c r="I65" s="7"/>
      <c r="J65" s="7"/>
      <c r="K65" s="7"/>
      <c r="L65" s="7"/>
      <c r="M65" s="7"/>
      <c r="N65" s="7"/>
      <c r="O65" s="7"/>
      <c r="P65" s="7"/>
      <c r="Q65" s="7"/>
      <c r="R65" s="7"/>
    </row>
    <row r="66" spans="1:19" s="6" customFormat="1">
      <c r="A66" s="8"/>
      <c r="B66" s="9"/>
      <c r="C66" s="10"/>
      <c r="D66" s="11"/>
      <c r="E66" s="11"/>
      <c r="F66" s="39">
        <v>2000</v>
      </c>
      <c r="G66" s="39">
        <v>2001</v>
      </c>
      <c r="H66" s="39">
        <v>2002</v>
      </c>
      <c r="I66" s="39">
        <v>2003</v>
      </c>
      <c r="J66" s="39">
        <v>2004</v>
      </c>
      <c r="K66" s="39">
        <v>2005</v>
      </c>
      <c r="L66" s="39">
        <v>2006</v>
      </c>
      <c r="M66" s="39">
        <v>2007</v>
      </c>
      <c r="N66" s="39">
        <v>2008</v>
      </c>
      <c r="O66" s="39">
        <v>2009</v>
      </c>
      <c r="P66" s="39">
        <v>2010</v>
      </c>
      <c r="Q66" s="39">
        <v>2011</v>
      </c>
      <c r="R66" s="39">
        <v>2012</v>
      </c>
      <c r="S66" s="39">
        <v>2013</v>
      </c>
    </row>
    <row r="67" spans="1:19">
      <c r="A67" s="12" t="s">
        <v>0</v>
      </c>
      <c r="B67" s="13"/>
      <c r="C67" s="14"/>
      <c r="D67" s="15"/>
      <c r="E67" s="15"/>
      <c r="F67" s="16" t="s">
        <v>1</v>
      </c>
      <c r="G67" s="16" t="s">
        <v>1</v>
      </c>
      <c r="H67" s="16" t="s">
        <v>1</v>
      </c>
      <c r="I67" s="16" t="s">
        <v>1</v>
      </c>
      <c r="J67" s="16" t="s">
        <v>1</v>
      </c>
      <c r="K67" s="16" t="s">
        <v>1</v>
      </c>
      <c r="L67" s="16" t="s">
        <v>1</v>
      </c>
      <c r="M67" s="16" t="s">
        <v>1</v>
      </c>
      <c r="N67" s="16" t="s">
        <v>1</v>
      </c>
      <c r="O67" s="16" t="s">
        <v>1</v>
      </c>
      <c r="P67" s="16" t="s">
        <v>1</v>
      </c>
      <c r="Q67" s="16" t="s">
        <v>1</v>
      </c>
      <c r="R67" s="16" t="s">
        <v>1</v>
      </c>
      <c r="S67" s="16" t="s">
        <v>1</v>
      </c>
    </row>
    <row r="68" spans="1:19">
      <c r="A68" s="17" t="s">
        <v>2</v>
      </c>
      <c r="B68" s="18"/>
      <c r="C68" s="19"/>
      <c r="D68" s="20" t="s">
        <v>3</v>
      </c>
      <c r="E68" s="20"/>
      <c r="F68" s="21" t="s">
        <v>5</v>
      </c>
      <c r="G68" s="21" t="s">
        <v>5</v>
      </c>
      <c r="H68" s="21" t="s">
        <v>5</v>
      </c>
      <c r="I68" s="21" t="s">
        <v>5</v>
      </c>
      <c r="J68" s="21" t="s">
        <v>5</v>
      </c>
      <c r="K68" s="21" t="s">
        <v>5</v>
      </c>
      <c r="L68" s="21" t="s">
        <v>5</v>
      </c>
      <c r="M68" s="21" t="s">
        <v>5</v>
      </c>
      <c r="N68" s="21" t="s">
        <v>5</v>
      </c>
      <c r="O68" s="21" t="s">
        <v>5</v>
      </c>
      <c r="P68" s="21" t="s">
        <v>5</v>
      </c>
      <c r="Q68" s="21" t="s">
        <v>5</v>
      </c>
      <c r="R68" s="21" t="s">
        <v>5</v>
      </c>
      <c r="S68" s="21" t="s">
        <v>5</v>
      </c>
    </row>
    <row r="69" spans="1:19" ht="8.25" customHeight="1">
      <c r="F69" s="32"/>
      <c r="G69" s="32"/>
      <c r="H69" s="32"/>
      <c r="I69" s="32"/>
      <c r="J69" s="32"/>
      <c r="K69" s="32"/>
      <c r="L69" s="32"/>
      <c r="M69" s="32"/>
      <c r="N69" s="32"/>
      <c r="O69" s="32"/>
      <c r="P69" s="32"/>
      <c r="Q69" s="32"/>
      <c r="R69" s="32"/>
      <c r="S69" s="32"/>
    </row>
    <row r="70" spans="1:19">
      <c r="B70" s="3" t="s">
        <v>40</v>
      </c>
      <c r="F70" s="32"/>
      <c r="G70" s="32"/>
      <c r="H70" s="32"/>
      <c r="I70" s="32"/>
      <c r="J70" s="32"/>
      <c r="K70" s="32"/>
      <c r="L70" s="32"/>
      <c r="M70" s="32"/>
      <c r="N70" s="32"/>
      <c r="O70" s="32"/>
      <c r="P70" s="32"/>
      <c r="Q70" s="32"/>
      <c r="R70" s="32"/>
      <c r="S70" s="32"/>
    </row>
    <row r="71" spans="1:19">
      <c r="B71" s="3" t="s">
        <v>41</v>
      </c>
      <c r="F71" s="32"/>
      <c r="G71" s="32"/>
      <c r="H71" s="32"/>
      <c r="I71" s="32"/>
      <c r="J71" s="32"/>
      <c r="K71" s="32"/>
      <c r="L71" s="32"/>
      <c r="M71" s="32"/>
      <c r="N71" s="32"/>
      <c r="O71" s="32"/>
      <c r="P71" s="32"/>
      <c r="Q71" s="32"/>
      <c r="R71" s="32"/>
      <c r="S71" s="32"/>
    </row>
    <row r="72" spans="1:19">
      <c r="A72" s="22">
        <v>32</v>
      </c>
      <c r="B72" s="24"/>
      <c r="C72" s="24" t="s">
        <v>16</v>
      </c>
      <c r="D72" s="24"/>
      <c r="E72" s="24"/>
      <c r="F72" s="36">
        <v>13695</v>
      </c>
      <c r="G72" s="36">
        <v>13533</v>
      </c>
      <c r="H72" s="36">
        <v>13439</v>
      </c>
      <c r="I72" s="36">
        <v>13712</v>
      </c>
      <c r="J72" s="36">
        <v>13632</v>
      </c>
      <c r="K72" s="36">
        <v>13708</v>
      </c>
      <c r="L72" s="36">
        <v>13854</v>
      </c>
      <c r="M72" s="36">
        <v>13758</v>
      </c>
      <c r="N72" s="36">
        <v>15260</v>
      </c>
      <c r="O72" s="36">
        <v>21798</v>
      </c>
      <c r="P72" s="36">
        <v>20047</v>
      </c>
      <c r="Q72" s="36">
        <v>22008</v>
      </c>
      <c r="R72" s="36">
        <v>24365</v>
      </c>
      <c r="S72" s="36">
        <v>24711</v>
      </c>
    </row>
    <row r="73" spans="1:19" ht="18" customHeight="1">
      <c r="A73" s="22">
        <v>33</v>
      </c>
      <c r="B73" s="24"/>
      <c r="C73" s="24" t="s">
        <v>33</v>
      </c>
      <c r="D73" s="24"/>
      <c r="E73" s="24"/>
      <c r="F73" s="32">
        <f>'Reg Amort and Other RB'!E36-'Reg Amort and Other RB'!E66</f>
        <v>169436</v>
      </c>
      <c r="G73" s="32">
        <f>'Reg Amort and Other RB'!F36-'Reg Amort and Other RB'!F66</f>
        <v>178943</v>
      </c>
      <c r="H73" s="32">
        <f>'Reg Amort and Other RB'!G36-'Reg Amort and Other RB'!G66</f>
        <v>185314</v>
      </c>
      <c r="I73" s="32">
        <f>'Reg Amort and Other RB'!H36-'Reg Amort and Other RB'!H66</f>
        <v>191970</v>
      </c>
      <c r="J73" s="32">
        <f>'Reg Amort and Other RB'!I36-'Reg Amort and Other RB'!I66</f>
        <v>200079</v>
      </c>
      <c r="K73" s="32">
        <f>'Reg Amort and Other RB'!J36-'Reg Amort and Other RB'!J66</f>
        <v>208396</v>
      </c>
      <c r="L73" s="32">
        <f>'Reg Amort and Other RB'!K36-'Reg Amort and Other RB'!K66</f>
        <v>219287</v>
      </c>
      <c r="M73" s="32">
        <f>'Reg Amort and Other RB'!L36-'Reg Amort and Other RB'!L66</f>
        <v>229417</v>
      </c>
      <c r="N73" s="32">
        <f>'Reg Amort and Other RB'!M36-'Reg Amort and Other RB'!M66</f>
        <v>240778</v>
      </c>
      <c r="O73" s="32">
        <f>'Reg Amort and Other RB'!N36-'Reg Amort and Other RB'!N66</f>
        <v>255976</v>
      </c>
      <c r="P73" s="32">
        <f>'Reg Amort and Other RB'!O36-'Reg Amort and Other RB'!O66</f>
        <v>269469</v>
      </c>
      <c r="Q73" s="32">
        <f>'Reg Amort and Other RB'!P36-'Reg Amort and Other RB'!P66</f>
        <v>281279</v>
      </c>
      <c r="R73" s="32">
        <f>'Reg Amort and Other RB'!Q36-'Reg Amort and Other RB'!Q66</f>
        <v>296152</v>
      </c>
      <c r="S73" s="336">
        <f>'Reg Amort and Other RB'!R36-'Reg Amort and Other RB'!R66</f>
        <v>313469</v>
      </c>
    </row>
    <row r="74" spans="1:19" ht="12.6" customHeight="1">
      <c r="A74" s="22">
        <v>34</v>
      </c>
      <c r="B74" s="24"/>
      <c r="C74" s="24" t="s">
        <v>34</v>
      </c>
      <c r="D74" s="24"/>
      <c r="E74" s="24"/>
      <c r="F74" s="33">
        <v>14347</v>
      </c>
      <c r="G74" s="33">
        <v>15060</v>
      </c>
      <c r="H74" s="33">
        <v>15368</v>
      </c>
      <c r="I74" s="33">
        <v>16112</v>
      </c>
      <c r="J74" s="33">
        <v>16499</v>
      </c>
      <c r="K74" s="33">
        <v>17878</v>
      </c>
      <c r="L74" s="33">
        <v>20791</v>
      </c>
      <c r="M74" s="33">
        <v>21708</v>
      </c>
      <c r="N74" s="33">
        <v>24256</v>
      </c>
      <c r="O74" s="33">
        <v>27747</v>
      </c>
      <c r="P74" s="33">
        <v>33401</v>
      </c>
      <c r="Q74" s="33">
        <v>38971</v>
      </c>
      <c r="R74" s="33">
        <v>44809</v>
      </c>
      <c r="S74" s="33">
        <v>52223</v>
      </c>
    </row>
    <row r="75" spans="1:19">
      <c r="A75" s="22">
        <v>35</v>
      </c>
      <c r="B75" s="24" t="s">
        <v>35</v>
      </c>
      <c r="C75" s="24"/>
      <c r="F75" s="32">
        <f t="shared" ref="F75" si="52">SUM(F72:F74)</f>
        <v>197478</v>
      </c>
      <c r="G75" s="32">
        <f t="shared" ref="G75" si="53">SUM(G72:G74)</f>
        <v>207536</v>
      </c>
      <c r="H75" s="32">
        <f t="shared" ref="H75" si="54">SUM(H72:H74)</f>
        <v>214121</v>
      </c>
      <c r="I75" s="32">
        <f t="shared" ref="I75" si="55">SUM(I72:I74)</f>
        <v>221794</v>
      </c>
      <c r="J75" s="32">
        <f t="shared" ref="J75" si="56">SUM(J72:J74)</f>
        <v>230210</v>
      </c>
      <c r="K75" s="32">
        <f t="shared" ref="K75" si="57">SUM(K72:K74)</f>
        <v>239982</v>
      </c>
      <c r="L75" s="32">
        <f t="shared" ref="L75" si="58">SUM(L72:L74)</f>
        <v>253932</v>
      </c>
      <c r="M75" s="32">
        <f t="shared" ref="M75:N75" si="59">SUM(M72:M74)</f>
        <v>264883</v>
      </c>
      <c r="N75" s="32">
        <f t="shared" si="59"/>
        <v>280294</v>
      </c>
      <c r="O75" s="32">
        <f>SUM(O72:O74)</f>
        <v>305521</v>
      </c>
      <c r="P75" s="32">
        <f>SUM(P72:P74)</f>
        <v>322917</v>
      </c>
      <c r="Q75" s="32">
        <f>SUM(Q72:Q74)</f>
        <v>342258</v>
      </c>
      <c r="R75" s="32">
        <f>SUM(R72:R74)</f>
        <v>365326</v>
      </c>
      <c r="S75" s="32">
        <f>SUM(S72:S74)</f>
        <v>390403</v>
      </c>
    </row>
    <row r="76" spans="1:19">
      <c r="B76" s="24"/>
      <c r="C76" s="24"/>
      <c r="F76" s="32"/>
      <c r="G76" s="32"/>
      <c r="H76" s="32"/>
      <c r="I76" s="32"/>
      <c r="J76" s="32"/>
      <c r="K76" s="32"/>
      <c r="L76" s="32"/>
      <c r="M76" s="32"/>
      <c r="N76" s="32"/>
      <c r="O76" s="32"/>
      <c r="P76" s="32"/>
      <c r="Q76" s="32"/>
      <c r="R76" s="32"/>
      <c r="S76" s="32"/>
    </row>
    <row r="77" spans="1:19">
      <c r="B77" s="24" t="s">
        <v>49</v>
      </c>
      <c r="C77" s="24"/>
      <c r="D77" s="24"/>
      <c r="E77" s="24"/>
      <c r="F77" s="32"/>
      <c r="G77" s="32"/>
      <c r="H77" s="32"/>
      <c r="I77" s="32"/>
      <c r="J77" s="32"/>
      <c r="K77" s="32"/>
      <c r="L77" s="32"/>
      <c r="M77" s="32"/>
      <c r="N77" s="32"/>
      <c r="O77" s="32"/>
      <c r="P77" s="32"/>
      <c r="Q77" s="32"/>
      <c r="R77" s="32"/>
      <c r="S77" s="32"/>
    </row>
    <row r="78" spans="1:19">
      <c r="A78" s="22">
        <v>36</v>
      </c>
      <c r="B78" s="24"/>
      <c r="C78" s="24" t="s">
        <v>16</v>
      </c>
      <c r="D78" s="24"/>
      <c r="E78" s="24"/>
      <c r="F78" s="32">
        <v>6192</v>
      </c>
      <c r="G78" s="32">
        <v>6220</v>
      </c>
      <c r="H78" s="32">
        <v>6115</v>
      </c>
      <c r="I78" s="32">
        <v>6495</v>
      </c>
      <c r="J78" s="32">
        <v>6659</v>
      </c>
      <c r="K78" s="32">
        <v>6924</v>
      </c>
      <c r="L78" s="32">
        <v>7249</v>
      </c>
      <c r="M78" s="32">
        <v>7427</v>
      </c>
      <c r="N78" s="32">
        <v>7581</v>
      </c>
      <c r="O78" s="32">
        <v>7807</v>
      </c>
      <c r="P78" s="32">
        <v>7912</v>
      </c>
      <c r="Q78" s="32">
        <v>8286</v>
      </c>
      <c r="R78" s="32">
        <v>8677</v>
      </c>
      <c r="S78" s="32">
        <v>9088</v>
      </c>
    </row>
    <row r="79" spans="1:19">
      <c r="A79" s="22">
        <v>37</v>
      </c>
      <c r="B79" s="24"/>
      <c r="C79" s="24" t="s">
        <v>33</v>
      </c>
      <c r="D79" s="24"/>
      <c r="E79" s="24"/>
      <c r="F79" s="32">
        <v>47423</v>
      </c>
      <c r="G79" s="32">
        <v>51645</v>
      </c>
      <c r="H79" s="32">
        <v>55845</v>
      </c>
      <c r="I79" s="32">
        <v>60239</v>
      </c>
      <c r="J79" s="32">
        <v>64817</v>
      </c>
      <c r="K79" s="32">
        <v>69428</v>
      </c>
      <c r="L79" s="32">
        <v>74019</v>
      </c>
      <c r="M79" s="32">
        <v>77997</v>
      </c>
      <c r="N79" s="32">
        <v>81405</v>
      </c>
      <c r="O79" s="32">
        <v>84021</v>
      </c>
      <c r="P79" s="32">
        <v>89620</v>
      </c>
      <c r="Q79" s="32">
        <v>97489</v>
      </c>
      <c r="R79" s="32">
        <v>102678</v>
      </c>
      <c r="S79" s="32">
        <v>108662</v>
      </c>
    </row>
    <row r="80" spans="1:19">
      <c r="A80" s="22">
        <v>38</v>
      </c>
      <c r="B80" s="24"/>
      <c r="C80" s="24" t="s">
        <v>34</v>
      </c>
      <c r="D80" s="24"/>
      <c r="E80" s="24"/>
      <c r="F80" s="32">
        <v>5661</v>
      </c>
      <c r="G80" s="32">
        <v>5695</v>
      </c>
      <c r="H80" s="32">
        <v>6442</v>
      </c>
      <c r="I80" s="32">
        <v>7446</v>
      </c>
      <c r="J80" s="32">
        <v>6984</v>
      </c>
      <c r="K80" s="32">
        <v>7208</v>
      </c>
      <c r="L80" s="32">
        <v>7230</v>
      </c>
      <c r="M80" s="32">
        <v>7136</v>
      </c>
      <c r="N80" s="32">
        <v>8309</v>
      </c>
      <c r="O80" s="32">
        <v>8882</v>
      </c>
      <c r="P80" s="32">
        <v>10722</v>
      </c>
      <c r="Q80" s="32">
        <v>10926</v>
      </c>
      <c r="R80" s="32">
        <v>12186</v>
      </c>
      <c r="S80" s="32">
        <v>14724</v>
      </c>
    </row>
    <row r="81" spans="1:19" s="27" customFormat="1" ht="18.95" customHeight="1">
      <c r="A81" s="22">
        <v>39</v>
      </c>
      <c r="B81" s="24" t="s">
        <v>53</v>
      </c>
      <c r="C81" s="24"/>
      <c r="D81" s="3"/>
      <c r="E81" s="3"/>
      <c r="F81" s="34">
        <f t="shared" ref="F81" si="60">SUM(F78:F80)</f>
        <v>59276</v>
      </c>
      <c r="G81" s="34">
        <f t="shared" ref="G81" si="61">SUM(G78:G80)</f>
        <v>63560</v>
      </c>
      <c r="H81" s="34">
        <f t="shared" ref="H81" si="62">SUM(H78:H80)</f>
        <v>68402</v>
      </c>
      <c r="I81" s="34">
        <f t="shared" ref="I81" si="63">SUM(I78:I80)</f>
        <v>74180</v>
      </c>
      <c r="J81" s="34">
        <f t="shared" ref="J81" si="64">SUM(J78:J80)</f>
        <v>78460</v>
      </c>
      <c r="K81" s="34">
        <f t="shared" ref="K81" si="65">SUM(K78:K80)</f>
        <v>83560</v>
      </c>
      <c r="L81" s="34">
        <f t="shared" ref="L81" si="66">SUM(L78:L80)</f>
        <v>88498</v>
      </c>
      <c r="M81" s="34">
        <f t="shared" ref="M81:N81" si="67">SUM(M78:M80)</f>
        <v>92560</v>
      </c>
      <c r="N81" s="34">
        <f t="shared" si="67"/>
        <v>97295</v>
      </c>
      <c r="O81" s="34">
        <f>SUM(O78:O80)</f>
        <v>100710</v>
      </c>
      <c r="P81" s="34">
        <f>SUM(P78:P80)</f>
        <v>108254</v>
      </c>
      <c r="Q81" s="34">
        <f>SUM(Q78:Q80)</f>
        <v>116701</v>
      </c>
      <c r="R81" s="34">
        <f>SUM(R78:R80)</f>
        <v>123541</v>
      </c>
      <c r="S81" s="34">
        <f>SUM(S78:S80)</f>
        <v>132474</v>
      </c>
    </row>
    <row r="82" spans="1:19" s="27" customFormat="1" ht="18.95" customHeight="1">
      <c r="A82" s="22">
        <v>40</v>
      </c>
      <c r="B82" s="24" t="s">
        <v>44</v>
      </c>
      <c r="C82" s="24"/>
      <c r="D82" s="24"/>
      <c r="E82" s="24"/>
      <c r="F82" s="35">
        <f t="shared" ref="F82" si="68">F75-F81</f>
        <v>138202</v>
      </c>
      <c r="G82" s="35">
        <f t="shared" ref="G82" si="69">G75-G81</f>
        <v>143976</v>
      </c>
      <c r="H82" s="35">
        <f t="shared" ref="H82" si="70">H75-H81</f>
        <v>145719</v>
      </c>
      <c r="I82" s="35">
        <f t="shared" ref="I82" si="71">I75-I81</f>
        <v>147614</v>
      </c>
      <c r="J82" s="35">
        <f t="shared" ref="J82" si="72">J75-J81</f>
        <v>151750</v>
      </c>
      <c r="K82" s="35">
        <f t="shared" ref="K82" si="73">K75-K81</f>
        <v>156422</v>
      </c>
      <c r="L82" s="35">
        <f t="shared" ref="L82" si="74">L75-L81</f>
        <v>165434</v>
      </c>
      <c r="M82" s="35">
        <f t="shared" ref="M82:N82" si="75">M75-M81</f>
        <v>172323</v>
      </c>
      <c r="N82" s="35">
        <f t="shared" si="75"/>
        <v>182999</v>
      </c>
      <c r="O82" s="35">
        <f>O75-O81</f>
        <v>204811</v>
      </c>
      <c r="P82" s="35">
        <f>P75-P81</f>
        <v>214663</v>
      </c>
      <c r="Q82" s="35">
        <f>Q75-Q81</f>
        <v>225557</v>
      </c>
      <c r="R82" s="35">
        <f>R75-R81</f>
        <v>241785</v>
      </c>
      <c r="S82" s="35">
        <f>S75-S81</f>
        <v>257929</v>
      </c>
    </row>
    <row r="83" spans="1:19">
      <c r="A83" s="25">
        <v>41</v>
      </c>
      <c r="B83" s="26" t="s">
        <v>42</v>
      </c>
      <c r="C83" s="26"/>
      <c r="D83" s="26"/>
      <c r="E83" s="26"/>
      <c r="F83" s="33">
        <f>'Reg Amort and Other RB'!E46-'Reg Amort and Other RB'!E67</f>
        <v>-13317</v>
      </c>
      <c r="G83" s="33">
        <f>'Reg Amort and Other RB'!F46-'Reg Amort and Other RB'!F67</f>
        <v>-14476</v>
      </c>
      <c r="H83" s="33">
        <f>'Reg Amort and Other RB'!G46-'Reg Amort and Other RB'!G67</f>
        <v>-15979</v>
      </c>
      <c r="I83" s="33">
        <f>'Reg Amort and Other RB'!H46-'Reg Amort and Other RB'!H67</f>
        <v>-22570</v>
      </c>
      <c r="J83" s="33">
        <f>'Reg Amort and Other RB'!I46-'Reg Amort and Other RB'!I67</f>
        <v>-26800</v>
      </c>
      <c r="K83" s="33">
        <f>'Reg Amort and Other RB'!J46-'Reg Amort and Other RB'!J67</f>
        <v>-23805</v>
      </c>
      <c r="L83" s="33">
        <f>'Reg Amort and Other RB'!K46-'Reg Amort and Other RB'!K67</f>
        <v>-24645</v>
      </c>
      <c r="M83" s="33">
        <f>'Reg Amort and Other RB'!L46-'Reg Amort and Other RB'!L67</f>
        <v>-26823</v>
      </c>
      <c r="N83" s="33">
        <f>'Reg Amort and Other RB'!M46-'Reg Amort and Other RB'!M67</f>
        <v>-28945</v>
      </c>
      <c r="O83" s="33">
        <f>'Reg Amort and Other RB'!N46-'Reg Amort and Other RB'!N67</f>
        <v>-31005</v>
      </c>
      <c r="P83" s="33">
        <f>'Reg Amort and Other RB'!O46-'Reg Amort and Other RB'!O67</f>
        <v>-36762</v>
      </c>
      <c r="Q83" s="33">
        <f>'Reg Amort and Other RB'!P46-'Reg Amort and Other RB'!P67</f>
        <v>-42004</v>
      </c>
      <c r="R83" s="33">
        <f>'Reg Amort and Other RB'!Q46-'Reg Amort and Other RB'!Q67</f>
        <v>-46498</v>
      </c>
      <c r="S83" s="338">
        <f>'Reg Amort and Other RB'!R46-'Reg Amort and Other RB'!R67</f>
        <v>-50170</v>
      </c>
    </row>
    <row r="84" spans="1:19" s="27" customFormat="1">
      <c r="A84" s="25">
        <v>42</v>
      </c>
      <c r="B84" s="26" t="s">
        <v>50</v>
      </c>
      <c r="C84" s="26"/>
      <c r="D84" s="26"/>
      <c r="E84" s="26"/>
      <c r="F84" s="35">
        <f t="shared" ref="F84" si="76">F82+F83</f>
        <v>124885</v>
      </c>
      <c r="G84" s="35">
        <f t="shared" ref="G84" si="77">G82+G83</f>
        <v>129500</v>
      </c>
      <c r="H84" s="35">
        <f t="shared" ref="H84" si="78">H82+H83</f>
        <v>129740</v>
      </c>
      <c r="I84" s="35">
        <f t="shared" ref="I84" si="79">I82+I83</f>
        <v>125044</v>
      </c>
      <c r="J84" s="35">
        <f t="shared" ref="J84" si="80">J82+J83</f>
        <v>124950</v>
      </c>
      <c r="K84" s="35">
        <f t="shared" ref="K84" si="81">K82+K83</f>
        <v>132617</v>
      </c>
      <c r="L84" s="35">
        <f t="shared" ref="L84" si="82">L82+L83</f>
        <v>140789</v>
      </c>
      <c r="M84" s="35">
        <f t="shared" ref="M84:N84" si="83">M82+M83</f>
        <v>145500</v>
      </c>
      <c r="N84" s="35">
        <f t="shared" si="83"/>
        <v>154054</v>
      </c>
      <c r="O84" s="35">
        <f>O82+O83</f>
        <v>173806</v>
      </c>
      <c r="P84" s="35">
        <f>P82+P83</f>
        <v>177901</v>
      </c>
      <c r="Q84" s="35">
        <f>Q82+Q83</f>
        <v>183553</v>
      </c>
      <c r="R84" s="35">
        <f>R82+R83</f>
        <v>195287</v>
      </c>
      <c r="S84" s="35">
        <f>S82+S83</f>
        <v>207759</v>
      </c>
    </row>
    <row r="85" spans="1:19" s="27" customFormat="1">
      <c r="A85" s="22">
        <v>43</v>
      </c>
      <c r="B85" s="24" t="s">
        <v>36</v>
      </c>
      <c r="C85" s="24"/>
      <c r="D85" s="24"/>
      <c r="E85" s="24"/>
      <c r="F85" s="32">
        <v>2810</v>
      </c>
      <c r="G85" s="32">
        <v>3190</v>
      </c>
      <c r="H85" s="32">
        <v>4191</v>
      </c>
      <c r="I85" s="32">
        <v>4568</v>
      </c>
      <c r="J85" s="32">
        <v>4807</v>
      </c>
      <c r="K85" s="32">
        <v>6936</v>
      </c>
      <c r="L85" s="32">
        <v>7628</v>
      </c>
      <c r="M85" s="32">
        <v>5607</v>
      </c>
      <c r="N85" s="32">
        <v>15327</v>
      </c>
      <c r="O85" s="32">
        <v>8440</v>
      </c>
      <c r="P85" s="32">
        <v>10226</v>
      </c>
      <c r="Q85" s="32">
        <v>13753</v>
      </c>
      <c r="R85" s="32">
        <v>13107</v>
      </c>
      <c r="S85" s="32">
        <v>11702</v>
      </c>
    </row>
    <row r="86" spans="1:19">
      <c r="A86" s="25">
        <v>44</v>
      </c>
      <c r="B86" s="26" t="s">
        <v>37</v>
      </c>
      <c r="C86" s="26"/>
      <c r="D86" s="26"/>
      <c r="E86" s="26"/>
      <c r="F86" s="35">
        <v>-517</v>
      </c>
      <c r="G86" s="35">
        <v>-470</v>
      </c>
      <c r="H86" s="35">
        <v>-424</v>
      </c>
      <c r="I86" s="35">
        <v>-378</v>
      </c>
      <c r="J86" s="35">
        <v>-243</v>
      </c>
      <c r="K86" s="35">
        <v>-286</v>
      </c>
      <c r="L86" s="35">
        <v>-153</v>
      </c>
      <c r="M86" s="35">
        <v>-197</v>
      </c>
      <c r="N86" s="35">
        <v>-152</v>
      </c>
      <c r="O86" s="35">
        <v>-109</v>
      </c>
      <c r="P86" s="35">
        <v>-44</v>
      </c>
      <c r="Q86" s="35">
        <v>-14</v>
      </c>
      <c r="R86" s="35">
        <v>0</v>
      </c>
      <c r="S86" s="35">
        <v>0</v>
      </c>
    </row>
    <row r="87" spans="1:19" ht="15" customHeight="1">
      <c r="A87" s="25">
        <v>45</v>
      </c>
      <c r="B87" s="26" t="s">
        <v>54</v>
      </c>
      <c r="C87" s="26"/>
      <c r="D87" s="26"/>
      <c r="E87" s="26"/>
      <c r="F87" s="35">
        <f>'Reg Amort and Other RB'!E64</f>
        <v>3742</v>
      </c>
      <c r="G87" s="35">
        <f>'Reg Amort and Other RB'!F64</f>
        <v>3304</v>
      </c>
      <c r="H87" s="35">
        <f>'Reg Amort and Other RB'!G64</f>
        <v>2855</v>
      </c>
      <c r="I87" s="35">
        <f>'Reg Amort and Other RB'!H64</f>
        <v>2393</v>
      </c>
      <c r="J87" s="35">
        <f>'Reg Amort and Other RB'!I64</f>
        <v>1204</v>
      </c>
      <c r="K87" s="35">
        <f>'Reg Amort and Other RB'!J64</f>
        <v>1529</v>
      </c>
      <c r="L87" s="35">
        <f>'Reg Amort and Other RB'!K64</f>
        <v>1098</v>
      </c>
      <c r="M87" s="35">
        <f>'Reg Amort and Other RB'!L64</f>
        <v>789</v>
      </c>
      <c r="N87" s="35">
        <f>'Reg Amort and Other RB'!M64</f>
        <v>452</v>
      </c>
      <c r="O87" s="35">
        <f>'Reg Amort and Other RB'!N64</f>
        <v>-1359</v>
      </c>
      <c r="P87" s="35">
        <f>'Reg Amort and Other RB'!O64</f>
        <v>-1163</v>
      </c>
      <c r="Q87" s="35">
        <f>'Reg Amort and Other RB'!P64</f>
        <v>-1012</v>
      </c>
      <c r="R87" s="35">
        <f>'Reg Amort and Other RB'!Q64</f>
        <v>-816</v>
      </c>
      <c r="S87" s="339">
        <f>'Reg Amort and Other RB'!R64</f>
        <v>-332</v>
      </c>
    </row>
    <row r="88" spans="1:19" ht="13.35" customHeight="1">
      <c r="A88" s="22">
        <v>46</v>
      </c>
      <c r="B88" s="24" t="s">
        <v>45</v>
      </c>
      <c r="C88" s="24"/>
      <c r="D88" s="24"/>
      <c r="E88" s="24"/>
      <c r="F88" s="33">
        <v>0</v>
      </c>
      <c r="G88" s="33">
        <v>0</v>
      </c>
      <c r="H88" s="33">
        <v>0</v>
      </c>
      <c r="I88" s="33">
        <v>0</v>
      </c>
      <c r="J88" s="33">
        <v>0</v>
      </c>
      <c r="K88" s="33">
        <v>0</v>
      </c>
      <c r="L88" s="33">
        <v>0</v>
      </c>
      <c r="M88" s="33">
        <v>0</v>
      </c>
      <c r="N88" s="33">
        <v>0</v>
      </c>
      <c r="O88" s="33">
        <v>0</v>
      </c>
      <c r="P88" s="33">
        <v>0</v>
      </c>
      <c r="Q88" s="33">
        <v>0</v>
      </c>
      <c r="R88" s="33">
        <v>0</v>
      </c>
      <c r="S88" s="33">
        <v>5695</v>
      </c>
    </row>
    <row r="89" spans="1:19" s="37" customFormat="1">
      <c r="A89" s="22"/>
      <c r="B89" s="3"/>
      <c r="C89" s="3"/>
      <c r="D89" s="3"/>
      <c r="E89" s="3"/>
      <c r="F89" s="4"/>
      <c r="G89" s="4"/>
      <c r="H89" s="4"/>
      <c r="I89" s="4"/>
      <c r="J89" s="4"/>
      <c r="K89" s="4"/>
      <c r="L89" s="4"/>
      <c r="M89" s="4"/>
      <c r="N89" s="4"/>
      <c r="O89" s="4"/>
      <c r="P89" s="4"/>
      <c r="Q89" s="4"/>
      <c r="R89" s="4"/>
      <c r="S89" s="4"/>
    </row>
    <row r="90" spans="1:19" s="28" customFormat="1">
      <c r="A90" s="22"/>
      <c r="B90" s="3"/>
      <c r="C90" s="3"/>
      <c r="D90" s="3"/>
      <c r="E90" s="3"/>
      <c r="F90" s="32"/>
      <c r="G90" s="32"/>
      <c r="H90" s="32"/>
      <c r="I90" s="32"/>
      <c r="J90" s="32"/>
      <c r="K90" s="32"/>
      <c r="L90" s="32"/>
      <c r="M90" s="32"/>
      <c r="N90" s="32"/>
      <c r="O90" s="32"/>
      <c r="P90" s="32"/>
      <c r="Q90" s="32"/>
      <c r="R90" s="32"/>
      <c r="S90" s="32"/>
    </row>
    <row r="91" spans="1:19" s="28" customFormat="1" ht="12.75" thickBot="1">
      <c r="A91" s="5">
        <v>47</v>
      </c>
      <c r="B91" s="37" t="s">
        <v>38</v>
      </c>
      <c r="C91" s="37"/>
      <c r="D91" s="37"/>
      <c r="E91" s="37"/>
      <c r="F91" s="38">
        <f t="shared" ref="F91:L91" si="84">SUM(F84:F88)</f>
        <v>130920</v>
      </c>
      <c r="G91" s="38">
        <f t="shared" si="84"/>
        <v>135524</v>
      </c>
      <c r="H91" s="38">
        <f t="shared" si="84"/>
        <v>136362</v>
      </c>
      <c r="I91" s="38">
        <f t="shared" si="84"/>
        <v>131627</v>
      </c>
      <c r="J91" s="38">
        <f t="shared" si="84"/>
        <v>130718</v>
      </c>
      <c r="K91" s="38">
        <f t="shared" si="84"/>
        <v>140796</v>
      </c>
      <c r="L91" s="38">
        <f t="shared" si="84"/>
        <v>149362</v>
      </c>
      <c r="M91" s="38">
        <f t="shared" ref="M91:N91" si="85">SUM(M84:M88)</f>
        <v>151699</v>
      </c>
      <c r="N91" s="38">
        <f t="shared" si="85"/>
        <v>169681</v>
      </c>
      <c r="O91" s="38">
        <f>SUM(O84:O88)</f>
        <v>180778</v>
      </c>
      <c r="P91" s="38">
        <f>SUM(P84:P88)</f>
        <v>186920</v>
      </c>
      <c r="Q91" s="38">
        <f>SUM(Q84:Q88)</f>
        <v>196280</v>
      </c>
      <c r="R91" s="38">
        <f>SUM(R84:R88)</f>
        <v>207578</v>
      </c>
      <c r="S91" s="38">
        <f>SUM(S84:S88)</f>
        <v>224824</v>
      </c>
    </row>
    <row r="92" spans="1:19" s="28" customFormat="1" ht="12.75" thickTop="1">
      <c r="A92" s="5"/>
      <c r="B92" s="37"/>
      <c r="C92" s="37"/>
      <c r="D92" s="37"/>
      <c r="E92" s="37"/>
      <c r="F92" s="212"/>
      <c r="G92" s="212"/>
      <c r="H92" s="212"/>
      <c r="I92" s="212"/>
      <c r="J92" s="212"/>
      <c r="K92" s="212"/>
      <c r="L92" s="212"/>
      <c r="M92" s="212"/>
      <c r="N92" s="212"/>
      <c r="O92" s="212"/>
      <c r="P92" s="212"/>
      <c r="Q92" s="212"/>
      <c r="R92" s="212"/>
    </row>
    <row r="93" spans="1:19" s="28" customFormat="1">
      <c r="A93" s="30"/>
      <c r="D93" s="213" t="s">
        <v>229</v>
      </c>
      <c r="E93" s="31"/>
      <c r="F93" s="29"/>
      <c r="G93" s="29"/>
      <c r="H93" s="29"/>
      <c r="I93" s="29"/>
      <c r="J93" s="29"/>
      <c r="K93" s="29"/>
      <c r="L93" s="29"/>
      <c r="M93" s="29"/>
      <c r="N93" s="29"/>
      <c r="O93" s="29"/>
      <c r="P93" s="29"/>
      <c r="Q93" s="29"/>
      <c r="R93" s="29"/>
    </row>
    <row r="94" spans="1:19" s="28" customFormat="1" ht="5.45" customHeight="1">
      <c r="A94" s="30"/>
      <c r="D94" s="213"/>
      <c r="E94" s="31"/>
      <c r="F94" s="29"/>
      <c r="G94" s="29"/>
      <c r="H94" s="29"/>
      <c r="I94" s="29"/>
      <c r="J94" s="29"/>
      <c r="K94" s="29"/>
      <c r="L94" s="29"/>
      <c r="M94" s="29"/>
      <c r="N94" s="29"/>
      <c r="O94" s="29"/>
      <c r="P94" s="29"/>
      <c r="Q94" s="29"/>
      <c r="R94" s="29"/>
    </row>
    <row r="95" spans="1:19" s="28" customFormat="1" ht="12.75">
      <c r="A95" s="256" t="s">
        <v>43</v>
      </c>
      <c r="D95" s="213"/>
      <c r="E95" s="31"/>
      <c r="F95" s="29"/>
      <c r="G95" s="29"/>
      <c r="H95" s="29"/>
      <c r="I95" s="29"/>
      <c r="J95" s="29"/>
      <c r="K95" s="29"/>
      <c r="L95" s="29"/>
      <c r="M95" s="29"/>
      <c r="N95" s="29"/>
      <c r="O95" s="29"/>
      <c r="P95" s="29"/>
      <c r="Q95" s="29"/>
      <c r="R95" s="29"/>
    </row>
    <row r="96" spans="1:19" s="28" customFormat="1" ht="12.75">
      <c r="A96" s="256" t="s">
        <v>48</v>
      </c>
      <c r="D96" s="213"/>
      <c r="E96" s="31"/>
      <c r="F96" s="29"/>
      <c r="G96" s="29"/>
      <c r="H96" s="29"/>
      <c r="I96" s="29"/>
      <c r="J96" s="29"/>
      <c r="K96" s="29"/>
      <c r="L96" s="29"/>
      <c r="M96" s="29"/>
      <c r="N96" s="29"/>
      <c r="O96" s="29"/>
      <c r="P96" s="29"/>
      <c r="Q96" s="29"/>
      <c r="R96" s="29"/>
    </row>
    <row r="97" spans="1:19" s="28" customFormat="1" ht="12.75">
      <c r="A97" s="256" t="s">
        <v>39</v>
      </c>
      <c r="D97" s="213"/>
      <c r="E97" s="31"/>
      <c r="F97" s="29"/>
      <c r="G97" s="29"/>
      <c r="H97" s="29"/>
      <c r="I97" s="29"/>
      <c r="J97" s="29"/>
      <c r="K97" s="29"/>
      <c r="L97" s="29"/>
      <c r="M97" s="29"/>
      <c r="N97" s="29"/>
      <c r="O97" s="29"/>
      <c r="P97" s="29"/>
      <c r="Q97" s="29"/>
      <c r="R97" s="29"/>
    </row>
    <row r="98" spans="1:19" s="28" customFormat="1" ht="15.75">
      <c r="A98" s="30"/>
      <c r="D98" s="213"/>
      <c r="E98" s="475" t="s">
        <v>259</v>
      </c>
      <c r="F98" s="475"/>
      <c r="G98" s="475"/>
      <c r="H98" s="475"/>
      <c r="I98" s="475"/>
      <c r="J98" s="475"/>
      <c r="K98" s="475"/>
      <c r="L98" s="475"/>
      <c r="M98" s="475"/>
      <c r="N98" s="475"/>
      <c r="O98" s="475"/>
      <c r="P98" s="475"/>
      <c r="Q98" s="475"/>
      <c r="R98" s="475"/>
    </row>
    <row r="99" spans="1:19" s="28" customFormat="1" ht="3" customHeight="1">
      <c r="A99" s="30"/>
      <c r="D99" s="213"/>
      <c r="E99" s="31"/>
      <c r="F99" s="214"/>
      <c r="G99" s="214"/>
      <c r="H99" s="214"/>
      <c r="I99" s="214"/>
      <c r="J99" s="214"/>
      <c r="K99" s="214"/>
      <c r="L99" s="214"/>
      <c r="M99" s="214"/>
      <c r="N99" s="214"/>
      <c r="O99" s="214"/>
      <c r="P99" s="214"/>
      <c r="Q99" s="214"/>
      <c r="R99" s="214"/>
    </row>
    <row r="100" spans="1:19" s="28" customFormat="1" ht="12" customHeight="1">
      <c r="A100" s="30"/>
      <c r="D100" s="213"/>
      <c r="E100" s="31"/>
      <c r="F100" s="264">
        <f>F8</f>
        <v>2000</v>
      </c>
      <c r="G100" s="264">
        <f t="shared" ref="G100:R100" si="86">G8</f>
        <v>2001</v>
      </c>
      <c r="H100" s="264">
        <f t="shared" si="86"/>
        <v>2002</v>
      </c>
      <c r="I100" s="264">
        <f t="shared" si="86"/>
        <v>2003</v>
      </c>
      <c r="J100" s="264">
        <f t="shared" si="86"/>
        <v>2004</v>
      </c>
      <c r="K100" s="264">
        <f t="shared" si="86"/>
        <v>2005</v>
      </c>
      <c r="L100" s="264">
        <f t="shared" si="86"/>
        <v>2006</v>
      </c>
      <c r="M100" s="264">
        <f t="shared" si="86"/>
        <v>2007</v>
      </c>
      <c r="N100" s="264">
        <f t="shared" si="86"/>
        <v>2008</v>
      </c>
      <c r="O100" s="264">
        <f t="shared" si="86"/>
        <v>2009</v>
      </c>
      <c r="P100" s="264">
        <f t="shared" si="86"/>
        <v>2010</v>
      </c>
      <c r="Q100" s="264">
        <f t="shared" si="86"/>
        <v>2011</v>
      </c>
      <c r="R100" s="264">
        <f t="shared" si="86"/>
        <v>2012</v>
      </c>
      <c r="S100" s="264">
        <f t="shared" ref="S100" si="87">S8</f>
        <v>2013</v>
      </c>
    </row>
    <row r="101" spans="1:19" s="28" customFormat="1" ht="24">
      <c r="A101" s="257" t="s">
        <v>280</v>
      </c>
      <c r="D101" s="263" t="s">
        <v>295</v>
      </c>
      <c r="E101" s="31"/>
      <c r="F101" s="29"/>
      <c r="G101" s="29"/>
      <c r="H101" s="29"/>
      <c r="I101" s="29"/>
      <c r="J101" s="29"/>
      <c r="K101" s="29"/>
      <c r="L101" s="29"/>
      <c r="M101" s="29"/>
      <c r="N101" s="29"/>
      <c r="O101" s="29"/>
      <c r="P101" s="29"/>
      <c r="Q101" s="29"/>
      <c r="R101" s="29"/>
      <c r="S101" s="29"/>
    </row>
    <row r="102" spans="1:19" s="28" customFormat="1">
      <c r="A102" s="30">
        <v>1</v>
      </c>
      <c r="C102" s="28" t="s">
        <v>16</v>
      </c>
      <c r="E102" s="215" t="s">
        <v>230</v>
      </c>
      <c r="F102" s="83">
        <f>F25</f>
        <v>312</v>
      </c>
      <c r="G102" s="83">
        <f t="shared" ref="G102:R102" si="88">G25</f>
        <v>322</v>
      </c>
      <c r="H102" s="83">
        <f t="shared" si="88"/>
        <v>357</v>
      </c>
      <c r="I102" s="83">
        <f t="shared" si="88"/>
        <v>342</v>
      </c>
      <c r="J102" s="83">
        <f t="shared" si="88"/>
        <v>381</v>
      </c>
      <c r="K102" s="83">
        <f t="shared" si="88"/>
        <v>450</v>
      </c>
      <c r="L102" s="83">
        <f t="shared" si="88"/>
        <v>492</v>
      </c>
      <c r="M102" s="83">
        <f t="shared" si="88"/>
        <v>451</v>
      </c>
      <c r="N102" s="83">
        <f t="shared" si="88"/>
        <v>436</v>
      </c>
      <c r="O102" s="83">
        <f t="shared" si="88"/>
        <v>403</v>
      </c>
      <c r="P102" s="83">
        <f t="shared" si="88"/>
        <v>380</v>
      </c>
      <c r="Q102" s="83">
        <f t="shared" si="88"/>
        <v>585</v>
      </c>
      <c r="R102" s="83">
        <f t="shared" si="88"/>
        <v>712</v>
      </c>
      <c r="S102" s="83">
        <f t="shared" ref="S102" si="89">S25</f>
        <v>820</v>
      </c>
    </row>
    <row r="103" spans="1:19" s="28" customFormat="1">
      <c r="A103" s="30">
        <v>2</v>
      </c>
      <c r="C103" s="28" t="s">
        <v>19</v>
      </c>
      <c r="E103" s="215" t="s">
        <v>234</v>
      </c>
      <c r="F103" s="83">
        <f>F31</f>
        <v>3956</v>
      </c>
      <c r="G103" s="83">
        <f t="shared" ref="G103:R103" si="90">G31</f>
        <v>4655</v>
      </c>
      <c r="H103" s="83">
        <f t="shared" si="90"/>
        <v>5482</v>
      </c>
      <c r="I103" s="83">
        <f t="shared" si="90"/>
        <v>5762</v>
      </c>
      <c r="J103" s="83">
        <f t="shared" si="90"/>
        <v>5958</v>
      </c>
      <c r="K103" s="83">
        <f t="shared" si="90"/>
        <v>6084</v>
      </c>
      <c r="L103" s="83">
        <f t="shared" si="90"/>
        <v>6359</v>
      </c>
      <c r="M103" s="83">
        <f t="shared" si="90"/>
        <v>6467</v>
      </c>
      <c r="N103" s="83">
        <f t="shared" si="90"/>
        <v>6123</v>
      </c>
      <c r="O103" s="83">
        <f t="shared" si="90"/>
        <v>7700</v>
      </c>
      <c r="P103" s="83">
        <f t="shared" si="90"/>
        <v>7696</v>
      </c>
      <c r="Q103" s="83">
        <f t="shared" si="90"/>
        <v>8854</v>
      </c>
      <c r="R103" s="83">
        <f t="shared" si="90"/>
        <v>9511</v>
      </c>
      <c r="S103" s="83">
        <f t="shared" ref="S103" si="91">S31</f>
        <v>10820</v>
      </c>
    </row>
    <row r="104" spans="1:19" s="28" customFormat="1">
      <c r="A104" s="30">
        <v>3</v>
      </c>
      <c r="C104" s="28" t="s">
        <v>21</v>
      </c>
      <c r="E104" s="215" t="s">
        <v>235</v>
      </c>
      <c r="F104" s="83">
        <f>F36</f>
        <v>3175</v>
      </c>
      <c r="G104" s="83">
        <f t="shared" ref="G104:R104" si="92">G36</f>
        <v>3367</v>
      </c>
      <c r="H104" s="83">
        <f t="shared" si="92"/>
        <v>4108</v>
      </c>
      <c r="I104" s="83">
        <f t="shared" si="92"/>
        <v>4121</v>
      </c>
      <c r="J104" s="83">
        <f t="shared" si="92"/>
        <v>4337</v>
      </c>
      <c r="K104" s="83">
        <f t="shared" si="92"/>
        <v>4249</v>
      </c>
      <c r="L104" s="83">
        <f t="shared" si="92"/>
        <v>4225</v>
      </c>
      <c r="M104" s="83">
        <f t="shared" si="92"/>
        <v>4487</v>
      </c>
      <c r="N104" s="83">
        <f t="shared" si="92"/>
        <v>4692</v>
      </c>
      <c r="O104" s="83">
        <f t="shared" si="92"/>
        <v>5586</v>
      </c>
      <c r="P104" s="83">
        <f t="shared" si="92"/>
        <v>5234</v>
      </c>
      <c r="Q104" s="83">
        <f t="shared" si="92"/>
        <v>5739.734942</v>
      </c>
      <c r="R104" s="83">
        <f t="shared" si="92"/>
        <v>5796</v>
      </c>
      <c r="S104" s="83">
        <f t="shared" ref="S104" si="93">S36</f>
        <v>6270</v>
      </c>
    </row>
    <row r="105" spans="1:19" s="28" customFormat="1">
      <c r="A105" s="30">
        <v>4</v>
      </c>
      <c r="C105" s="28" t="s">
        <v>231</v>
      </c>
      <c r="E105" s="215" t="s">
        <v>236</v>
      </c>
      <c r="F105" s="83">
        <f t="shared" ref="F105:R106" si="94">F37</f>
        <v>507</v>
      </c>
      <c r="G105" s="83">
        <f t="shared" si="94"/>
        <v>1513</v>
      </c>
      <c r="H105" s="83">
        <f t="shared" si="94"/>
        <v>2252</v>
      </c>
      <c r="I105" s="83">
        <f t="shared" si="94"/>
        <v>2747</v>
      </c>
      <c r="J105" s="83">
        <f t="shared" si="94"/>
        <v>480</v>
      </c>
      <c r="K105" s="83">
        <f t="shared" si="94"/>
        <v>3523</v>
      </c>
      <c r="L105" s="83">
        <f t="shared" si="94"/>
        <v>1061</v>
      </c>
      <c r="M105" s="83">
        <f t="shared" si="94"/>
        <v>4658</v>
      </c>
      <c r="N105" s="83">
        <f t="shared" si="94"/>
        <v>5169</v>
      </c>
      <c r="O105" s="83">
        <f t="shared" si="94"/>
        <v>7609</v>
      </c>
      <c r="P105" s="83">
        <f t="shared" si="94"/>
        <v>9505</v>
      </c>
      <c r="Q105" s="83">
        <f t="shared" si="94"/>
        <v>9777</v>
      </c>
      <c r="R105" s="83">
        <f t="shared" si="94"/>
        <v>6955</v>
      </c>
      <c r="S105" s="83">
        <f t="shared" ref="S105" si="95">S37</f>
        <v>983</v>
      </c>
    </row>
    <row r="106" spans="1:19" s="28" customFormat="1">
      <c r="A106" s="30">
        <v>5</v>
      </c>
      <c r="C106" s="28" t="s">
        <v>232</v>
      </c>
      <c r="E106" s="215" t="s">
        <v>237</v>
      </c>
      <c r="F106" s="83">
        <f t="shared" si="94"/>
        <v>703</v>
      </c>
      <c r="G106" s="83">
        <f t="shared" si="94"/>
        <v>445</v>
      </c>
      <c r="H106" s="83">
        <f t="shared" si="94"/>
        <v>375</v>
      </c>
      <c r="I106" s="83">
        <f t="shared" si="94"/>
        <v>492</v>
      </c>
      <c r="J106" s="83">
        <f t="shared" si="94"/>
        <v>427</v>
      </c>
      <c r="K106" s="83">
        <f t="shared" si="94"/>
        <v>320</v>
      </c>
      <c r="L106" s="83">
        <f t="shared" si="94"/>
        <v>496</v>
      </c>
      <c r="M106" s="83">
        <f t="shared" si="94"/>
        <v>516</v>
      </c>
      <c r="N106" s="83">
        <f t="shared" si="94"/>
        <v>442</v>
      </c>
      <c r="O106" s="83">
        <f t="shared" si="94"/>
        <v>497</v>
      </c>
      <c r="P106" s="83">
        <f t="shared" si="94"/>
        <v>105</v>
      </c>
      <c r="Q106" s="83">
        <f t="shared" si="94"/>
        <v>3</v>
      </c>
      <c r="R106" s="83">
        <f t="shared" si="94"/>
        <v>3</v>
      </c>
      <c r="S106" s="83">
        <f t="shared" ref="S106" si="96">S38</f>
        <v>3</v>
      </c>
    </row>
    <row r="107" spans="1:19" s="28" customFormat="1">
      <c r="A107" s="30">
        <v>6</v>
      </c>
      <c r="C107" s="28" t="s">
        <v>233</v>
      </c>
      <c r="E107" s="215" t="s">
        <v>238</v>
      </c>
      <c r="F107" s="83">
        <f>F41</f>
        <v>8004</v>
      </c>
      <c r="G107" s="83">
        <f t="shared" ref="G107:R107" si="97">G41</f>
        <v>7578</v>
      </c>
      <c r="H107" s="83">
        <f t="shared" si="97"/>
        <v>9399</v>
      </c>
      <c r="I107" s="83">
        <f t="shared" si="97"/>
        <v>9827</v>
      </c>
      <c r="J107" s="83">
        <f t="shared" si="97"/>
        <v>8911</v>
      </c>
      <c r="K107" s="83">
        <f t="shared" si="97"/>
        <v>9196</v>
      </c>
      <c r="L107" s="83">
        <f t="shared" si="97"/>
        <v>8393</v>
      </c>
      <c r="M107" s="83">
        <f t="shared" si="97"/>
        <v>8901</v>
      </c>
      <c r="N107" s="83">
        <f t="shared" si="97"/>
        <v>9706</v>
      </c>
      <c r="O107" s="83">
        <f t="shared" si="97"/>
        <v>9770</v>
      </c>
      <c r="P107" s="83">
        <f t="shared" si="97"/>
        <v>11383</v>
      </c>
      <c r="Q107" s="83">
        <f t="shared" si="97"/>
        <v>11585.118</v>
      </c>
      <c r="R107" s="83">
        <f t="shared" si="97"/>
        <v>13419</v>
      </c>
      <c r="S107" s="83">
        <f t="shared" ref="S107" si="98">S41</f>
        <v>11862</v>
      </c>
    </row>
    <row r="108" spans="1:19" s="28" customFormat="1">
      <c r="A108" s="30">
        <v>7</v>
      </c>
      <c r="B108" s="28" t="s">
        <v>66</v>
      </c>
      <c r="F108" s="216">
        <f>SUM(F102:F107)</f>
        <v>16657</v>
      </c>
      <c r="G108" s="216">
        <f t="shared" ref="G108:R108" si="99">SUM(G102:G107)</f>
        <v>17880</v>
      </c>
      <c r="H108" s="216">
        <f t="shared" si="99"/>
        <v>21973</v>
      </c>
      <c r="I108" s="216">
        <f t="shared" si="99"/>
        <v>23291</v>
      </c>
      <c r="J108" s="216">
        <f t="shared" si="99"/>
        <v>20494</v>
      </c>
      <c r="K108" s="216">
        <f t="shared" si="99"/>
        <v>23822</v>
      </c>
      <c r="L108" s="216">
        <f t="shared" si="99"/>
        <v>21026</v>
      </c>
      <c r="M108" s="216">
        <f t="shared" si="99"/>
        <v>25480</v>
      </c>
      <c r="N108" s="216">
        <f t="shared" si="99"/>
        <v>26568</v>
      </c>
      <c r="O108" s="216">
        <f t="shared" si="99"/>
        <v>31565</v>
      </c>
      <c r="P108" s="216">
        <f t="shared" si="99"/>
        <v>34303</v>
      </c>
      <c r="Q108" s="216">
        <f t="shared" si="99"/>
        <v>36543.852941999998</v>
      </c>
      <c r="R108" s="216">
        <f t="shared" si="99"/>
        <v>36396</v>
      </c>
      <c r="S108" s="216">
        <f t="shared" ref="S108" si="100">SUM(S102:S107)</f>
        <v>30758</v>
      </c>
    </row>
    <row r="109" spans="1:19" s="28" customFormat="1">
      <c r="A109" s="30">
        <v>8</v>
      </c>
      <c r="C109" s="28" t="s">
        <v>163</v>
      </c>
      <c r="F109" s="83">
        <f>'Riders and Gas Cost Revenue'!H63</f>
        <v>163</v>
      </c>
      <c r="G109" s="83">
        <f>'Riders and Gas Cost Revenue'!J63</f>
        <v>232</v>
      </c>
      <c r="H109" s="83">
        <f>'Riders and Gas Cost Revenue'!L63</f>
        <v>261</v>
      </c>
      <c r="I109" s="83">
        <f>'Riders and Gas Cost Revenue'!N63</f>
        <v>285</v>
      </c>
      <c r="J109" s="83">
        <f>'Riders and Gas Cost Revenue'!P63</f>
        <v>369</v>
      </c>
      <c r="K109" s="83">
        <f>'Riders and Gas Cost Revenue'!R63</f>
        <v>651</v>
      </c>
      <c r="L109" s="83">
        <f>'Riders and Gas Cost Revenue'!T63</f>
        <v>653</v>
      </c>
      <c r="M109" s="83">
        <f>'Riders and Gas Cost Revenue'!W63</f>
        <v>792</v>
      </c>
      <c r="N109" s="83">
        <f>'Riders and Gas Cost Revenue'!Z63</f>
        <v>783</v>
      </c>
      <c r="O109" s="83">
        <f>'Riders and Gas Cost Revenue'!AC63</f>
        <v>802</v>
      </c>
      <c r="P109" s="83">
        <f>'Riders and Gas Cost Revenue'!AF63</f>
        <v>800</v>
      </c>
      <c r="Q109" s="83">
        <f>'Riders and Gas Cost Revenue'!AI63</f>
        <v>981</v>
      </c>
      <c r="R109" s="83">
        <f>'Riders and Gas Cost Revenue'!AL63</f>
        <v>928</v>
      </c>
      <c r="S109" s="83">
        <f>'Riders and Gas Cost Revenue'!AO63</f>
        <v>891</v>
      </c>
    </row>
    <row r="110" spans="1:19" s="28" customFormat="1" ht="12" customHeight="1">
      <c r="A110" s="30">
        <v>9</v>
      </c>
      <c r="C110" s="28" t="s">
        <v>292</v>
      </c>
      <c r="F110" s="83">
        <f>SUM('Riders and Gas Cost Revenue'!H35:H40)</f>
        <v>-411</v>
      </c>
      <c r="G110" s="83">
        <f>SUM('Riders and Gas Cost Revenue'!J35:J40)</f>
        <v>-766</v>
      </c>
      <c r="H110" s="83">
        <f>SUM('Riders and Gas Cost Revenue'!L35:L40)</f>
        <v>-791</v>
      </c>
      <c r="I110" s="83">
        <f>SUM('Riders and Gas Cost Revenue'!N35:N40)</f>
        <v>-696</v>
      </c>
      <c r="J110" s="83">
        <f>SUM('Riders and Gas Cost Revenue'!P35:P40)</f>
        <v>-821</v>
      </c>
      <c r="K110" s="83">
        <f>SUM('Riders and Gas Cost Revenue'!R35:R40)</f>
        <v>-936</v>
      </c>
      <c r="L110" s="83">
        <f>SUM('Riders and Gas Cost Revenue'!T35:T40)</f>
        <v>-1075</v>
      </c>
      <c r="M110" s="83">
        <f>SUM('Riders and Gas Cost Revenue'!W35:W40)</f>
        <v>-1119</v>
      </c>
      <c r="N110" s="83">
        <f>SUM('Riders and Gas Cost Revenue'!Z35:Z40)</f>
        <v>-1058</v>
      </c>
      <c r="O110" s="83">
        <f>SUM('Riders and Gas Cost Revenue'!AC35:AC40)</f>
        <v>-868</v>
      </c>
      <c r="P110" s="83">
        <f>SUM('Riders and Gas Cost Revenue'!AF35:AF40)</f>
        <v>-566</v>
      </c>
      <c r="Q110" s="83">
        <f>SUM('Riders and Gas Cost Revenue'!AI35:AI40)</f>
        <v>-603</v>
      </c>
      <c r="R110" s="83">
        <f>SUM('Riders and Gas Cost Revenue'!AL35:AL40)</f>
        <v>-537</v>
      </c>
      <c r="S110" s="83">
        <f>SUM('Riders and Gas Cost Revenue'!AO35:AO40)</f>
        <v>-551</v>
      </c>
    </row>
    <row r="111" spans="1:19" s="28" customFormat="1">
      <c r="A111" s="30">
        <v>10</v>
      </c>
      <c r="C111" s="28" t="s">
        <v>293</v>
      </c>
      <c r="F111" s="83">
        <f>'Riders and Gas Cost Revenue'!G35+'Riders and Gas Cost Revenue'!G36+'Riders and Gas Cost Revenue'!G40</f>
        <v>0</v>
      </c>
      <c r="G111" s="83">
        <f>'Riders and Gas Cost Revenue'!I35+'Riders and Gas Cost Revenue'!I36+'Riders and Gas Cost Revenue'!I40</f>
        <v>-956</v>
      </c>
      <c r="H111" s="83">
        <f>'Riders and Gas Cost Revenue'!K35+'Riders and Gas Cost Revenue'!K36+'Riders and Gas Cost Revenue'!K40</f>
        <v>-1709</v>
      </c>
      <c r="I111" s="83">
        <f>'Riders and Gas Cost Revenue'!M35+'Riders and Gas Cost Revenue'!M36+'Riders and Gas Cost Revenue'!M40</f>
        <v>-2043</v>
      </c>
      <c r="J111" s="83">
        <f>'Riders and Gas Cost Revenue'!O35+'Riders and Gas Cost Revenue'!O36+'Riders and Gas Cost Revenue'!O40</f>
        <v>0</v>
      </c>
      <c r="K111" s="83">
        <f>'Riders and Gas Cost Revenue'!Q35+'Riders and Gas Cost Revenue'!Q36+'Riders and Gas Cost Revenue'!Q40</f>
        <v>-2862</v>
      </c>
      <c r="L111" s="83">
        <f>'Riders and Gas Cost Revenue'!S35+'Riders and Gas Cost Revenue'!S36+'Riders and Gas Cost Revenue'!S40</f>
        <v>0</v>
      </c>
      <c r="M111" s="83">
        <f>'Riders and Gas Cost Revenue'!U35+'Riders and Gas Cost Revenue'!U36+'Riders and Gas Cost Revenue'!U40</f>
        <v>-3862</v>
      </c>
      <c r="N111" s="83">
        <f>'Riders and Gas Cost Revenue'!X35+'Riders and Gas Cost Revenue'!X36+'Riders and Gas Cost Revenue'!X40</f>
        <v>-4412</v>
      </c>
      <c r="O111" s="83">
        <f>'Riders and Gas Cost Revenue'!AA35+'Riders and Gas Cost Revenue'!AA36+'Riders and Gas Cost Revenue'!AA40</f>
        <v>-6825</v>
      </c>
      <c r="P111" s="83">
        <f>'Riders and Gas Cost Revenue'!AD35+'Riders and Gas Cost Revenue'!AD36+'Riders and Gas Cost Revenue'!AD40</f>
        <v>-8477</v>
      </c>
      <c r="Q111" s="83">
        <f>'Riders and Gas Cost Revenue'!AG35+'Riders and Gas Cost Revenue'!AG36+'Riders and Gas Cost Revenue'!AG40</f>
        <v>-9017</v>
      </c>
      <c r="R111" s="83">
        <f>'Riders and Gas Cost Revenue'!AJ35+'Riders and Gas Cost Revenue'!AJ36+'Riders and Gas Cost Revenue'!AJ40</f>
        <v>-5984</v>
      </c>
      <c r="S111" s="83">
        <f>'Riders and Gas Cost Revenue'!AM35+'Riders and Gas Cost Revenue'!AM36+'Riders and Gas Cost Revenue'!AM40</f>
        <v>0</v>
      </c>
    </row>
    <row r="112" spans="1:19">
      <c r="A112" s="30">
        <v>11</v>
      </c>
      <c r="B112" s="28"/>
      <c r="C112" s="28" t="s">
        <v>294</v>
      </c>
      <c r="D112" s="28"/>
      <c r="E112" s="28"/>
      <c r="F112" s="217">
        <v>0</v>
      </c>
      <c r="G112" s="217">
        <v>0</v>
      </c>
      <c r="H112" s="217">
        <v>0</v>
      </c>
      <c r="I112" s="217">
        <v>0</v>
      </c>
      <c r="J112" s="217">
        <v>0</v>
      </c>
      <c r="K112" s="217">
        <v>0</v>
      </c>
      <c r="L112" s="217">
        <v>0</v>
      </c>
      <c r="M112" s="217">
        <f>'Riders and Gas Cost Revenue'!V35+'Riders and Gas Cost Revenue'!V40</f>
        <v>0</v>
      </c>
      <c r="N112" s="217">
        <f>'Riders and Gas Cost Revenue'!Y35+'Riders and Gas Cost Revenue'!Y40</f>
        <v>-3</v>
      </c>
      <c r="O112" s="217">
        <f>'Riders and Gas Cost Revenue'!AB35+'Riders and Gas Cost Revenue'!AB40</f>
        <v>-5</v>
      </c>
      <c r="P112" s="217">
        <f>'Riders and Gas Cost Revenue'!AE35+'Riders and Gas Cost Revenue'!AE40</f>
        <v>-4</v>
      </c>
      <c r="Q112" s="217">
        <f>'Riders and Gas Cost Revenue'!AH35+'Riders and Gas Cost Revenue'!AH40</f>
        <v>-4</v>
      </c>
      <c r="R112" s="217">
        <f>'Riders and Gas Cost Revenue'!AK35+'Riders and Gas Cost Revenue'!AK40</f>
        <v>-1</v>
      </c>
      <c r="S112" s="217">
        <f>'Riders and Gas Cost Revenue'!AN35+'Riders and Gas Cost Revenue'!AN40</f>
        <v>0</v>
      </c>
    </row>
    <row r="113" spans="1:19" ht="12.75" thickBot="1">
      <c r="A113" s="30">
        <v>12</v>
      </c>
      <c r="B113" s="66" t="s">
        <v>291</v>
      </c>
      <c r="C113" s="66"/>
      <c r="D113" s="66"/>
      <c r="E113" s="66"/>
      <c r="F113" s="63">
        <f t="shared" ref="F113" si="101">SUM(F103:F112)</f>
        <v>32754</v>
      </c>
      <c r="G113" s="63">
        <f>SUM(G108:G112)</f>
        <v>16390</v>
      </c>
      <c r="H113" s="63">
        <f t="shared" ref="H113:S113" si="102">SUM(H108:H112)</f>
        <v>19734</v>
      </c>
      <c r="I113" s="63">
        <f t="shared" si="102"/>
        <v>20837</v>
      </c>
      <c r="J113" s="63">
        <f t="shared" si="102"/>
        <v>20042</v>
      </c>
      <c r="K113" s="63">
        <f t="shared" si="102"/>
        <v>20675</v>
      </c>
      <c r="L113" s="63">
        <f t="shared" si="102"/>
        <v>20604</v>
      </c>
      <c r="M113" s="63">
        <f t="shared" si="102"/>
        <v>21291</v>
      </c>
      <c r="N113" s="63">
        <f t="shared" si="102"/>
        <v>21878</v>
      </c>
      <c r="O113" s="63">
        <f t="shared" si="102"/>
        <v>24669</v>
      </c>
      <c r="P113" s="63">
        <f t="shared" si="102"/>
        <v>26056</v>
      </c>
      <c r="Q113" s="63">
        <f t="shared" si="102"/>
        <v>27900.852941999998</v>
      </c>
      <c r="R113" s="63">
        <f t="shared" si="102"/>
        <v>30802</v>
      </c>
      <c r="S113" s="63">
        <f t="shared" si="102"/>
        <v>31098</v>
      </c>
    </row>
    <row r="114" spans="1:19" ht="12.75" thickTop="1">
      <c r="A114" s="30"/>
      <c r="D114" s="3" t="s">
        <v>282</v>
      </c>
      <c r="G114" s="121">
        <f>(G113-F113)/F113</f>
        <v>-0.49960310191121693</v>
      </c>
      <c r="H114" s="121">
        <f t="shared" ref="H114:S114" si="103">(H113-G113)/G113</f>
        <v>0.20402684563758389</v>
      </c>
      <c r="I114" s="121">
        <f t="shared" si="103"/>
        <v>5.5893381980338504E-2</v>
      </c>
      <c r="J114" s="121">
        <f t="shared" si="103"/>
        <v>-3.815328502183616E-2</v>
      </c>
      <c r="K114" s="121">
        <f t="shared" si="103"/>
        <v>3.1583674284003591E-2</v>
      </c>
      <c r="L114" s="121">
        <f t="shared" si="103"/>
        <v>-3.4340991535671099E-3</v>
      </c>
      <c r="M114" s="121">
        <f t="shared" si="103"/>
        <v>3.3343040186371575E-2</v>
      </c>
      <c r="N114" s="121">
        <f t="shared" si="103"/>
        <v>2.7570334883284017E-2</v>
      </c>
      <c r="O114" s="121">
        <f t="shared" si="103"/>
        <v>0.12757107596672457</v>
      </c>
      <c r="P114" s="121">
        <f t="shared" si="103"/>
        <v>5.6224411204345535E-2</v>
      </c>
      <c r="Q114" s="121">
        <f t="shared" si="103"/>
        <v>7.0803382790911792E-2</v>
      </c>
      <c r="R114" s="121">
        <f t="shared" si="103"/>
        <v>0.1039805866878291</v>
      </c>
      <c r="S114" s="121">
        <f t="shared" si="103"/>
        <v>9.6097655996363867E-3</v>
      </c>
    </row>
    <row r="115" spans="1:19" ht="5.25" customHeight="1">
      <c r="A115" s="30"/>
      <c r="R115" s="4"/>
      <c r="S115" s="4"/>
    </row>
    <row r="116" spans="1:19">
      <c r="A116" s="30"/>
      <c r="D116" s="262" t="s">
        <v>47</v>
      </c>
      <c r="R116" s="4"/>
      <c r="S116" s="4"/>
    </row>
    <row r="117" spans="1:19">
      <c r="A117" s="30">
        <v>13</v>
      </c>
      <c r="C117" s="28" t="s">
        <v>16</v>
      </c>
      <c r="D117" s="262"/>
      <c r="E117" s="215" t="s">
        <v>283</v>
      </c>
      <c r="F117" s="261">
        <f>F26</f>
        <v>314</v>
      </c>
      <c r="G117" s="261">
        <f t="shared" ref="G117:R117" si="104">G26</f>
        <v>314</v>
      </c>
      <c r="H117" s="261">
        <f t="shared" si="104"/>
        <v>297</v>
      </c>
      <c r="I117" s="261">
        <f t="shared" si="104"/>
        <v>309</v>
      </c>
      <c r="J117" s="261">
        <f t="shared" si="104"/>
        <v>309</v>
      </c>
      <c r="K117" s="261">
        <f t="shared" si="104"/>
        <v>310</v>
      </c>
      <c r="L117" s="261">
        <f t="shared" si="104"/>
        <v>312</v>
      </c>
      <c r="M117" s="261">
        <f t="shared" si="104"/>
        <v>310</v>
      </c>
      <c r="N117" s="261">
        <f t="shared" si="104"/>
        <v>276</v>
      </c>
      <c r="O117" s="261">
        <f t="shared" si="104"/>
        <v>393</v>
      </c>
      <c r="P117" s="261">
        <f t="shared" si="104"/>
        <v>348</v>
      </c>
      <c r="Q117" s="261">
        <f t="shared" si="104"/>
        <v>395</v>
      </c>
      <c r="R117" s="261">
        <f t="shared" si="104"/>
        <v>438</v>
      </c>
      <c r="S117" s="261">
        <f t="shared" ref="S117" si="105">S26</f>
        <v>380</v>
      </c>
    </row>
    <row r="118" spans="1:19">
      <c r="A118" s="30">
        <v>14</v>
      </c>
      <c r="C118" s="28" t="s">
        <v>19</v>
      </c>
      <c r="E118" s="215" t="s">
        <v>284</v>
      </c>
      <c r="F118" s="261">
        <f>F32</f>
        <v>4184</v>
      </c>
      <c r="G118" s="261">
        <f t="shared" ref="G118:R118" si="106">G32</f>
        <v>4390</v>
      </c>
      <c r="H118" s="261">
        <f t="shared" si="106"/>
        <v>4496</v>
      </c>
      <c r="I118" s="261">
        <f t="shared" si="106"/>
        <v>4707</v>
      </c>
      <c r="J118" s="261">
        <f t="shared" si="106"/>
        <v>4902</v>
      </c>
      <c r="K118" s="261">
        <f t="shared" si="106"/>
        <v>5088</v>
      </c>
      <c r="L118" s="261">
        <f t="shared" si="106"/>
        <v>5369</v>
      </c>
      <c r="M118" s="261">
        <f t="shared" si="106"/>
        <v>5605</v>
      </c>
      <c r="N118" s="261">
        <f t="shared" si="106"/>
        <v>5673</v>
      </c>
      <c r="O118" s="261">
        <f t="shared" si="106"/>
        <v>6064</v>
      </c>
      <c r="P118" s="261">
        <f t="shared" si="106"/>
        <v>6367</v>
      </c>
      <c r="Q118" s="261">
        <f t="shared" si="106"/>
        <v>6649</v>
      </c>
      <c r="R118" s="261">
        <f t="shared" si="106"/>
        <v>6978</v>
      </c>
      <c r="S118" s="261">
        <f t="shared" ref="S118" si="107">S32</f>
        <v>7925</v>
      </c>
    </row>
    <row r="119" spans="1:19">
      <c r="A119" s="30">
        <v>15</v>
      </c>
      <c r="C119" s="3" t="s">
        <v>24</v>
      </c>
      <c r="E119" s="215" t="s">
        <v>285</v>
      </c>
      <c r="F119" s="261">
        <f>F42</f>
        <v>1027</v>
      </c>
      <c r="G119" s="261">
        <f t="shared" ref="G119:R119" si="108">G42</f>
        <v>1020</v>
      </c>
      <c r="H119" s="261">
        <f t="shared" si="108"/>
        <v>1275</v>
      </c>
      <c r="I119" s="261">
        <f t="shared" si="108"/>
        <v>1363</v>
      </c>
      <c r="J119" s="261">
        <f t="shared" si="108"/>
        <v>1180</v>
      </c>
      <c r="K119" s="261">
        <f t="shared" si="108"/>
        <v>1343</v>
      </c>
      <c r="L119" s="261">
        <f t="shared" si="108"/>
        <v>1282</v>
      </c>
      <c r="M119" s="261">
        <f t="shared" si="108"/>
        <v>1498</v>
      </c>
      <c r="N119" s="261">
        <f t="shared" si="108"/>
        <v>1803</v>
      </c>
      <c r="O119" s="261">
        <f t="shared" si="108"/>
        <v>1999</v>
      </c>
      <c r="P119" s="261">
        <f t="shared" si="108"/>
        <v>2412</v>
      </c>
      <c r="Q119" s="261">
        <f t="shared" si="108"/>
        <v>2734</v>
      </c>
      <c r="R119" s="261">
        <f t="shared" si="108"/>
        <v>3276</v>
      </c>
      <c r="S119" s="261">
        <f t="shared" ref="S119" si="109">S42</f>
        <v>3868</v>
      </c>
    </row>
    <row r="120" spans="1:19" ht="12.75" thickBot="1">
      <c r="A120" s="30">
        <v>16</v>
      </c>
      <c r="B120" s="269" t="s">
        <v>281</v>
      </c>
      <c r="E120" s="215"/>
      <c r="F120" s="64">
        <f>SUM(F117:F119)</f>
        <v>5525</v>
      </c>
      <c r="G120" s="64">
        <f t="shared" ref="G120:R120" si="110">SUM(G117:G119)</f>
        <v>5724</v>
      </c>
      <c r="H120" s="64">
        <f t="shared" si="110"/>
        <v>6068</v>
      </c>
      <c r="I120" s="64">
        <f t="shared" si="110"/>
        <v>6379</v>
      </c>
      <c r="J120" s="64">
        <f t="shared" si="110"/>
        <v>6391</v>
      </c>
      <c r="K120" s="64">
        <f t="shared" si="110"/>
        <v>6741</v>
      </c>
      <c r="L120" s="64">
        <f t="shared" si="110"/>
        <v>6963</v>
      </c>
      <c r="M120" s="64">
        <f t="shared" si="110"/>
        <v>7413</v>
      </c>
      <c r="N120" s="64">
        <f t="shared" si="110"/>
        <v>7752</v>
      </c>
      <c r="O120" s="64">
        <f t="shared" si="110"/>
        <v>8456</v>
      </c>
      <c r="P120" s="64">
        <f t="shared" si="110"/>
        <v>9127</v>
      </c>
      <c r="Q120" s="64">
        <f t="shared" si="110"/>
        <v>9778</v>
      </c>
      <c r="R120" s="64">
        <f t="shared" si="110"/>
        <v>10692</v>
      </c>
      <c r="S120" s="64">
        <f t="shared" ref="S120" si="111">SUM(S117:S119)</f>
        <v>12173</v>
      </c>
    </row>
    <row r="121" spans="1:19" ht="12.75" thickTop="1">
      <c r="A121" s="30"/>
      <c r="B121" s="262"/>
      <c r="D121" s="3" t="s">
        <v>282</v>
      </c>
      <c r="E121" s="215"/>
      <c r="F121" s="90"/>
      <c r="G121" s="121">
        <f>(G120-F120)/F120</f>
        <v>3.6018099547511312E-2</v>
      </c>
      <c r="H121" s="121">
        <f t="shared" ref="H121:S121" si="112">(H120-G120)/G120</f>
        <v>6.0097833682739341E-2</v>
      </c>
      <c r="I121" s="121">
        <f t="shared" si="112"/>
        <v>5.1252471984179301E-2</v>
      </c>
      <c r="J121" s="121">
        <f t="shared" si="112"/>
        <v>1.8811725975858284E-3</v>
      </c>
      <c r="K121" s="121">
        <f t="shared" si="112"/>
        <v>5.4764512595837894E-2</v>
      </c>
      <c r="L121" s="121">
        <f t="shared" si="112"/>
        <v>3.2932799287939477E-2</v>
      </c>
      <c r="M121" s="121">
        <f t="shared" si="112"/>
        <v>6.4627315812149935E-2</v>
      </c>
      <c r="N121" s="121">
        <f t="shared" si="112"/>
        <v>4.5730473492513156E-2</v>
      </c>
      <c r="O121" s="121">
        <f t="shared" si="112"/>
        <v>9.0815273477812181E-2</v>
      </c>
      <c r="P121" s="121">
        <f t="shared" si="112"/>
        <v>7.9351939451277206E-2</v>
      </c>
      <c r="Q121" s="121">
        <f t="shared" si="112"/>
        <v>7.1326832475073959E-2</v>
      </c>
      <c r="R121" s="121">
        <f t="shared" si="112"/>
        <v>9.3475148292084267E-2</v>
      </c>
      <c r="S121" s="121">
        <f t="shared" si="112"/>
        <v>0.1385147774036663</v>
      </c>
    </row>
    <row r="122" spans="1:19">
      <c r="A122" s="30"/>
      <c r="E122" s="215"/>
      <c r="F122" s="261"/>
      <c r="R122" s="4"/>
      <c r="S122" s="4"/>
    </row>
    <row r="123" spans="1:19">
      <c r="A123" s="30"/>
      <c r="D123" s="3" t="s">
        <v>289</v>
      </c>
      <c r="E123" s="215"/>
      <c r="F123" s="261"/>
      <c r="R123" s="4"/>
      <c r="S123" s="4"/>
    </row>
    <row r="124" spans="1:19">
      <c r="A124" s="30">
        <v>17</v>
      </c>
      <c r="B124" s="262" t="s">
        <v>52</v>
      </c>
      <c r="D124" s="262"/>
      <c r="E124" s="215" t="s">
        <v>286</v>
      </c>
      <c r="F124" s="261">
        <f>F43</f>
        <v>0</v>
      </c>
      <c r="G124" s="261">
        <f t="shared" ref="G124:R124" si="113">G43</f>
        <v>167</v>
      </c>
      <c r="H124" s="261">
        <f t="shared" si="113"/>
        <v>185</v>
      </c>
      <c r="I124" s="261">
        <f t="shared" si="113"/>
        <v>159</v>
      </c>
      <c r="J124" s="261">
        <f t="shared" si="113"/>
        <v>169</v>
      </c>
      <c r="K124" s="261">
        <f t="shared" si="113"/>
        <v>0</v>
      </c>
      <c r="L124" s="261">
        <f t="shared" si="113"/>
        <v>0</v>
      </c>
      <c r="M124" s="261">
        <f t="shared" si="113"/>
        <v>-815</v>
      </c>
      <c r="N124" s="261">
        <f t="shared" si="113"/>
        <v>-242</v>
      </c>
      <c r="O124" s="261">
        <f t="shared" si="113"/>
        <v>440</v>
      </c>
      <c r="P124" s="261">
        <f t="shared" si="113"/>
        <v>216</v>
      </c>
      <c r="Q124" s="261">
        <f t="shared" si="113"/>
        <v>-186</v>
      </c>
      <c r="R124" s="261">
        <f t="shared" si="113"/>
        <v>171</v>
      </c>
      <c r="S124" s="83">
        <f t="shared" ref="S124" si="114">S43</f>
        <v>91</v>
      </c>
    </row>
    <row r="125" spans="1:19">
      <c r="A125" s="30">
        <v>18</v>
      </c>
      <c r="B125" s="28"/>
      <c r="C125" s="28" t="str">
        <f>C112</f>
        <v>Deduct Decoupling Surcharge/Rebate Expenses</v>
      </c>
      <c r="F125" s="261">
        <f>-'Reg Amort and Other RB'!E22</f>
        <v>0</v>
      </c>
      <c r="G125" s="261">
        <f>-'Reg Amort and Other RB'!F22</f>
        <v>0</v>
      </c>
      <c r="H125" s="261">
        <f>-'Reg Amort and Other RB'!G22</f>
        <v>0</v>
      </c>
      <c r="I125" s="261">
        <f>-'Reg Amort and Other RB'!H22</f>
        <v>0</v>
      </c>
      <c r="J125" s="261">
        <f>-'Reg Amort and Other RB'!I22</f>
        <v>0</v>
      </c>
      <c r="K125" s="261">
        <f>-'Reg Amort and Other RB'!J22</f>
        <v>0</v>
      </c>
      <c r="L125" s="261">
        <f>-'Reg Amort and Other RB'!K22</f>
        <v>0</v>
      </c>
      <c r="M125" s="261">
        <f>-'Reg Amort and Other RB'!L22</f>
        <v>-85</v>
      </c>
      <c r="N125" s="261">
        <f>-'Reg Amort and Other RB'!M22</f>
        <v>-432</v>
      </c>
      <c r="O125" s="261">
        <f>-'Reg Amort and Other RB'!N22</f>
        <v>-710</v>
      </c>
      <c r="P125" s="261">
        <f>-'Reg Amort and Other RB'!O22</f>
        <v>-494</v>
      </c>
      <c r="Q125" s="261">
        <f>-'Reg Amort and Other RB'!P22</f>
        <v>-494</v>
      </c>
      <c r="R125" s="261">
        <f>-'Reg Amort and Other RB'!Q22</f>
        <v>-184</v>
      </c>
      <c r="S125" s="83">
        <f>-'Reg Amort and Other RB'!R22</f>
        <v>0</v>
      </c>
    </row>
    <row r="126" spans="1:19" ht="12.75" thickBot="1">
      <c r="A126" s="30">
        <v>19</v>
      </c>
      <c r="B126" s="66" t="s">
        <v>290</v>
      </c>
      <c r="C126" s="66"/>
      <c r="D126" s="67"/>
      <c r="E126" s="67"/>
      <c r="F126" s="64">
        <f t="shared" ref="F126:R126" si="115">SUM(F124:F125)</f>
        <v>0</v>
      </c>
      <c r="G126" s="64">
        <f t="shared" si="115"/>
        <v>167</v>
      </c>
      <c r="H126" s="64">
        <f t="shared" si="115"/>
        <v>185</v>
      </c>
      <c r="I126" s="64">
        <f t="shared" si="115"/>
        <v>159</v>
      </c>
      <c r="J126" s="64">
        <f t="shared" si="115"/>
        <v>169</v>
      </c>
      <c r="K126" s="64">
        <f t="shared" si="115"/>
        <v>0</v>
      </c>
      <c r="L126" s="64">
        <f t="shared" si="115"/>
        <v>0</v>
      </c>
      <c r="M126" s="64">
        <f t="shared" si="115"/>
        <v>-900</v>
      </c>
      <c r="N126" s="64">
        <f t="shared" si="115"/>
        <v>-674</v>
      </c>
      <c r="O126" s="64">
        <f t="shared" si="115"/>
        <v>-270</v>
      </c>
      <c r="P126" s="64">
        <f t="shared" si="115"/>
        <v>-278</v>
      </c>
      <c r="Q126" s="64">
        <f t="shared" si="115"/>
        <v>-680</v>
      </c>
      <c r="R126" s="64">
        <f t="shared" si="115"/>
        <v>-13</v>
      </c>
      <c r="S126" s="63">
        <f t="shared" ref="S126" si="116">SUM(S124:S125)</f>
        <v>91</v>
      </c>
    </row>
    <row r="127" spans="1:19" ht="9" customHeight="1" thickTop="1">
      <c r="A127" s="30"/>
      <c r="R127" s="4"/>
      <c r="S127" s="4"/>
    </row>
    <row r="128" spans="1:19">
      <c r="A128" s="30"/>
      <c r="D128" s="3" t="s">
        <v>296</v>
      </c>
      <c r="R128" s="4"/>
      <c r="S128" s="4"/>
    </row>
    <row r="129" spans="1:19">
      <c r="A129" s="30">
        <v>20</v>
      </c>
      <c r="C129" s="28" t="s">
        <v>16</v>
      </c>
      <c r="D129" s="262"/>
      <c r="E129" s="215" t="s">
        <v>298</v>
      </c>
      <c r="F129" s="261">
        <f>F27</f>
        <v>111</v>
      </c>
      <c r="G129" s="261">
        <f t="shared" ref="G129:R129" si="117">G27</f>
        <v>108</v>
      </c>
      <c r="H129" s="261">
        <f t="shared" si="117"/>
        <v>120</v>
      </c>
      <c r="I129" s="261">
        <f t="shared" si="117"/>
        <v>118</v>
      </c>
      <c r="J129" s="261">
        <f t="shared" si="117"/>
        <v>120</v>
      </c>
      <c r="K129" s="261">
        <f t="shared" si="117"/>
        <v>115</v>
      </c>
      <c r="L129" s="261">
        <f t="shared" si="117"/>
        <v>122</v>
      </c>
      <c r="M129" s="261">
        <f t="shared" si="117"/>
        <v>95</v>
      </c>
      <c r="N129" s="261">
        <f t="shared" si="117"/>
        <v>113</v>
      </c>
      <c r="O129" s="261">
        <f t="shared" si="117"/>
        <v>121</v>
      </c>
      <c r="P129" s="261">
        <f t="shared" si="117"/>
        <v>116</v>
      </c>
      <c r="Q129" s="261">
        <f t="shared" si="117"/>
        <v>19</v>
      </c>
      <c r="R129" s="261">
        <f t="shared" si="117"/>
        <v>17</v>
      </c>
      <c r="S129" s="261">
        <f t="shared" ref="S129" si="118">S27</f>
        <v>158</v>
      </c>
    </row>
    <row r="130" spans="1:19">
      <c r="A130" s="30">
        <v>21</v>
      </c>
      <c r="C130" s="28" t="s">
        <v>19</v>
      </c>
      <c r="E130" s="215" t="s">
        <v>299</v>
      </c>
      <c r="F130" s="261">
        <f>F33</f>
        <v>4919</v>
      </c>
      <c r="G130" s="261">
        <f t="shared" ref="G130:R130" si="119">G33</f>
        <v>7315</v>
      </c>
      <c r="H130" s="261">
        <f t="shared" si="119"/>
        <v>8070</v>
      </c>
      <c r="I130" s="261">
        <f t="shared" si="119"/>
        <v>7205</v>
      </c>
      <c r="J130" s="261">
        <f t="shared" si="119"/>
        <v>8213</v>
      </c>
      <c r="K130" s="261">
        <f t="shared" si="119"/>
        <v>8573</v>
      </c>
      <c r="L130" s="261">
        <f t="shared" si="119"/>
        <v>9457</v>
      </c>
      <c r="M130" s="261">
        <f t="shared" si="119"/>
        <v>9844</v>
      </c>
      <c r="N130" s="261">
        <f t="shared" si="119"/>
        <v>8941</v>
      </c>
      <c r="O130" s="261">
        <f t="shared" si="119"/>
        <v>8746</v>
      </c>
      <c r="P130" s="261">
        <f t="shared" si="119"/>
        <v>7223</v>
      </c>
      <c r="Q130" s="261">
        <f t="shared" si="119"/>
        <v>8050.6743270000006</v>
      </c>
      <c r="R130" s="261">
        <f t="shared" si="119"/>
        <v>7825</v>
      </c>
      <c r="S130" s="261">
        <f t="shared" ref="S130" si="120">S33</f>
        <v>8116</v>
      </c>
    </row>
    <row r="131" spans="1:19">
      <c r="A131" s="30">
        <v>22</v>
      </c>
      <c r="C131" s="3" t="s">
        <v>24</v>
      </c>
      <c r="E131" s="215" t="s">
        <v>300</v>
      </c>
      <c r="F131" s="261">
        <f>F44</f>
        <v>22</v>
      </c>
      <c r="G131" s="261">
        <f t="shared" ref="G131:R131" si="121">G44</f>
        <v>21</v>
      </c>
      <c r="H131" s="261">
        <f t="shared" si="121"/>
        <v>23</v>
      </c>
      <c r="I131" s="261">
        <f t="shared" si="121"/>
        <v>24</v>
      </c>
      <c r="J131" s="261">
        <f t="shared" si="121"/>
        <v>24</v>
      </c>
      <c r="K131" s="261">
        <f t="shared" si="121"/>
        <v>23</v>
      </c>
      <c r="L131" s="261">
        <f t="shared" si="121"/>
        <v>24</v>
      </c>
      <c r="M131" s="261">
        <f t="shared" si="121"/>
        <v>20</v>
      </c>
      <c r="N131" s="261">
        <f t="shared" si="121"/>
        <v>17</v>
      </c>
      <c r="O131" s="261">
        <f t="shared" si="121"/>
        <v>19</v>
      </c>
      <c r="P131" s="261">
        <f t="shared" si="121"/>
        <v>24</v>
      </c>
      <c r="Q131" s="261">
        <f t="shared" si="121"/>
        <v>0</v>
      </c>
      <c r="R131" s="261">
        <f t="shared" si="121"/>
        <v>-1</v>
      </c>
      <c r="S131" s="261">
        <f t="shared" ref="S131" si="122">S44</f>
        <v>0</v>
      </c>
    </row>
    <row r="132" spans="1:19">
      <c r="A132" s="30">
        <v>23</v>
      </c>
      <c r="B132" s="3" t="s">
        <v>301</v>
      </c>
      <c r="F132" s="260">
        <f>F27+F33+F44</f>
        <v>5052</v>
      </c>
      <c r="G132" s="260">
        <f t="shared" ref="G132:R132" si="123">G27+G33+G44</f>
        <v>7444</v>
      </c>
      <c r="H132" s="260">
        <f t="shared" si="123"/>
        <v>8213</v>
      </c>
      <c r="I132" s="260">
        <f t="shared" si="123"/>
        <v>7347</v>
      </c>
      <c r="J132" s="260">
        <f t="shared" si="123"/>
        <v>8357</v>
      </c>
      <c r="K132" s="260">
        <f t="shared" si="123"/>
        <v>8711</v>
      </c>
      <c r="L132" s="260">
        <f t="shared" si="123"/>
        <v>9603</v>
      </c>
      <c r="M132" s="260">
        <f t="shared" si="123"/>
        <v>9959</v>
      </c>
      <c r="N132" s="260">
        <f t="shared" si="123"/>
        <v>9071</v>
      </c>
      <c r="O132" s="260">
        <f t="shared" si="123"/>
        <v>8886</v>
      </c>
      <c r="P132" s="260">
        <f t="shared" si="123"/>
        <v>7363</v>
      </c>
      <c r="Q132" s="260">
        <f t="shared" si="123"/>
        <v>8069.6743270000006</v>
      </c>
      <c r="R132" s="260">
        <f t="shared" si="123"/>
        <v>7841</v>
      </c>
      <c r="S132" s="260">
        <f t="shared" ref="S132" si="124">S27+S33+S44</f>
        <v>8274</v>
      </c>
    </row>
    <row r="133" spans="1:19">
      <c r="A133" s="30">
        <v>24</v>
      </c>
      <c r="B133" s="28"/>
      <c r="C133" s="28" t="s">
        <v>303</v>
      </c>
      <c r="F133" s="83">
        <f>'Riders and Gas Cost Revenue'!H32</f>
        <v>-2304</v>
      </c>
      <c r="G133" s="83">
        <f>'Riders and Gas Cost Revenue'!J32</f>
        <v>-4287</v>
      </c>
      <c r="H133" s="83">
        <f>'Riders and Gas Cost Revenue'!L32</f>
        <v>-4425</v>
      </c>
      <c r="I133" s="83">
        <f>'Riders and Gas Cost Revenue'!N32</f>
        <v>-3899</v>
      </c>
      <c r="J133" s="83">
        <f>'Riders and Gas Cost Revenue'!P32</f>
        <v>-4592</v>
      </c>
      <c r="K133" s="83">
        <f>'Riders and Gas Cost Revenue'!R32</f>
        <v>-5240</v>
      </c>
      <c r="L133" s="83">
        <f>'Riders and Gas Cost Revenue'!T32</f>
        <v>-6014</v>
      </c>
      <c r="M133" s="83">
        <f>'Riders and Gas Cost Revenue'!W32</f>
        <v>-6261</v>
      </c>
      <c r="N133" s="83">
        <f>'Riders and Gas Cost Revenue'!Z32</f>
        <v>-5917</v>
      </c>
      <c r="O133" s="83">
        <f>'Riders and Gas Cost Revenue'!AC32</f>
        <v>-4858</v>
      </c>
      <c r="P133" s="83">
        <f>'Riders and Gas Cost Revenue'!AF32</f>
        <v>-3171</v>
      </c>
      <c r="Q133" s="83">
        <f>'Riders and Gas Cost Revenue'!AI32</f>
        <v>-3374</v>
      </c>
      <c r="R133" s="83">
        <f>'Riders and Gas Cost Revenue'!AL32</f>
        <v>-3003</v>
      </c>
      <c r="S133" s="83">
        <f>'Riders and Gas Cost Revenue'!AO32</f>
        <v>-3083</v>
      </c>
    </row>
    <row r="134" spans="1:19">
      <c r="A134" s="30">
        <v>25</v>
      </c>
      <c r="C134" s="3" t="s">
        <v>302</v>
      </c>
      <c r="F134" s="261">
        <f>'Riders and Gas Cost Revenue'!G32</f>
        <v>0</v>
      </c>
      <c r="G134" s="261">
        <f>'Riders and Gas Cost Revenue'!I32</f>
        <v>-38</v>
      </c>
      <c r="H134" s="261">
        <f>'Riders and Gas Cost Revenue'!K32</f>
        <v>-68</v>
      </c>
      <c r="I134" s="261">
        <f>'Riders and Gas Cost Revenue'!M32</f>
        <v>-81</v>
      </c>
      <c r="J134" s="261">
        <f>'Riders and Gas Cost Revenue'!O32</f>
        <v>0</v>
      </c>
      <c r="K134" s="261">
        <f>'Riders and Gas Cost Revenue'!Q32</f>
        <v>-114</v>
      </c>
      <c r="L134" s="261">
        <f>'Riders and Gas Cost Revenue'!S32</f>
        <v>0</v>
      </c>
      <c r="M134" s="261">
        <f>'Riders and Gas Cost Revenue'!U32</f>
        <v>-154</v>
      </c>
      <c r="N134" s="261">
        <f>'Riders and Gas Cost Revenue'!X32</f>
        <v>-176</v>
      </c>
      <c r="O134" s="261">
        <f>'Riders and Gas Cost Revenue'!AA32</f>
        <v>-272</v>
      </c>
      <c r="P134" s="261">
        <f>'Riders and Gas Cost Revenue'!AD32</f>
        <v>-338</v>
      </c>
      <c r="Q134" s="261">
        <f>'Riders and Gas Cost Revenue'!AG32</f>
        <v>-359</v>
      </c>
      <c r="R134" s="261">
        <f>'Riders and Gas Cost Revenue'!AJ32</f>
        <v>-239</v>
      </c>
      <c r="S134" s="261">
        <f>'Riders and Gas Cost Revenue'!AM32</f>
        <v>0</v>
      </c>
    </row>
    <row r="135" spans="1:19">
      <c r="A135" s="30">
        <v>26</v>
      </c>
      <c r="C135" s="3" t="s">
        <v>304</v>
      </c>
      <c r="F135" s="259">
        <v>0</v>
      </c>
      <c r="G135" s="259">
        <v>0</v>
      </c>
      <c r="H135" s="259">
        <v>0</v>
      </c>
      <c r="I135" s="259">
        <v>0</v>
      </c>
      <c r="J135" s="259">
        <v>0</v>
      </c>
      <c r="K135" s="259">
        <v>0</v>
      </c>
      <c r="L135" s="259">
        <v>0</v>
      </c>
      <c r="M135" s="259">
        <f>'Riders and Gas Cost Revenue'!V32</f>
        <v>-3</v>
      </c>
      <c r="N135" s="259">
        <f>'Riders and Gas Cost Revenue'!Y32</f>
        <v>-17</v>
      </c>
      <c r="O135" s="259">
        <f>'Riders and Gas Cost Revenue'!AB32</f>
        <v>-28</v>
      </c>
      <c r="P135" s="259">
        <f>'Riders and Gas Cost Revenue'!AE32</f>
        <v>-20</v>
      </c>
      <c r="Q135" s="259">
        <f>'Riders and Gas Cost Revenue'!AH32</f>
        <v>-20</v>
      </c>
      <c r="R135" s="259">
        <f>'Riders and Gas Cost Revenue'!AK32</f>
        <v>-7</v>
      </c>
      <c r="S135" s="259">
        <f>'Riders and Gas Cost Revenue'!AN32</f>
        <v>0</v>
      </c>
    </row>
    <row r="136" spans="1:19" ht="12.75" thickBot="1">
      <c r="A136" s="30">
        <v>27</v>
      </c>
      <c r="B136" s="67" t="s">
        <v>297</v>
      </c>
      <c r="C136" s="67"/>
      <c r="D136" s="67"/>
      <c r="E136" s="67"/>
      <c r="F136" s="64">
        <f>SUM(F132:F135)</f>
        <v>2748</v>
      </c>
      <c r="G136" s="64">
        <f t="shared" ref="G136:L136" si="125">SUM(G132:G135)</f>
        <v>3119</v>
      </c>
      <c r="H136" s="64">
        <f t="shared" si="125"/>
        <v>3720</v>
      </c>
      <c r="I136" s="64">
        <f t="shared" si="125"/>
        <v>3367</v>
      </c>
      <c r="J136" s="64">
        <f t="shared" si="125"/>
        <v>3765</v>
      </c>
      <c r="K136" s="64">
        <f t="shared" si="125"/>
        <v>3357</v>
      </c>
      <c r="L136" s="64">
        <f t="shared" si="125"/>
        <v>3589</v>
      </c>
      <c r="M136" s="64">
        <f>SUM(M132:M135)</f>
        <v>3541</v>
      </c>
      <c r="N136" s="64">
        <f t="shared" ref="N136:Q136" si="126">SUM(N132:N135)</f>
        <v>2961</v>
      </c>
      <c r="O136" s="64">
        <f t="shared" si="126"/>
        <v>3728</v>
      </c>
      <c r="P136" s="64">
        <f t="shared" si="126"/>
        <v>3834</v>
      </c>
      <c r="Q136" s="64">
        <f t="shared" si="126"/>
        <v>4316.6743270000006</v>
      </c>
      <c r="R136" s="64">
        <f t="shared" ref="R136:S136" si="127">SUM(R132:R135)</f>
        <v>4592</v>
      </c>
      <c r="S136" s="64">
        <f t="shared" si="127"/>
        <v>5191</v>
      </c>
    </row>
    <row r="137" spans="1:19" ht="12.75" thickTop="1">
      <c r="A137" s="162"/>
      <c r="B137" s="67"/>
      <c r="C137" s="67"/>
      <c r="D137" s="3" t="s">
        <v>282</v>
      </c>
      <c r="E137" s="67"/>
      <c r="F137" s="90"/>
      <c r="G137" s="121">
        <f>(G136-F136)/F136</f>
        <v>0.13500727802037846</v>
      </c>
      <c r="H137" s="121">
        <f t="shared" ref="H137:S137" si="128">(H136-G136)/G136</f>
        <v>0.192689964732286</v>
      </c>
      <c r="I137" s="121">
        <f t="shared" si="128"/>
        <v>-9.4892473118279572E-2</v>
      </c>
      <c r="J137" s="121">
        <f t="shared" si="128"/>
        <v>0.1182061182061182</v>
      </c>
      <c r="K137" s="121">
        <f t="shared" si="128"/>
        <v>-0.10836653386454183</v>
      </c>
      <c r="L137" s="121">
        <f t="shared" si="128"/>
        <v>6.9109323801012812E-2</v>
      </c>
      <c r="M137" s="121">
        <f t="shared" si="128"/>
        <v>-1.337419894120925E-2</v>
      </c>
      <c r="N137" s="121">
        <f t="shared" si="128"/>
        <v>-0.16379553798362045</v>
      </c>
      <c r="O137" s="121">
        <f t="shared" si="128"/>
        <v>0.25903411009793986</v>
      </c>
      <c r="P137" s="121">
        <f t="shared" si="128"/>
        <v>2.8433476394849784E-2</v>
      </c>
      <c r="Q137" s="121">
        <f t="shared" si="128"/>
        <v>0.12589314736567569</v>
      </c>
      <c r="R137" s="121">
        <f t="shared" si="128"/>
        <v>6.3781896002181149E-2</v>
      </c>
      <c r="S137" s="121">
        <f t="shared" si="128"/>
        <v>0.13044425087108014</v>
      </c>
    </row>
    <row r="138" spans="1:19">
      <c r="A138" s="162"/>
      <c r="B138" s="67"/>
      <c r="C138" s="67"/>
      <c r="E138" s="67"/>
      <c r="F138" s="90"/>
      <c r="G138" s="121"/>
      <c r="H138" s="121"/>
      <c r="I138" s="121"/>
      <c r="J138" s="121"/>
      <c r="K138" s="121"/>
      <c r="L138" s="121"/>
      <c r="M138" s="121"/>
      <c r="N138" s="121"/>
      <c r="O138" s="121"/>
      <c r="P138" s="121"/>
      <c r="Q138" s="121"/>
      <c r="R138" s="121"/>
      <c r="S138" s="121"/>
    </row>
    <row r="139" spans="1:19" ht="12.75" thickBot="1">
      <c r="A139" s="30">
        <v>28</v>
      </c>
      <c r="B139" s="67" t="s">
        <v>305</v>
      </c>
      <c r="C139" s="67"/>
      <c r="E139" s="215" t="s">
        <v>306</v>
      </c>
      <c r="F139" s="64">
        <f>F84</f>
        <v>124885</v>
      </c>
      <c r="G139" s="64">
        <f t="shared" ref="G139:R139" si="129">G84</f>
        <v>129500</v>
      </c>
      <c r="H139" s="64">
        <f t="shared" si="129"/>
        <v>129740</v>
      </c>
      <c r="I139" s="64">
        <f t="shared" si="129"/>
        <v>125044</v>
      </c>
      <c r="J139" s="64">
        <f t="shared" si="129"/>
        <v>124950</v>
      </c>
      <c r="K139" s="64">
        <f t="shared" si="129"/>
        <v>132617</v>
      </c>
      <c r="L139" s="64">
        <f t="shared" si="129"/>
        <v>140789</v>
      </c>
      <c r="M139" s="64">
        <f t="shared" si="129"/>
        <v>145500</v>
      </c>
      <c r="N139" s="64">
        <f t="shared" si="129"/>
        <v>154054</v>
      </c>
      <c r="O139" s="64">
        <f t="shared" si="129"/>
        <v>173806</v>
      </c>
      <c r="P139" s="64">
        <f t="shared" si="129"/>
        <v>177901</v>
      </c>
      <c r="Q139" s="64">
        <f t="shared" si="129"/>
        <v>183553</v>
      </c>
      <c r="R139" s="64">
        <f t="shared" si="129"/>
        <v>195287</v>
      </c>
      <c r="S139" s="64">
        <f t="shared" ref="S139" si="130">S84</f>
        <v>207759</v>
      </c>
    </row>
    <row r="140" spans="1:19" ht="12.75" thickTop="1">
      <c r="A140" s="162"/>
      <c r="B140" s="67"/>
      <c r="C140" s="67"/>
      <c r="D140" s="3" t="s">
        <v>282</v>
      </c>
      <c r="E140" s="67"/>
      <c r="F140" s="90"/>
      <c r="G140" s="121">
        <f>(G139-F139)/F139</f>
        <v>3.6953997677863636E-2</v>
      </c>
      <c r="H140" s="121">
        <f t="shared" ref="H140:S140" si="131">(H139-G139)/G139</f>
        <v>1.8532818532818532E-3</v>
      </c>
      <c r="I140" s="121">
        <f t="shared" si="131"/>
        <v>-3.619546785879451E-2</v>
      </c>
      <c r="J140" s="121">
        <f t="shared" si="131"/>
        <v>-7.5173538914302164E-4</v>
      </c>
      <c r="K140" s="121">
        <f t="shared" si="131"/>
        <v>6.1360544217687073E-2</v>
      </c>
      <c r="L140" s="121">
        <f t="shared" si="131"/>
        <v>6.1621059140230888E-2</v>
      </c>
      <c r="M140" s="121">
        <f t="shared" si="131"/>
        <v>3.3461420991696793E-2</v>
      </c>
      <c r="N140" s="121">
        <f t="shared" si="131"/>
        <v>5.8790378006872854E-2</v>
      </c>
      <c r="O140" s="121">
        <f t="shared" si="131"/>
        <v>0.12821478182974802</v>
      </c>
      <c r="P140" s="121">
        <f t="shared" si="131"/>
        <v>2.3560751642636043E-2</v>
      </c>
      <c r="Q140" s="121">
        <f t="shared" si="131"/>
        <v>3.177047908668304E-2</v>
      </c>
      <c r="R140" s="121">
        <f t="shared" si="131"/>
        <v>6.3927040146442723E-2</v>
      </c>
      <c r="S140" s="121">
        <f t="shared" si="131"/>
        <v>6.3864978211555304E-2</v>
      </c>
    </row>
    <row r="141" spans="1:19">
      <c r="A141" s="162"/>
      <c r="B141" s="67"/>
      <c r="C141" s="67"/>
      <c r="E141" s="67"/>
      <c r="F141" s="90"/>
      <c r="G141" s="121"/>
      <c r="H141" s="121"/>
      <c r="I141" s="121"/>
      <c r="J141" s="121"/>
      <c r="K141" s="121"/>
      <c r="L141" s="121"/>
      <c r="M141" s="121"/>
      <c r="N141" s="121"/>
      <c r="O141" s="121"/>
      <c r="P141" s="121"/>
      <c r="Q141" s="121"/>
      <c r="R141" s="121"/>
      <c r="S141" s="121"/>
    </row>
    <row r="142" spans="1:19" ht="12.75" thickBot="1">
      <c r="A142" s="30">
        <v>29</v>
      </c>
      <c r="B142" s="67" t="s">
        <v>307</v>
      </c>
      <c r="C142" s="67"/>
      <c r="E142" s="215" t="s">
        <v>308</v>
      </c>
      <c r="F142" s="64">
        <f>F91</f>
        <v>130920</v>
      </c>
      <c r="G142" s="64">
        <f t="shared" ref="G142:R142" si="132">G91</f>
        <v>135524</v>
      </c>
      <c r="H142" s="64">
        <f t="shared" si="132"/>
        <v>136362</v>
      </c>
      <c r="I142" s="64">
        <f t="shared" si="132"/>
        <v>131627</v>
      </c>
      <c r="J142" s="64">
        <f t="shared" si="132"/>
        <v>130718</v>
      </c>
      <c r="K142" s="64">
        <f t="shared" si="132"/>
        <v>140796</v>
      </c>
      <c r="L142" s="64">
        <f t="shared" si="132"/>
        <v>149362</v>
      </c>
      <c r="M142" s="64">
        <f t="shared" si="132"/>
        <v>151699</v>
      </c>
      <c r="N142" s="64">
        <f t="shared" si="132"/>
        <v>169681</v>
      </c>
      <c r="O142" s="64">
        <f t="shared" si="132"/>
        <v>180778</v>
      </c>
      <c r="P142" s="64">
        <f t="shared" si="132"/>
        <v>186920</v>
      </c>
      <c r="Q142" s="64">
        <f t="shared" si="132"/>
        <v>196280</v>
      </c>
      <c r="R142" s="64">
        <f t="shared" si="132"/>
        <v>207578</v>
      </c>
      <c r="S142" s="64">
        <f t="shared" ref="S142" si="133">S91</f>
        <v>224824</v>
      </c>
    </row>
    <row r="143" spans="1:19" ht="12.75" thickTop="1">
      <c r="A143" s="162"/>
      <c r="B143" s="67"/>
      <c r="C143" s="67"/>
      <c r="E143" s="67"/>
      <c r="F143" s="90"/>
      <c r="G143" s="121">
        <f>(G142-F142)/F142</f>
        <v>3.516651390161931E-2</v>
      </c>
      <c r="H143" s="121">
        <f t="shared" ref="H143:S143" si="134">(H142-G142)/G142</f>
        <v>6.1834066290841474E-3</v>
      </c>
      <c r="I143" s="121">
        <f t="shared" si="134"/>
        <v>-3.4723750018333555E-2</v>
      </c>
      <c r="J143" s="121">
        <f t="shared" si="134"/>
        <v>-6.9058779733641275E-3</v>
      </c>
      <c r="K143" s="121">
        <f t="shared" si="134"/>
        <v>7.709726281001851E-2</v>
      </c>
      <c r="L143" s="121">
        <f t="shared" si="134"/>
        <v>6.0839796585130258E-2</v>
      </c>
      <c r="M143" s="121">
        <f t="shared" si="134"/>
        <v>1.5646549992635341E-2</v>
      </c>
      <c r="N143" s="121">
        <f t="shared" si="134"/>
        <v>0.11853736675917442</v>
      </c>
      <c r="O143" s="121">
        <f t="shared" si="134"/>
        <v>6.5399190245224864E-2</v>
      </c>
      <c r="P143" s="121">
        <f t="shared" si="134"/>
        <v>3.3975373109559795E-2</v>
      </c>
      <c r="Q143" s="121">
        <f t="shared" si="134"/>
        <v>5.0074898352236254E-2</v>
      </c>
      <c r="R143" s="121">
        <f t="shared" si="134"/>
        <v>5.7560627674750356E-2</v>
      </c>
      <c r="S143" s="121">
        <f t="shared" si="134"/>
        <v>8.3082022179614412E-2</v>
      </c>
    </row>
    <row r="144" spans="1:19" ht="7.5" customHeight="1">
      <c r="A144" s="162"/>
      <c r="B144" s="67"/>
      <c r="C144" s="67"/>
      <c r="E144" s="67"/>
      <c r="F144" s="90"/>
      <c r="G144" s="121"/>
      <c r="H144" s="121"/>
      <c r="I144" s="121"/>
      <c r="J144" s="121"/>
      <c r="K144" s="121"/>
      <c r="L144" s="121"/>
      <c r="M144" s="121"/>
      <c r="N144" s="121"/>
      <c r="O144" s="121"/>
      <c r="P144" s="121"/>
      <c r="Q144" s="121"/>
      <c r="R144" s="121"/>
      <c r="S144" s="121"/>
    </row>
    <row r="145" spans="1:19">
      <c r="A145" s="162"/>
      <c r="B145" s="67"/>
      <c r="C145" s="67"/>
      <c r="D145" s="3" t="s">
        <v>311</v>
      </c>
      <c r="E145" s="67"/>
      <c r="F145" s="90"/>
      <c r="G145" s="90"/>
      <c r="H145" s="90"/>
      <c r="I145" s="90"/>
      <c r="J145" s="90"/>
      <c r="K145" s="90"/>
      <c r="L145" s="90"/>
      <c r="M145" s="90"/>
      <c r="N145" s="90"/>
      <c r="O145" s="90"/>
      <c r="P145" s="90"/>
      <c r="Q145" s="90"/>
      <c r="R145" s="90"/>
      <c r="S145" s="90"/>
    </row>
    <row r="146" spans="1:19">
      <c r="A146" s="30">
        <v>30</v>
      </c>
      <c r="B146" s="3" t="s">
        <v>313</v>
      </c>
      <c r="C146" s="67"/>
      <c r="D146" s="67"/>
      <c r="E146" s="215" t="s">
        <v>309</v>
      </c>
      <c r="F146" s="90">
        <f>F14</f>
        <v>2377</v>
      </c>
      <c r="G146" s="90">
        <f t="shared" ref="G146:R146" si="135">G14</f>
        <v>2541</v>
      </c>
      <c r="H146" s="90">
        <f t="shared" si="135"/>
        <v>2340</v>
      </c>
      <c r="I146" s="90">
        <f t="shared" si="135"/>
        <v>2183</v>
      </c>
      <c r="J146" s="90">
        <f t="shared" si="135"/>
        <v>2168</v>
      </c>
      <c r="K146" s="90">
        <f t="shared" si="135"/>
        <v>30131</v>
      </c>
      <c r="L146" s="90">
        <f t="shared" si="135"/>
        <v>2372</v>
      </c>
      <c r="M146" s="90">
        <f t="shared" si="135"/>
        <v>68416</v>
      </c>
      <c r="N146" s="90">
        <f t="shared" si="135"/>
        <v>153093</v>
      </c>
      <c r="O146" s="90">
        <f t="shared" si="135"/>
        <v>84085</v>
      </c>
      <c r="P146" s="90">
        <f t="shared" si="135"/>
        <v>115257</v>
      </c>
      <c r="Q146" s="90">
        <f t="shared" si="135"/>
        <v>98841</v>
      </c>
      <c r="R146" s="90">
        <f t="shared" si="135"/>
        <v>68107</v>
      </c>
      <c r="S146" s="90">
        <f t="shared" ref="S146" si="136">S14</f>
        <v>403</v>
      </c>
    </row>
    <row r="147" spans="1:19">
      <c r="A147" s="30">
        <v>31</v>
      </c>
      <c r="B147" s="3" t="s">
        <v>310</v>
      </c>
      <c r="C147" s="67"/>
      <c r="D147" s="67"/>
      <c r="E147" s="67"/>
      <c r="F147" s="90">
        <f>'Riders and Gas Cost Revenue'!H13</f>
        <v>-242</v>
      </c>
      <c r="G147" s="90">
        <f>'Riders and Gas Cost Revenue'!J13</f>
        <v>-244</v>
      </c>
      <c r="H147" s="90">
        <f>'Riders and Gas Cost Revenue'!L13</f>
        <v>-144</v>
      </c>
      <c r="I147" s="90">
        <f>'Riders and Gas Cost Revenue'!N13</f>
        <v>0</v>
      </c>
      <c r="J147" s="90">
        <f>'Riders and Gas Cost Revenue'!P13</f>
        <v>0</v>
      </c>
      <c r="K147" s="90">
        <f>'Riders and Gas Cost Revenue'!R13</f>
        <v>-28334</v>
      </c>
      <c r="L147" s="90">
        <f>'Riders and Gas Cost Revenue'!T13</f>
        <v>0</v>
      </c>
      <c r="M147" s="90">
        <f>'Riders and Gas Cost Revenue'!W13</f>
        <v>-66686</v>
      </c>
      <c r="N147" s="90">
        <f>'Riders and Gas Cost Revenue'!Z13</f>
        <v>-153018</v>
      </c>
      <c r="O147" s="90">
        <f>'Riders and Gas Cost Revenue'!AC13</f>
        <v>-83992</v>
      </c>
      <c r="P147" s="90">
        <f>'Riders and Gas Cost Revenue'!AF13</f>
        <v>-115193</v>
      </c>
      <c r="Q147" s="90">
        <f>'Riders and Gas Cost Revenue'!AI13</f>
        <v>-98794</v>
      </c>
      <c r="R147" s="90">
        <f>'Riders and Gas Cost Revenue'!AL13</f>
        <v>-67822</v>
      </c>
      <c r="S147" s="341">
        <f>'Riders and Gas Cost Revenue'!AO13</f>
        <v>0</v>
      </c>
    </row>
    <row r="148" spans="1:19">
      <c r="A148" s="30">
        <v>32</v>
      </c>
      <c r="B148" s="3" t="s">
        <v>314</v>
      </c>
      <c r="C148" s="67"/>
      <c r="D148" s="67"/>
      <c r="E148" s="67"/>
      <c r="F148" s="90">
        <v>-2130</v>
      </c>
      <c r="G148" s="90">
        <v>-2289</v>
      </c>
      <c r="H148" s="90">
        <v>-2187</v>
      </c>
      <c r="I148" s="90">
        <v>-2174</v>
      </c>
      <c r="J148" s="90">
        <v>-2156</v>
      </c>
      <c r="K148" s="90">
        <v>-1723</v>
      </c>
      <c r="L148" s="90">
        <v>-2361</v>
      </c>
      <c r="M148" s="90">
        <v>-1717</v>
      </c>
      <c r="N148" s="90">
        <v>0</v>
      </c>
      <c r="O148" s="90">
        <v>0</v>
      </c>
      <c r="P148" s="90">
        <v>0</v>
      </c>
      <c r="Q148" s="90">
        <v>0</v>
      </c>
      <c r="R148" s="90">
        <v>0</v>
      </c>
      <c r="S148" s="90">
        <v>0</v>
      </c>
    </row>
    <row r="149" spans="1:19" ht="12.75" thickBot="1">
      <c r="A149" s="30">
        <v>33</v>
      </c>
      <c r="B149" s="67" t="s">
        <v>312</v>
      </c>
      <c r="C149" s="67"/>
      <c r="D149" s="67"/>
      <c r="E149" s="67"/>
      <c r="F149" s="64">
        <f>SUM(F146:F148)</f>
        <v>5</v>
      </c>
      <c r="G149" s="64">
        <f t="shared" ref="G149:R149" si="137">SUM(G146:G148)</f>
        <v>8</v>
      </c>
      <c r="H149" s="64">
        <f t="shared" si="137"/>
        <v>9</v>
      </c>
      <c r="I149" s="64">
        <f t="shared" si="137"/>
        <v>9</v>
      </c>
      <c r="J149" s="64">
        <f t="shared" si="137"/>
        <v>12</v>
      </c>
      <c r="K149" s="64">
        <f t="shared" si="137"/>
        <v>74</v>
      </c>
      <c r="L149" s="64">
        <f t="shared" si="137"/>
        <v>11</v>
      </c>
      <c r="M149" s="64">
        <f t="shared" si="137"/>
        <v>13</v>
      </c>
      <c r="N149" s="64">
        <f t="shared" si="137"/>
        <v>75</v>
      </c>
      <c r="O149" s="64">
        <f t="shared" si="137"/>
        <v>93</v>
      </c>
      <c r="P149" s="64">
        <f t="shared" si="137"/>
        <v>64</v>
      </c>
      <c r="Q149" s="64">
        <f t="shared" si="137"/>
        <v>47</v>
      </c>
      <c r="R149" s="64">
        <f t="shared" si="137"/>
        <v>285</v>
      </c>
      <c r="S149" s="64">
        <f t="shared" ref="S149" si="138">SUM(S146:S148)</f>
        <v>403</v>
      </c>
    </row>
    <row r="150" spans="1:19" ht="12.75" thickTop="1">
      <c r="A150" s="30"/>
      <c r="B150" s="67"/>
      <c r="C150" s="67"/>
      <c r="D150" s="3" t="s">
        <v>282</v>
      </c>
      <c r="E150" s="67"/>
      <c r="F150" s="90"/>
      <c r="G150" s="121">
        <f>(G149-F149)/F149</f>
        <v>0.6</v>
      </c>
      <c r="H150" s="121">
        <f t="shared" ref="H150:S150" si="139">(H149-G149)/G149</f>
        <v>0.125</v>
      </c>
      <c r="I150" s="121">
        <f t="shared" si="139"/>
        <v>0</v>
      </c>
      <c r="J150" s="121">
        <f t="shared" si="139"/>
        <v>0.33333333333333331</v>
      </c>
      <c r="K150" s="121">
        <f t="shared" si="139"/>
        <v>5.166666666666667</v>
      </c>
      <c r="L150" s="121">
        <f t="shared" si="139"/>
        <v>-0.85135135135135132</v>
      </c>
      <c r="M150" s="121">
        <f t="shared" si="139"/>
        <v>0.18181818181818182</v>
      </c>
      <c r="N150" s="121">
        <f t="shared" si="139"/>
        <v>4.7692307692307692</v>
      </c>
      <c r="O150" s="121">
        <f t="shared" si="139"/>
        <v>0.24</v>
      </c>
      <c r="P150" s="121">
        <f t="shared" si="139"/>
        <v>-0.31182795698924731</v>
      </c>
      <c r="Q150" s="121">
        <f t="shared" si="139"/>
        <v>-0.265625</v>
      </c>
      <c r="R150" s="121">
        <f t="shared" si="139"/>
        <v>5.0638297872340425</v>
      </c>
      <c r="S150" s="121">
        <f t="shared" si="139"/>
        <v>0.41403508771929826</v>
      </c>
    </row>
    <row r="151" spans="1:19">
      <c r="A151" s="162"/>
      <c r="B151" s="67"/>
      <c r="C151" s="67"/>
      <c r="D151" s="67"/>
      <c r="E151" s="67"/>
      <c r="F151" s="90"/>
      <c r="G151" s="90"/>
      <c r="H151" s="90"/>
      <c r="I151" s="90"/>
      <c r="J151" s="90"/>
      <c r="K151" s="90"/>
      <c r="L151" s="90"/>
      <c r="M151" s="90"/>
      <c r="N151" s="90"/>
      <c r="O151" s="90"/>
      <c r="P151" s="90"/>
      <c r="Q151" s="90"/>
      <c r="R151" s="90"/>
    </row>
    <row r="152" spans="1:19" ht="18.75" customHeight="1">
      <c r="A152" s="256" t="s">
        <v>43</v>
      </c>
      <c r="B152"/>
      <c r="C152"/>
      <c r="D152"/>
      <c r="E152"/>
      <c r="F152"/>
      <c r="G152"/>
      <c r="H152"/>
      <c r="I152"/>
      <c r="J152"/>
      <c r="K152"/>
      <c r="L152"/>
      <c r="M152"/>
      <c r="N152"/>
      <c r="O152"/>
      <c r="R152" s="4"/>
    </row>
    <row r="153" spans="1:19" ht="12.75">
      <c r="A153" s="256" t="s">
        <v>48</v>
      </c>
      <c r="B153"/>
      <c r="C153"/>
      <c r="D153"/>
      <c r="E153"/>
      <c r="F153"/>
      <c r="G153"/>
      <c r="H153"/>
      <c r="I153"/>
      <c r="J153"/>
      <c r="K153"/>
      <c r="L153"/>
      <c r="M153"/>
      <c r="N153"/>
      <c r="O153"/>
      <c r="R153" s="4"/>
    </row>
    <row r="154" spans="1:19" ht="12.75">
      <c r="A154" s="256" t="s">
        <v>120</v>
      </c>
      <c r="B154"/>
      <c r="C154"/>
      <c r="D154"/>
      <c r="E154"/>
      <c r="F154"/>
      <c r="G154"/>
      <c r="H154"/>
      <c r="I154"/>
      <c r="J154"/>
      <c r="K154"/>
      <c r="L154"/>
      <c r="M154"/>
      <c r="N154"/>
      <c r="O154"/>
      <c r="R154" s="4"/>
    </row>
    <row r="155" spans="1:19" ht="3.6" customHeight="1">
      <c r="A155"/>
      <c r="B155"/>
      <c r="C155"/>
      <c r="D155"/>
      <c r="E155"/>
      <c r="F155"/>
      <c r="G155"/>
      <c r="H155"/>
      <c r="I155"/>
      <c r="J155"/>
      <c r="K155"/>
      <c r="L155"/>
      <c r="M155"/>
      <c r="N155"/>
      <c r="O155"/>
      <c r="R155" s="4"/>
    </row>
    <row r="156" spans="1:19" ht="15.75">
      <c r="A156"/>
      <c r="B156"/>
      <c r="C156"/>
      <c r="D156"/>
      <c r="E156" s="475" t="s">
        <v>260</v>
      </c>
      <c r="F156" s="475"/>
      <c r="G156" s="475"/>
      <c r="H156" s="475"/>
      <c r="I156" s="475"/>
      <c r="J156" s="475"/>
      <c r="K156" s="475"/>
      <c r="L156" s="475"/>
      <c r="M156" s="475"/>
      <c r="N156" s="475"/>
      <c r="O156" s="475"/>
      <c r="P156" s="475"/>
      <c r="Q156" s="475"/>
      <c r="R156" s="475"/>
    </row>
    <row r="157" spans="1:19" ht="12.75">
      <c r="A157" s="30" t="s">
        <v>0</v>
      </c>
      <c r="B157"/>
      <c r="C157"/>
      <c r="D157"/>
      <c r="E157"/>
      <c r="F157"/>
      <c r="G157"/>
      <c r="H157"/>
      <c r="I157"/>
      <c r="J157"/>
      <c r="K157"/>
      <c r="L157"/>
      <c r="M157"/>
      <c r="N157"/>
      <c r="O157"/>
      <c r="R157" s="4"/>
    </row>
    <row r="158" spans="1:19" ht="12.75">
      <c r="A158" s="74" t="s">
        <v>2</v>
      </c>
      <c r="B158" s="72" t="s">
        <v>75</v>
      </c>
      <c r="C158" s="72"/>
      <c r="D158" s="73"/>
      <c r="E158" s="73"/>
      <c r="F158" s="62"/>
      <c r="G158" s="258"/>
      <c r="H158" s="258" t="s">
        <v>76</v>
      </c>
      <c r="I158" s="258" t="s">
        <v>77</v>
      </c>
      <c r="J158" s="258" t="s">
        <v>78</v>
      </c>
      <c r="K158" s="258" t="s">
        <v>79</v>
      </c>
      <c r="L158" s="258" t="s">
        <v>80</v>
      </c>
      <c r="M158" s="258" t="s">
        <v>81</v>
      </c>
      <c r="N158" s="258" t="s">
        <v>82</v>
      </c>
      <c r="O158" s="258" t="s">
        <v>83</v>
      </c>
      <c r="P158" s="258" t="s">
        <v>84</v>
      </c>
      <c r="Q158" s="258" t="s">
        <v>85</v>
      </c>
      <c r="R158" s="258" t="s">
        <v>135</v>
      </c>
      <c r="S158" s="258" t="s">
        <v>440</v>
      </c>
    </row>
    <row r="159" spans="1:19" ht="12.75">
      <c r="B159"/>
      <c r="C159"/>
      <c r="D159"/>
      <c r="E159"/>
      <c r="F159"/>
      <c r="G159"/>
      <c r="H159"/>
      <c r="I159"/>
      <c r="J159"/>
      <c r="K159"/>
      <c r="L159"/>
      <c r="M159"/>
      <c r="N159"/>
      <c r="O159"/>
      <c r="R159" s="4"/>
      <c r="S159" s="4"/>
    </row>
    <row r="160" spans="1:19" ht="12.75">
      <c r="A160" s="22">
        <v>1</v>
      </c>
      <c r="B160" s="66" t="s">
        <v>67</v>
      </c>
      <c r="C160"/>
      <c r="D160"/>
      <c r="E160"/>
      <c r="F160"/>
      <c r="G160" s="71"/>
      <c r="H160" s="71">
        <f t="shared" ref="H160:S160" si="140">(H113-G113)/G113</f>
        <v>0.20402684563758389</v>
      </c>
      <c r="I160" s="71">
        <f t="shared" si="140"/>
        <v>5.5893381980338504E-2</v>
      </c>
      <c r="J160" s="71">
        <f t="shared" si="140"/>
        <v>-3.815328502183616E-2</v>
      </c>
      <c r="K160" s="71">
        <f t="shared" si="140"/>
        <v>3.1583674284003591E-2</v>
      </c>
      <c r="L160" s="71">
        <f t="shared" si="140"/>
        <v>-3.4340991535671099E-3</v>
      </c>
      <c r="M160" s="71">
        <f t="shared" si="140"/>
        <v>3.3343040186371575E-2</v>
      </c>
      <c r="N160" s="71">
        <f t="shared" si="140"/>
        <v>2.7570334883284017E-2</v>
      </c>
      <c r="O160" s="71">
        <f t="shared" si="140"/>
        <v>0.12757107596672457</v>
      </c>
      <c r="P160" s="71">
        <f t="shared" si="140"/>
        <v>5.6224411204345535E-2</v>
      </c>
      <c r="Q160" s="71">
        <f t="shared" si="140"/>
        <v>7.0803382790911792E-2</v>
      </c>
      <c r="R160" s="71">
        <f t="shared" si="140"/>
        <v>0.1039805866878291</v>
      </c>
      <c r="S160" s="71">
        <f t="shared" si="140"/>
        <v>9.6097655996363867E-3</v>
      </c>
    </row>
    <row r="161" spans="1:23" ht="12.75">
      <c r="B161"/>
      <c r="C161"/>
      <c r="D161"/>
      <c r="E161"/>
      <c r="F161"/>
      <c r="G161"/>
      <c r="H161"/>
      <c r="I161"/>
      <c r="J161"/>
      <c r="K161"/>
      <c r="L161"/>
      <c r="M161"/>
      <c r="N161"/>
      <c r="O161"/>
      <c r="R161" s="4"/>
      <c r="S161" s="4"/>
    </row>
    <row r="162" spans="1:23" ht="12.75">
      <c r="A162" s="22">
        <v>2</v>
      </c>
      <c r="B162" s="66" t="s">
        <v>68</v>
      </c>
      <c r="C162"/>
      <c r="D162"/>
      <c r="E162"/>
      <c r="F162"/>
      <c r="G162" s="71"/>
      <c r="H162" s="71">
        <f t="shared" ref="H162:S162" si="141">(H120-G120)/G120</f>
        <v>6.0097833682739341E-2</v>
      </c>
      <c r="I162" s="71">
        <f t="shared" si="141"/>
        <v>5.1252471984179301E-2</v>
      </c>
      <c r="J162" s="71">
        <f t="shared" si="141"/>
        <v>1.8811725975858284E-3</v>
      </c>
      <c r="K162" s="71">
        <f t="shared" si="141"/>
        <v>5.4764512595837894E-2</v>
      </c>
      <c r="L162" s="71">
        <f t="shared" si="141"/>
        <v>3.2932799287939477E-2</v>
      </c>
      <c r="M162" s="71">
        <f t="shared" si="141"/>
        <v>6.4627315812149935E-2</v>
      </c>
      <c r="N162" s="71">
        <f t="shared" si="141"/>
        <v>4.5730473492513156E-2</v>
      </c>
      <c r="O162" s="71">
        <f t="shared" si="141"/>
        <v>9.0815273477812181E-2</v>
      </c>
      <c r="P162" s="71">
        <f t="shared" si="141"/>
        <v>7.9351939451277206E-2</v>
      </c>
      <c r="Q162" s="71">
        <f t="shared" si="141"/>
        <v>7.1326832475073959E-2</v>
      </c>
      <c r="R162" s="71">
        <f t="shared" si="141"/>
        <v>9.3475148292084267E-2</v>
      </c>
      <c r="S162" s="71">
        <f t="shared" si="141"/>
        <v>0.1385147774036663</v>
      </c>
    </row>
    <row r="163" spans="1:23" ht="12.75">
      <c r="B163"/>
      <c r="C163"/>
      <c r="D163"/>
      <c r="E163"/>
      <c r="F163"/>
      <c r="G163"/>
      <c r="H163"/>
      <c r="I163"/>
      <c r="J163"/>
      <c r="K163"/>
      <c r="L163"/>
      <c r="M163"/>
      <c r="N163"/>
      <c r="O163"/>
      <c r="R163" s="4"/>
      <c r="S163" s="4"/>
    </row>
    <row r="164" spans="1:23" ht="12.75">
      <c r="A164" s="22">
        <v>3</v>
      </c>
      <c r="B164" s="67" t="s">
        <v>69</v>
      </c>
      <c r="C164"/>
      <c r="D164"/>
      <c r="E164"/>
      <c r="F164"/>
      <c r="G164" s="71"/>
      <c r="H164" s="71">
        <f t="shared" ref="H164:S164" si="142">(H136-G136)/G136</f>
        <v>0.192689964732286</v>
      </c>
      <c r="I164" s="71">
        <f t="shared" si="142"/>
        <v>-9.4892473118279572E-2</v>
      </c>
      <c r="J164" s="71">
        <f t="shared" si="142"/>
        <v>0.1182061182061182</v>
      </c>
      <c r="K164" s="93">
        <f t="shared" si="142"/>
        <v>-0.10836653386454183</v>
      </c>
      <c r="L164" s="71">
        <f t="shared" si="142"/>
        <v>6.9109323801012812E-2</v>
      </c>
      <c r="M164" s="71">
        <f t="shared" si="142"/>
        <v>-1.337419894120925E-2</v>
      </c>
      <c r="N164" s="71">
        <f t="shared" si="142"/>
        <v>-0.16379553798362045</v>
      </c>
      <c r="O164" s="71">
        <f t="shared" si="142"/>
        <v>0.25903411009793986</v>
      </c>
      <c r="P164" s="71">
        <f t="shared" si="142"/>
        <v>2.8433476394849784E-2</v>
      </c>
      <c r="Q164" s="71">
        <f t="shared" si="142"/>
        <v>0.12589314736567569</v>
      </c>
      <c r="R164" s="71">
        <f t="shared" si="142"/>
        <v>6.3781896002181149E-2</v>
      </c>
      <c r="S164" s="71">
        <f t="shared" si="142"/>
        <v>0.13044425087108014</v>
      </c>
    </row>
    <row r="165" spans="1:23" ht="12.75">
      <c r="B165"/>
      <c r="C165"/>
      <c r="D165"/>
      <c r="E165"/>
      <c r="F165"/>
      <c r="G165"/>
      <c r="H165"/>
      <c r="I165"/>
      <c r="J165"/>
      <c r="K165"/>
      <c r="L165"/>
      <c r="M165"/>
      <c r="N165"/>
      <c r="O165"/>
      <c r="R165" s="4"/>
      <c r="S165" s="4"/>
    </row>
    <row r="166" spans="1:23" ht="12.75">
      <c r="A166" s="22">
        <v>4</v>
      </c>
      <c r="B166" s="68" t="s">
        <v>50</v>
      </c>
      <c r="C166"/>
      <c r="D166"/>
      <c r="E166"/>
      <c r="F166"/>
      <c r="G166" s="71"/>
      <c r="H166" s="71">
        <f t="shared" ref="H166:S166" si="143">(H84-G84)/G84</f>
        <v>1.8532818532818532E-3</v>
      </c>
      <c r="I166" s="71">
        <f t="shared" si="143"/>
        <v>-3.619546785879451E-2</v>
      </c>
      <c r="J166" s="71">
        <f t="shared" si="143"/>
        <v>-7.5173538914302164E-4</v>
      </c>
      <c r="K166" s="71">
        <f t="shared" si="143"/>
        <v>6.1360544217687073E-2</v>
      </c>
      <c r="L166" s="71">
        <f t="shared" si="143"/>
        <v>6.1621059140230888E-2</v>
      </c>
      <c r="M166" s="71">
        <f t="shared" si="143"/>
        <v>3.3461420991696793E-2</v>
      </c>
      <c r="N166" s="71">
        <f t="shared" si="143"/>
        <v>5.8790378006872854E-2</v>
      </c>
      <c r="O166" s="71">
        <f t="shared" si="143"/>
        <v>0.12821478182974802</v>
      </c>
      <c r="P166" s="71">
        <f t="shared" si="143"/>
        <v>2.3560751642636043E-2</v>
      </c>
      <c r="Q166" s="71">
        <f t="shared" si="143"/>
        <v>3.177047908668304E-2</v>
      </c>
      <c r="R166" s="71">
        <f t="shared" si="143"/>
        <v>6.3927040146442723E-2</v>
      </c>
      <c r="S166" s="71">
        <f t="shared" si="143"/>
        <v>6.3864978211555304E-2</v>
      </c>
    </row>
    <row r="167" spans="1:23" ht="12.75">
      <c r="B167" s="68"/>
      <c r="C167"/>
      <c r="D167"/>
      <c r="E167"/>
      <c r="F167"/>
      <c r="G167" s="71"/>
      <c r="H167" s="71"/>
      <c r="I167" s="71"/>
      <c r="J167" s="71"/>
      <c r="K167" s="71"/>
      <c r="L167" s="71"/>
      <c r="M167" s="71"/>
      <c r="N167" s="71"/>
      <c r="O167" s="71"/>
      <c r="P167" s="71"/>
      <c r="Q167" s="71"/>
      <c r="R167" s="71"/>
      <c r="S167" s="71"/>
    </row>
    <row r="168" spans="1:23" ht="12.75">
      <c r="A168" s="22">
        <v>5</v>
      </c>
      <c r="B168" s="68" t="s">
        <v>74</v>
      </c>
      <c r="C168"/>
      <c r="D168"/>
      <c r="E168"/>
      <c r="F168"/>
      <c r="G168" s="71"/>
      <c r="H168" s="71">
        <f t="shared" ref="H168:S168" si="144">(H91-G91)/G91</f>
        <v>6.1834066290841474E-3</v>
      </c>
      <c r="I168" s="71">
        <f t="shared" si="144"/>
        <v>-3.4723750018333555E-2</v>
      </c>
      <c r="J168" s="71">
        <f t="shared" si="144"/>
        <v>-6.9058779733641275E-3</v>
      </c>
      <c r="K168" s="71">
        <f t="shared" si="144"/>
        <v>7.709726281001851E-2</v>
      </c>
      <c r="L168" s="71">
        <f t="shared" si="144"/>
        <v>6.0839796585130258E-2</v>
      </c>
      <c r="M168" s="71">
        <f t="shared" si="144"/>
        <v>1.5646549992635341E-2</v>
      </c>
      <c r="N168" s="71">
        <f t="shared" si="144"/>
        <v>0.11853736675917442</v>
      </c>
      <c r="O168" s="71">
        <f t="shared" si="144"/>
        <v>6.5399190245224864E-2</v>
      </c>
      <c r="P168" s="71">
        <f t="shared" si="144"/>
        <v>3.3975373109559795E-2</v>
      </c>
      <c r="Q168" s="71">
        <f t="shared" si="144"/>
        <v>5.0074898352236254E-2</v>
      </c>
      <c r="R168" s="71">
        <f t="shared" si="144"/>
        <v>5.7560627674750356E-2</v>
      </c>
      <c r="S168" s="71">
        <f t="shared" si="144"/>
        <v>8.3082022179614412E-2</v>
      </c>
    </row>
    <row r="169" spans="1:23" ht="12.75">
      <c r="B169" s="68"/>
      <c r="C169"/>
      <c r="D169"/>
      <c r="E169"/>
      <c r="F169"/>
      <c r="G169" s="71"/>
      <c r="H169" s="71"/>
      <c r="I169" s="71"/>
      <c r="J169" s="71"/>
      <c r="K169" s="71"/>
      <c r="L169" s="71"/>
      <c r="M169" s="71"/>
      <c r="N169" s="71"/>
      <c r="O169" s="71"/>
      <c r="P169" s="71"/>
      <c r="Q169" s="71"/>
      <c r="R169" s="71"/>
      <c r="S169" s="71"/>
    </row>
    <row r="170" spans="1:23" ht="12.75">
      <c r="A170" s="22">
        <v>6</v>
      </c>
      <c r="B170" s="68" t="s">
        <v>168</v>
      </c>
      <c r="C170"/>
      <c r="D170"/>
      <c r="E170"/>
      <c r="F170"/>
      <c r="H170" s="270" t="s">
        <v>322</v>
      </c>
      <c r="I170" s="71"/>
      <c r="J170" s="71"/>
      <c r="K170" s="71"/>
      <c r="L170" s="71"/>
      <c r="M170" s="71"/>
      <c r="N170" s="71"/>
      <c r="O170" s="71"/>
      <c r="P170" s="71"/>
      <c r="Q170" s="71"/>
      <c r="R170" s="71"/>
      <c r="S170" s="71"/>
    </row>
    <row r="171" spans="1:23" ht="12.75">
      <c r="B171"/>
      <c r="C171"/>
      <c r="D171"/>
      <c r="E171"/>
      <c r="F171"/>
      <c r="G171"/>
      <c r="H171"/>
      <c r="I171"/>
      <c r="J171"/>
      <c r="K171"/>
      <c r="L171"/>
      <c r="M171"/>
      <c r="N171"/>
      <c r="O171"/>
      <c r="R171" s="4"/>
      <c r="S171" s="4"/>
    </row>
    <row r="172" spans="1:23" ht="12.75">
      <c r="B172"/>
      <c r="C172"/>
      <c r="D172"/>
      <c r="E172"/>
      <c r="F172"/>
      <c r="G172"/>
      <c r="H172"/>
      <c r="I172"/>
      <c r="J172"/>
      <c r="K172"/>
      <c r="L172"/>
      <c r="M172"/>
      <c r="N172"/>
      <c r="O172"/>
      <c r="R172" s="4"/>
      <c r="S172" s="4"/>
    </row>
    <row r="173" spans="1:23" ht="12.75">
      <c r="B173" s="72" t="s">
        <v>468</v>
      </c>
      <c r="C173" s="72"/>
      <c r="D173" s="73"/>
      <c r="E173" s="73"/>
      <c r="F173" s="62"/>
      <c r="G173" s="258" t="s">
        <v>469</v>
      </c>
      <c r="H173" s="258" t="s">
        <v>441</v>
      </c>
      <c r="I173" s="258" t="s">
        <v>442</v>
      </c>
      <c r="J173" s="258" t="s">
        <v>443</v>
      </c>
      <c r="K173" s="258" t="s">
        <v>444</v>
      </c>
      <c r="L173" s="258" t="s">
        <v>445</v>
      </c>
      <c r="M173" s="258" t="s">
        <v>446</v>
      </c>
      <c r="N173" s="258" t="s">
        <v>447</v>
      </c>
      <c r="O173" s="258" t="s">
        <v>448</v>
      </c>
      <c r="P173" s="258" t="s">
        <v>439</v>
      </c>
      <c r="Q173" s="258" t="s">
        <v>438</v>
      </c>
      <c r="R173" s="258" t="s">
        <v>437</v>
      </c>
      <c r="S173" s="258" t="s">
        <v>440</v>
      </c>
      <c r="T173" s="258" t="s">
        <v>471</v>
      </c>
      <c r="U173" s="258" t="s">
        <v>473</v>
      </c>
      <c r="V173" s="258" t="s">
        <v>472</v>
      </c>
      <c r="W173" s="258" t="s">
        <v>484</v>
      </c>
    </row>
    <row r="174" spans="1:23" ht="13.5" thickBot="1">
      <c r="B174"/>
      <c r="C174"/>
      <c r="D174"/>
      <c r="E174"/>
      <c r="F174"/>
      <c r="G174"/>
      <c r="H174"/>
      <c r="I174"/>
      <c r="J174"/>
      <c r="K174"/>
      <c r="L174"/>
      <c r="M174"/>
      <c r="N174"/>
      <c r="O174"/>
      <c r="R174" s="4"/>
      <c r="S174" s="4"/>
    </row>
    <row r="175" spans="1:23" ht="12.75">
      <c r="A175" s="22">
        <v>7</v>
      </c>
      <c r="B175" s="66" t="s">
        <v>67</v>
      </c>
      <c r="C175"/>
      <c r="D175"/>
      <c r="E175"/>
      <c r="F175"/>
      <c r="G175" s="363">
        <f>HLOOKUP(Summary!$O$18, H173:W185, 3, FALSE)</f>
        <v>3.0326709113126245E-2</v>
      </c>
      <c r="H175" s="71">
        <f>RATE(12,,-G113,$S113)</f>
        <v>5.4822679297844991E-2</v>
      </c>
      <c r="I175" s="71">
        <f>RATE(11,,-H113,$S113)</f>
        <v>4.2212124985382862E-2</v>
      </c>
      <c r="J175" s="71">
        <f>RATE(10,,-I113,$S113)</f>
        <v>4.0853787195025325E-2</v>
      </c>
      <c r="K175" s="71">
        <f>RATE(9,,-J113,$S113)</f>
        <v>5.0023562179735644E-2</v>
      </c>
      <c r="L175" s="71">
        <f>RATE(8,,-K113,$S113)</f>
        <v>5.2351604664166392E-2</v>
      </c>
      <c r="M175" s="71">
        <f>RATE(7,,-L113,$S113)</f>
        <v>6.0571936393269007E-2</v>
      </c>
      <c r="N175" s="359">
        <f>RATE(6,,-M113,$S113)</f>
        <v>6.5179337180755512E-2</v>
      </c>
      <c r="O175" s="71">
        <f>RATE(5,,-N113,$S113)</f>
        <v>7.2864729943946049E-2</v>
      </c>
      <c r="P175" s="71">
        <f>RATE(4,,-O113,$S113)</f>
        <v>5.9608000040834816E-2</v>
      </c>
      <c r="Q175" s="71">
        <f>RATE(3,,-P113,$S113)</f>
        <v>6.0738269994629918E-2</v>
      </c>
      <c r="R175" s="71">
        <f>RATE(2,,-Q113,$S113)</f>
        <v>5.5741247348328866E-2</v>
      </c>
      <c r="S175" s="71">
        <f>RATE(1,,-R113,$S113)</f>
        <v>9.6097655996363607E-3</v>
      </c>
      <c r="T175" s="71">
        <v>0</v>
      </c>
      <c r="U175" s="372">
        <f>'trends - Adj Operating Exp'!D12</f>
        <v>3.5185542478615987E-2</v>
      </c>
      <c r="V175" s="372">
        <f>'trends - Adj Operating Exp'!D13</f>
        <v>2.5467875747636502E-2</v>
      </c>
      <c r="W175" s="372">
        <f>AVERAGE(U175:V175)</f>
        <v>3.0326709113126245E-2</v>
      </c>
    </row>
    <row r="176" spans="1:23" ht="12.75">
      <c r="B176" s="66"/>
      <c r="C176"/>
      <c r="D176"/>
      <c r="E176"/>
      <c r="F176"/>
      <c r="G176" s="246"/>
      <c r="H176" s="71"/>
      <c r="I176" s="71"/>
      <c r="J176" s="71"/>
      <c r="K176" s="71"/>
      <c r="L176" s="71"/>
      <c r="M176" s="71"/>
      <c r="N176" s="141"/>
      <c r="O176" s="71"/>
      <c r="P176" s="71"/>
      <c r="Q176" s="71"/>
      <c r="R176" s="71"/>
      <c r="S176" s="71"/>
      <c r="U176" s="373"/>
      <c r="V176" s="373"/>
      <c r="W176" s="373"/>
    </row>
    <row r="177" spans="1:23" ht="12.75">
      <c r="A177" s="22" t="s">
        <v>261</v>
      </c>
      <c r="B177" s="265" t="s">
        <v>315</v>
      </c>
      <c r="C177"/>
      <c r="D177"/>
      <c r="E177"/>
      <c r="F177"/>
      <c r="G177" s="364">
        <f>HLOOKUP(Summary!$O$18, $H$173:$W$185, 5, FALSE)</f>
        <v>3.1963470319634701E-2</v>
      </c>
      <c r="H177" s="270">
        <f>IF(Summary!$Q$18="Alternative",4%,IF(Summary!$Q$18="Best",'trends - Adj Operating Exp'!$D$14,H175))</f>
        <v>3.1963470319634701E-2</v>
      </c>
      <c r="I177" s="270">
        <f>IF(Summary!$Q$18="Alternative",4%,IF(Summary!$Q$18="Best",'trends - Adj Operating Exp'!$D$14,I175))</f>
        <v>3.1963470319634701E-2</v>
      </c>
      <c r="J177" s="270">
        <f>IF(Summary!$Q$18="Alternative",4%,IF(Summary!$Q$18="Best",'trends - Adj Operating Exp'!$D$14,J175))</f>
        <v>3.1963470319634701E-2</v>
      </c>
      <c r="K177" s="270">
        <f>IF(Summary!$Q$18="Alternative",4%,IF(Summary!$Q$18="Best",'trends - Adj Operating Exp'!$D$14,K175))</f>
        <v>3.1963470319634701E-2</v>
      </c>
      <c r="L177" s="270">
        <f>IF(Summary!$Q$18="Alternative",4%,IF(Summary!$Q$18="Best",'trends - Adj Operating Exp'!$D$14,L175))</f>
        <v>3.1963470319634701E-2</v>
      </c>
      <c r="M177" s="270">
        <f>IF(Summary!$Q$18="Alternative",4%,IF(Summary!$Q$18="Best",'trends - Adj Operating Exp'!$D$14,M175))</f>
        <v>3.1963470319634701E-2</v>
      </c>
      <c r="N177" s="362">
        <f>IF(Summary!$Q$18="Alternative",4%,IF(Summary!$Q$18="Best",'trends - Adj Operating Exp'!$D$14,N175))</f>
        <v>3.1963470319634701E-2</v>
      </c>
      <c r="O177" s="270">
        <f>IF(Summary!$Q$18="Alternative",4%,IF(Summary!$Q$18="Best",'trends - Adj Operating Exp'!$D$14,O175))</f>
        <v>3.1963470319634701E-2</v>
      </c>
      <c r="P177" s="270">
        <f>IF(Summary!$Q$18="Alternative",4%,IF(Summary!$Q$18="Best",'trends - Adj Operating Exp'!$D$14,P175))</f>
        <v>3.1963470319634701E-2</v>
      </c>
      <c r="Q177" s="270">
        <f>IF(Summary!$Q$18="Alternative",4%,IF(Summary!$Q$18="Best",'trends - Adj Operating Exp'!$D$14,Q175))</f>
        <v>3.1963470319634701E-2</v>
      </c>
      <c r="R177" s="270">
        <f>IF(Summary!$Q$18="Alternative",4%,IF(Summary!$Q$18="Best",'trends - Adj Operating Exp'!$D$14,R175))</f>
        <v>3.1963470319634701E-2</v>
      </c>
      <c r="S177" s="270">
        <f>IF(Summary!$Q$18="Alternative",4%,IF(Summary!$Q$18="Best",'trends - Adj Operating Exp'!$D$14,S175))</f>
        <v>3.1963470319634701E-2</v>
      </c>
      <c r="T177" s="71">
        <v>0</v>
      </c>
      <c r="U177" s="270">
        <f>IF(Summary!$Q$18="Alternative",4%,IF(Summary!$Q$18="Best",'trends - Adj Operating Exp'!$D$14,U175))</f>
        <v>3.1963470319634701E-2</v>
      </c>
      <c r="V177" s="270">
        <f>IF(Summary!$Q$18="Alternative",4%,IF(Summary!$Q$18="Best",'trends - Adj Operating Exp'!$D$14,V175))</f>
        <v>3.1963470319634701E-2</v>
      </c>
      <c r="W177" s="270">
        <f>IF(Summary!$Q$18="Alternative",4%,IF(Summary!$Q$18="Best",'trends - Adj Operating Exp'!$D$14,W175))</f>
        <v>3.1963470319634701E-2</v>
      </c>
    </row>
    <row r="178" spans="1:23" ht="12.75">
      <c r="B178" s="66"/>
      <c r="C178"/>
      <c r="D178"/>
      <c r="E178"/>
      <c r="F178"/>
      <c r="G178" s="246"/>
      <c r="H178" s="71"/>
      <c r="I178" s="71"/>
      <c r="J178" s="71"/>
      <c r="K178" s="71"/>
      <c r="L178" s="71"/>
      <c r="M178" s="71"/>
      <c r="N178" s="141"/>
      <c r="O178" s="71"/>
      <c r="P178" s="71"/>
      <c r="Q178" s="71"/>
      <c r="R178" s="71"/>
      <c r="S178" s="71"/>
      <c r="U178" s="373"/>
      <c r="V178" s="373"/>
      <c r="W178" s="373"/>
    </row>
    <row r="179" spans="1:23" ht="12.75">
      <c r="A179" s="22">
        <v>9</v>
      </c>
      <c r="B179" s="66" t="s">
        <v>68</v>
      </c>
      <c r="C179"/>
      <c r="D179"/>
      <c r="E179"/>
      <c r="F179"/>
      <c r="G179" s="364">
        <f>HLOOKUP(Summary!$O$18, $H$173:$W$185, 7, FALSE)</f>
        <v>5.1343136449519433E-2</v>
      </c>
      <c r="H179" s="71">
        <f>RATE(12,,-G120,$S120)</f>
        <v>6.4898380134173886E-2</v>
      </c>
      <c r="I179" s="71">
        <f>RATE(11,,-H120,$S120)</f>
        <v>6.5335869928536197E-2</v>
      </c>
      <c r="J179" s="71">
        <f>RATE(10,,-I120,$S120)</f>
        <v>6.6754545250930483E-2</v>
      </c>
      <c r="K179" s="71">
        <f>RATE(9,,-J120,$S120)</f>
        <v>7.4217169118347984E-2</v>
      </c>
      <c r="L179" s="71">
        <f>RATE(8,,-K120,$S120)</f>
        <v>7.6673841869708603E-2</v>
      </c>
      <c r="M179" s="71">
        <f>RATE(7,,-L120,$S120)</f>
        <v>8.3071974291377887E-2</v>
      </c>
      <c r="N179" s="359">
        <f>RATE(6,,-M120,$S120)</f>
        <v>8.617700340610901E-2</v>
      </c>
      <c r="O179" s="71">
        <f>RATE(5,,-N120,$S120)</f>
        <v>9.4452131980577309E-2</v>
      </c>
      <c r="P179" s="71">
        <f>RATE(4,,-O120,$S120)</f>
        <v>9.5363239647219641E-2</v>
      </c>
      <c r="Q179" s="71">
        <f>RATE(3,,-P120,$S120)</f>
        <v>0.10075294778732606</v>
      </c>
      <c r="R179" s="71">
        <f>RATE(2,,-Q120,$S120)</f>
        <v>0.11576772450819856</v>
      </c>
      <c r="S179" s="71">
        <f>RATE(1,,-R120,$S120)</f>
        <v>0.13851477740366619</v>
      </c>
      <c r="T179" s="71">
        <v>0</v>
      </c>
      <c r="U179" s="372">
        <f>'trends - Adj Dep Amort'!D10</f>
        <v>3.9677975848188614E-2</v>
      </c>
      <c r="V179" s="372">
        <f>'trends - Adj Dep Amort'!D11</f>
        <v>6.3008297050850245E-2</v>
      </c>
      <c r="W179" s="372">
        <f>AVERAGE(U179:V179)</f>
        <v>5.1343136449519433E-2</v>
      </c>
    </row>
    <row r="180" spans="1:23" ht="12.75">
      <c r="B180" s="66"/>
      <c r="C180"/>
      <c r="D180" s="70"/>
      <c r="E180" s="70"/>
      <c r="F180"/>
      <c r="G180" s="358"/>
      <c r="H180" s="84"/>
      <c r="I180" s="84"/>
      <c r="J180" s="84"/>
      <c r="K180" s="84"/>
      <c r="L180" s="84"/>
      <c r="M180" s="84"/>
      <c r="N180" s="360"/>
      <c r="O180" s="84"/>
      <c r="P180" s="84"/>
      <c r="Q180" s="84"/>
      <c r="R180" s="84"/>
      <c r="S180" s="84"/>
      <c r="T180" s="28"/>
      <c r="U180" s="374"/>
      <c r="V180" s="372"/>
      <c r="W180" s="373"/>
    </row>
    <row r="181" spans="1:23" ht="12.75">
      <c r="A181" s="22">
        <v>10</v>
      </c>
      <c r="B181" s="67" t="s">
        <v>69</v>
      </c>
      <c r="C181"/>
      <c r="D181"/>
      <c r="E181"/>
      <c r="F181"/>
      <c r="G181" s="364">
        <f>HLOOKUP(Summary!$O$18, $H$173:$W$185, 9, FALSE)</f>
        <v>4.1321518011943746E-2</v>
      </c>
      <c r="H181" s="71">
        <f>RATE(12,,-G136,$S136)</f>
        <v>4.3365097110212955E-2</v>
      </c>
      <c r="I181" s="71">
        <f>RATE(11,,-H136,$S136)</f>
        <v>3.0754598084927844E-2</v>
      </c>
      <c r="J181" s="71">
        <f>RATE(10,,-I136,$S136)</f>
        <v>4.4241121063481104E-2</v>
      </c>
      <c r="K181" s="93">
        <f>RATE(9,,-J136,$S136)</f>
        <v>3.6330905312735876E-2</v>
      </c>
      <c r="L181" s="71">
        <f>RATE(8,,-K136,$S136)</f>
        <v>5.5996456675897602E-2</v>
      </c>
      <c r="M181" s="71">
        <f>RATE(7,,-L136,$S136)</f>
        <v>5.4136365380265616E-2</v>
      </c>
      <c r="N181" s="359">
        <f>RATE(6,,-M136,$S136)</f>
        <v>6.5828961453633456E-2</v>
      </c>
      <c r="O181" s="71">
        <f>RATE(5,,-N136,$S136)</f>
        <v>0.11882593319027929</v>
      </c>
      <c r="P181" s="71">
        <f>RATE(4,,-O136,$S136)</f>
        <v>8.6284996723173996E-2</v>
      </c>
      <c r="Q181" s="71">
        <f>RATE(3,,-P136,$S136)</f>
        <v>0.10628317332172926</v>
      </c>
      <c r="R181" s="71">
        <f>RATE(2,,-Q136,$S136)</f>
        <v>9.6606642564458917E-2</v>
      </c>
      <c r="S181" s="71">
        <f>RATE(1,,-R136,$S136)</f>
        <v>0.13044425087108014</v>
      </c>
      <c r="T181" s="71">
        <v>0</v>
      </c>
      <c r="U181" s="374">
        <f>'trends - adj taxes'!D10</f>
        <v>2.2153727605471008E-2</v>
      </c>
      <c r="V181" s="372">
        <f>'trends - adj taxes'!D11</f>
        <v>6.0489308418416488E-2</v>
      </c>
      <c r="W181" s="372">
        <f>AVERAGE(U181:V181)</f>
        <v>4.1321518011943746E-2</v>
      </c>
    </row>
    <row r="182" spans="1:23" ht="12.75">
      <c r="B182"/>
      <c r="C182"/>
      <c r="D182" s="70"/>
      <c r="E182" s="70"/>
      <c r="F182"/>
      <c r="G182" s="358"/>
      <c r="H182" s="84"/>
      <c r="I182" s="84"/>
      <c r="J182" s="84"/>
      <c r="K182" s="84"/>
      <c r="L182" s="84"/>
      <c r="M182" s="84"/>
      <c r="N182" s="360"/>
      <c r="O182" s="84"/>
      <c r="P182" s="84"/>
      <c r="Q182" s="84"/>
      <c r="R182" s="84"/>
      <c r="S182" s="84"/>
      <c r="T182" s="28"/>
      <c r="U182" s="374"/>
      <c r="V182" s="372"/>
      <c r="W182" s="373"/>
    </row>
    <row r="183" spans="1:23" ht="12.75">
      <c r="A183" s="22">
        <v>11</v>
      </c>
      <c r="B183" s="68" t="s">
        <v>50</v>
      </c>
      <c r="D183" s="70"/>
      <c r="E183" s="70"/>
      <c r="G183" s="364">
        <f>HLOOKUP(Summary!$O$18, $H$173:$W$185, 11, FALSE)</f>
        <v>4.3599932407175079E-2</v>
      </c>
      <c r="H183" s="71">
        <f>RATE(12,,-G84,$S84)</f>
        <v>4.017762247663649E-2</v>
      </c>
      <c r="I183" s="71">
        <f>RATE(11,,-H84,$S84)</f>
        <v>4.3733521907973714E-2</v>
      </c>
      <c r="J183" s="71">
        <f>RATE(10,,-I84,$S84)</f>
        <v>5.2082262838853852E-2</v>
      </c>
      <c r="K183" s="71">
        <f>RATE(9,,-J84,$S84)</f>
        <v>5.8122511253956149E-2</v>
      </c>
      <c r="L183" s="71">
        <f>RATE(8,,-K84,$S84)</f>
        <v>5.7718452348211512E-2</v>
      </c>
      <c r="M183" s="71">
        <f>RATE(7,,-L84,$S84)</f>
        <v>5.7162109451317181E-2</v>
      </c>
      <c r="N183" s="359">
        <f>RATE(6,,-M84,$S84)</f>
        <v>6.116473475161005E-2</v>
      </c>
      <c r="O183" s="71">
        <f>RATE(5,,-N84,$S84)</f>
        <v>6.1640244663439668E-2</v>
      </c>
      <c r="P183" s="71">
        <f>RATE(4,,-O84,$S84)</f>
        <v>4.5619732255439173E-2</v>
      </c>
      <c r="Q183" s="71">
        <f>RATE(3,,-P84,$S84)</f>
        <v>5.30778683153088E-2</v>
      </c>
      <c r="R183" s="71">
        <f>RATE(2,,-Q84,$S84)</f>
        <v>6.3896008726469056E-2</v>
      </c>
      <c r="S183" s="71">
        <f>RATE(1,,-R84,$S84)</f>
        <v>6.3864978211555332E-2</v>
      </c>
      <c r="T183" s="71">
        <v>0</v>
      </c>
      <c r="U183" s="374">
        <f>'trends - Net Plant after DFIT'!D10</f>
        <v>3.6177523337446935E-2</v>
      </c>
      <c r="V183" s="372">
        <f>'trends - Net Plant after DFIT'!D11</f>
        <v>5.1022341476903224E-2</v>
      </c>
      <c r="W183" s="372">
        <f>AVERAGE(U183:V183)</f>
        <v>4.3599932407175079E-2</v>
      </c>
    </row>
    <row r="184" spans="1:23" ht="12.75">
      <c r="B184" s="68"/>
      <c r="D184" s="70"/>
      <c r="E184" s="70"/>
      <c r="G184" s="246"/>
      <c r="H184" s="71"/>
      <c r="I184" s="71"/>
      <c r="J184" s="71"/>
      <c r="K184" s="71"/>
      <c r="L184" s="71"/>
      <c r="M184" s="71"/>
      <c r="N184" s="361"/>
      <c r="O184" s="71"/>
      <c r="P184" s="71"/>
      <c r="Q184" s="71"/>
      <c r="R184" s="71"/>
      <c r="S184" s="71"/>
      <c r="T184" s="28"/>
      <c r="U184" s="375"/>
      <c r="V184" s="373"/>
      <c r="W184" s="373"/>
    </row>
    <row r="185" spans="1:23" ht="13.5" thickBot="1">
      <c r="A185" s="22">
        <v>12</v>
      </c>
      <c r="B185" s="68" t="s">
        <v>74</v>
      </c>
      <c r="C185"/>
      <c r="D185"/>
      <c r="E185"/>
      <c r="F185"/>
      <c r="G185" s="365" t="str">
        <f>HLOOKUP(Summary!$O$18, $H$173:$W$185, 13, FALSE)</f>
        <v>x</v>
      </c>
      <c r="H185" s="71">
        <f>RATE(12,,-G91,$S91)</f>
        <v>4.3083010045816786E-2</v>
      </c>
      <c r="I185" s="71">
        <f>RATE(11,,-H91,$S91)</f>
        <v>4.6503888013859344E-2</v>
      </c>
      <c r="J185" s="71">
        <f>RATE(10,,-I91,$S91)</f>
        <v>5.4993463196563772E-2</v>
      </c>
      <c r="K185" s="71">
        <f>RATE(9,,-J91,$S91)</f>
        <v>6.2105053207852257E-2</v>
      </c>
      <c r="L185" s="71">
        <f>RATE(8,,-K91,$S91)</f>
        <v>6.0245759628297729E-2</v>
      </c>
      <c r="M185" s="71">
        <f>RATE(7,,-L91,$S91)</f>
        <v>6.0160924364690414E-2</v>
      </c>
      <c r="N185" s="359">
        <f>RATE(6,,-M91,$S91)</f>
        <v>6.7767403590419911E-2</v>
      </c>
      <c r="O185" s="71">
        <f>RATE(5,,-N91,$S91)</f>
        <v>5.7893359613910518E-2</v>
      </c>
      <c r="P185" s="71">
        <f>RATE(4,,-O91,$S91)</f>
        <v>5.6025178933774282E-2</v>
      </c>
      <c r="Q185" s="71">
        <f>RATE(3,,-P91,$S91)</f>
        <v>6.3479116283932741E-2</v>
      </c>
      <c r="R185" s="71">
        <f>RATE(2,,-Q91,$S91)</f>
        <v>7.0245253761733517E-2</v>
      </c>
      <c r="S185" s="71">
        <f>RATE(1,,-R91,$S91)</f>
        <v>8.3082022179614329E-2</v>
      </c>
      <c r="T185" s="71">
        <v>0</v>
      </c>
      <c r="U185" s="375" t="s">
        <v>483</v>
      </c>
      <c r="V185" s="373" t="s">
        <v>483</v>
      </c>
      <c r="W185" s="373" t="s">
        <v>483</v>
      </c>
    </row>
    <row r="186" spans="1:23" ht="12.75">
      <c r="B186" s="68"/>
      <c r="D186" s="70"/>
      <c r="E186" s="70"/>
      <c r="G186" s="84"/>
      <c r="H186" s="84"/>
      <c r="I186" s="84"/>
      <c r="J186" s="84"/>
      <c r="K186" s="84"/>
      <c r="L186" s="84"/>
      <c r="M186" s="84"/>
      <c r="N186" s="142"/>
      <c r="O186" s="84"/>
      <c r="P186" s="84"/>
      <c r="Q186" s="84"/>
      <c r="R186" s="84"/>
      <c r="S186" s="84"/>
      <c r="T186" s="28"/>
      <c r="U186" s="28"/>
    </row>
    <row r="187" spans="1:23" ht="12.75">
      <c r="A187" s="22">
        <v>13</v>
      </c>
      <c r="B187" s="68" t="s">
        <v>168</v>
      </c>
      <c r="D187" s="70"/>
      <c r="E187" s="70"/>
      <c r="G187" s="71" t="str">
        <f>H170</f>
        <v>Not used due to deminimus values that resulted in extraordinary variablility</v>
      </c>
      <c r="H187" s="71"/>
      <c r="I187" s="71"/>
      <c r="J187" s="71"/>
      <c r="K187" s="71"/>
      <c r="L187" s="71"/>
      <c r="M187" s="71"/>
      <c r="N187" s="141"/>
      <c r="O187" s="71"/>
      <c r="P187" s="71"/>
      <c r="Q187" s="71"/>
      <c r="R187" s="71"/>
      <c r="S187" s="71"/>
      <c r="T187" s="28"/>
      <c r="U187" s="28"/>
    </row>
    <row r="188" spans="1:23" ht="12.75">
      <c r="D188" s="70"/>
      <c r="E188" s="70"/>
      <c r="G188" s="84"/>
      <c r="H188" s="84"/>
      <c r="I188" s="84"/>
      <c r="J188" s="84"/>
      <c r="K188" s="84"/>
      <c r="L188" s="84"/>
      <c r="M188" s="84"/>
      <c r="N188" s="142"/>
      <c r="O188" s="84"/>
      <c r="P188" s="84"/>
      <c r="Q188" s="84"/>
      <c r="R188" s="84"/>
      <c r="S188" s="84"/>
      <c r="T188" s="28"/>
      <c r="U188" s="28"/>
    </row>
    <row r="189" spans="1:23">
      <c r="F189" s="90"/>
      <c r="T189" s="28"/>
      <c r="U189" s="28"/>
    </row>
    <row r="190" spans="1:23" ht="12.75">
      <c r="B190" s="72" t="s">
        <v>203</v>
      </c>
      <c r="C190" s="72"/>
      <c r="D190" s="73"/>
      <c r="E190" s="73"/>
      <c r="F190" s="62"/>
      <c r="G190" s="258" t="s">
        <v>470</v>
      </c>
      <c r="H190" s="258" t="s">
        <v>441</v>
      </c>
      <c r="I190" s="258" t="s">
        <v>442</v>
      </c>
      <c r="J190" s="258" t="s">
        <v>443</v>
      </c>
      <c r="K190" s="258" t="s">
        <v>444</v>
      </c>
      <c r="L190" s="258" t="s">
        <v>445</v>
      </c>
      <c r="M190" s="258" t="s">
        <v>446</v>
      </c>
      <c r="N190" s="258" t="s">
        <v>447</v>
      </c>
      <c r="O190" s="258" t="s">
        <v>448</v>
      </c>
      <c r="P190" s="258" t="s">
        <v>439</v>
      </c>
      <c r="Q190" s="258" t="s">
        <v>438</v>
      </c>
      <c r="R190" s="258" t="s">
        <v>437</v>
      </c>
      <c r="S190" s="258" t="s">
        <v>440</v>
      </c>
      <c r="T190" s="258" t="s">
        <v>471</v>
      </c>
      <c r="U190" s="258" t="s">
        <v>473</v>
      </c>
      <c r="V190" s="258" t="s">
        <v>472</v>
      </c>
      <c r="W190" s="258" t="s">
        <v>484</v>
      </c>
    </row>
    <row r="191" spans="1:23" ht="13.5" thickBot="1">
      <c r="F191" s="90"/>
      <c r="G191"/>
      <c r="H191"/>
      <c r="I191"/>
      <c r="J191"/>
      <c r="K191"/>
      <c r="L191"/>
      <c r="M191"/>
      <c r="N191"/>
      <c r="O191"/>
      <c r="R191" s="4"/>
      <c r="S191" s="4"/>
      <c r="T191" s="28"/>
      <c r="U191" s="28"/>
    </row>
    <row r="192" spans="1:23" ht="12.75">
      <c r="A192" s="22">
        <v>14</v>
      </c>
      <c r="B192" s="66" t="s">
        <v>67</v>
      </c>
      <c r="E192" s="346" t="s">
        <v>464</v>
      </c>
      <c r="F192" s="90"/>
      <c r="G192" s="366">
        <f>IF(Summary!$O$15="Compounding",((1+G175)^2-1), 2*G175)</f>
        <v>6.065341822625249E-2</v>
      </c>
      <c r="H192" s="71">
        <f>(1+H175)^2-1</f>
        <v>0.11265088476108431</v>
      </c>
      <c r="I192" s="71">
        <f t="shared" ref="I192:T202" si="145">(1+I175)^2-1</f>
        <v>8.6206113466547274E-2</v>
      </c>
      <c r="J192" s="71">
        <f t="shared" si="145"/>
        <v>8.3376606318227298E-2</v>
      </c>
      <c r="K192" s="71">
        <f t="shared" si="145"/>
        <v>0.10254948113262108</v>
      </c>
      <c r="L192" s="71">
        <f t="shared" si="145"/>
        <v>0.10744389983924574</v>
      </c>
      <c r="M192" s="71">
        <f t="shared" si="145"/>
        <v>0.12481283226496842</v>
      </c>
      <c r="N192" s="347">
        <f t="shared" si="145"/>
        <v>0.13460702035683347</v>
      </c>
      <c r="O192" s="71">
        <f t="shared" si="145"/>
        <v>0.15103872875769619</v>
      </c>
      <c r="P192" s="71">
        <f t="shared" si="145"/>
        <v>0.12276911375053778</v>
      </c>
      <c r="Q192" s="71">
        <f t="shared" si="145"/>
        <v>0.12516567743120044</v>
      </c>
      <c r="R192" s="71">
        <f t="shared" si="145"/>
        <v>0.11458958135260544</v>
      </c>
      <c r="S192" s="71">
        <f t="shared" si="145"/>
        <v>1.9311878794152637E-2</v>
      </c>
      <c r="T192" s="71">
        <f t="shared" si="145"/>
        <v>0</v>
      </c>
      <c r="U192" s="374">
        <f>U175*2</f>
        <v>7.0371084957231975E-2</v>
      </c>
      <c r="V192" s="374">
        <f>V175*2</f>
        <v>5.0935751495273004E-2</v>
      </c>
      <c r="W192" s="374">
        <f>W175*2</f>
        <v>6.065341822625249E-2</v>
      </c>
    </row>
    <row r="193" spans="1:23" ht="12.75">
      <c r="B193" s="66"/>
      <c r="F193" s="90"/>
      <c r="G193" s="71"/>
      <c r="H193" s="71"/>
      <c r="I193" s="71"/>
      <c r="J193" s="71"/>
      <c r="K193" s="71"/>
      <c r="L193" s="71"/>
      <c r="M193" s="71"/>
      <c r="N193" s="246"/>
      <c r="O193" s="71"/>
      <c r="P193" s="71"/>
      <c r="Q193" s="71"/>
      <c r="R193" s="71"/>
      <c r="S193" s="71"/>
      <c r="T193" s="28"/>
      <c r="U193" s="374"/>
      <c r="V193" s="372"/>
      <c r="W193" s="373"/>
    </row>
    <row r="194" spans="1:23" ht="12.75">
      <c r="A194" s="22" t="s">
        <v>262</v>
      </c>
      <c r="B194" s="265" t="s">
        <v>315</v>
      </c>
      <c r="E194" s="346" t="s">
        <v>464</v>
      </c>
      <c r="F194" s="90"/>
      <c r="G194" s="407">
        <f>IF(Summary!$O$15="Compounding",((1+G177)^2-1), 2*G177)</f>
        <v>6.3926940639269403E-2</v>
      </c>
      <c r="H194" s="71"/>
      <c r="I194" s="71"/>
      <c r="J194" s="71"/>
      <c r="K194" s="71"/>
      <c r="L194" s="71"/>
      <c r="M194" s="71"/>
      <c r="N194" s="219">
        <f>(1+N177)^2-1</f>
        <v>6.4948604074143601E-2</v>
      </c>
      <c r="O194" s="71"/>
      <c r="P194" s="71"/>
      <c r="Q194" s="71"/>
      <c r="R194" s="71"/>
      <c r="S194" s="71"/>
      <c r="T194" s="71">
        <f t="shared" si="145"/>
        <v>0</v>
      </c>
      <c r="U194" s="374">
        <f>U177*2</f>
        <v>6.3926940639269403E-2</v>
      </c>
      <c r="V194" s="374">
        <f>V177*2</f>
        <v>6.3926940639269403E-2</v>
      </c>
      <c r="W194" s="374">
        <f>W177*2</f>
        <v>6.3926940639269403E-2</v>
      </c>
    </row>
    <row r="195" spans="1:23" ht="12.75">
      <c r="B195" s="66"/>
      <c r="F195" s="90"/>
      <c r="G195" s="141"/>
      <c r="H195" s="71"/>
      <c r="I195" s="71"/>
      <c r="J195" s="71"/>
      <c r="K195" s="71"/>
      <c r="L195" s="71"/>
      <c r="M195" s="71"/>
      <c r="N195" s="246"/>
      <c r="O195" s="71"/>
      <c r="P195" s="71"/>
      <c r="Q195" s="71"/>
      <c r="R195" s="71"/>
      <c r="S195" s="71"/>
      <c r="T195" s="28"/>
      <c r="U195" s="374"/>
      <c r="V195" s="372"/>
      <c r="W195" s="373"/>
    </row>
    <row r="196" spans="1:23" ht="12.75">
      <c r="A196" s="22">
        <v>16</v>
      </c>
      <c r="B196" s="66" t="s">
        <v>68</v>
      </c>
      <c r="E196" s="346" t="s">
        <v>464</v>
      </c>
      <c r="F196" s="90"/>
      <c r="G196" s="400">
        <f>IF(Summary!$O$15="Compounding",((1+G179)^2-1), 2*G179)</f>
        <v>0.10268627289903887</v>
      </c>
      <c r="H196" s="71">
        <f t="shared" ref="H196:S196" si="146">(1+H179)^2-1</f>
        <v>0.13400856001238726</v>
      </c>
      <c r="I196" s="71">
        <f t="shared" si="146"/>
        <v>0.13494051575639099</v>
      </c>
      <c r="J196" s="71">
        <f t="shared" si="146"/>
        <v>0.13796525981351926</v>
      </c>
      <c r="K196" s="71">
        <f t="shared" si="146"/>
        <v>0.15394252642863737</v>
      </c>
      <c r="L196" s="71">
        <f t="shared" si="146"/>
        <v>0.15922656176647831</v>
      </c>
      <c r="M196" s="71">
        <f t="shared" si="146"/>
        <v>0.17304490149542318</v>
      </c>
      <c r="N196" s="219">
        <f t="shared" si="146"/>
        <v>0.17978048272827429</v>
      </c>
      <c r="O196" s="71">
        <f t="shared" si="146"/>
        <v>0.19782546919683108</v>
      </c>
      <c r="P196" s="71">
        <f t="shared" si="146"/>
        <v>0.19982062677045254</v>
      </c>
      <c r="Q196" s="71">
        <f t="shared" si="146"/>
        <v>0.21165705206248786</v>
      </c>
      <c r="R196" s="71">
        <f t="shared" si="146"/>
        <v>0.24493761505420308</v>
      </c>
      <c r="S196" s="71">
        <f t="shared" si="146"/>
        <v>0.29621589836651951</v>
      </c>
      <c r="T196" s="71">
        <f t="shared" si="145"/>
        <v>0</v>
      </c>
      <c r="U196" s="374">
        <f>U179*2</f>
        <v>7.9355951696377228E-2</v>
      </c>
      <c r="V196" s="374">
        <f>V179*2</f>
        <v>0.12601659410170049</v>
      </c>
      <c r="W196" s="374">
        <f>W179*2</f>
        <v>0.10268627289903887</v>
      </c>
    </row>
    <row r="197" spans="1:23" ht="12.75">
      <c r="B197" s="66"/>
      <c r="F197" s="90"/>
      <c r="G197" s="142"/>
      <c r="H197" s="84"/>
      <c r="I197" s="84"/>
      <c r="J197" s="84"/>
      <c r="K197" s="84"/>
      <c r="L197" s="84"/>
      <c r="M197" s="84"/>
      <c r="N197" s="218"/>
      <c r="O197" s="84"/>
      <c r="P197" s="84"/>
      <c r="Q197" s="84"/>
      <c r="R197" s="84"/>
      <c r="S197" s="84"/>
      <c r="T197" s="28"/>
      <c r="U197" s="374"/>
      <c r="V197" s="372"/>
      <c r="W197" s="373"/>
    </row>
    <row r="198" spans="1:23" ht="12.75">
      <c r="A198" s="22">
        <v>17</v>
      </c>
      <c r="B198" s="67" t="s">
        <v>69</v>
      </c>
      <c r="E198" s="346" t="s">
        <v>464</v>
      </c>
      <c r="F198" s="90"/>
      <c r="G198" s="397">
        <f>IF(Summary!$O$15="Compounding",((1+G181)^2-1), 2*G181)</f>
        <v>8.2643036023887492E-2</v>
      </c>
      <c r="H198" s="71">
        <f t="shared" ref="H198:S198" si="147">(1+H181)^2-1</f>
        <v>8.8610725867803941E-2</v>
      </c>
      <c r="I198" s="71">
        <f t="shared" si="147"/>
        <v>6.2455041473221007E-2</v>
      </c>
      <c r="J198" s="71">
        <f t="shared" si="147"/>
        <v>9.043951891991564E-2</v>
      </c>
      <c r="K198" s="93">
        <f t="shared" si="147"/>
        <v>7.3981745306314739E-2</v>
      </c>
      <c r="L198" s="71">
        <f t="shared" si="147"/>
        <v>0.11512851651205103</v>
      </c>
      <c r="M198" s="71">
        <f t="shared" si="147"/>
        <v>0.11120347681711684</v>
      </c>
      <c r="N198" s="219">
        <f t="shared" si="147"/>
        <v>0.13599137507333059</v>
      </c>
      <c r="O198" s="71">
        <f t="shared" si="147"/>
        <v>0.25177146877909906</v>
      </c>
      <c r="P198" s="71">
        <f t="shared" si="147"/>
        <v>0.18001509410586625</v>
      </c>
      <c r="Q198" s="71">
        <f t="shared" si="147"/>
        <v>0.22386245957479534</v>
      </c>
      <c r="R198" s="71">
        <f t="shared" si="147"/>
        <v>0.20254612851649512</v>
      </c>
      <c r="S198" s="71">
        <f t="shared" si="147"/>
        <v>0.27790420432747753</v>
      </c>
      <c r="T198" s="71">
        <f t="shared" si="145"/>
        <v>0</v>
      </c>
      <c r="U198" s="374">
        <f>U181*2</f>
        <v>4.4307455210942016E-2</v>
      </c>
      <c r="V198" s="374">
        <f>V181*2</f>
        <v>0.12097861683683298</v>
      </c>
      <c r="W198" s="374">
        <f>W181*2</f>
        <v>8.2643036023887492E-2</v>
      </c>
    </row>
    <row r="199" spans="1:23" ht="12.75">
      <c r="B199"/>
      <c r="F199" s="90"/>
      <c r="G199" s="84"/>
      <c r="H199" s="84"/>
      <c r="I199" s="84"/>
      <c r="J199" s="84"/>
      <c r="K199" s="84"/>
      <c r="L199" s="84"/>
      <c r="M199" s="84"/>
      <c r="N199" s="218"/>
      <c r="O199" s="84"/>
      <c r="P199" s="84"/>
      <c r="Q199" s="84"/>
      <c r="R199" s="84"/>
      <c r="S199" s="84"/>
      <c r="T199" s="28"/>
      <c r="U199" s="374"/>
      <c r="V199" s="372"/>
      <c r="W199" s="373"/>
    </row>
    <row r="200" spans="1:23" ht="12.75">
      <c r="A200" s="22">
        <v>18</v>
      </c>
      <c r="B200" s="68" t="s">
        <v>50</v>
      </c>
      <c r="E200" s="346" t="s">
        <v>464</v>
      </c>
      <c r="G200" s="404">
        <f>IF(Summary!$O$15="Compounding",((1+G183)^2-1), 2*G183)</f>
        <v>8.7199864814350159E-2</v>
      </c>
      <c r="H200" s="71">
        <f t="shared" ref="H200:S200" si="148">(1+H183)^2-1</f>
        <v>8.1969486301148198E-2</v>
      </c>
      <c r="I200" s="71">
        <f t="shared" si="148"/>
        <v>8.9379664754422716E-2</v>
      </c>
      <c r="J200" s="71">
        <f t="shared" si="148"/>
        <v>0.10687708778012306</v>
      </c>
      <c r="K200" s="71">
        <f t="shared" si="148"/>
        <v>0.11962324882237829</v>
      </c>
      <c r="L200" s="71">
        <f t="shared" si="148"/>
        <v>0.11876832443789564</v>
      </c>
      <c r="M200" s="71">
        <f t="shared" si="148"/>
        <v>0.11759172565955889</v>
      </c>
      <c r="N200" s="219">
        <f t="shared" si="148"/>
        <v>0.12607059428045475</v>
      </c>
      <c r="O200" s="71">
        <f t="shared" si="148"/>
        <v>0.12708000908904804</v>
      </c>
      <c r="P200" s="71">
        <f t="shared" si="148"/>
        <v>9.3320624481936454E-2</v>
      </c>
      <c r="Q200" s="71">
        <f t="shared" si="148"/>
        <v>0.10897299673551486</v>
      </c>
      <c r="R200" s="71">
        <f t="shared" si="148"/>
        <v>0.13187471738411105</v>
      </c>
      <c r="S200" s="71">
        <f t="shared" si="148"/>
        <v>0.13180869186507294</v>
      </c>
      <c r="T200" s="71">
        <f t="shared" si="145"/>
        <v>0</v>
      </c>
      <c r="U200" s="374">
        <f>U183*2</f>
        <v>7.2355046674893869E-2</v>
      </c>
      <c r="V200" s="374">
        <f>V183*2</f>
        <v>0.10204468295380645</v>
      </c>
      <c r="W200" s="374">
        <f>W183*2</f>
        <v>8.7199864814350159E-2</v>
      </c>
    </row>
    <row r="201" spans="1:23" ht="12.75">
      <c r="B201" s="68"/>
      <c r="G201" s="71"/>
      <c r="H201" s="71"/>
      <c r="I201" s="71"/>
      <c r="J201" s="71"/>
      <c r="K201" s="71"/>
      <c r="L201" s="71"/>
      <c r="M201" s="71"/>
      <c r="N201" s="219"/>
      <c r="O201" s="71"/>
      <c r="P201" s="71"/>
      <c r="Q201" s="71"/>
      <c r="R201" s="71"/>
      <c r="S201" s="71"/>
      <c r="T201" s="28"/>
      <c r="U201" s="375"/>
      <c r="V201" s="373"/>
      <c r="W201" s="373"/>
    </row>
    <row r="202" spans="1:23" ht="13.5" thickBot="1">
      <c r="A202" s="22">
        <v>19</v>
      </c>
      <c r="B202" s="68" t="s">
        <v>74</v>
      </c>
      <c r="E202" s="346" t="s">
        <v>464</v>
      </c>
      <c r="F202" s="90"/>
      <c r="G202" s="366" t="e">
        <f>IF(Summary!$O$15="Compounding",((1+G185)^2-1), 2*G185)</f>
        <v>#VALUE!</v>
      </c>
      <c r="H202" s="71">
        <f t="shared" ref="H202:S202" si="149">(1+H185)^2-1</f>
        <v>8.8022165846241673E-2</v>
      </c>
      <c r="I202" s="71">
        <f t="shared" si="149"/>
        <v>9.5170387628124242E-2</v>
      </c>
      <c r="J202" s="71">
        <f t="shared" si="149"/>
        <v>0.11301120738747961</v>
      </c>
      <c r="K202" s="71">
        <f t="shared" si="149"/>
        <v>0.12806714404965458</v>
      </c>
      <c r="L202" s="71">
        <f t="shared" si="149"/>
        <v>0.12412107080978596</v>
      </c>
      <c r="M202" s="71">
        <f t="shared" si="149"/>
        <v>0.12394118554979472</v>
      </c>
      <c r="N202" s="220">
        <f t="shared" si="149"/>
        <v>0.1401272281702266</v>
      </c>
      <c r="O202" s="71">
        <f t="shared" si="149"/>
        <v>0.11913836031520675</v>
      </c>
      <c r="P202" s="71">
        <f t="shared" si="149"/>
        <v>0.11518917854210997</v>
      </c>
      <c r="Q202" s="71">
        <f t="shared" si="149"/>
        <v>0.13098783077205467</v>
      </c>
      <c r="R202" s="71">
        <f t="shared" si="149"/>
        <v>0.1454249031995174</v>
      </c>
      <c r="S202" s="71">
        <f t="shared" si="149"/>
        <v>0.17306666676868243</v>
      </c>
      <c r="T202" s="71">
        <f t="shared" si="145"/>
        <v>0</v>
      </c>
      <c r="U202" s="375" t="e">
        <f>U185*2</f>
        <v>#VALUE!</v>
      </c>
      <c r="V202" s="375" t="e">
        <f>V185*2</f>
        <v>#VALUE!</v>
      </c>
      <c r="W202" s="375" t="e">
        <f>W185*2</f>
        <v>#VALUE!</v>
      </c>
    </row>
    <row r="203" spans="1:23">
      <c r="B203" s="68"/>
      <c r="G203" s="84"/>
      <c r="H203" s="84"/>
      <c r="I203" s="84"/>
      <c r="J203" s="84"/>
      <c r="K203" s="84"/>
      <c r="L203" s="84"/>
      <c r="M203" s="84"/>
      <c r="N203" s="142"/>
      <c r="O203" s="84"/>
      <c r="P203" s="84"/>
      <c r="Q203" s="84"/>
      <c r="R203" s="84"/>
      <c r="T203" s="28"/>
      <c r="U203" s="28"/>
    </row>
    <row r="204" spans="1:23" ht="12.75">
      <c r="A204" s="22">
        <v>20</v>
      </c>
      <c r="B204" s="68" t="s">
        <v>168</v>
      </c>
      <c r="F204" s="4" t="s">
        <v>204</v>
      </c>
      <c r="G204" s="71" t="str">
        <f>G187</f>
        <v>Not used due to deminimus values that resulted in extraordinary variablility</v>
      </c>
      <c r="H204" s="71"/>
      <c r="I204" s="71"/>
      <c r="J204" s="71"/>
      <c r="K204" s="71"/>
      <c r="L204" s="71"/>
      <c r="M204" s="71"/>
      <c r="N204" s="141"/>
      <c r="O204" s="71"/>
      <c r="P204" s="71"/>
      <c r="Q204" s="71"/>
      <c r="R204" s="71"/>
      <c r="T204" s="28"/>
      <c r="U204" s="28"/>
    </row>
    <row r="205" spans="1:23">
      <c r="T205" s="28"/>
      <c r="U205" s="28"/>
    </row>
    <row r="206" spans="1:23" ht="12.75">
      <c r="B206" s="66"/>
      <c r="C206"/>
      <c r="D206"/>
      <c r="E206"/>
      <c r="G206" s="123"/>
      <c r="H206" s="123"/>
      <c r="I206" s="123"/>
      <c r="J206" s="123"/>
      <c r="K206" s="123"/>
      <c r="L206" s="123"/>
      <c r="M206" s="123"/>
      <c r="N206" s="123"/>
      <c r="O206" s="123"/>
      <c r="P206" s="123"/>
      <c r="Q206" s="123"/>
      <c r="R206" s="123"/>
    </row>
    <row r="207" spans="1:23" ht="12.75">
      <c r="B207"/>
      <c r="C207"/>
      <c r="D207"/>
      <c r="E207"/>
      <c r="G207" s="122"/>
      <c r="H207" s="122"/>
      <c r="I207" s="122"/>
      <c r="J207" s="122"/>
      <c r="K207" s="122"/>
      <c r="L207" s="122"/>
      <c r="M207" s="122"/>
      <c r="N207" s="122"/>
      <c r="O207" s="122"/>
      <c r="P207" s="122"/>
      <c r="Q207" s="122"/>
      <c r="R207" s="121"/>
    </row>
    <row r="208" spans="1:23" ht="12.75">
      <c r="B208" s="66"/>
      <c r="C208"/>
      <c r="D208"/>
      <c r="E208"/>
      <c r="G208" s="123"/>
      <c r="H208" s="123"/>
      <c r="I208" s="123"/>
      <c r="J208" s="123"/>
      <c r="K208" s="123"/>
      <c r="L208" s="123"/>
      <c r="M208" s="123"/>
      <c r="N208" s="123"/>
      <c r="O208" s="123"/>
      <c r="P208" s="123"/>
      <c r="Q208" s="123"/>
      <c r="R208" s="123"/>
    </row>
    <row r="209" spans="2:18" ht="12.75">
      <c r="B209"/>
      <c r="C209"/>
      <c r="D209"/>
      <c r="E209"/>
      <c r="G209" s="122"/>
      <c r="H209" s="122"/>
      <c r="I209" s="122"/>
      <c r="J209" s="122"/>
      <c r="K209" s="122"/>
      <c r="L209" s="122"/>
      <c r="M209" s="122"/>
      <c r="N209" s="122"/>
      <c r="O209" s="122"/>
      <c r="P209" s="122"/>
      <c r="Q209" s="122"/>
      <c r="R209" s="122"/>
    </row>
    <row r="210" spans="2:18" ht="12.75">
      <c r="B210" s="67"/>
      <c r="C210"/>
      <c r="D210"/>
      <c r="E210"/>
      <c r="G210" s="123"/>
      <c r="H210" s="123"/>
      <c r="I210" s="123"/>
      <c r="J210" s="123"/>
      <c r="K210" s="123"/>
      <c r="L210" s="123"/>
      <c r="M210" s="123"/>
      <c r="N210" s="123"/>
      <c r="O210" s="123"/>
      <c r="P210" s="123"/>
      <c r="Q210" s="123"/>
      <c r="R210" s="123"/>
    </row>
    <row r="211" spans="2:18" ht="12.75">
      <c r="B211"/>
      <c r="C211"/>
      <c r="D211"/>
      <c r="E211"/>
      <c r="G211" s="122"/>
      <c r="H211" s="122"/>
      <c r="I211" s="122"/>
      <c r="J211" s="122"/>
      <c r="K211" s="122"/>
      <c r="L211" s="122"/>
      <c r="M211" s="122"/>
      <c r="N211" s="122"/>
      <c r="O211" s="122"/>
      <c r="P211" s="122"/>
      <c r="Q211" s="122"/>
      <c r="R211" s="122"/>
    </row>
    <row r="212" spans="2:18" ht="12.75">
      <c r="B212" s="68"/>
      <c r="C212"/>
      <c r="D212"/>
      <c r="E212"/>
      <c r="G212" s="123"/>
      <c r="H212" s="123"/>
      <c r="I212" s="123"/>
      <c r="J212" s="123"/>
      <c r="K212" s="123"/>
      <c r="L212" s="123"/>
      <c r="M212" s="123"/>
      <c r="N212" s="123"/>
      <c r="O212" s="123"/>
      <c r="P212" s="123"/>
      <c r="Q212" s="123"/>
      <c r="R212" s="123"/>
    </row>
    <row r="216" spans="2:18">
      <c r="H216" s="119"/>
      <c r="I216" s="119"/>
      <c r="J216" s="119"/>
      <c r="K216" s="119"/>
      <c r="L216" s="119"/>
      <c r="M216" s="119"/>
      <c r="N216" s="119"/>
      <c r="O216" s="119"/>
      <c r="P216" s="119"/>
      <c r="Q216" s="119"/>
      <c r="R216" s="119"/>
    </row>
    <row r="217" spans="2:18" ht="12.75">
      <c r="B217" s="66"/>
      <c r="C217"/>
      <c r="D217"/>
      <c r="E217"/>
      <c r="G217" s="119"/>
      <c r="H217" s="119"/>
      <c r="I217" s="119"/>
      <c r="J217" s="119"/>
      <c r="K217" s="119"/>
      <c r="L217" s="119"/>
      <c r="M217" s="119"/>
      <c r="N217" s="119"/>
      <c r="O217" s="119"/>
      <c r="P217" s="119"/>
      <c r="Q217" s="119"/>
      <c r="R217" s="119"/>
    </row>
    <row r="218" spans="2:18" ht="12.75">
      <c r="B218"/>
      <c r="C218"/>
      <c r="D218"/>
      <c r="E218"/>
      <c r="R218" s="4"/>
    </row>
    <row r="219" spans="2:18" ht="12.75">
      <c r="B219" s="66"/>
      <c r="C219"/>
      <c r="D219"/>
      <c r="E219"/>
      <c r="G219" s="119"/>
      <c r="H219" s="119"/>
      <c r="I219" s="119"/>
      <c r="J219" s="119"/>
      <c r="K219" s="119"/>
      <c r="L219" s="119"/>
      <c r="M219" s="119"/>
      <c r="N219" s="119"/>
      <c r="O219" s="119"/>
      <c r="P219" s="119"/>
      <c r="Q219" s="119"/>
      <c r="R219" s="119"/>
    </row>
    <row r="220" spans="2:18" ht="12.75">
      <c r="B220"/>
      <c r="C220"/>
      <c r="D220"/>
      <c r="E220"/>
      <c r="R220" s="4"/>
    </row>
    <row r="221" spans="2:18" ht="12.75">
      <c r="B221" s="67"/>
      <c r="C221"/>
      <c r="D221"/>
      <c r="E221"/>
      <c r="G221" s="119"/>
      <c r="H221" s="119"/>
      <c r="I221" s="119"/>
      <c r="J221" s="119"/>
      <c r="K221" s="119"/>
      <c r="L221" s="119"/>
      <c r="M221" s="119"/>
      <c r="N221" s="119"/>
      <c r="O221" s="119"/>
      <c r="P221" s="119"/>
      <c r="Q221" s="119"/>
      <c r="R221" s="119"/>
    </row>
    <row r="222" spans="2:18" ht="12.75">
      <c r="B222"/>
      <c r="C222"/>
      <c r="D222"/>
      <c r="E222"/>
      <c r="R222" s="4"/>
    </row>
    <row r="223" spans="2:18" ht="12.75">
      <c r="B223" s="68"/>
      <c r="C223"/>
      <c r="D223"/>
      <c r="E223"/>
      <c r="G223" s="119"/>
      <c r="H223" s="119"/>
      <c r="I223" s="119"/>
      <c r="J223" s="119"/>
      <c r="K223" s="119"/>
      <c r="L223" s="119"/>
      <c r="M223" s="119"/>
      <c r="N223" s="119"/>
      <c r="O223" s="119"/>
      <c r="P223" s="119"/>
      <c r="Q223" s="119"/>
      <c r="R223" s="119"/>
    </row>
    <row r="227" spans="2:18" ht="12.75">
      <c r="B227" s="66"/>
      <c r="C227"/>
      <c r="D227"/>
      <c r="E227"/>
      <c r="G227" s="120"/>
      <c r="H227" s="120"/>
      <c r="I227" s="120"/>
      <c r="J227" s="120"/>
      <c r="K227" s="120"/>
      <c r="L227" s="120"/>
      <c r="M227" s="120"/>
      <c r="N227" s="120"/>
      <c r="O227" s="120"/>
      <c r="P227" s="120"/>
      <c r="Q227" s="120"/>
      <c r="R227" s="120"/>
    </row>
    <row r="228" spans="2:18" ht="12.75">
      <c r="B228"/>
      <c r="C228"/>
      <c r="D228" s="70"/>
      <c r="E228" s="70"/>
      <c r="G228" s="121"/>
      <c r="H228" s="121"/>
      <c r="I228" s="121"/>
      <c r="J228" s="121"/>
      <c r="K228" s="121"/>
      <c r="L228" s="121"/>
      <c r="M228" s="121"/>
      <c r="N228" s="121"/>
      <c r="O228" s="121"/>
      <c r="P228" s="121"/>
      <c r="Q228" s="121"/>
      <c r="R228" s="121"/>
    </row>
    <row r="229" spans="2:18" ht="12.75">
      <c r="B229" s="66"/>
      <c r="C229"/>
      <c r="D229"/>
      <c r="E229"/>
      <c r="G229" s="120"/>
      <c r="H229" s="120"/>
      <c r="I229" s="120"/>
      <c r="J229" s="120"/>
      <c r="K229" s="120"/>
      <c r="L229" s="120"/>
      <c r="M229" s="120"/>
      <c r="N229" s="120"/>
      <c r="O229" s="120"/>
      <c r="P229" s="120"/>
      <c r="Q229" s="120"/>
      <c r="R229" s="120"/>
    </row>
    <row r="230" spans="2:18" ht="12.75">
      <c r="B230"/>
      <c r="C230"/>
      <c r="D230" s="70"/>
      <c r="E230" s="70"/>
      <c r="G230" s="121"/>
      <c r="H230" s="121"/>
      <c r="I230" s="121"/>
      <c r="J230" s="121"/>
      <c r="K230" s="121"/>
      <c r="L230" s="121"/>
      <c r="M230" s="121"/>
      <c r="N230" s="121"/>
      <c r="O230" s="121"/>
      <c r="P230" s="121"/>
      <c r="Q230" s="121"/>
      <c r="R230" s="121"/>
    </row>
    <row r="231" spans="2:18" ht="12.75">
      <c r="B231" s="67"/>
      <c r="C231"/>
      <c r="D231"/>
      <c r="E231"/>
      <c r="G231" s="120"/>
      <c r="H231" s="120"/>
      <c r="I231" s="120"/>
      <c r="J231" s="120"/>
      <c r="K231" s="120"/>
      <c r="L231" s="120"/>
      <c r="M231" s="120"/>
      <c r="N231" s="120"/>
      <c r="O231" s="120"/>
      <c r="P231" s="120"/>
      <c r="Q231" s="120"/>
      <c r="R231" s="120"/>
    </row>
    <row r="232" spans="2:18" ht="12.75">
      <c r="B232"/>
      <c r="C232"/>
      <c r="D232" s="70"/>
      <c r="E232" s="70"/>
      <c r="G232" s="121"/>
      <c r="H232" s="121"/>
      <c r="I232" s="121"/>
      <c r="J232" s="121"/>
      <c r="K232" s="121"/>
      <c r="L232" s="121"/>
      <c r="M232" s="121"/>
      <c r="N232" s="121"/>
      <c r="O232" s="121"/>
      <c r="P232" s="121"/>
      <c r="Q232" s="121"/>
      <c r="R232" s="121"/>
    </row>
    <row r="233" spans="2:18" ht="12.75">
      <c r="B233" s="68"/>
      <c r="C233"/>
      <c r="D233"/>
      <c r="E233"/>
      <c r="G233" s="120"/>
      <c r="H233" s="120"/>
      <c r="I233" s="120"/>
      <c r="J233" s="120"/>
      <c r="K233" s="120"/>
      <c r="L233" s="120"/>
      <c r="M233" s="120"/>
      <c r="N233" s="120"/>
      <c r="O233" s="120"/>
      <c r="P233" s="120"/>
      <c r="Q233" s="120"/>
      <c r="R233" s="120"/>
    </row>
    <row r="234" spans="2:18" ht="12.75">
      <c r="D234" s="70"/>
      <c r="E234" s="70"/>
      <c r="G234" s="121"/>
      <c r="H234" s="121"/>
      <c r="I234" s="121"/>
      <c r="J234" s="121"/>
      <c r="K234" s="121"/>
      <c r="L234" s="121"/>
      <c r="M234" s="121"/>
      <c r="N234" s="121"/>
      <c r="O234" s="121"/>
      <c r="P234" s="121"/>
      <c r="Q234" s="121"/>
      <c r="R234" s="121"/>
    </row>
  </sheetData>
  <customSheetViews>
    <customSheetView guid="{A15D1964-B049-11D2-8670-0000832CEEE8}" scale="75" showPageBreaks="1" showGridLines="0" printArea="1" hiddenColumns="1" showRuler="0" topLeftCell="T45">
      <selection activeCell="AH53" sqref="AH53"/>
      <pageMargins left="0.75" right="0.75" top="0.75" bottom="0.5" header="0.5" footer="0.5"/>
      <pageSetup scale="75" orientation="portrait" horizontalDpi="300" verticalDpi="300" r:id="rId1"/>
      <headerFooter alignWithMargins="0">
        <oddHeader>&amp;L&amp;"Times,Regular"&amp;9KM  File: &amp;F&amp;R&amp;"Times,Regular"&amp;9Page &amp;P of &amp;N  &amp;D</oddHeader>
      </headerFooter>
    </customSheetView>
    <customSheetView guid="{5BE913A1-B14F-11D2-B0DC-0000832CDFF0}" scale="75" showPageBreaks="1" showGridLines="0" printArea="1" hiddenColumns="1" showRuler="0" topLeftCell="R46">
      <selection activeCell="T46" sqref="T1:T65536"/>
      <pageMargins left="0.75" right="0.75" top="0.75" bottom="0.5" header="0.5" footer="0.5"/>
      <pageSetup scale="75" orientation="portrait" horizontalDpi="300" verticalDpi="300" r:id="rId2"/>
      <headerFooter alignWithMargins="0">
        <oddHeader>&amp;L&amp;"Times,Regular"&amp;9KM  File: &amp;F&amp;R&amp;"Times,Regular"&amp;9Page &amp;P of &amp;N  &amp;D</oddHeader>
      </headerFooter>
    </customSheetView>
  </customSheetViews>
  <mergeCells count="7">
    <mergeCell ref="E98:R98"/>
    <mergeCell ref="E156:R156"/>
    <mergeCell ref="A1:R1"/>
    <mergeCell ref="A2:R2"/>
    <mergeCell ref="A59:R59"/>
    <mergeCell ref="E4:R4"/>
    <mergeCell ref="E61:R61"/>
  </mergeCells>
  <phoneticPr fontId="0" type="noConversion"/>
  <pageMargins left="0.75" right="0.75" top="0.65" bottom="0.5" header="0.5" footer="0.5"/>
  <pageSetup scale="75" fitToWidth="4" orientation="landscape" horizontalDpi="300" verticalDpi="300" r:id="rId3"/>
  <headerFooter scaleWithDoc="0" alignWithMargins="0">
    <oddFooter xml:space="preserve">&amp;C&amp;F&amp;RPage &amp;P of &amp;N  </oddFooter>
  </headerFooter>
  <rowBreaks count="3" manualBreakCount="3">
    <brk id="58" max="18" man="1"/>
    <brk id="93" max="18" man="1"/>
    <brk id="151" max="16383" man="1"/>
  </rowBreaks>
  <legacy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topLeftCell="C24" zoomScale="118" zoomScaleNormal="118" workbookViewId="0">
      <selection activeCell="C35" sqref="C35:M35"/>
    </sheetView>
  </sheetViews>
  <sheetFormatPr defaultRowHeight="12.75"/>
  <cols>
    <col min="1" max="1" width="7.140625" customWidth="1"/>
    <col min="2" max="2" width="16.42578125" bestFit="1" customWidth="1"/>
    <col min="4" max="4" width="12.5703125" customWidth="1"/>
    <col min="5" max="5" width="12.140625" customWidth="1"/>
    <col min="6" max="6" width="11.85546875" style="132" customWidth="1"/>
    <col min="7" max="7" width="11" bestFit="1" customWidth="1"/>
    <col min="8" max="8" width="13.42578125" customWidth="1"/>
    <col min="9" max="9" width="11.5703125" bestFit="1" customWidth="1"/>
    <col min="10" max="10" width="9.5703125" customWidth="1"/>
    <col min="11" max="11" width="2.5703125" customWidth="1"/>
    <col min="12" max="12" width="8.5703125" customWidth="1"/>
    <col min="13" max="13" width="9.42578125" customWidth="1"/>
    <col min="14" max="14" width="8.85546875" customWidth="1"/>
  </cols>
  <sheetData>
    <row r="1" spans="1:11">
      <c r="A1" s="170" t="s">
        <v>43</v>
      </c>
    </row>
    <row r="2" spans="1:11">
      <c r="A2" s="170" t="s">
        <v>86</v>
      </c>
    </row>
    <row r="3" spans="1:11">
      <c r="A3" s="479" t="s">
        <v>87</v>
      </c>
      <c r="B3" s="479"/>
      <c r="C3" s="479"/>
      <c r="D3" s="479"/>
      <c r="E3" s="479"/>
      <c r="F3" s="479"/>
      <c r="G3" s="479"/>
      <c r="H3" s="479"/>
      <c r="I3" s="479"/>
      <c r="J3" s="479"/>
    </row>
    <row r="4" spans="1:11">
      <c r="A4" s="479" t="s">
        <v>170</v>
      </c>
      <c r="B4" s="479"/>
      <c r="C4" s="479"/>
      <c r="D4" s="479"/>
      <c r="E4" s="479"/>
      <c r="F4" s="479"/>
      <c r="G4" s="479"/>
      <c r="H4" s="479"/>
      <c r="I4" s="479"/>
      <c r="J4" s="479"/>
    </row>
    <row r="6" spans="1:11">
      <c r="E6" s="41" t="s">
        <v>102</v>
      </c>
      <c r="F6" s="134"/>
      <c r="G6" s="41" t="s">
        <v>99</v>
      </c>
    </row>
    <row r="7" spans="1:11">
      <c r="A7" s="40" t="s">
        <v>0</v>
      </c>
      <c r="D7" s="41" t="s">
        <v>99</v>
      </c>
      <c r="E7" s="41" t="s">
        <v>103</v>
      </c>
      <c r="F7" s="157" t="s">
        <v>104</v>
      </c>
      <c r="G7" s="41" t="s">
        <v>100</v>
      </c>
      <c r="H7" s="41" t="s">
        <v>102</v>
      </c>
      <c r="J7" s="41" t="s">
        <v>110</v>
      </c>
      <c r="K7" s="41"/>
    </row>
    <row r="8" spans="1:11">
      <c r="A8" s="43" t="s">
        <v>2</v>
      </c>
      <c r="B8" s="69" t="s">
        <v>90</v>
      </c>
      <c r="C8" s="69" t="s">
        <v>91</v>
      </c>
      <c r="D8" s="43" t="s">
        <v>100</v>
      </c>
      <c r="E8" s="124" t="s">
        <v>164</v>
      </c>
      <c r="F8" s="135">
        <v>2015</v>
      </c>
      <c r="G8" s="43" t="s">
        <v>105</v>
      </c>
      <c r="H8" s="125" t="s">
        <v>164</v>
      </c>
      <c r="I8" s="43" t="s">
        <v>109</v>
      </c>
      <c r="J8" s="43" t="s">
        <v>105</v>
      </c>
      <c r="K8" s="43"/>
    </row>
    <row r="9" spans="1:11">
      <c r="A9" s="43"/>
      <c r="B9" s="41" t="s">
        <v>111</v>
      </c>
      <c r="C9" s="41" t="s">
        <v>112</v>
      </c>
      <c r="D9" s="41" t="s">
        <v>113</v>
      </c>
      <c r="E9" s="41" t="s">
        <v>114</v>
      </c>
      <c r="F9" s="157" t="s">
        <v>115</v>
      </c>
      <c r="G9" s="41" t="s">
        <v>116</v>
      </c>
      <c r="H9" s="41" t="s">
        <v>117</v>
      </c>
      <c r="I9" s="41" t="s">
        <v>118</v>
      </c>
      <c r="J9" s="41" t="s">
        <v>119</v>
      </c>
      <c r="K9" s="41"/>
    </row>
    <row r="10" spans="1:11">
      <c r="A10" s="43"/>
      <c r="B10" s="69"/>
      <c r="C10" s="69"/>
      <c r="D10" s="43"/>
      <c r="E10" s="43"/>
      <c r="F10" s="135"/>
      <c r="G10" s="43"/>
    </row>
    <row r="11" spans="1:11">
      <c r="A11" s="40">
        <v>1</v>
      </c>
      <c r="B11" t="s">
        <v>88</v>
      </c>
      <c r="C11" s="40">
        <v>101</v>
      </c>
      <c r="D11" s="70" t="s">
        <v>106</v>
      </c>
      <c r="E11" s="44">
        <v>1768267</v>
      </c>
      <c r="F11" s="126">
        <f>'Forecast Bill Determinants'!H5</f>
        <v>1802234.9760088718</v>
      </c>
      <c r="G11" s="93">
        <f>(F11-E11)/E11</f>
        <v>1.920975509290837E-2</v>
      </c>
      <c r="H11" s="127">
        <v>14146136</v>
      </c>
      <c r="I11" s="93">
        <f>H11/H$19</f>
        <v>9.7630548148848126E-2</v>
      </c>
      <c r="J11" s="93">
        <f>G11*I11</f>
        <v>1.8754589195257713E-3</v>
      </c>
      <c r="K11" s="93"/>
    </row>
    <row r="12" spans="1:11">
      <c r="A12" s="40">
        <v>2</v>
      </c>
      <c r="B12" t="s">
        <v>89</v>
      </c>
      <c r="C12" s="41" t="s">
        <v>93</v>
      </c>
      <c r="D12" s="70" t="s">
        <v>106</v>
      </c>
      <c r="E12" s="44">
        <v>29797</v>
      </c>
      <c r="F12" s="126">
        <f>'Forecast Bill Determinants'!H6</f>
        <v>30276.339400000004</v>
      </c>
      <c r="G12" s="93">
        <f t="shared" ref="G12:G22" si="0">(F12-E12)/E12</f>
        <v>1.6086834245058374E-2</v>
      </c>
      <c r="H12" s="127">
        <v>4754707</v>
      </c>
      <c r="I12" s="93">
        <f t="shared" ref="I12:I18" si="1">H12/H$19</f>
        <v>3.2814943295976035E-2</v>
      </c>
      <c r="J12" s="93">
        <f t="shared" ref="J12:J24" si="2">G12*I12</f>
        <v>5.2788855356335597E-4</v>
      </c>
      <c r="K12" s="93"/>
    </row>
    <row r="13" spans="1:11">
      <c r="A13" s="40">
        <v>3</v>
      </c>
      <c r="B13" s="70" t="s">
        <v>92</v>
      </c>
      <c r="C13" s="41" t="s">
        <v>94</v>
      </c>
      <c r="D13" s="70" t="s">
        <v>106</v>
      </c>
      <c r="E13" s="44">
        <v>336</v>
      </c>
      <c r="F13" s="126">
        <f>'Forecast Bill Determinants'!H7</f>
        <v>329.01098971043069</v>
      </c>
      <c r="G13" s="93">
        <f t="shared" si="0"/>
        <v>-2.0800625861813415E-2</v>
      </c>
      <c r="H13" s="127">
        <v>136282</v>
      </c>
      <c r="I13" s="93">
        <f t="shared" si="1"/>
        <v>9.4055976577782938E-4</v>
      </c>
      <c r="J13" s="93">
        <f t="shared" si="2"/>
        <v>-1.9564231788619485E-5</v>
      </c>
      <c r="K13" s="93"/>
    </row>
    <row r="14" spans="1:11">
      <c r="A14" s="40">
        <v>4</v>
      </c>
      <c r="B14" s="70" t="s">
        <v>95</v>
      </c>
      <c r="C14" s="41" t="s">
        <v>96</v>
      </c>
      <c r="D14" s="70" t="s">
        <v>106</v>
      </c>
      <c r="E14" s="44">
        <v>24</v>
      </c>
      <c r="F14" s="126">
        <f>'Forecast Bill Determinants'!H8</f>
        <v>24</v>
      </c>
      <c r="G14" s="93">
        <f t="shared" si="0"/>
        <v>0</v>
      </c>
      <c r="H14" s="127">
        <v>0</v>
      </c>
      <c r="I14" s="93">
        <f t="shared" si="1"/>
        <v>0</v>
      </c>
      <c r="J14" s="93">
        <f t="shared" si="2"/>
        <v>0</v>
      </c>
      <c r="K14" s="93"/>
    </row>
    <row r="15" spans="1:11">
      <c r="A15" s="40">
        <v>5</v>
      </c>
      <c r="B15" t="s">
        <v>88</v>
      </c>
      <c r="C15" s="40">
        <v>101</v>
      </c>
      <c r="D15" s="70" t="s">
        <v>101</v>
      </c>
      <c r="E15" s="88">
        <v>114766242</v>
      </c>
      <c r="F15" s="158">
        <f>'Forecast Bill Determinants'!D5</f>
        <v>117011207.10039353</v>
      </c>
      <c r="G15" s="93">
        <f>(F15-E15)/E15</f>
        <v>1.9561197276055563E-2</v>
      </c>
      <c r="H15" s="127">
        <f>106954108-H11</f>
        <v>92807972</v>
      </c>
      <c r="I15" s="93">
        <f t="shared" si="1"/>
        <v>0.64052071738480021</v>
      </c>
      <c r="J15" s="93">
        <f>G15*I15</f>
        <v>1.2529352112164709E-2</v>
      </c>
      <c r="K15" s="93"/>
    </row>
    <row r="16" spans="1:11">
      <c r="A16" s="40">
        <v>6</v>
      </c>
      <c r="B16" t="s">
        <v>89</v>
      </c>
      <c r="C16" s="41" t="s">
        <v>93</v>
      </c>
      <c r="D16" s="70" t="s">
        <v>101</v>
      </c>
      <c r="E16" s="52">
        <v>45312560</v>
      </c>
      <c r="F16" s="159">
        <f>'Forecast Bill Determinants'!D6</f>
        <v>46256892.844311215</v>
      </c>
      <c r="G16" s="93">
        <f>(F16-E16)/E16</f>
        <v>2.0840421382310223E-2</v>
      </c>
      <c r="H16" s="127">
        <f>33488348-H12</f>
        <v>28733641</v>
      </c>
      <c r="I16" s="93">
        <f t="shared" si="1"/>
        <v>0.1983072353568647</v>
      </c>
      <c r="J16" s="93">
        <f>G16*I16</f>
        <v>4.132806347998029E-3</v>
      </c>
      <c r="K16" s="93"/>
    </row>
    <row r="17" spans="1:11">
      <c r="A17" s="40">
        <v>7</v>
      </c>
      <c r="B17" s="70" t="s">
        <v>92</v>
      </c>
      <c r="C17" s="41" t="s">
        <v>94</v>
      </c>
      <c r="D17" s="70" t="s">
        <v>101</v>
      </c>
      <c r="E17" s="52">
        <v>5674290</v>
      </c>
      <c r="F17" s="159">
        <f>'Forecast Bill Determinants'!D7</f>
        <v>5940558.4593093311</v>
      </c>
      <c r="G17" s="93">
        <f>(F17-E17)/E17</f>
        <v>4.6925423147095253E-2</v>
      </c>
      <c r="H17" s="127">
        <f>3727831-H13</f>
        <v>3591549</v>
      </c>
      <c r="I17" s="93">
        <f t="shared" si="1"/>
        <v>2.4787326911988355E-2</v>
      </c>
      <c r="J17" s="93">
        <f>G17*I17</f>
        <v>1.1631558040304355E-3</v>
      </c>
      <c r="K17" s="93"/>
    </row>
    <row r="18" spans="1:11" ht="13.5" thickBot="1">
      <c r="A18" s="40">
        <v>8</v>
      </c>
      <c r="B18" s="70" t="s">
        <v>95</v>
      </c>
      <c r="C18" s="41" t="s">
        <v>96</v>
      </c>
      <c r="D18" s="70" t="s">
        <v>101</v>
      </c>
      <c r="E18" s="53">
        <v>1223438</v>
      </c>
      <c r="F18" s="160">
        <f>'Forecast Bill Determinants'!D8</f>
        <v>1288220.3061606321</v>
      </c>
      <c r="G18" s="93">
        <f>(F18-E18)/E18</f>
        <v>5.295103320367036E-2</v>
      </c>
      <c r="H18" s="128">
        <f>724280-H14</f>
        <v>724280</v>
      </c>
      <c r="I18" s="129">
        <f t="shared" si="1"/>
        <v>4.9986691357447512E-3</v>
      </c>
      <c r="J18" s="130">
        <f>G18*I18</f>
        <v>2.6468469538098256E-4</v>
      </c>
      <c r="K18" s="130"/>
    </row>
    <row r="19" spans="1:11" ht="14.25" thickTop="1" thickBot="1">
      <c r="A19" s="40">
        <v>9</v>
      </c>
      <c r="B19" s="70" t="s">
        <v>108</v>
      </c>
      <c r="C19" s="41"/>
      <c r="D19" s="70"/>
      <c r="E19" s="53">
        <f>SUM(E15:E18)</f>
        <v>166976530</v>
      </c>
      <c r="F19" s="160">
        <f>SUM(F15:F18)</f>
        <v>170496878.71017471</v>
      </c>
      <c r="G19" s="93"/>
      <c r="H19" s="127">
        <f>SUM(H11:H18)</f>
        <v>144894567</v>
      </c>
      <c r="I19" s="93">
        <f>SUM(I11:I18)</f>
        <v>1</v>
      </c>
      <c r="J19" s="131">
        <f>SUM(J11:J18)</f>
        <v>2.0473782200874664E-2</v>
      </c>
      <c r="K19" s="130"/>
    </row>
    <row r="20" spans="1:11" ht="13.5" thickTop="1">
      <c r="A20" s="40"/>
      <c r="B20" s="70"/>
      <c r="C20" s="41"/>
      <c r="D20" s="70"/>
      <c r="E20" s="44"/>
      <c r="F20" s="126"/>
      <c r="G20" s="93"/>
      <c r="H20" s="127"/>
      <c r="I20" s="93"/>
      <c r="J20" s="93"/>
      <c r="K20" s="93"/>
    </row>
    <row r="21" spans="1:11">
      <c r="A21" s="40">
        <v>10</v>
      </c>
      <c r="B21" s="70" t="s">
        <v>97</v>
      </c>
      <c r="C21" s="40">
        <v>146</v>
      </c>
      <c r="D21" s="70" t="s">
        <v>106</v>
      </c>
      <c r="E21" s="44">
        <v>456</v>
      </c>
      <c r="F21" s="126">
        <f>'Forecast Bill Determinants'!H9</f>
        <v>501.16790828738249</v>
      </c>
      <c r="G21" s="93">
        <f t="shared" si="0"/>
        <v>9.9052430454786164E-2</v>
      </c>
      <c r="H21" s="127">
        <v>182400</v>
      </c>
      <c r="I21" s="93">
        <f>H21/H$25</f>
        <v>4.8300467036917288E-2</v>
      </c>
      <c r="J21" s="93">
        <f t="shared" si="2"/>
        <v>4.7842786521079409E-3</v>
      </c>
      <c r="K21" s="93"/>
    </row>
    <row r="22" spans="1:11">
      <c r="A22" s="40">
        <v>11</v>
      </c>
      <c r="B22" s="70" t="s">
        <v>98</v>
      </c>
      <c r="C22" s="40">
        <v>148</v>
      </c>
      <c r="D22" s="70" t="s">
        <v>106</v>
      </c>
      <c r="E22" s="44">
        <f>48+12</f>
        <v>60</v>
      </c>
      <c r="F22" s="126">
        <f>'Forecast Bill Determinants'!H10</f>
        <v>69.708469184964116</v>
      </c>
      <c r="G22" s="93">
        <f t="shared" si="0"/>
        <v>0.16180781974940192</v>
      </c>
      <c r="H22" s="127">
        <f>9600+315984</f>
        <v>325584</v>
      </c>
      <c r="I22" s="93">
        <f>H22/H$25</f>
        <v>8.6216333660897357E-2</v>
      </c>
      <c r="J22" s="93">
        <f t="shared" si="2"/>
        <v>1.3950476976456773E-2</v>
      </c>
      <c r="K22" s="93"/>
    </row>
    <row r="23" spans="1:11">
      <c r="A23" s="40">
        <v>12</v>
      </c>
      <c r="B23" s="70" t="s">
        <v>97</v>
      </c>
      <c r="C23" s="40">
        <v>146</v>
      </c>
      <c r="D23" s="70" t="s">
        <v>101</v>
      </c>
      <c r="E23" s="88">
        <v>28756108</v>
      </c>
      <c r="F23" s="158">
        <f>'Forecast Bill Determinants'!D9</f>
        <v>31023877.990396548</v>
      </c>
      <c r="G23" s="93">
        <f t="shared" ref="G23:G24" si="3">(F23-E23)/E23</f>
        <v>7.8862201741506474E-2</v>
      </c>
      <c r="H23" s="127">
        <f>2232562-H21</f>
        <v>2050162</v>
      </c>
      <c r="I23" s="93">
        <f t="shared" ref="I23:I24" si="4">H23/H$25</f>
        <v>0.54289354222226105</v>
      </c>
      <c r="J23" s="93">
        <f t="shared" si="2"/>
        <v>4.2813780050893015E-2</v>
      </c>
      <c r="K23" s="93"/>
    </row>
    <row r="24" spans="1:11" ht="13.5" thickBot="1">
      <c r="A24" s="40">
        <v>13</v>
      </c>
      <c r="B24" s="70" t="s">
        <v>98</v>
      </c>
      <c r="C24" s="40">
        <v>148</v>
      </c>
      <c r="D24" s="70" t="s">
        <v>101</v>
      </c>
      <c r="E24" s="53">
        <f>36002126+9679278</f>
        <v>45681404</v>
      </c>
      <c r="F24" s="160">
        <f>'Forecast Bill Determinants'!D10</f>
        <v>46142216</v>
      </c>
      <c r="G24" s="93">
        <f t="shared" si="3"/>
        <v>1.0087518325837796E-2</v>
      </c>
      <c r="H24" s="128">
        <f>1128970+414829-H22</f>
        <v>1218215</v>
      </c>
      <c r="I24" s="129">
        <f t="shared" si="4"/>
        <v>0.32258965707992432</v>
      </c>
      <c r="J24" s="130">
        <f t="shared" si="2"/>
        <v>3.2541290775194671E-3</v>
      </c>
      <c r="K24" s="130"/>
    </row>
    <row r="25" spans="1:11" ht="14.25" thickTop="1" thickBot="1">
      <c r="A25" s="40">
        <v>14</v>
      </c>
      <c r="B25" s="70" t="s">
        <v>108</v>
      </c>
      <c r="C25" s="40"/>
      <c r="D25" s="70"/>
      <c r="E25" s="53">
        <f>SUM(E23:E24)</f>
        <v>74437512</v>
      </c>
      <c r="F25" s="160">
        <f>SUM(F23:F24)</f>
        <v>77166093.990396544</v>
      </c>
      <c r="G25" s="93"/>
      <c r="H25" s="127">
        <f>SUM(H21:H24)</f>
        <v>3776361</v>
      </c>
      <c r="I25" s="93">
        <f>SUM(I21:I24)</f>
        <v>1</v>
      </c>
      <c r="J25" s="131">
        <f>SUM(J21:J24)</f>
        <v>6.4802664756977199E-2</v>
      </c>
      <c r="K25" s="130"/>
    </row>
    <row r="26" spans="1:11" ht="13.5" thickTop="1">
      <c r="A26" s="40"/>
      <c r="E26" s="44"/>
      <c r="G26" s="132"/>
      <c r="H26" s="127"/>
      <c r="I26" s="132"/>
      <c r="J26" s="132"/>
      <c r="K26" s="132"/>
    </row>
    <row r="27" spans="1:11">
      <c r="A27" s="40">
        <v>15</v>
      </c>
      <c r="B27" t="s">
        <v>88</v>
      </c>
      <c r="C27" s="40">
        <v>101</v>
      </c>
      <c r="D27" t="s">
        <v>107</v>
      </c>
      <c r="E27" s="44"/>
      <c r="G27" s="132"/>
      <c r="H27" s="127">
        <f>H11+H15</f>
        <v>106954108</v>
      </c>
      <c r="I27" s="132"/>
      <c r="J27" s="132"/>
      <c r="K27" s="132"/>
    </row>
    <row r="28" spans="1:11">
      <c r="A28" s="40">
        <v>16</v>
      </c>
      <c r="B28" t="s">
        <v>89</v>
      </c>
      <c r="C28" s="41" t="s">
        <v>93</v>
      </c>
      <c r="D28" t="s">
        <v>107</v>
      </c>
      <c r="G28" s="132"/>
      <c r="H28" s="127">
        <f>H12+H16</f>
        <v>33488348</v>
      </c>
      <c r="I28" s="132"/>
      <c r="J28" s="132"/>
      <c r="K28" s="132"/>
    </row>
    <row r="29" spans="1:11">
      <c r="A29" s="40">
        <v>17</v>
      </c>
      <c r="B29" s="70" t="s">
        <v>92</v>
      </c>
      <c r="C29" s="41" t="s">
        <v>94</v>
      </c>
      <c r="D29" t="s">
        <v>107</v>
      </c>
      <c r="G29" s="132"/>
      <c r="H29" s="127">
        <f>H13+H17</f>
        <v>3727831</v>
      </c>
      <c r="I29" s="132"/>
      <c r="J29" s="132"/>
      <c r="K29" s="132"/>
    </row>
    <row r="30" spans="1:11">
      <c r="A30" s="40">
        <v>18</v>
      </c>
      <c r="B30" s="70" t="s">
        <v>95</v>
      </c>
      <c r="C30" s="41" t="s">
        <v>96</v>
      </c>
      <c r="D30" t="s">
        <v>107</v>
      </c>
      <c r="G30" s="132"/>
      <c r="H30" s="127">
        <f>H14+H18</f>
        <v>724280</v>
      </c>
      <c r="I30" s="132"/>
      <c r="J30" s="132"/>
      <c r="K30" s="132"/>
    </row>
    <row r="31" spans="1:11">
      <c r="A31" s="40">
        <v>19</v>
      </c>
      <c r="B31" s="70" t="s">
        <v>97</v>
      </c>
      <c r="C31" s="40">
        <v>146</v>
      </c>
      <c r="D31" t="s">
        <v>107</v>
      </c>
      <c r="G31" s="132"/>
      <c r="H31" s="127">
        <f>H21+H23</f>
        <v>2232562</v>
      </c>
      <c r="I31" s="132"/>
      <c r="J31" s="132"/>
      <c r="K31" s="132"/>
    </row>
    <row r="32" spans="1:11">
      <c r="A32" s="40">
        <v>20</v>
      </c>
      <c r="B32" s="70" t="s">
        <v>98</v>
      </c>
      <c r="C32" s="40">
        <v>148</v>
      </c>
      <c r="D32" t="s">
        <v>107</v>
      </c>
      <c r="G32" s="132"/>
      <c r="H32" s="128">
        <f>H22+H24</f>
        <v>1543799</v>
      </c>
      <c r="I32" s="132"/>
      <c r="J32" s="132"/>
      <c r="K32" s="132"/>
    </row>
    <row r="33" spans="1:11">
      <c r="A33" s="40">
        <v>21</v>
      </c>
      <c r="B33" s="70" t="s">
        <v>108</v>
      </c>
      <c r="G33" s="132"/>
      <c r="H33" s="127">
        <f>SUM(H27:H32)</f>
        <v>148670928</v>
      </c>
      <c r="I33" s="93"/>
      <c r="J33" s="132"/>
      <c r="K33" s="132"/>
    </row>
    <row r="34" spans="1:11">
      <c r="A34" s="85"/>
      <c r="B34" s="86"/>
      <c r="C34" s="344"/>
      <c r="D34" s="87"/>
      <c r="E34" s="87"/>
      <c r="F34" s="133"/>
      <c r="G34" s="133"/>
      <c r="H34" s="128"/>
      <c r="I34" s="129"/>
      <c r="J34" s="133"/>
      <c r="K34" s="163"/>
    </row>
    <row r="35" spans="1:11">
      <c r="B35" s="69" t="s">
        <v>125</v>
      </c>
      <c r="G35" s="134" t="s">
        <v>121</v>
      </c>
      <c r="H35" s="134" t="s">
        <v>123</v>
      </c>
      <c r="I35" s="132"/>
      <c r="J35" s="132"/>
      <c r="K35" s="132"/>
    </row>
    <row r="36" spans="1:11">
      <c r="E36" s="124" t="s">
        <v>164</v>
      </c>
      <c r="F36" s="135">
        <v>2015</v>
      </c>
      <c r="G36" s="135" t="s">
        <v>122</v>
      </c>
      <c r="H36" s="135" t="s">
        <v>124</v>
      </c>
      <c r="I36" s="132"/>
      <c r="J36" s="132"/>
      <c r="K36" s="132"/>
    </row>
    <row r="37" spans="1:11">
      <c r="A37" s="40">
        <v>22</v>
      </c>
      <c r="B37" t="s">
        <v>88</v>
      </c>
      <c r="C37" s="40">
        <v>101</v>
      </c>
      <c r="D37" s="70" t="s">
        <v>101</v>
      </c>
      <c r="E37" s="44">
        <f t="shared" ref="E37:F40" si="5">E15</f>
        <v>114766242</v>
      </c>
      <c r="F37" s="126">
        <f t="shared" si="5"/>
        <v>117011207.10039353</v>
      </c>
      <c r="G37" s="126">
        <f>F37-E37</f>
        <v>2244965.1003935337</v>
      </c>
      <c r="H37" s="136">
        <v>0.47577999999999998</v>
      </c>
      <c r="I37" s="127">
        <f>G37*H37</f>
        <v>1068109.4954652353</v>
      </c>
      <c r="J37" s="132"/>
      <c r="K37" s="132"/>
    </row>
    <row r="38" spans="1:11">
      <c r="A38" s="40">
        <v>23</v>
      </c>
      <c r="B38" t="s">
        <v>89</v>
      </c>
      <c r="C38" s="41" t="s">
        <v>93</v>
      </c>
      <c r="D38" s="70" t="s">
        <v>101</v>
      </c>
      <c r="E38" s="44">
        <f t="shared" si="5"/>
        <v>45312560</v>
      </c>
      <c r="F38" s="126">
        <f t="shared" si="5"/>
        <v>46256892.844311215</v>
      </c>
      <c r="G38" s="126">
        <f t="shared" ref="G38:G40" si="6">F38-E38</f>
        <v>944332.84431121498</v>
      </c>
      <c r="H38" s="136">
        <v>0.47321000000000002</v>
      </c>
      <c r="I38" s="127">
        <f t="shared" ref="I38:I40" si="7">G38*H38</f>
        <v>446867.74525651004</v>
      </c>
      <c r="J38" s="132"/>
      <c r="K38" s="132"/>
    </row>
    <row r="39" spans="1:11">
      <c r="A39" s="40">
        <v>24</v>
      </c>
      <c r="B39" s="70" t="s">
        <v>92</v>
      </c>
      <c r="C39" s="41" t="s">
        <v>94</v>
      </c>
      <c r="D39" s="70" t="s">
        <v>101</v>
      </c>
      <c r="E39" s="44">
        <f t="shared" si="5"/>
        <v>5674290</v>
      </c>
      <c r="F39" s="126">
        <f t="shared" si="5"/>
        <v>5940558.4593093311</v>
      </c>
      <c r="G39" s="126">
        <f t="shared" si="6"/>
        <v>266268.45930933114</v>
      </c>
      <c r="H39" s="136">
        <v>0.45329000000000003</v>
      </c>
      <c r="I39" s="127">
        <f t="shared" si="7"/>
        <v>120696.82992032672</v>
      </c>
      <c r="J39" s="132"/>
      <c r="K39" s="132"/>
    </row>
    <row r="40" spans="1:11">
      <c r="A40" s="40">
        <v>25</v>
      </c>
      <c r="B40" s="70" t="s">
        <v>95</v>
      </c>
      <c r="C40" s="41" t="s">
        <v>96</v>
      </c>
      <c r="D40" s="70" t="s">
        <v>101</v>
      </c>
      <c r="E40" s="45">
        <f t="shared" si="5"/>
        <v>1223438</v>
      </c>
      <c r="F40" s="137">
        <f t="shared" si="5"/>
        <v>1288220.3061606321</v>
      </c>
      <c r="G40" s="137">
        <f t="shared" si="6"/>
        <v>64782.306160632055</v>
      </c>
      <c r="H40" s="136">
        <v>0.42946000000000001</v>
      </c>
      <c r="I40" s="127">
        <f t="shared" si="7"/>
        <v>27821.409203745043</v>
      </c>
      <c r="J40" s="132"/>
      <c r="K40" s="132"/>
    </row>
    <row r="41" spans="1:11">
      <c r="A41" s="40">
        <v>26</v>
      </c>
      <c r="B41" s="70" t="s">
        <v>108</v>
      </c>
      <c r="E41" s="44">
        <f>SUM(E37:E40)</f>
        <v>166976530</v>
      </c>
      <c r="F41" s="126">
        <f>SUM(F37:F40)</f>
        <v>170496878.71017471</v>
      </c>
      <c r="G41" s="126">
        <f>SUM(G37:G40)</f>
        <v>3520348.7101747119</v>
      </c>
      <c r="H41" s="136"/>
      <c r="I41" s="132"/>
      <c r="J41" s="132"/>
      <c r="K41" s="132"/>
    </row>
    <row r="42" spans="1:11">
      <c r="A42" s="40">
        <v>27</v>
      </c>
      <c r="B42" s="70" t="s">
        <v>171</v>
      </c>
      <c r="C42" s="41">
        <v>146</v>
      </c>
      <c r="D42" s="70" t="s">
        <v>101</v>
      </c>
      <c r="E42" s="44">
        <f>E23</f>
        <v>28756108</v>
      </c>
      <c r="F42" s="126">
        <f>F23</f>
        <v>31023877.990396548</v>
      </c>
      <c r="G42" s="126">
        <f>F42-E42</f>
        <v>2267769.9903965481</v>
      </c>
      <c r="H42" s="136">
        <v>5.4000000000000001E-4</v>
      </c>
      <c r="I42" s="138">
        <f>G42*H42</f>
        <v>1224.5957948141361</v>
      </c>
      <c r="J42" s="132"/>
      <c r="K42" s="132"/>
    </row>
    <row r="43" spans="1:11" ht="13.5" thickBot="1">
      <c r="A43" s="40">
        <v>28</v>
      </c>
      <c r="B43" s="70" t="s">
        <v>172</v>
      </c>
      <c r="C43" s="41">
        <v>148</v>
      </c>
      <c r="D43" s="70" t="s">
        <v>101</v>
      </c>
      <c r="E43" s="44">
        <f>E24</f>
        <v>45681404</v>
      </c>
      <c r="F43" s="126">
        <f>F24</f>
        <v>46142216</v>
      </c>
      <c r="G43" s="126">
        <f>F43-E43</f>
        <v>460812</v>
      </c>
      <c r="H43" s="136">
        <v>0</v>
      </c>
      <c r="I43" s="138"/>
      <c r="J43" s="132"/>
      <c r="K43" s="132"/>
    </row>
    <row r="44" spans="1:11" ht="14.25" thickTop="1" thickBot="1">
      <c r="A44" s="40">
        <v>29</v>
      </c>
      <c r="B44" s="70" t="s">
        <v>108</v>
      </c>
      <c r="E44" s="113">
        <f>SUM(E42:E43)</f>
        <v>74437512</v>
      </c>
      <c r="F44" s="161">
        <f t="shared" ref="F44:G44" si="8">SUM(F42:F43)</f>
        <v>77166093.990396544</v>
      </c>
      <c r="G44" s="113">
        <f t="shared" si="8"/>
        <v>2728581.9903965481</v>
      </c>
      <c r="H44" s="132"/>
      <c r="I44" s="139">
        <f>SUM(I37:I42)</f>
        <v>1664720.0756406314</v>
      </c>
      <c r="J44" s="132"/>
      <c r="K44" s="132"/>
    </row>
    <row r="45" spans="1:11" ht="13.5" thickTop="1">
      <c r="G45" s="132"/>
      <c r="H45" s="132"/>
      <c r="I45" s="132"/>
      <c r="J45" s="132"/>
      <c r="K45" s="132"/>
    </row>
  </sheetData>
  <mergeCells count="2">
    <mergeCell ref="A4:J4"/>
    <mergeCell ref="A3:J3"/>
  </mergeCells>
  <pageMargins left="0.65" right="0.42" top="0.62" bottom="0.28999999999999998" header="0.68" footer="0.43"/>
  <pageSetup scale="90" orientation="landscape" r:id="rId1"/>
  <headerFooter scaleWithDoc="0">
    <oddFooter>&amp;C&amp;F&amp;RPage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J30"/>
  <sheetViews>
    <sheetView workbookViewId="0">
      <selection activeCell="C35" sqref="C35"/>
    </sheetView>
  </sheetViews>
  <sheetFormatPr defaultRowHeight="12.75"/>
  <cols>
    <col min="2" max="2" width="4.5703125" customWidth="1"/>
    <col min="4" max="4" width="13.42578125" customWidth="1"/>
    <col min="5" max="5" width="5.42578125" customWidth="1"/>
    <col min="6" max="6" width="11.42578125" bestFit="1" customWidth="1"/>
    <col min="7" max="7" width="4.5703125" customWidth="1"/>
    <col min="8" max="8" width="10.42578125" customWidth="1"/>
    <col min="9" max="9" width="4.5703125" customWidth="1"/>
  </cols>
  <sheetData>
    <row r="1" spans="1:10">
      <c r="A1" s="70" t="s">
        <v>196</v>
      </c>
      <c r="J1" s="70" t="s">
        <v>202</v>
      </c>
    </row>
    <row r="3" spans="1:10">
      <c r="D3" s="40">
        <v>2015</v>
      </c>
      <c r="F3" s="40">
        <v>2015</v>
      </c>
    </row>
    <row r="4" spans="1:10">
      <c r="A4" s="70" t="s">
        <v>198</v>
      </c>
      <c r="D4" s="41" t="s">
        <v>197</v>
      </c>
      <c r="F4" s="41" t="s">
        <v>200</v>
      </c>
      <c r="H4" s="70" t="s">
        <v>201</v>
      </c>
    </row>
    <row r="5" spans="1:10">
      <c r="A5" t="s">
        <v>173</v>
      </c>
      <c r="D5" s="97">
        <v>117011207.10039353</v>
      </c>
      <c r="F5" s="97">
        <v>150186.24800073932</v>
      </c>
      <c r="H5" s="96">
        <f>F5*12</f>
        <v>1802234.9760088718</v>
      </c>
    </row>
    <row r="6" spans="1:10">
      <c r="A6" t="s">
        <v>174</v>
      </c>
      <c r="D6" s="97">
        <v>46256892.844311215</v>
      </c>
      <c r="F6" s="97">
        <v>2523.0282833333335</v>
      </c>
      <c r="H6" s="96">
        <f t="shared" ref="H6:H30" si="0">F6*12</f>
        <v>30276.339400000004</v>
      </c>
    </row>
    <row r="7" spans="1:10">
      <c r="A7" t="s">
        <v>175</v>
      </c>
      <c r="D7" s="97">
        <v>5940558.4593093311</v>
      </c>
      <c r="F7" s="97">
        <v>27.417582475869224</v>
      </c>
      <c r="H7" s="96">
        <f t="shared" si="0"/>
        <v>329.01098971043069</v>
      </c>
    </row>
    <row r="8" spans="1:10">
      <c r="A8" t="s">
        <v>176</v>
      </c>
      <c r="D8" s="97">
        <v>1288220.3061606321</v>
      </c>
      <c r="F8" s="97">
        <v>2</v>
      </c>
      <c r="H8" s="96">
        <f t="shared" si="0"/>
        <v>24</v>
      </c>
    </row>
    <row r="9" spans="1:10">
      <c r="A9" t="s">
        <v>177</v>
      </c>
      <c r="D9" s="97">
        <v>31023877.990396548</v>
      </c>
      <c r="F9" s="97">
        <v>41.763992357281872</v>
      </c>
      <c r="H9" s="96">
        <f t="shared" si="0"/>
        <v>501.16790828738249</v>
      </c>
    </row>
    <row r="10" spans="1:10">
      <c r="A10" t="s">
        <v>178</v>
      </c>
      <c r="D10" s="97">
        <v>46142216</v>
      </c>
      <c r="F10" s="97">
        <v>5.80903909874701</v>
      </c>
      <c r="H10" s="96">
        <f t="shared" si="0"/>
        <v>69.708469184964116</v>
      </c>
    </row>
    <row r="11" spans="1:10">
      <c r="A11" t="s">
        <v>179</v>
      </c>
      <c r="D11" s="97">
        <v>54706889.651637524</v>
      </c>
      <c r="F11" s="97">
        <v>76572.236233333329</v>
      </c>
      <c r="H11" s="96">
        <f t="shared" si="0"/>
        <v>918866.83479999995</v>
      </c>
    </row>
    <row r="12" spans="1:10">
      <c r="A12" t="s">
        <v>180</v>
      </c>
      <c r="D12" s="97">
        <v>24041152.217699133</v>
      </c>
      <c r="F12" s="97">
        <v>1452.4809888242137</v>
      </c>
      <c r="H12" s="96">
        <f t="shared" si="0"/>
        <v>17429.771865890565</v>
      </c>
    </row>
    <row r="13" spans="1:10">
      <c r="A13" t="s">
        <v>181</v>
      </c>
      <c r="D13" s="97">
        <v>428998.45007805078</v>
      </c>
      <c r="F13" s="97">
        <v>1</v>
      </c>
      <c r="H13" s="96">
        <f t="shared" si="0"/>
        <v>12</v>
      </c>
    </row>
    <row r="14" spans="1:10">
      <c r="A14" t="s">
        <v>182</v>
      </c>
      <c r="D14" s="97">
        <v>3186987</v>
      </c>
      <c r="F14" s="97">
        <v>6</v>
      </c>
      <c r="H14" s="96">
        <f t="shared" si="0"/>
        <v>72</v>
      </c>
    </row>
    <row r="15" spans="1:10">
      <c r="A15" t="s">
        <v>183</v>
      </c>
      <c r="D15" s="97">
        <v>1339546.284560258</v>
      </c>
      <c r="F15" s="97">
        <v>1</v>
      </c>
      <c r="H15" s="96">
        <f t="shared" si="0"/>
        <v>12</v>
      </c>
    </row>
    <row r="16" spans="1:10">
      <c r="A16" t="s">
        <v>184</v>
      </c>
      <c r="D16" s="97">
        <v>40038086.715439737</v>
      </c>
      <c r="F16" s="97">
        <v>1</v>
      </c>
      <c r="H16" s="96">
        <f t="shared" si="0"/>
        <v>12</v>
      </c>
    </row>
    <row r="17" spans="1:8">
      <c r="A17" t="s">
        <v>185</v>
      </c>
      <c r="D17" s="97">
        <v>48702579.8134197</v>
      </c>
      <c r="F17" s="97">
        <v>85915.344247708897</v>
      </c>
      <c r="H17" s="96">
        <f t="shared" si="0"/>
        <v>1030984.1309725067</v>
      </c>
    </row>
    <row r="18" spans="1:8">
      <c r="A18" t="s">
        <v>186</v>
      </c>
      <c r="D18" s="97">
        <v>26076704.083898723</v>
      </c>
      <c r="F18" s="97">
        <v>11228.263070764626</v>
      </c>
      <c r="H18" s="96">
        <f t="shared" si="0"/>
        <v>134739.15684917552</v>
      </c>
    </row>
    <row r="19" spans="1:8">
      <c r="A19" t="s">
        <v>187</v>
      </c>
      <c r="D19" s="97">
        <v>4371920.6069449512</v>
      </c>
      <c r="F19" s="97">
        <v>80.198957925764006</v>
      </c>
      <c r="H19" s="96">
        <f t="shared" si="0"/>
        <v>962.38749510916807</v>
      </c>
    </row>
    <row r="20" spans="1:8">
      <c r="A20" t="s">
        <v>188</v>
      </c>
      <c r="D20" s="97">
        <v>3676078.1120577157</v>
      </c>
      <c r="F20" s="97">
        <v>34.690173447948816</v>
      </c>
      <c r="H20" s="96">
        <f t="shared" si="0"/>
        <v>416.28208137538581</v>
      </c>
    </row>
    <row r="21" spans="1:8">
      <c r="A21" t="s">
        <v>189</v>
      </c>
      <c r="D21" s="97">
        <v>276773.90700719983</v>
      </c>
      <c r="F21" s="97">
        <v>3.6150749999999996</v>
      </c>
      <c r="H21" s="96">
        <f t="shared" si="0"/>
        <v>43.380899999999997</v>
      </c>
    </row>
    <row r="22" spans="1:8">
      <c r="A22" t="s">
        <v>190</v>
      </c>
      <c r="D22" s="97">
        <v>8116945</v>
      </c>
      <c r="F22" s="97">
        <v>3</v>
      </c>
      <c r="H22" s="96">
        <f t="shared" si="0"/>
        <v>36</v>
      </c>
    </row>
    <row r="23" spans="1:8">
      <c r="A23" t="s">
        <v>191</v>
      </c>
      <c r="D23" s="97">
        <v>31620912.849156529</v>
      </c>
      <c r="F23" s="97">
        <v>35.371351454142449</v>
      </c>
      <c r="H23" s="96">
        <f t="shared" si="0"/>
        <v>424.45621744970936</v>
      </c>
    </row>
    <row r="24" spans="1:8">
      <c r="D24" s="97"/>
      <c r="F24" s="97"/>
      <c r="H24" s="96"/>
    </row>
    <row r="25" spans="1:8">
      <c r="A25" s="70" t="s">
        <v>199</v>
      </c>
      <c r="D25" s="97"/>
      <c r="F25" s="97"/>
      <c r="H25" s="96"/>
    </row>
    <row r="26" spans="1:8">
      <c r="A26" t="s">
        <v>192</v>
      </c>
      <c r="D26" s="97">
        <f>SUM(D5:D10)</f>
        <v>247662972.70057127</v>
      </c>
      <c r="F26" s="97">
        <f>SUM(F5:F10)</f>
        <v>152786.26689800454</v>
      </c>
      <c r="H26" s="96">
        <f t="shared" si="0"/>
        <v>1833435.2027760544</v>
      </c>
    </row>
    <row r="27" spans="1:8">
      <c r="A27" t="s">
        <v>193</v>
      </c>
      <c r="D27" s="97">
        <f>SUM(D11:D16)</f>
        <v>123741660.31941472</v>
      </c>
      <c r="F27" s="97">
        <f>SUM(F11:F16)</f>
        <v>78033.717222157546</v>
      </c>
      <c r="H27" s="96">
        <f t="shared" si="0"/>
        <v>936404.60666589055</v>
      </c>
    </row>
    <row r="28" spans="1:8">
      <c r="A28" t="s">
        <v>194</v>
      </c>
      <c r="D28" s="97">
        <f>SUM(D17:D23)</f>
        <v>122841914.37248482</v>
      </c>
      <c r="F28" s="97">
        <f>SUM(F17:F23)</f>
        <v>97300.482876301379</v>
      </c>
      <c r="H28" s="96">
        <f t="shared" si="0"/>
        <v>1167605.7945156165</v>
      </c>
    </row>
    <row r="29" spans="1:8">
      <c r="D29" s="97"/>
      <c r="F29" s="97"/>
      <c r="H29" s="96">
        <f t="shared" si="0"/>
        <v>0</v>
      </c>
    </row>
    <row r="30" spans="1:8" ht="11.25" customHeight="1">
      <c r="A30" t="s">
        <v>195</v>
      </c>
      <c r="D30" s="97">
        <f>SUM(D26:D28)</f>
        <v>494246547.39247078</v>
      </c>
      <c r="F30" s="97">
        <f>SUM(F26:F28)</f>
        <v>328120.46699646348</v>
      </c>
      <c r="H30" s="96">
        <f t="shared" si="0"/>
        <v>3937445.6039575618</v>
      </c>
    </row>
  </sheetData>
  <pageMargins left="0.7" right="0.7" top="0.75" bottom="0.75" header="0.3" footer="0.3"/>
  <pageSetup orientation="portrait" r:id="rId1"/>
  <headerFooter>
    <oddFooter>&amp;C&amp;F / &amp;A</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AO65"/>
  <sheetViews>
    <sheetView topLeftCell="U4" zoomScaleNormal="100" zoomScaleSheetLayoutView="85" workbookViewId="0">
      <pane ySplit="2640" topLeftCell="A16" activePane="bottomLeft"/>
      <selection activeCell="E11" sqref="E11"/>
      <selection pane="bottomLeft" activeCell="AM29" sqref="AM29"/>
    </sheetView>
  </sheetViews>
  <sheetFormatPr defaultRowHeight="12.75"/>
  <cols>
    <col min="1" max="1" width="5.5703125" style="22" customWidth="1"/>
    <col min="2" max="3" width="1.5703125" style="3" customWidth="1"/>
    <col min="4" max="4" width="23.42578125" style="3" customWidth="1"/>
    <col min="5" max="5" width="9" style="132" customWidth="1"/>
    <col min="6" max="6" width="3.85546875" style="132" customWidth="1"/>
    <col min="7" max="7" width="7.5703125" bestFit="1" customWidth="1"/>
    <col min="8" max="8" width="8.42578125" customWidth="1"/>
    <col min="9" max="9" width="7.5703125" bestFit="1" customWidth="1"/>
    <col min="10" max="10" width="10" customWidth="1"/>
    <col min="11" max="11" width="7.5703125" bestFit="1" customWidth="1"/>
    <col min="12" max="12" width="9.42578125" customWidth="1"/>
    <col min="13" max="13" width="7.5703125" bestFit="1" customWidth="1"/>
    <col min="14" max="14" width="8.85546875" customWidth="1"/>
    <col min="15" max="15" width="7.5703125" bestFit="1" customWidth="1"/>
    <col min="16" max="16" width="9" customWidth="1"/>
    <col min="17" max="17" width="7.5703125" bestFit="1" customWidth="1"/>
    <col min="18" max="18" width="10.140625" customWidth="1"/>
    <col min="19" max="19" width="7.5703125" bestFit="1" customWidth="1"/>
    <col min="20" max="20" width="9.5703125" customWidth="1"/>
    <col min="21" max="21" width="7.5703125" bestFit="1" customWidth="1"/>
    <col min="22" max="22" width="7.85546875" bestFit="1" customWidth="1"/>
    <col min="23" max="23" width="9.5703125" customWidth="1"/>
    <col min="24" max="24" width="7.5703125" bestFit="1" customWidth="1"/>
    <col min="25" max="25" width="7.85546875" bestFit="1" customWidth="1"/>
    <col min="26" max="26" width="8.85546875" customWidth="1"/>
    <col min="27" max="27" width="7.5703125" bestFit="1" customWidth="1"/>
    <col min="28" max="28" width="7.85546875" bestFit="1" customWidth="1"/>
    <col min="29" max="29" width="8.85546875" customWidth="1"/>
    <col min="30" max="30" width="7.5703125" bestFit="1" customWidth="1"/>
    <col min="31" max="31" width="7.85546875" bestFit="1" customWidth="1"/>
    <col min="32" max="32" width="9" customWidth="1"/>
    <col min="33" max="33" width="7.5703125" bestFit="1" customWidth="1"/>
    <col min="34" max="34" width="7.85546875" bestFit="1" customWidth="1"/>
    <col min="35" max="35" width="8.85546875" customWidth="1"/>
    <col min="39" max="39" width="7.140625" customWidth="1"/>
    <col min="40" max="40" width="6.5703125" customWidth="1"/>
    <col min="41" max="41" width="7.85546875" customWidth="1"/>
  </cols>
  <sheetData>
    <row r="1" spans="1:41">
      <c r="A1" s="2" t="s">
        <v>43</v>
      </c>
    </row>
    <row r="2" spans="1:41">
      <c r="A2" s="2" t="s">
        <v>48</v>
      </c>
    </row>
    <row r="3" spans="1:41">
      <c r="A3" s="2" t="s">
        <v>55</v>
      </c>
      <c r="I3" s="108"/>
      <c r="M3" s="108"/>
    </row>
    <row r="4" spans="1:41">
      <c r="A4" s="2" t="s">
        <v>39</v>
      </c>
      <c r="B4" s="2"/>
      <c r="C4" s="2"/>
      <c r="D4" s="2"/>
      <c r="I4" s="108"/>
      <c r="M4" s="108"/>
    </row>
    <row r="5" spans="1:41">
      <c r="A5" s="2"/>
      <c r="G5" s="47"/>
      <c r="H5" s="108"/>
      <c r="I5" s="47"/>
      <c r="J5" s="108"/>
      <c r="K5" s="47"/>
      <c r="L5" s="108"/>
      <c r="M5" s="47"/>
      <c r="N5" s="108"/>
      <c r="O5" s="47"/>
      <c r="P5" s="108"/>
      <c r="Q5" s="47"/>
      <c r="R5" s="108"/>
      <c r="S5" s="47"/>
      <c r="T5" s="108"/>
      <c r="U5" s="47"/>
      <c r="V5" s="108"/>
      <c r="W5" s="55"/>
      <c r="X5" s="47"/>
      <c r="Y5" s="108"/>
      <c r="Z5" s="108"/>
      <c r="AA5" s="47"/>
      <c r="AD5" s="47"/>
      <c r="AG5" s="47"/>
      <c r="AJ5" s="47"/>
      <c r="AK5" s="108"/>
      <c r="AL5" s="55"/>
      <c r="AM5" s="47"/>
      <c r="AN5" s="108"/>
      <c r="AO5" s="55"/>
    </row>
    <row r="6" spans="1:41">
      <c r="A6" s="5"/>
      <c r="B6" s="6"/>
      <c r="C6" s="6"/>
      <c r="D6" s="6"/>
      <c r="G6" s="48">
        <v>2000</v>
      </c>
      <c r="H6" s="117"/>
      <c r="I6" s="48">
        <v>2001</v>
      </c>
      <c r="J6" s="117"/>
      <c r="K6" s="48">
        <v>2002</v>
      </c>
      <c r="L6" s="117"/>
      <c r="M6" s="48">
        <v>2003</v>
      </c>
      <c r="N6" s="117"/>
      <c r="O6" s="65" t="s">
        <v>70</v>
      </c>
      <c r="P6" s="115"/>
      <c r="Q6" s="48">
        <v>2005</v>
      </c>
      <c r="R6" s="117"/>
      <c r="S6" s="65" t="s">
        <v>71</v>
      </c>
      <c r="T6" s="115"/>
      <c r="U6" s="48" t="s">
        <v>65</v>
      </c>
      <c r="V6" s="56"/>
      <c r="W6" s="109"/>
      <c r="X6" s="48" t="s">
        <v>64</v>
      </c>
      <c r="Y6" s="109"/>
      <c r="Z6" s="109"/>
      <c r="AA6" s="48" t="s">
        <v>63</v>
      </c>
      <c r="AB6" s="42"/>
      <c r="AC6" s="42"/>
      <c r="AD6" s="48" t="s">
        <v>62</v>
      </c>
      <c r="AE6" s="42"/>
      <c r="AF6" s="42"/>
      <c r="AG6" s="48" t="s">
        <v>60</v>
      </c>
      <c r="AH6" s="42"/>
      <c r="AI6" s="42"/>
      <c r="AJ6" s="480" t="s">
        <v>136</v>
      </c>
      <c r="AK6" s="481"/>
      <c r="AL6" s="482"/>
      <c r="AM6" s="480" t="s">
        <v>457</v>
      </c>
      <c r="AN6" s="481"/>
      <c r="AO6" s="482"/>
    </row>
    <row r="7" spans="1:41">
      <c r="A7" s="8"/>
      <c r="B7" s="9"/>
      <c r="C7" s="10"/>
      <c r="D7" s="11"/>
      <c r="G7" s="49"/>
      <c r="H7" s="116"/>
      <c r="I7" s="49"/>
      <c r="J7" s="116"/>
      <c r="K7" s="49"/>
      <c r="L7" s="116"/>
      <c r="M7" s="49"/>
      <c r="N7" s="116"/>
      <c r="O7" s="49"/>
      <c r="P7" s="116"/>
      <c r="Q7" s="49"/>
      <c r="R7" s="116"/>
      <c r="S7" s="49"/>
      <c r="T7" s="116"/>
      <c r="U7" s="49"/>
      <c r="V7" s="110" t="s">
        <v>57</v>
      </c>
      <c r="W7" s="57"/>
      <c r="X7" s="49"/>
      <c r="Y7" s="110" t="s">
        <v>57</v>
      </c>
      <c r="Z7" s="57"/>
      <c r="AA7" s="49"/>
      <c r="AB7" s="41" t="s">
        <v>57</v>
      </c>
      <c r="AC7" s="41"/>
      <c r="AD7" s="49"/>
      <c r="AE7" s="41" t="s">
        <v>57</v>
      </c>
      <c r="AF7" s="41"/>
      <c r="AG7" s="49"/>
      <c r="AH7" s="41" t="s">
        <v>57</v>
      </c>
      <c r="AI7" s="41"/>
      <c r="AJ7" s="49"/>
      <c r="AK7" s="110" t="s">
        <v>57</v>
      </c>
      <c r="AL7" s="55"/>
      <c r="AM7" s="49"/>
      <c r="AN7" s="110" t="s">
        <v>57</v>
      </c>
      <c r="AO7" s="55"/>
    </row>
    <row r="8" spans="1:41">
      <c r="A8" s="12" t="s">
        <v>0</v>
      </c>
      <c r="B8" s="13"/>
      <c r="C8" s="14"/>
      <c r="D8" s="15"/>
      <c r="G8" s="50" t="s">
        <v>57</v>
      </c>
      <c r="H8" s="110" t="s">
        <v>57</v>
      </c>
      <c r="I8" s="50" t="s">
        <v>57</v>
      </c>
      <c r="J8" s="110" t="s">
        <v>57</v>
      </c>
      <c r="K8" s="50" t="s">
        <v>57</v>
      </c>
      <c r="L8" s="110" t="s">
        <v>57</v>
      </c>
      <c r="M8" s="50" t="s">
        <v>57</v>
      </c>
      <c r="N8" s="110" t="s">
        <v>57</v>
      </c>
      <c r="O8" s="50" t="s">
        <v>57</v>
      </c>
      <c r="P8" s="110" t="s">
        <v>57</v>
      </c>
      <c r="Q8" s="50" t="s">
        <v>57</v>
      </c>
      <c r="R8" s="110" t="s">
        <v>57</v>
      </c>
      <c r="S8" s="50" t="s">
        <v>57</v>
      </c>
      <c r="T8" s="110" t="s">
        <v>57</v>
      </c>
      <c r="U8" s="50" t="s">
        <v>57</v>
      </c>
      <c r="V8" s="110" t="s">
        <v>61</v>
      </c>
      <c r="W8" s="110" t="s">
        <v>57</v>
      </c>
      <c r="X8" s="50" t="s">
        <v>57</v>
      </c>
      <c r="Y8" s="110" t="s">
        <v>61</v>
      </c>
      <c r="Z8" s="110" t="s">
        <v>57</v>
      </c>
      <c r="AA8" s="50" t="s">
        <v>57</v>
      </c>
      <c r="AB8" s="110" t="s">
        <v>61</v>
      </c>
      <c r="AC8" s="110" t="s">
        <v>57</v>
      </c>
      <c r="AD8" s="50" t="s">
        <v>57</v>
      </c>
      <c r="AE8" s="110" t="s">
        <v>61</v>
      </c>
      <c r="AF8" s="110" t="s">
        <v>57</v>
      </c>
      <c r="AG8" s="50" t="s">
        <v>57</v>
      </c>
      <c r="AH8" s="110" t="s">
        <v>61</v>
      </c>
      <c r="AI8" s="110" t="s">
        <v>57</v>
      </c>
      <c r="AJ8" s="50" t="s">
        <v>57</v>
      </c>
      <c r="AK8" s="110" t="s">
        <v>61</v>
      </c>
      <c r="AL8" s="57" t="s">
        <v>57</v>
      </c>
      <c r="AM8" s="50" t="s">
        <v>57</v>
      </c>
      <c r="AN8" s="110" t="s">
        <v>61</v>
      </c>
      <c r="AO8" s="57" t="s">
        <v>57</v>
      </c>
    </row>
    <row r="9" spans="1:41">
      <c r="A9" s="17" t="s">
        <v>2</v>
      </c>
      <c r="B9" s="18"/>
      <c r="C9" s="19"/>
      <c r="D9" s="20" t="s">
        <v>3</v>
      </c>
      <c r="E9" s="134" t="s">
        <v>56</v>
      </c>
      <c r="F9" s="134"/>
      <c r="G9" s="51" t="s">
        <v>58</v>
      </c>
      <c r="H9" s="111" t="s">
        <v>159</v>
      </c>
      <c r="I9" s="51" t="s">
        <v>58</v>
      </c>
      <c r="J9" s="111" t="s">
        <v>159</v>
      </c>
      <c r="K9" s="51" t="s">
        <v>58</v>
      </c>
      <c r="L9" s="111" t="s">
        <v>159</v>
      </c>
      <c r="M9" s="51" t="s">
        <v>58</v>
      </c>
      <c r="N9" s="111" t="s">
        <v>159</v>
      </c>
      <c r="O9" s="51" t="s">
        <v>58</v>
      </c>
      <c r="P9" s="111" t="s">
        <v>159</v>
      </c>
      <c r="Q9" s="51" t="s">
        <v>58</v>
      </c>
      <c r="R9" s="111" t="s">
        <v>159</v>
      </c>
      <c r="S9" s="51" t="s">
        <v>58</v>
      </c>
      <c r="T9" s="111" t="s">
        <v>159</v>
      </c>
      <c r="U9" s="51" t="s">
        <v>58</v>
      </c>
      <c r="V9" s="111" t="s">
        <v>59</v>
      </c>
      <c r="W9" s="111" t="s">
        <v>159</v>
      </c>
      <c r="X9" s="51" t="s">
        <v>58</v>
      </c>
      <c r="Y9" s="111" t="s">
        <v>59</v>
      </c>
      <c r="Z9" s="111" t="s">
        <v>159</v>
      </c>
      <c r="AA9" s="51" t="s">
        <v>58</v>
      </c>
      <c r="AB9" s="111" t="s">
        <v>59</v>
      </c>
      <c r="AC9" s="111" t="s">
        <v>159</v>
      </c>
      <c r="AD9" s="51" t="s">
        <v>58</v>
      </c>
      <c r="AE9" s="111" t="s">
        <v>59</v>
      </c>
      <c r="AF9" s="111" t="s">
        <v>159</v>
      </c>
      <c r="AG9" s="51" t="s">
        <v>58</v>
      </c>
      <c r="AH9" s="111" t="s">
        <v>59</v>
      </c>
      <c r="AI9" s="111" t="s">
        <v>159</v>
      </c>
      <c r="AJ9" s="51" t="s">
        <v>58</v>
      </c>
      <c r="AK9" s="111" t="s">
        <v>59</v>
      </c>
      <c r="AL9" s="58" t="s">
        <v>159</v>
      </c>
      <c r="AM9" s="51" t="s">
        <v>58</v>
      </c>
      <c r="AN9" s="111" t="s">
        <v>59</v>
      </c>
      <c r="AO9" s="58" t="s">
        <v>159</v>
      </c>
    </row>
    <row r="10" spans="1:41">
      <c r="B10" s="3" t="s">
        <v>6</v>
      </c>
      <c r="G10" s="47"/>
      <c r="H10" s="108"/>
      <c r="I10" s="47"/>
      <c r="J10" s="108"/>
      <c r="K10" s="47"/>
      <c r="L10" s="108"/>
      <c r="M10" s="47"/>
      <c r="N10" s="108"/>
      <c r="O10" s="47"/>
      <c r="P10" s="108"/>
      <c r="Q10" s="47"/>
      <c r="R10" s="108"/>
      <c r="S10" s="47"/>
      <c r="T10" s="108"/>
      <c r="U10" s="47"/>
      <c r="V10" s="108"/>
      <c r="W10" s="108"/>
      <c r="X10" s="47"/>
      <c r="Y10" s="108"/>
      <c r="Z10" s="108"/>
      <c r="AA10" s="47"/>
      <c r="AD10" s="47"/>
      <c r="AG10" s="47"/>
      <c r="AJ10" s="47"/>
      <c r="AK10" s="108"/>
      <c r="AL10" s="55"/>
      <c r="AM10" s="47"/>
      <c r="AN10" s="108"/>
      <c r="AO10" s="55"/>
    </row>
    <row r="11" spans="1:41">
      <c r="A11" s="22">
        <v>1</v>
      </c>
      <c r="B11" s="23" t="s">
        <v>7</v>
      </c>
      <c r="C11" s="23"/>
      <c r="D11" s="23"/>
      <c r="E11" s="153">
        <f>ROR!N20</f>
        <v>0.95481700000000003</v>
      </c>
      <c r="F11" s="153"/>
      <c r="G11" s="52">
        <f t="shared" ref="G11" si="0">ROUND(G36/$E11,0)</f>
        <v>0</v>
      </c>
      <c r="H11" s="112">
        <f>ROUND((H21-H13)/$E11,0)</f>
        <v>-60092</v>
      </c>
      <c r="I11" s="52">
        <f>ROUND(I36/$E11,0)</f>
        <v>-994</v>
      </c>
      <c r="J11" s="112">
        <f>ROUND((J21-J13)/$E11,0)</f>
        <v>-111838</v>
      </c>
      <c r="K11" s="52">
        <f>ROUND(K36/$E11,0)-1</f>
        <v>-1777</v>
      </c>
      <c r="L11" s="112">
        <f>ROUND((L21-L13)/$E11,0)</f>
        <v>-115441</v>
      </c>
      <c r="M11" s="52">
        <f>ROUND(M36/$E11,0)+1</f>
        <v>-2124</v>
      </c>
      <c r="N11" s="112">
        <f>ROUND((N21-N13)/$E11,0)+1</f>
        <v>-101718</v>
      </c>
      <c r="O11" s="52">
        <f t="shared" ref="O11" si="1">ROUND(O36/$E11,0)</f>
        <v>0</v>
      </c>
      <c r="P11" s="112">
        <f>ROUND((P21-P13)/$E11,0)-1</f>
        <v>-119784</v>
      </c>
      <c r="Q11" s="52">
        <f>ROUND(Q36/$E11,0)</f>
        <v>-2976</v>
      </c>
      <c r="R11" s="112">
        <f>ROUND((R21-R13)/$E11,0)</f>
        <v>-136686</v>
      </c>
      <c r="S11" s="52">
        <f>ROUND(S36/$E11,0)</f>
        <v>0</v>
      </c>
      <c r="T11" s="112">
        <f>ROUND((T21-T13)/$E11,0)</f>
        <v>-156891</v>
      </c>
      <c r="U11" s="52">
        <f>ROUND(U36/$E11,0)</f>
        <v>-4016</v>
      </c>
      <c r="V11" s="112">
        <f>ROUND(V41/$E11,0)+1</f>
        <v>-88</v>
      </c>
      <c r="W11" s="112">
        <f>ROUND((W21-W13)/$E11,0)</f>
        <v>-163341</v>
      </c>
      <c r="X11" s="52">
        <f>ROUND(X36/$E11,0)</f>
        <v>-4588</v>
      </c>
      <c r="Y11" s="112">
        <f>ROUND(Y41/$E11,0)</f>
        <v>-452</v>
      </c>
      <c r="Z11" s="112">
        <f>ROUND((Z21-Z13)/$E11,0)-1</f>
        <v>-154349</v>
      </c>
      <c r="AA11" s="52">
        <f>ROUND(AA36/$E11,0)+1</f>
        <v>-7097</v>
      </c>
      <c r="AB11" s="44">
        <f>ROUND(AB41/$E11,0)+1</f>
        <v>-743</v>
      </c>
      <c r="AC11" s="112">
        <f>ROUND((AC21-AC13)/$E11,0)</f>
        <v>-126722</v>
      </c>
      <c r="AD11" s="52">
        <f>ROUND(AD36/$E11,0)-1</f>
        <v>-8815</v>
      </c>
      <c r="AE11" s="44">
        <f>ROUND(AE41/$E11,0)-1</f>
        <v>-518</v>
      </c>
      <c r="AF11" s="112">
        <f>ROUND((AF21-AF13)/$E11,0)</f>
        <v>-82716</v>
      </c>
      <c r="AG11" s="52">
        <f>ROUND(AG36/$E11,0)+1</f>
        <v>-9376</v>
      </c>
      <c r="AH11" s="44">
        <f>ROUND(AH41/$E11,0)-1</f>
        <v>-518</v>
      </c>
      <c r="AI11" s="112">
        <f>ROUND((AI21-AI13)/$E11,0)</f>
        <v>-88017</v>
      </c>
      <c r="AJ11" s="52">
        <f>ROUND(AJ36/$E11,0)</f>
        <v>-6223</v>
      </c>
      <c r="AK11" s="112">
        <f>ROUND(AK41/$E11,0)+1</f>
        <v>-191</v>
      </c>
      <c r="AL11" s="59">
        <f>ROUND((AL21-AL13)/$E11,0)</f>
        <v>-78345</v>
      </c>
      <c r="AM11" s="52">
        <f>ROUND(AM36/$E11,0)</f>
        <v>0</v>
      </c>
      <c r="AN11" s="112">
        <f>ROUND(AN41/$E11,0)</f>
        <v>0</v>
      </c>
      <c r="AO11" s="59">
        <f>ROUND((AO21-AO13)/$E11,0)</f>
        <v>-80435</v>
      </c>
    </row>
    <row r="12" spans="1:41">
      <c r="A12" s="22">
        <v>2</v>
      </c>
      <c r="B12" s="24" t="s">
        <v>8</v>
      </c>
      <c r="D12" s="24"/>
      <c r="E12" s="153"/>
      <c r="F12" s="153"/>
      <c r="G12" s="52"/>
      <c r="H12" s="112"/>
      <c r="I12" s="52"/>
      <c r="J12" s="112"/>
      <c r="K12" s="52"/>
      <c r="L12" s="112"/>
      <c r="M12" s="52"/>
      <c r="N12" s="112"/>
      <c r="O12" s="52"/>
      <c r="P12" s="112"/>
      <c r="Q12" s="52"/>
      <c r="R12" s="112"/>
      <c r="S12" s="52"/>
      <c r="T12" s="112"/>
      <c r="U12" s="52"/>
      <c r="V12" s="112"/>
      <c r="W12" s="112"/>
      <c r="X12" s="52"/>
      <c r="Y12" s="112"/>
      <c r="Z12" s="112"/>
      <c r="AA12" s="52"/>
      <c r="AB12" s="44"/>
      <c r="AC12" s="112"/>
      <c r="AD12" s="52"/>
      <c r="AE12" s="44"/>
      <c r="AF12" s="112"/>
      <c r="AG12" s="52"/>
      <c r="AH12" s="44"/>
      <c r="AI12" s="112"/>
      <c r="AJ12" s="52"/>
      <c r="AK12" s="112"/>
      <c r="AL12" s="59"/>
      <c r="AM12" s="52"/>
      <c r="AN12" s="112"/>
      <c r="AO12" s="59"/>
    </row>
    <row r="13" spans="1:41">
      <c r="A13" s="22">
        <v>3</v>
      </c>
      <c r="B13" s="24" t="s">
        <v>9</v>
      </c>
      <c r="D13" s="24"/>
      <c r="E13" s="153"/>
      <c r="F13" s="153"/>
      <c r="G13" s="53"/>
      <c r="H13" s="45">
        <f>-H61</f>
        <v>-242</v>
      </c>
      <c r="I13" s="53"/>
      <c r="J13" s="45">
        <f>-J61</f>
        <v>-244</v>
      </c>
      <c r="K13" s="53"/>
      <c r="L13" s="45">
        <f>-L61</f>
        <v>-144</v>
      </c>
      <c r="M13" s="53"/>
      <c r="N13" s="45">
        <f>-N61</f>
        <v>0</v>
      </c>
      <c r="O13" s="53"/>
      <c r="P13" s="45">
        <f>-P61</f>
        <v>0</v>
      </c>
      <c r="Q13" s="53"/>
      <c r="R13" s="45">
        <f>-R61</f>
        <v>-28334</v>
      </c>
      <c r="S13" s="53"/>
      <c r="T13" s="45">
        <v>0</v>
      </c>
      <c r="U13" s="53"/>
      <c r="V13" s="45"/>
      <c r="W13" s="45">
        <f>-W61</f>
        <v>-66686</v>
      </c>
      <c r="X13" s="53"/>
      <c r="Y13" s="112"/>
      <c r="Z13" s="45">
        <f>-Z61</f>
        <v>-153018</v>
      </c>
      <c r="AA13" s="53"/>
      <c r="AB13" s="45"/>
      <c r="AC13" s="45">
        <f>-AC61</f>
        <v>-83992</v>
      </c>
      <c r="AD13" s="53"/>
      <c r="AE13" s="45"/>
      <c r="AF13" s="45">
        <f>-AF61</f>
        <v>-115193</v>
      </c>
      <c r="AG13" s="53"/>
      <c r="AH13" s="45"/>
      <c r="AI13" s="45">
        <f>-AI61</f>
        <v>-98794</v>
      </c>
      <c r="AJ13" s="53"/>
      <c r="AK13" s="45"/>
      <c r="AL13" s="60">
        <f>-AL61</f>
        <v>-67822</v>
      </c>
      <c r="AM13" s="53"/>
      <c r="AN13" s="45"/>
      <c r="AO13" s="60">
        <f>-AO61</f>
        <v>0</v>
      </c>
    </row>
    <row r="14" spans="1:41">
      <c r="A14" s="22">
        <v>4</v>
      </c>
      <c r="B14" s="3" t="s">
        <v>10</v>
      </c>
      <c r="C14" s="24"/>
      <c r="D14" s="24"/>
      <c r="E14" s="153"/>
      <c r="F14" s="153"/>
      <c r="G14" s="52">
        <f t="shared" ref="G14:P14" si="2">SUM(G11:G13)</f>
        <v>0</v>
      </c>
      <c r="H14" s="112">
        <f t="shared" ref="H14:J14" si="3">SUM(H11:H13)</f>
        <v>-60334</v>
      </c>
      <c r="I14" s="52">
        <f t="shared" si="2"/>
        <v>-994</v>
      </c>
      <c r="J14" s="112">
        <f t="shared" si="3"/>
        <v>-112082</v>
      </c>
      <c r="K14" s="52">
        <f t="shared" si="2"/>
        <v>-1777</v>
      </c>
      <c r="L14" s="112">
        <f t="shared" si="2"/>
        <v>-115585</v>
      </c>
      <c r="M14" s="52">
        <f t="shared" si="2"/>
        <v>-2124</v>
      </c>
      <c r="N14" s="112">
        <f t="shared" si="2"/>
        <v>-101718</v>
      </c>
      <c r="O14" s="52">
        <f t="shared" si="2"/>
        <v>0</v>
      </c>
      <c r="P14" s="112">
        <f t="shared" si="2"/>
        <v>-119784</v>
      </c>
      <c r="Q14" s="52">
        <f t="shared" ref="Q14:AI14" si="4">SUM(Q11:Q13)</f>
        <v>-2976</v>
      </c>
      <c r="R14" s="112">
        <f t="shared" si="4"/>
        <v>-165020</v>
      </c>
      <c r="S14" s="52">
        <f t="shared" si="4"/>
        <v>0</v>
      </c>
      <c r="T14" s="112">
        <f t="shared" si="4"/>
        <v>-156891</v>
      </c>
      <c r="U14" s="52">
        <f t="shared" si="4"/>
        <v>-4016</v>
      </c>
      <c r="V14" s="112">
        <f t="shared" si="4"/>
        <v>-88</v>
      </c>
      <c r="W14" s="112">
        <f t="shared" si="4"/>
        <v>-230027</v>
      </c>
      <c r="X14" s="52">
        <f t="shared" si="4"/>
        <v>-4588</v>
      </c>
      <c r="Y14" s="113">
        <f t="shared" si="4"/>
        <v>-452</v>
      </c>
      <c r="Z14" s="112">
        <f t="shared" si="4"/>
        <v>-307367</v>
      </c>
      <c r="AA14" s="52">
        <f t="shared" si="4"/>
        <v>-7097</v>
      </c>
      <c r="AB14" s="44">
        <f t="shared" si="4"/>
        <v>-743</v>
      </c>
      <c r="AC14" s="112">
        <f t="shared" si="4"/>
        <v>-210714</v>
      </c>
      <c r="AD14" s="52">
        <f t="shared" si="4"/>
        <v>-8815</v>
      </c>
      <c r="AE14" s="44">
        <f t="shared" si="4"/>
        <v>-518</v>
      </c>
      <c r="AF14" s="112">
        <f t="shared" si="4"/>
        <v>-197909</v>
      </c>
      <c r="AG14" s="52">
        <f t="shared" si="4"/>
        <v>-9376</v>
      </c>
      <c r="AH14" s="44">
        <f t="shared" si="4"/>
        <v>-518</v>
      </c>
      <c r="AI14" s="112">
        <f t="shared" si="4"/>
        <v>-186811</v>
      </c>
      <c r="AJ14" s="52">
        <f t="shared" ref="AJ14:AL14" si="5">SUM(AJ11:AJ13)</f>
        <v>-6223</v>
      </c>
      <c r="AK14" s="112">
        <f t="shared" si="5"/>
        <v>-191</v>
      </c>
      <c r="AL14" s="59">
        <f t="shared" si="5"/>
        <v>-146167</v>
      </c>
      <c r="AM14" s="52">
        <f t="shared" ref="AM14:AO14" si="6">SUM(AM11:AM13)</f>
        <v>0</v>
      </c>
      <c r="AN14" s="112">
        <f t="shared" si="6"/>
        <v>0</v>
      </c>
      <c r="AO14" s="59">
        <f t="shared" si="6"/>
        <v>-80435</v>
      </c>
    </row>
    <row r="15" spans="1:41">
      <c r="C15" s="24"/>
      <c r="D15" s="24"/>
      <c r="E15" s="153"/>
      <c r="F15" s="153"/>
      <c r="G15" s="52"/>
      <c r="H15" s="112"/>
      <c r="I15" s="52"/>
      <c r="J15" s="112"/>
      <c r="K15" s="52"/>
      <c r="L15" s="112"/>
      <c r="M15" s="52"/>
      <c r="N15" s="112"/>
      <c r="O15" s="52"/>
      <c r="P15" s="112"/>
      <c r="Q15" s="52"/>
      <c r="R15" s="112"/>
      <c r="S15" s="52"/>
      <c r="T15" s="112"/>
      <c r="U15" s="52"/>
      <c r="V15" s="112"/>
      <c r="W15" s="112"/>
      <c r="X15" s="52"/>
      <c r="Y15" s="112"/>
      <c r="Z15" s="112"/>
      <c r="AA15" s="52"/>
      <c r="AB15" s="44"/>
      <c r="AC15" s="112"/>
      <c r="AD15" s="52"/>
      <c r="AE15" s="44"/>
      <c r="AF15" s="112"/>
      <c r="AG15" s="52"/>
      <c r="AH15" s="44"/>
      <c r="AI15" s="112"/>
      <c r="AJ15" s="52"/>
      <c r="AK15" s="112"/>
      <c r="AL15" s="59"/>
      <c r="AM15" s="52"/>
      <c r="AN15" s="112"/>
      <c r="AO15" s="59"/>
    </row>
    <row r="16" spans="1:41">
      <c r="B16" s="3" t="s">
        <v>11</v>
      </c>
      <c r="C16" s="24"/>
      <c r="D16" s="24"/>
      <c r="E16" s="153"/>
      <c r="F16" s="153"/>
      <c r="G16" s="52"/>
      <c r="H16" s="112"/>
      <c r="I16" s="52"/>
      <c r="J16" s="112"/>
      <c r="K16" s="52"/>
      <c r="L16" s="112"/>
      <c r="M16" s="52"/>
      <c r="N16" s="112"/>
      <c r="O16" s="52"/>
      <c r="P16" s="112"/>
      <c r="Q16" s="52"/>
      <c r="R16" s="112"/>
      <c r="S16" s="52"/>
      <c r="T16" s="112"/>
      <c r="U16" s="52"/>
      <c r="V16" s="112"/>
      <c r="W16" s="112"/>
      <c r="X16" s="52"/>
      <c r="Y16" s="112"/>
      <c r="Z16" s="112"/>
      <c r="AA16" s="52"/>
      <c r="AB16" s="44"/>
      <c r="AC16" s="112"/>
      <c r="AD16" s="52"/>
      <c r="AE16" s="44"/>
      <c r="AF16" s="112"/>
      <c r="AG16" s="52"/>
      <c r="AH16" s="44"/>
      <c r="AI16" s="112"/>
      <c r="AJ16" s="52"/>
      <c r="AK16" s="112"/>
      <c r="AL16" s="59"/>
      <c r="AM16" s="52"/>
      <c r="AN16" s="112"/>
      <c r="AO16" s="59"/>
    </row>
    <row r="17" spans="1:41">
      <c r="B17" s="24" t="s">
        <v>51</v>
      </c>
      <c r="D17" s="24"/>
      <c r="E17" s="153"/>
      <c r="F17" s="153"/>
      <c r="G17" s="52"/>
      <c r="H17" s="112"/>
      <c r="I17" s="52"/>
      <c r="J17" s="112"/>
      <c r="K17" s="52"/>
      <c r="L17" s="112"/>
      <c r="M17" s="52"/>
      <c r="N17" s="112"/>
      <c r="O17" s="52"/>
      <c r="P17" s="112"/>
      <c r="Q17" s="52"/>
      <c r="R17" s="112"/>
      <c r="S17" s="52"/>
      <c r="T17" s="112"/>
      <c r="U17" s="52"/>
      <c r="V17" s="112"/>
      <c r="W17" s="112"/>
      <c r="X17" s="52"/>
      <c r="Y17" s="112"/>
      <c r="Z17" s="112"/>
      <c r="AA17" s="52"/>
      <c r="AB17" s="44"/>
      <c r="AC17" s="112"/>
      <c r="AD17" s="52"/>
      <c r="AE17" s="44"/>
      <c r="AF17" s="112"/>
      <c r="AG17" s="52"/>
      <c r="AH17" s="44"/>
      <c r="AI17" s="112"/>
      <c r="AJ17" s="52"/>
      <c r="AK17" s="112"/>
      <c r="AL17" s="59"/>
      <c r="AM17" s="52"/>
      <c r="AN17" s="112"/>
      <c r="AO17" s="59"/>
    </row>
    <row r="18" spans="1:41">
      <c r="A18" s="22">
        <v>5</v>
      </c>
      <c r="C18" s="24" t="s">
        <v>12</v>
      </c>
      <c r="D18" s="24"/>
      <c r="E18" s="153"/>
      <c r="F18" s="153"/>
      <c r="G18" s="52"/>
      <c r="H18" s="112">
        <f>-'Cost Trends'!F19</f>
        <v>-59659</v>
      </c>
      <c r="I18" s="52"/>
      <c r="J18" s="112">
        <f>-'Cost Trends'!G19</f>
        <v>-106139</v>
      </c>
      <c r="K18" s="52"/>
      <c r="L18" s="112">
        <f>-'Cost Trends'!H19</f>
        <v>-109325</v>
      </c>
      <c r="M18" s="52"/>
      <c r="N18" s="112">
        <f>-'Cost Trends'!I19</f>
        <v>-96222</v>
      </c>
      <c r="O18" s="52"/>
      <c r="P18" s="112">
        <f>-'Cost Trends'!J19</f>
        <v>-114371</v>
      </c>
      <c r="Q18" s="52"/>
      <c r="R18" s="112">
        <f>-'Cost Trends'!K19</f>
        <v>-167251</v>
      </c>
      <c r="S18" s="52"/>
      <c r="T18" s="112">
        <f>-'Cost Trends'!L19</f>
        <v>-149802</v>
      </c>
      <c r="U18" s="52"/>
      <c r="V18" s="112"/>
      <c r="W18" s="112">
        <f>-'Cost Trends'!M19</f>
        <v>-222364</v>
      </c>
      <c r="X18" s="52"/>
      <c r="Y18" s="112"/>
      <c r="Z18" s="112">
        <f>-'Cost Trends'!N19</f>
        <v>-310276</v>
      </c>
      <c r="AA18" s="52"/>
      <c r="AB18" s="44"/>
      <c r="AC18" s="112">
        <f>-'Cost Trends'!O19</f>
        <v>-194267</v>
      </c>
      <c r="AD18" s="52"/>
      <c r="AE18" s="44"/>
      <c r="AF18" s="112">
        <f>-'Cost Trends'!P19</f>
        <v>-197494</v>
      </c>
      <c r="AG18" s="52"/>
      <c r="AH18" s="44"/>
      <c r="AI18" s="112">
        <f>-'Cost Trends'!Q19</f>
        <v>-188167</v>
      </c>
      <c r="AJ18" s="52"/>
      <c r="AK18" s="112"/>
      <c r="AL18" s="59">
        <f>-'Cost Trends'!R19</f>
        <v>-139073</v>
      </c>
      <c r="AM18" s="52"/>
      <c r="AN18" s="112"/>
      <c r="AO18" s="59">
        <f>-'Cost Trends'!S19</f>
        <v>-76801</v>
      </c>
    </row>
    <row r="19" spans="1:41">
      <c r="A19" s="22">
        <v>6</v>
      </c>
      <c r="C19" s="24" t="s">
        <v>13</v>
      </c>
      <c r="D19" s="24"/>
      <c r="E19" s="153"/>
      <c r="F19" s="153"/>
      <c r="G19" s="52"/>
      <c r="H19" s="112">
        <f>-'Cost Trends'!F20+H63</f>
        <v>2078</v>
      </c>
      <c r="I19" s="52"/>
      <c r="J19" s="112">
        <f>-'Cost Trends'!G20+J63</f>
        <v>-756</v>
      </c>
      <c r="K19" s="52"/>
      <c r="L19" s="112">
        <f>-'Cost Trends'!H20+L63</f>
        <v>-916</v>
      </c>
      <c r="M19" s="52"/>
      <c r="N19" s="112">
        <f>-'Cost Trends'!I20+N63</f>
        <v>-901</v>
      </c>
      <c r="O19" s="52"/>
      <c r="P19" s="112">
        <f>-'Cost Trends'!J20+P63</f>
        <v>0</v>
      </c>
      <c r="Q19" s="52"/>
      <c r="R19" s="112">
        <f>-'Cost Trends'!K20+R63</f>
        <v>0</v>
      </c>
      <c r="S19" s="52"/>
      <c r="T19" s="112">
        <f>-'Cost Trends'!L20+T63</f>
        <v>0</v>
      </c>
      <c r="U19" s="52"/>
      <c r="V19" s="112"/>
      <c r="W19" s="112">
        <f>-'Cost Trends'!M20+W63</f>
        <v>0</v>
      </c>
      <c r="X19" s="52"/>
      <c r="Y19" s="112"/>
      <c r="Z19" s="112">
        <f>-'Cost Trends'!N20+Z63</f>
        <v>9886</v>
      </c>
      <c r="AA19" s="52"/>
      <c r="AB19" s="44"/>
      <c r="AC19" s="112">
        <f>-'Cost Trends'!O20+AC63</f>
        <v>-1</v>
      </c>
      <c r="AD19" s="52"/>
      <c r="AE19" s="44"/>
      <c r="AF19" s="112">
        <f>-'Cost Trends'!P20+AF63</f>
        <v>0</v>
      </c>
      <c r="AG19" s="52"/>
      <c r="AH19" s="44"/>
      <c r="AI19" s="112">
        <f>-'Cost Trends'!Q20+AI63</f>
        <v>967</v>
      </c>
      <c r="AJ19" s="52"/>
      <c r="AK19" s="112"/>
      <c r="AL19" s="59">
        <f>-'Cost Trends'!R20+AL63</f>
        <v>798</v>
      </c>
      <c r="AM19" s="52"/>
      <c r="AN19" s="112"/>
      <c r="AO19" s="59">
        <f>-'Cost Trends'!S20+AO63</f>
        <v>0</v>
      </c>
    </row>
    <row r="20" spans="1:41">
      <c r="A20" s="22">
        <v>7</v>
      </c>
      <c r="C20" s="24" t="s">
        <v>14</v>
      </c>
      <c r="D20" s="24"/>
      <c r="E20" s="153"/>
      <c r="F20" s="153"/>
      <c r="G20" s="53"/>
      <c r="H20" s="112">
        <f>-'Cost Trends'!F21</f>
        <v>-38</v>
      </c>
      <c r="I20" s="53"/>
      <c r="J20" s="112">
        <f>-'Cost Trends'!G21</f>
        <v>-134</v>
      </c>
      <c r="K20" s="53"/>
      <c r="L20" s="112">
        <f>-'Cost Trends'!H21</f>
        <v>-128</v>
      </c>
      <c r="M20" s="53"/>
      <c r="N20" s="112">
        <f>-'Cost Trends'!I21</f>
        <v>0</v>
      </c>
      <c r="O20" s="53"/>
      <c r="P20" s="112">
        <f>-'Cost Trends'!J21</f>
        <v>0</v>
      </c>
      <c r="Q20" s="53"/>
      <c r="R20" s="112">
        <f>-'Cost Trends'!K21</f>
        <v>8407</v>
      </c>
      <c r="S20" s="53"/>
      <c r="T20" s="112">
        <f>-'Cost Trends'!L21</f>
        <v>0</v>
      </c>
      <c r="U20" s="53"/>
      <c r="V20" s="45"/>
      <c r="W20" s="112">
        <f>-'Cost Trends'!M21</f>
        <v>-283</v>
      </c>
      <c r="X20" s="53"/>
      <c r="Y20" s="112"/>
      <c r="Z20" s="112">
        <f>-'Cost Trends'!N21</f>
        <v>-2</v>
      </c>
      <c r="AA20" s="53"/>
      <c r="AB20" s="45"/>
      <c r="AC20" s="112">
        <f>-'Cost Trends'!O21</f>
        <v>-10720</v>
      </c>
      <c r="AD20" s="53"/>
      <c r="AE20" s="45"/>
      <c r="AF20" s="112">
        <f>-'Cost Trends'!P21</f>
        <v>3322</v>
      </c>
      <c r="AG20" s="53"/>
      <c r="AH20" s="45"/>
      <c r="AI20" s="112">
        <f>-'Cost Trends'!Q21</f>
        <v>4366</v>
      </c>
      <c r="AJ20" s="53"/>
      <c r="AK20" s="45"/>
      <c r="AL20" s="59">
        <f>-'Cost Trends'!R21</f>
        <v>-4352</v>
      </c>
      <c r="AM20" s="53"/>
      <c r="AN20" s="45"/>
      <c r="AO20" s="59">
        <f>-'Cost Trends'!U21</f>
        <v>0</v>
      </c>
    </row>
    <row r="21" spans="1:41">
      <c r="A21" s="22">
        <v>8</v>
      </c>
      <c r="B21" s="24" t="s">
        <v>15</v>
      </c>
      <c r="C21" s="24"/>
      <c r="E21" s="153"/>
      <c r="F21" s="153"/>
      <c r="G21" s="52">
        <f t="shared" ref="G21:P21" si="7">SUM(G18:G20)</f>
        <v>0</v>
      </c>
      <c r="H21" s="114">
        <f t="shared" ref="H21:J21" si="8">SUM(H18:H20)</f>
        <v>-57619</v>
      </c>
      <c r="I21" s="52">
        <f t="shared" si="7"/>
        <v>0</v>
      </c>
      <c r="J21" s="114">
        <f t="shared" si="8"/>
        <v>-107029</v>
      </c>
      <c r="K21" s="52">
        <f t="shared" si="7"/>
        <v>0</v>
      </c>
      <c r="L21" s="114">
        <f t="shared" si="7"/>
        <v>-110369</v>
      </c>
      <c r="M21" s="52">
        <f t="shared" si="7"/>
        <v>0</v>
      </c>
      <c r="N21" s="114">
        <f t="shared" si="7"/>
        <v>-97123</v>
      </c>
      <c r="O21" s="52">
        <f t="shared" si="7"/>
        <v>0</v>
      </c>
      <c r="P21" s="114">
        <f t="shared" si="7"/>
        <v>-114371</v>
      </c>
      <c r="Q21" s="52">
        <f t="shared" ref="Q21:AI21" si="9">SUM(Q18:Q20)</f>
        <v>0</v>
      </c>
      <c r="R21" s="114">
        <f t="shared" si="9"/>
        <v>-158844</v>
      </c>
      <c r="S21" s="52">
        <f t="shared" si="9"/>
        <v>0</v>
      </c>
      <c r="T21" s="114">
        <f t="shared" si="9"/>
        <v>-149802</v>
      </c>
      <c r="U21" s="52">
        <f t="shared" si="9"/>
        <v>0</v>
      </c>
      <c r="V21" s="112">
        <f t="shared" si="9"/>
        <v>0</v>
      </c>
      <c r="W21" s="114">
        <f t="shared" si="9"/>
        <v>-222647</v>
      </c>
      <c r="X21" s="52">
        <f t="shared" si="9"/>
        <v>0</v>
      </c>
      <c r="Y21" s="113">
        <f t="shared" si="9"/>
        <v>0</v>
      </c>
      <c r="Z21" s="114">
        <f t="shared" si="9"/>
        <v>-300392</v>
      </c>
      <c r="AA21" s="52">
        <f t="shared" si="9"/>
        <v>0</v>
      </c>
      <c r="AB21" s="44">
        <f t="shared" si="9"/>
        <v>0</v>
      </c>
      <c r="AC21" s="114">
        <f t="shared" si="9"/>
        <v>-204988</v>
      </c>
      <c r="AD21" s="52">
        <f t="shared" si="9"/>
        <v>0</v>
      </c>
      <c r="AE21" s="44">
        <f t="shared" si="9"/>
        <v>0</v>
      </c>
      <c r="AF21" s="114">
        <f t="shared" si="9"/>
        <v>-194172</v>
      </c>
      <c r="AG21" s="52">
        <f t="shared" si="9"/>
        <v>0</v>
      </c>
      <c r="AH21" s="44">
        <f t="shared" si="9"/>
        <v>0</v>
      </c>
      <c r="AI21" s="114">
        <f t="shared" si="9"/>
        <v>-182834</v>
      </c>
      <c r="AJ21" s="52">
        <f t="shared" ref="AJ21:AL21" si="10">SUM(AJ18:AJ20)</f>
        <v>0</v>
      </c>
      <c r="AK21" s="112">
        <f t="shared" si="10"/>
        <v>0</v>
      </c>
      <c r="AL21" s="114">
        <f t="shared" si="10"/>
        <v>-142627</v>
      </c>
      <c r="AM21" s="52">
        <f t="shared" ref="AM21:AO21" si="11">SUM(AM18:AM20)</f>
        <v>0</v>
      </c>
      <c r="AN21" s="112">
        <f t="shared" si="11"/>
        <v>0</v>
      </c>
      <c r="AO21" s="114">
        <f t="shared" si="11"/>
        <v>-76801</v>
      </c>
    </row>
    <row r="22" spans="1:41">
      <c r="B22" s="24"/>
      <c r="C22" s="24"/>
      <c r="E22" s="153"/>
      <c r="F22" s="153"/>
      <c r="G22" s="52"/>
      <c r="H22" s="112"/>
      <c r="I22" s="52"/>
      <c r="J22" s="112"/>
      <c r="K22" s="52"/>
      <c r="L22" s="112"/>
      <c r="M22" s="52"/>
      <c r="N22" s="112"/>
      <c r="O22" s="52"/>
      <c r="P22" s="112"/>
      <c r="Q22" s="52"/>
      <c r="R22" s="112"/>
      <c r="S22" s="52"/>
      <c r="T22" s="112"/>
      <c r="U22" s="52"/>
      <c r="V22" s="112"/>
      <c r="W22" s="112"/>
      <c r="X22" s="52"/>
      <c r="Y22" s="112"/>
      <c r="Z22" s="112"/>
      <c r="AA22" s="52"/>
      <c r="AB22" s="44"/>
      <c r="AC22" s="112"/>
      <c r="AD22" s="52"/>
      <c r="AE22" s="44"/>
      <c r="AF22" s="112"/>
      <c r="AG22" s="52"/>
      <c r="AH22" s="44"/>
      <c r="AI22" s="112"/>
      <c r="AJ22" s="52"/>
      <c r="AK22" s="112"/>
      <c r="AL22" s="59"/>
      <c r="AM22" s="52"/>
      <c r="AN22" s="112"/>
      <c r="AO22" s="59"/>
    </row>
    <row r="23" spans="1:41">
      <c r="B23" s="24" t="s">
        <v>16</v>
      </c>
      <c r="D23" s="24"/>
      <c r="E23" s="153"/>
      <c r="F23" s="153"/>
      <c r="G23" s="52"/>
      <c r="H23" s="112"/>
      <c r="I23" s="52"/>
      <c r="J23" s="112"/>
      <c r="K23" s="52"/>
      <c r="L23" s="112"/>
      <c r="M23" s="52"/>
      <c r="N23" s="112"/>
      <c r="O23" s="52"/>
      <c r="P23" s="112"/>
      <c r="Q23" s="52"/>
      <c r="R23" s="112"/>
      <c r="S23" s="52"/>
      <c r="T23" s="112"/>
      <c r="U23" s="52"/>
      <c r="V23" s="112"/>
      <c r="W23" s="112"/>
      <c r="X23" s="52"/>
      <c r="Y23" s="112"/>
      <c r="Z23" s="112"/>
      <c r="AA23" s="52"/>
      <c r="AB23" s="44"/>
      <c r="AC23" s="112"/>
      <c r="AD23" s="52"/>
      <c r="AE23" s="44"/>
      <c r="AF23" s="112"/>
      <c r="AG23" s="52"/>
      <c r="AH23" s="44"/>
      <c r="AI23" s="112"/>
      <c r="AJ23" s="52"/>
      <c r="AK23" s="112"/>
      <c r="AL23" s="59"/>
      <c r="AM23" s="52"/>
      <c r="AN23" s="112"/>
      <c r="AO23" s="59"/>
    </row>
    <row r="24" spans="1:41">
      <c r="A24" s="22">
        <v>9</v>
      </c>
      <c r="C24" s="24" t="s">
        <v>17</v>
      </c>
      <c r="D24" s="24"/>
      <c r="E24" s="153"/>
      <c r="F24" s="153"/>
      <c r="G24" s="52"/>
      <c r="H24" s="112"/>
      <c r="I24" s="52"/>
      <c r="J24" s="112"/>
      <c r="K24" s="52"/>
      <c r="L24" s="112"/>
      <c r="M24" s="52"/>
      <c r="N24" s="112"/>
      <c r="O24" s="52"/>
      <c r="P24" s="112"/>
      <c r="Q24" s="52"/>
      <c r="R24" s="112"/>
      <c r="S24" s="52"/>
      <c r="T24" s="112"/>
      <c r="U24" s="52"/>
      <c r="V24" s="112"/>
      <c r="W24" s="112"/>
      <c r="X24" s="52"/>
      <c r="Y24" s="112"/>
      <c r="Z24" s="112"/>
      <c r="AA24" s="52"/>
      <c r="AB24" s="44"/>
      <c r="AC24" s="112"/>
      <c r="AD24" s="52"/>
      <c r="AE24" s="44"/>
      <c r="AF24" s="112"/>
      <c r="AG24" s="52"/>
      <c r="AH24" s="44"/>
      <c r="AI24" s="112"/>
      <c r="AJ24" s="52"/>
      <c r="AK24" s="112"/>
      <c r="AL24" s="59"/>
      <c r="AM24" s="52"/>
      <c r="AN24" s="112"/>
      <c r="AO24" s="59"/>
    </row>
    <row r="25" spans="1:41">
      <c r="A25" s="22">
        <v>10</v>
      </c>
      <c r="C25" s="24" t="s">
        <v>47</v>
      </c>
      <c r="D25" s="24"/>
      <c r="E25" s="153"/>
      <c r="F25" s="153"/>
      <c r="G25" s="52"/>
      <c r="H25" s="112"/>
      <c r="I25" s="52"/>
      <c r="J25" s="112"/>
      <c r="K25" s="52"/>
      <c r="L25" s="112"/>
      <c r="M25" s="52"/>
      <c r="N25" s="112"/>
      <c r="O25" s="52"/>
      <c r="P25" s="112"/>
      <c r="Q25" s="52"/>
      <c r="R25" s="112"/>
      <c r="S25" s="52"/>
      <c r="T25" s="112"/>
      <c r="U25" s="52"/>
      <c r="V25" s="112"/>
      <c r="W25" s="112"/>
      <c r="X25" s="52"/>
      <c r="Y25" s="112"/>
      <c r="Z25" s="112"/>
      <c r="AA25" s="52"/>
      <c r="AB25" s="44"/>
      <c r="AC25" s="112"/>
      <c r="AD25" s="52"/>
      <c r="AE25" s="44"/>
      <c r="AF25" s="112"/>
      <c r="AG25" s="52"/>
      <c r="AH25" s="44"/>
      <c r="AI25" s="112"/>
      <c r="AJ25" s="52"/>
      <c r="AK25" s="112"/>
      <c r="AL25" s="59"/>
      <c r="AM25" s="52"/>
      <c r="AN25" s="112"/>
      <c r="AO25" s="59"/>
    </row>
    <row r="26" spans="1:41">
      <c r="A26" s="22">
        <v>11</v>
      </c>
      <c r="C26" s="24" t="s">
        <v>4</v>
      </c>
      <c r="D26" s="24"/>
      <c r="E26" s="153"/>
      <c r="F26" s="153"/>
      <c r="G26" s="53"/>
      <c r="H26" s="45"/>
      <c r="I26" s="53"/>
      <c r="J26" s="45"/>
      <c r="K26" s="53"/>
      <c r="L26" s="45"/>
      <c r="M26" s="53"/>
      <c r="N26" s="45"/>
      <c r="O26" s="53"/>
      <c r="P26" s="45"/>
      <c r="Q26" s="53"/>
      <c r="R26" s="45"/>
      <c r="S26" s="53"/>
      <c r="T26" s="45"/>
      <c r="U26" s="53"/>
      <c r="V26" s="45"/>
      <c r="W26" s="45"/>
      <c r="X26" s="53"/>
      <c r="Y26" s="112"/>
      <c r="Z26" s="45"/>
      <c r="AA26" s="53"/>
      <c r="AB26" s="45"/>
      <c r="AC26" s="45"/>
      <c r="AD26" s="53"/>
      <c r="AE26" s="45"/>
      <c r="AF26" s="45"/>
      <c r="AG26" s="53"/>
      <c r="AH26" s="45"/>
      <c r="AI26" s="45"/>
      <c r="AJ26" s="53"/>
      <c r="AK26" s="45"/>
      <c r="AL26" s="60"/>
      <c r="AM26" s="53"/>
      <c r="AN26" s="45"/>
      <c r="AO26" s="60"/>
    </row>
    <row r="27" spans="1:41">
      <c r="A27" s="22">
        <v>12</v>
      </c>
      <c r="B27" s="24" t="s">
        <v>18</v>
      </c>
      <c r="C27" s="24"/>
      <c r="E27" s="153"/>
      <c r="F27" s="153"/>
      <c r="G27" s="52">
        <f t="shared" ref="G27:P27" si="12">SUM(G24:G26)</f>
        <v>0</v>
      </c>
      <c r="H27" s="112">
        <f t="shared" ref="H27:J27" si="13">SUM(H24:H26)</f>
        <v>0</v>
      </c>
      <c r="I27" s="52">
        <f t="shared" si="12"/>
        <v>0</v>
      </c>
      <c r="J27" s="112">
        <f t="shared" si="13"/>
        <v>0</v>
      </c>
      <c r="K27" s="52">
        <f t="shared" si="12"/>
        <v>0</v>
      </c>
      <c r="L27" s="112">
        <f t="shared" si="12"/>
        <v>0</v>
      </c>
      <c r="M27" s="52">
        <f t="shared" si="12"/>
        <v>0</v>
      </c>
      <c r="N27" s="112">
        <f t="shared" si="12"/>
        <v>0</v>
      </c>
      <c r="O27" s="52">
        <f t="shared" si="12"/>
        <v>0</v>
      </c>
      <c r="P27" s="112">
        <f t="shared" si="12"/>
        <v>0</v>
      </c>
      <c r="Q27" s="52">
        <f t="shared" ref="Q27:AI27" si="14">SUM(Q24:Q26)</f>
        <v>0</v>
      </c>
      <c r="R27" s="112">
        <f t="shared" si="14"/>
        <v>0</v>
      </c>
      <c r="S27" s="52">
        <f t="shared" si="14"/>
        <v>0</v>
      </c>
      <c r="T27" s="112">
        <f t="shared" si="14"/>
        <v>0</v>
      </c>
      <c r="U27" s="52">
        <f t="shared" si="14"/>
        <v>0</v>
      </c>
      <c r="V27" s="112">
        <f t="shared" si="14"/>
        <v>0</v>
      </c>
      <c r="W27" s="112">
        <f t="shared" si="14"/>
        <v>0</v>
      </c>
      <c r="X27" s="52">
        <f t="shared" si="14"/>
        <v>0</v>
      </c>
      <c r="Y27" s="113">
        <f t="shared" si="14"/>
        <v>0</v>
      </c>
      <c r="Z27" s="112">
        <f t="shared" si="14"/>
        <v>0</v>
      </c>
      <c r="AA27" s="52">
        <f t="shared" si="14"/>
        <v>0</v>
      </c>
      <c r="AB27" s="44">
        <f t="shared" si="14"/>
        <v>0</v>
      </c>
      <c r="AC27" s="112">
        <f t="shared" si="14"/>
        <v>0</v>
      </c>
      <c r="AD27" s="52">
        <f t="shared" si="14"/>
        <v>0</v>
      </c>
      <c r="AE27" s="44">
        <f t="shared" si="14"/>
        <v>0</v>
      </c>
      <c r="AF27" s="112">
        <f t="shared" si="14"/>
        <v>0</v>
      </c>
      <c r="AG27" s="52">
        <f t="shared" si="14"/>
        <v>0</v>
      </c>
      <c r="AH27" s="44">
        <f t="shared" si="14"/>
        <v>0</v>
      </c>
      <c r="AI27" s="112">
        <f t="shared" si="14"/>
        <v>0</v>
      </c>
      <c r="AJ27" s="52">
        <f t="shared" ref="AJ27:AL27" si="15">SUM(AJ24:AJ26)</f>
        <v>0</v>
      </c>
      <c r="AK27" s="112">
        <f t="shared" si="15"/>
        <v>0</v>
      </c>
      <c r="AL27" s="59">
        <f t="shared" si="15"/>
        <v>0</v>
      </c>
      <c r="AM27" s="52">
        <f t="shared" ref="AM27:AO27" si="16">SUM(AM24:AM26)</f>
        <v>0</v>
      </c>
      <c r="AN27" s="112">
        <f t="shared" si="16"/>
        <v>0</v>
      </c>
      <c r="AO27" s="59">
        <f t="shared" si="16"/>
        <v>0</v>
      </c>
    </row>
    <row r="28" spans="1:41">
      <c r="B28" s="24"/>
      <c r="C28" s="24"/>
      <c r="E28" s="153"/>
      <c r="F28" s="153"/>
      <c r="G28" s="52"/>
      <c r="H28" s="112"/>
      <c r="I28" s="52"/>
      <c r="J28" s="112"/>
      <c r="K28" s="52"/>
      <c r="L28" s="112"/>
      <c r="M28" s="52"/>
      <c r="N28" s="112"/>
      <c r="O28" s="52"/>
      <c r="P28" s="112"/>
      <c r="Q28" s="52"/>
      <c r="R28" s="112"/>
      <c r="S28" s="52"/>
      <c r="T28" s="112"/>
      <c r="U28" s="52"/>
      <c r="V28" s="112"/>
      <c r="W28" s="112"/>
      <c r="X28" s="52"/>
      <c r="Y28" s="112"/>
      <c r="Z28" s="112"/>
      <c r="AA28" s="52"/>
      <c r="AB28" s="44"/>
      <c r="AC28" s="112"/>
      <c r="AD28" s="52"/>
      <c r="AE28" s="44"/>
      <c r="AF28" s="112"/>
      <c r="AG28" s="52"/>
      <c r="AH28" s="44"/>
      <c r="AI28" s="112"/>
      <c r="AJ28" s="52"/>
      <c r="AK28" s="112"/>
      <c r="AL28" s="59"/>
      <c r="AM28" s="52"/>
      <c r="AN28" s="112"/>
      <c r="AO28" s="59"/>
    </row>
    <row r="29" spans="1:41">
      <c r="B29" s="24" t="s">
        <v>19</v>
      </c>
      <c r="D29" s="24"/>
      <c r="E29" s="153"/>
      <c r="F29" s="153"/>
      <c r="G29" s="52"/>
      <c r="H29" s="112"/>
      <c r="I29" s="52"/>
      <c r="J29" s="112"/>
      <c r="K29" s="52"/>
      <c r="L29" s="112"/>
      <c r="M29" s="52"/>
      <c r="N29" s="112"/>
      <c r="O29" s="52"/>
      <c r="P29" s="112"/>
      <c r="Q29" s="52"/>
      <c r="R29" s="112"/>
      <c r="S29" s="52"/>
      <c r="T29" s="112"/>
      <c r="U29" s="52"/>
      <c r="V29" s="112"/>
      <c r="W29" s="112"/>
      <c r="X29" s="52"/>
      <c r="Y29" s="112"/>
      <c r="Z29" s="112"/>
      <c r="AA29" s="52"/>
      <c r="AB29" s="44"/>
      <c r="AC29" s="112"/>
      <c r="AD29" s="52"/>
      <c r="AE29" s="44"/>
      <c r="AF29" s="112"/>
      <c r="AG29" s="52"/>
      <c r="AH29" s="44"/>
      <c r="AI29" s="112"/>
      <c r="AJ29" s="52"/>
      <c r="AK29" s="112"/>
      <c r="AL29" s="59"/>
      <c r="AM29" s="52"/>
      <c r="AN29" s="112"/>
      <c r="AO29" s="59"/>
    </row>
    <row r="30" spans="1:41">
      <c r="A30" s="22">
        <v>13</v>
      </c>
      <c r="C30" s="24" t="s">
        <v>17</v>
      </c>
      <c r="D30" s="24"/>
      <c r="E30" s="153"/>
      <c r="F30" s="153"/>
      <c r="G30" s="52"/>
      <c r="H30" s="112"/>
      <c r="I30" s="52"/>
      <c r="J30" s="112"/>
      <c r="K30" s="52"/>
      <c r="L30" s="112"/>
      <c r="M30" s="52"/>
      <c r="N30" s="112"/>
      <c r="O30" s="52"/>
      <c r="P30" s="112"/>
      <c r="Q30" s="52"/>
      <c r="R30" s="112"/>
      <c r="S30" s="52"/>
      <c r="T30" s="112"/>
      <c r="U30" s="52"/>
      <c r="V30" s="112"/>
      <c r="W30" s="112"/>
      <c r="X30" s="52"/>
      <c r="Y30" s="112"/>
      <c r="Z30" s="112"/>
      <c r="AA30" s="52"/>
      <c r="AB30" s="44"/>
      <c r="AC30" s="112"/>
      <c r="AD30" s="52"/>
      <c r="AE30" s="44"/>
      <c r="AF30" s="112"/>
      <c r="AG30" s="52"/>
      <c r="AH30" s="44"/>
      <c r="AI30" s="112"/>
      <c r="AJ30" s="52"/>
      <c r="AK30" s="112"/>
      <c r="AL30" s="59"/>
      <c r="AM30" s="52"/>
      <c r="AN30" s="112"/>
      <c r="AO30" s="59"/>
    </row>
    <row r="31" spans="1:41">
      <c r="A31" s="22">
        <v>14</v>
      </c>
      <c r="C31" s="24" t="s">
        <v>47</v>
      </c>
      <c r="D31" s="24"/>
      <c r="E31" s="153"/>
      <c r="F31" s="153"/>
      <c r="G31" s="52"/>
      <c r="H31" s="112"/>
      <c r="I31" s="52"/>
      <c r="J31" s="112"/>
      <c r="K31" s="52"/>
      <c r="L31" s="112"/>
      <c r="M31" s="52"/>
      <c r="N31" s="112"/>
      <c r="O31" s="52"/>
      <c r="P31" s="112"/>
      <c r="Q31" s="52"/>
      <c r="R31" s="112"/>
      <c r="S31" s="52"/>
      <c r="T31" s="112"/>
      <c r="U31" s="52"/>
      <c r="V31" s="112"/>
      <c r="W31" s="112"/>
      <c r="X31" s="52"/>
      <c r="Y31" s="112"/>
      <c r="Z31" s="112"/>
      <c r="AA31" s="52"/>
      <c r="AB31" s="44"/>
      <c r="AC31" s="112"/>
      <c r="AD31" s="52"/>
      <c r="AE31" s="44"/>
      <c r="AF31" s="112"/>
      <c r="AG31" s="52"/>
      <c r="AH31" s="44"/>
      <c r="AI31" s="112"/>
      <c r="AJ31" s="52"/>
      <c r="AK31" s="112"/>
      <c r="AL31" s="59"/>
      <c r="AM31" s="52"/>
      <c r="AN31" s="112"/>
      <c r="AO31" s="59"/>
    </row>
    <row r="32" spans="1:41">
      <c r="A32" s="22">
        <v>15</v>
      </c>
      <c r="C32" s="24" t="s">
        <v>4</v>
      </c>
      <c r="D32" s="24"/>
      <c r="E32" s="153">
        <f>ROR!N16</f>
        <v>3.8332999999999999E-2</v>
      </c>
      <c r="F32" s="153"/>
      <c r="G32" s="53">
        <f t="shared" ref="G32:H32" si="17">ROUND(G11*$E32,0)</f>
        <v>0</v>
      </c>
      <c r="H32" s="45">
        <f t="shared" si="17"/>
        <v>-2304</v>
      </c>
      <c r="I32" s="53">
        <f t="shared" ref="I32:P32" si="18">ROUND(I11*$E32,0)</f>
        <v>-38</v>
      </c>
      <c r="J32" s="45">
        <f t="shared" si="18"/>
        <v>-4287</v>
      </c>
      <c r="K32" s="53">
        <f t="shared" si="18"/>
        <v>-68</v>
      </c>
      <c r="L32" s="45">
        <f t="shared" si="18"/>
        <v>-4425</v>
      </c>
      <c r="M32" s="53">
        <f t="shared" si="18"/>
        <v>-81</v>
      </c>
      <c r="N32" s="45">
        <f t="shared" si="18"/>
        <v>-3899</v>
      </c>
      <c r="O32" s="53">
        <f t="shared" si="18"/>
        <v>0</v>
      </c>
      <c r="P32" s="45">
        <f t="shared" si="18"/>
        <v>-4592</v>
      </c>
      <c r="Q32" s="53">
        <f t="shared" ref="Q32:AI32" si="19">ROUND(Q11*$E32,0)</f>
        <v>-114</v>
      </c>
      <c r="R32" s="45">
        <f t="shared" si="19"/>
        <v>-5240</v>
      </c>
      <c r="S32" s="53">
        <f t="shared" si="19"/>
        <v>0</v>
      </c>
      <c r="T32" s="45">
        <f t="shared" si="19"/>
        <v>-6014</v>
      </c>
      <c r="U32" s="53">
        <f t="shared" si="19"/>
        <v>-154</v>
      </c>
      <c r="V32" s="45">
        <f t="shared" si="19"/>
        <v>-3</v>
      </c>
      <c r="W32" s="45">
        <f t="shared" si="19"/>
        <v>-6261</v>
      </c>
      <c r="X32" s="53">
        <f t="shared" si="19"/>
        <v>-176</v>
      </c>
      <c r="Y32" s="112">
        <f t="shared" si="19"/>
        <v>-17</v>
      </c>
      <c r="Z32" s="45">
        <f t="shared" si="19"/>
        <v>-5917</v>
      </c>
      <c r="AA32" s="53">
        <f t="shared" si="19"/>
        <v>-272</v>
      </c>
      <c r="AB32" s="45">
        <f t="shared" si="19"/>
        <v>-28</v>
      </c>
      <c r="AC32" s="45">
        <f t="shared" si="19"/>
        <v>-4858</v>
      </c>
      <c r="AD32" s="53">
        <f t="shared" si="19"/>
        <v>-338</v>
      </c>
      <c r="AE32" s="45">
        <f t="shared" si="19"/>
        <v>-20</v>
      </c>
      <c r="AF32" s="45">
        <f t="shared" si="19"/>
        <v>-3171</v>
      </c>
      <c r="AG32" s="53">
        <f t="shared" si="19"/>
        <v>-359</v>
      </c>
      <c r="AH32" s="45">
        <f t="shared" si="19"/>
        <v>-20</v>
      </c>
      <c r="AI32" s="45">
        <f t="shared" si="19"/>
        <v>-3374</v>
      </c>
      <c r="AJ32" s="53">
        <f t="shared" ref="AJ32:AL32" si="20">ROUND(AJ11*$E32,0)</f>
        <v>-239</v>
      </c>
      <c r="AK32" s="45">
        <f t="shared" si="20"/>
        <v>-7</v>
      </c>
      <c r="AL32" s="60">
        <f t="shared" si="20"/>
        <v>-3003</v>
      </c>
      <c r="AM32" s="53">
        <f t="shared" ref="AM32:AO32" si="21">ROUND(AM11*$E32,0)</f>
        <v>0</v>
      </c>
      <c r="AN32" s="45">
        <f t="shared" si="21"/>
        <v>0</v>
      </c>
      <c r="AO32" s="60">
        <f t="shared" si="21"/>
        <v>-3083</v>
      </c>
    </row>
    <row r="33" spans="1:41">
      <c r="A33" s="22">
        <v>16</v>
      </c>
      <c r="B33" s="24" t="s">
        <v>20</v>
      </c>
      <c r="C33" s="24"/>
      <c r="E33" s="153"/>
      <c r="F33" s="153"/>
      <c r="G33" s="52">
        <f t="shared" ref="G33:P33" si="22">SUM(G30:G32)</f>
        <v>0</v>
      </c>
      <c r="H33" s="112">
        <f t="shared" ref="H33:J33" si="23">SUM(H30:H32)</f>
        <v>-2304</v>
      </c>
      <c r="I33" s="52">
        <f t="shared" si="22"/>
        <v>-38</v>
      </c>
      <c r="J33" s="112">
        <f t="shared" si="23"/>
        <v>-4287</v>
      </c>
      <c r="K33" s="52">
        <f t="shared" si="22"/>
        <v>-68</v>
      </c>
      <c r="L33" s="112">
        <f t="shared" si="22"/>
        <v>-4425</v>
      </c>
      <c r="M33" s="52">
        <f t="shared" si="22"/>
        <v>-81</v>
      </c>
      <c r="N33" s="112">
        <f t="shared" si="22"/>
        <v>-3899</v>
      </c>
      <c r="O33" s="52">
        <f t="shared" si="22"/>
        <v>0</v>
      </c>
      <c r="P33" s="112">
        <f t="shared" si="22"/>
        <v>-4592</v>
      </c>
      <c r="Q33" s="52">
        <f t="shared" ref="Q33:AI33" si="24">SUM(Q30:Q32)</f>
        <v>-114</v>
      </c>
      <c r="R33" s="112">
        <f t="shared" si="24"/>
        <v>-5240</v>
      </c>
      <c r="S33" s="52">
        <f t="shared" si="24"/>
        <v>0</v>
      </c>
      <c r="T33" s="112">
        <f t="shared" si="24"/>
        <v>-6014</v>
      </c>
      <c r="U33" s="52">
        <f t="shared" si="24"/>
        <v>-154</v>
      </c>
      <c r="V33" s="112">
        <f t="shared" si="24"/>
        <v>-3</v>
      </c>
      <c r="W33" s="112">
        <f t="shared" si="24"/>
        <v>-6261</v>
      </c>
      <c r="X33" s="52">
        <f t="shared" si="24"/>
        <v>-176</v>
      </c>
      <c r="Y33" s="113">
        <f t="shared" si="24"/>
        <v>-17</v>
      </c>
      <c r="Z33" s="112">
        <f t="shared" si="24"/>
        <v>-5917</v>
      </c>
      <c r="AA33" s="52">
        <f t="shared" si="24"/>
        <v>-272</v>
      </c>
      <c r="AB33" s="44">
        <f t="shared" si="24"/>
        <v>-28</v>
      </c>
      <c r="AC33" s="112">
        <f t="shared" si="24"/>
        <v>-4858</v>
      </c>
      <c r="AD33" s="52">
        <f t="shared" si="24"/>
        <v>-338</v>
      </c>
      <c r="AE33" s="44">
        <f t="shared" si="24"/>
        <v>-20</v>
      </c>
      <c r="AF33" s="112">
        <f t="shared" si="24"/>
        <v>-3171</v>
      </c>
      <c r="AG33" s="52">
        <f t="shared" si="24"/>
        <v>-359</v>
      </c>
      <c r="AH33" s="44">
        <f t="shared" si="24"/>
        <v>-20</v>
      </c>
      <c r="AI33" s="112">
        <f t="shared" si="24"/>
        <v>-3374</v>
      </c>
      <c r="AJ33" s="52">
        <f t="shared" ref="AJ33:AL33" si="25">SUM(AJ30:AJ32)</f>
        <v>-239</v>
      </c>
      <c r="AK33" s="112">
        <f t="shared" si="25"/>
        <v>-7</v>
      </c>
      <c r="AL33" s="59">
        <f t="shared" si="25"/>
        <v>-3003</v>
      </c>
      <c r="AM33" s="52">
        <f t="shared" ref="AM33:AO33" si="26">SUM(AM30:AM32)</f>
        <v>0</v>
      </c>
      <c r="AN33" s="112">
        <f t="shared" si="26"/>
        <v>0</v>
      </c>
      <c r="AO33" s="59">
        <f t="shared" si="26"/>
        <v>-3083</v>
      </c>
    </row>
    <row r="34" spans="1:41">
      <c r="C34" s="24"/>
      <c r="D34" s="24"/>
      <c r="E34" s="153"/>
      <c r="F34" s="153"/>
      <c r="G34" s="52"/>
      <c r="H34" s="112"/>
      <c r="I34" s="52"/>
      <c r="J34" s="112"/>
      <c r="K34" s="52"/>
      <c r="L34" s="112"/>
      <c r="M34" s="52"/>
      <c r="N34" s="112"/>
      <c r="O34" s="52"/>
      <c r="P34" s="112"/>
      <c r="Q34" s="52"/>
      <c r="R34" s="112"/>
      <c r="S34" s="52"/>
      <c r="T34" s="112"/>
      <c r="U34" s="52"/>
      <c r="V34" s="112"/>
      <c r="W34" s="112"/>
      <c r="X34" s="52"/>
      <c r="Y34" s="112"/>
      <c r="Z34" s="112"/>
      <c r="AA34" s="52"/>
      <c r="AB34" s="44"/>
      <c r="AC34" s="112"/>
      <c r="AD34" s="52"/>
      <c r="AE34" s="44"/>
      <c r="AF34" s="112"/>
      <c r="AG34" s="52"/>
      <c r="AH34" s="44"/>
      <c r="AI34" s="112"/>
      <c r="AJ34" s="52"/>
      <c r="AK34" s="112"/>
      <c r="AL34" s="59"/>
      <c r="AM34" s="52"/>
      <c r="AN34" s="112"/>
      <c r="AO34" s="59"/>
    </row>
    <row r="35" spans="1:41">
      <c r="A35" s="22">
        <v>17</v>
      </c>
      <c r="B35" s="3" t="s">
        <v>21</v>
      </c>
      <c r="C35" s="24"/>
      <c r="D35" s="24"/>
      <c r="E35" s="153">
        <f>ROR!N12</f>
        <v>4.8500000000000001E-3</v>
      </c>
      <c r="F35" s="153"/>
      <c r="G35" s="52">
        <f t="shared" ref="G35:H35" si="27">ROUND(G11*$E35,0)</f>
        <v>0</v>
      </c>
      <c r="H35" s="112">
        <f t="shared" si="27"/>
        <v>-291</v>
      </c>
      <c r="I35" s="52">
        <f t="shared" ref="I35:P35" si="28">ROUND(I11*$E35,0)</f>
        <v>-5</v>
      </c>
      <c r="J35" s="112">
        <f t="shared" si="28"/>
        <v>-542</v>
      </c>
      <c r="K35" s="52">
        <f t="shared" si="28"/>
        <v>-9</v>
      </c>
      <c r="L35" s="112">
        <f t="shared" si="28"/>
        <v>-560</v>
      </c>
      <c r="M35" s="52">
        <f t="shared" si="28"/>
        <v>-10</v>
      </c>
      <c r="N35" s="112">
        <f t="shared" si="28"/>
        <v>-493</v>
      </c>
      <c r="O35" s="52">
        <f t="shared" si="28"/>
        <v>0</v>
      </c>
      <c r="P35" s="112">
        <f t="shared" si="28"/>
        <v>-581</v>
      </c>
      <c r="Q35" s="52">
        <f t="shared" ref="Q35:AI35" si="29">ROUND(Q11*$E35,0)</f>
        <v>-14</v>
      </c>
      <c r="R35" s="112">
        <f t="shared" si="29"/>
        <v>-663</v>
      </c>
      <c r="S35" s="52">
        <f t="shared" si="29"/>
        <v>0</v>
      </c>
      <c r="T35" s="112">
        <f t="shared" si="29"/>
        <v>-761</v>
      </c>
      <c r="U35" s="52">
        <f t="shared" si="29"/>
        <v>-19</v>
      </c>
      <c r="V35" s="112">
        <f t="shared" si="29"/>
        <v>0</v>
      </c>
      <c r="W35" s="112">
        <f t="shared" si="29"/>
        <v>-792</v>
      </c>
      <c r="X35" s="52">
        <f t="shared" si="29"/>
        <v>-22</v>
      </c>
      <c r="Y35" s="112">
        <f t="shared" si="29"/>
        <v>-2</v>
      </c>
      <c r="Z35" s="112">
        <f t="shared" si="29"/>
        <v>-749</v>
      </c>
      <c r="AA35" s="52">
        <f t="shared" si="29"/>
        <v>-34</v>
      </c>
      <c r="AB35" s="44">
        <f t="shared" si="29"/>
        <v>-4</v>
      </c>
      <c r="AC35" s="112">
        <f t="shared" si="29"/>
        <v>-615</v>
      </c>
      <c r="AD35" s="52">
        <f t="shared" si="29"/>
        <v>-43</v>
      </c>
      <c r="AE35" s="44">
        <f t="shared" si="29"/>
        <v>-3</v>
      </c>
      <c r="AF35" s="112">
        <f t="shared" si="29"/>
        <v>-401</v>
      </c>
      <c r="AG35" s="52">
        <f t="shared" si="29"/>
        <v>-45</v>
      </c>
      <c r="AH35" s="44">
        <f t="shared" si="29"/>
        <v>-3</v>
      </c>
      <c r="AI35" s="112">
        <f t="shared" si="29"/>
        <v>-427</v>
      </c>
      <c r="AJ35" s="52">
        <f t="shared" ref="AJ35:AL35" si="30">ROUND(AJ11*$E35,0)</f>
        <v>-30</v>
      </c>
      <c r="AK35" s="112">
        <f t="shared" si="30"/>
        <v>-1</v>
      </c>
      <c r="AL35" s="59">
        <f t="shared" si="30"/>
        <v>-380</v>
      </c>
      <c r="AM35" s="52">
        <f t="shared" ref="AM35:AO35" si="31">ROUND(AM11*$E35,0)</f>
        <v>0</v>
      </c>
      <c r="AN35" s="112">
        <f t="shared" si="31"/>
        <v>0</v>
      </c>
      <c r="AO35" s="59">
        <f t="shared" si="31"/>
        <v>-390</v>
      </c>
    </row>
    <row r="36" spans="1:41">
      <c r="A36" s="22">
        <v>18</v>
      </c>
      <c r="B36" s="3" t="s">
        <v>22</v>
      </c>
      <c r="C36" s="24"/>
      <c r="D36" s="24"/>
      <c r="E36" s="153"/>
      <c r="F36" s="153"/>
      <c r="G36" s="52">
        <v>0</v>
      </c>
      <c r="H36" s="112"/>
      <c r="I36" s="52">
        <v>-949</v>
      </c>
      <c r="J36" s="112"/>
      <c r="K36" s="52">
        <v>-1696</v>
      </c>
      <c r="L36" s="112"/>
      <c r="M36" s="52">
        <v>-2029</v>
      </c>
      <c r="N36" s="112"/>
      <c r="O36" s="52">
        <v>0</v>
      </c>
      <c r="P36" s="112"/>
      <c r="Q36" s="52">
        <v>-2842</v>
      </c>
      <c r="R36" s="112"/>
      <c r="S36" s="52">
        <v>0</v>
      </c>
      <c r="T36" s="112"/>
      <c r="U36" s="52">
        <v>-3835</v>
      </c>
      <c r="V36" s="112"/>
      <c r="W36" s="112"/>
      <c r="X36" s="52">
        <v>-4381</v>
      </c>
      <c r="Y36" s="112"/>
      <c r="Z36" s="112"/>
      <c r="AA36" s="52">
        <v>-6777</v>
      </c>
      <c r="AB36" s="44"/>
      <c r="AC36" s="112"/>
      <c r="AD36" s="52">
        <v>-8416</v>
      </c>
      <c r="AE36" s="44"/>
      <c r="AF36" s="112"/>
      <c r="AG36" s="52">
        <v>-8953</v>
      </c>
      <c r="AH36" s="44"/>
      <c r="AI36" s="112"/>
      <c r="AJ36" s="52">
        <f>-6212+270</f>
        <v>-5942</v>
      </c>
      <c r="AK36" s="112"/>
      <c r="AL36" s="59"/>
      <c r="AM36" s="52">
        <v>0</v>
      </c>
      <c r="AN36" s="112"/>
      <c r="AO36" s="59"/>
    </row>
    <row r="37" spans="1:41">
      <c r="A37" s="22">
        <v>19</v>
      </c>
      <c r="B37" s="3" t="s">
        <v>23</v>
      </c>
      <c r="C37" s="24"/>
      <c r="D37" s="24"/>
      <c r="E37" s="153"/>
      <c r="F37" s="153"/>
      <c r="G37" s="52"/>
      <c r="H37" s="112"/>
      <c r="I37" s="52"/>
      <c r="J37" s="112"/>
      <c r="K37" s="52"/>
      <c r="L37" s="112"/>
      <c r="M37" s="52"/>
      <c r="N37" s="112"/>
      <c r="O37" s="52"/>
      <c r="P37" s="112"/>
      <c r="Q37" s="52"/>
      <c r="R37" s="112"/>
      <c r="S37" s="52"/>
      <c r="T37" s="112"/>
      <c r="U37" s="52"/>
      <c r="V37" s="112"/>
      <c r="W37" s="112"/>
      <c r="X37" s="52"/>
      <c r="Y37" s="112"/>
      <c r="Z37" s="112"/>
      <c r="AA37" s="52"/>
      <c r="AB37" s="44"/>
      <c r="AC37" s="112"/>
      <c r="AD37" s="52"/>
      <c r="AE37" s="44"/>
      <c r="AF37" s="112"/>
      <c r="AG37" s="52"/>
      <c r="AH37" s="44"/>
      <c r="AI37" s="112"/>
      <c r="AJ37" s="52"/>
      <c r="AK37" s="112"/>
      <c r="AL37" s="59"/>
      <c r="AM37" s="52"/>
      <c r="AN37" s="112"/>
      <c r="AO37" s="59"/>
    </row>
    <row r="38" spans="1:41">
      <c r="C38" s="24"/>
      <c r="D38" s="24"/>
      <c r="E38" s="153"/>
      <c r="F38" s="153"/>
      <c r="G38" s="52"/>
      <c r="H38" s="112"/>
      <c r="I38" s="52"/>
      <c r="J38" s="112"/>
      <c r="K38" s="52"/>
      <c r="L38" s="112"/>
      <c r="M38" s="52"/>
      <c r="N38" s="112"/>
      <c r="O38" s="52"/>
      <c r="P38" s="112"/>
      <c r="Q38" s="52"/>
      <c r="R38" s="112"/>
      <c r="S38" s="52"/>
      <c r="T38" s="112"/>
      <c r="U38" s="52"/>
      <c r="V38" s="112"/>
      <c r="W38" s="112"/>
      <c r="X38" s="52"/>
      <c r="Y38" s="112"/>
      <c r="Z38" s="112"/>
      <c r="AA38" s="52"/>
      <c r="AB38" s="44"/>
      <c r="AC38" s="112"/>
      <c r="AD38" s="52"/>
      <c r="AE38" s="44"/>
      <c r="AF38" s="112"/>
      <c r="AG38" s="52"/>
      <c r="AH38" s="44"/>
      <c r="AI38" s="112"/>
      <c r="AJ38" s="52"/>
      <c r="AK38" s="112"/>
      <c r="AL38" s="59"/>
      <c r="AM38" s="52"/>
      <c r="AN38" s="112"/>
      <c r="AO38" s="59"/>
    </row>
    <row r="39" spans="1:41">
      <c r="B39" s="3" t="s">
        <v>24</v>
      </c>
      <c r="C39" s="24"/>
      <c r="D39" s="24"/>
      <c r="E39" s="153"/>
      <c r="F39" s="153"/>
      <c r="G39" s="52"/>
      <c r="H39" s="112"/>
      <c r="I39" s="52"/>
      <c r="J39" s="112"/>
      <c r="K39" s="52"/>
      <c r="L39" s="112"/>
      <c r="M39" s="52"/>
      <c r="N39" s="112"/>
      <c r="O39" s="52"/>
      <c r="P39" s="112"/>
      <c r="Q39" s="52"/>
      <c r="R39" s="112"/>
      <c r="S39" s="52"/>
      <c r="T39" s="112"/>
      <c r="U39" s="52"/>
      <c r="V39" s="112"/>
      <c r="W39" s="112"/>
      <c r="X39" s="52"/>
      <c r="Y39" s="112"/>
      <c r="Z39" s="112"/>
      <c r="AA39" s="52"/>
      <c r="AB39" s="44"/>
      <c r="AC39" s="112"/>
      <c r="AD39" s="52"/>
      <c r="AE39" s="44"/>
      <c r="AF39" s="112"/>
      <c r="AG39" s="52"/>
      <c r="AH39" s="44"/>
      <c r="AI39" s="112"/>
      <c r="AJ39" s="52"/>
      <c r="AK39" s="112"/>
      <c r="AL39" s="59"/>
      <c r="AM39" s="52"/>
      <c r="AN39" s="112"/>
      <c r="AO39" s="59"/>
    </row>
    <row r="40" spans="1:41">
      <c r="A40" s="22">
        <v>20</v>
      </c>
      <c r="C40" s="24" t="s">
        <v>17</v>
      </c>
      <c r="D40" s="24"/>
      <c r="E40" s="153">
        <f>ROR!N14</f>
        <v>2E-3</v>
      </c>
      <c r="F40" s="153"/>
      <c r="G40" s="52">
        <f t="shared" ref="G40:H40" si="32">ROUND(G11*$E40,0)</f>
        <v>0</v>
      </c>
      <c r="H40" s="112">
        <f t="shared" si="32"/>
        <v>-120</v>
      </c>
      <c r="I40" s="52">
        <f t="shared" ref="I40:P40" si="33">ROUND(I11*$E40,0)</f>
        <v>-2</v>
      </c>
      <c r="J40" s="112">
        <f t="shared" si="33"/>
        <v>-224</v>
      </c>
      <c r="K40" s="52">
        <f t="shared" si="33"/>
        <v>-4</v>
      </c>
      <c r="L40" s="112">
        <f t="shared" si="33"/>
        <v>-231</v>
      </c>
      <c r="M40" s="52">
        <f t="shared" si="33"/>
        <v>-4</v>
      </c>
      <c r="N40" s="112">
        <f t="shared" si="33"/>
        <v>-203</v>
      </c>
      <c r="O40" s="52">
        <f t="shared" si="33"/>
        <v>0</v>
      </c>
      <c r="P40" s="112">
        <f t="shared" si="33"/>
        <v>-240</v>
      </c>
      <c r="Q40" s="52">
        <f t="shared" ref="Q40:AI40" si="34">ROUND(Q11*$E40,0)</f>
        <v>-6</v>
      </c>
      <c r="R40" s="112">
        <f t="shared" si="34"/>
        <v>-273</v>
      </c>
      <c r="S40" s="52">
        <f t="shared" si="34"/>
        <v>0</v>
      </c>
      <c r="T40" s="112">
        <f t="shared" si="34"/>
        <v>-314</v>
      </c>
      <c r="U40" s="52">
        <f t="shared" si="34"/>
        <v>-8</v>
      </c>
      <c r="V40" s="112">
        <f t="shared" si="34"/>
        <v>0</v>
      </c>
      <c r="W40" s="112">
        <f t="shared" si="34"/>
        <v>-327</v>
      </c>
      <c r="X40" s="52">
        <f t="shared" si="34"/>
        <v>-9</v>
      </c>
      <c r="Y40" s="112">
        <f t="shared" si="34"/>
        <v>-1</v>
      </c>
      <c r="Z40" s="112">
        <f t="shared" si="34"/>
        <v>-309</v>
      </c>
      <c r="AA40" s="52">
        <f t="shared" si="34"/>
        <v>-14</v>
      </c>
      <c r="AB40" s="44">
        <f t="shared" si="34"/>
        <v>-1</v>
      </c>
      <c r="AC40" s="112">
        <f t="shared" si="34"/>
        <v>-253</v>
      </c>
      <c r="AD40" s="52">
        <f t="shared" si="34"/>
        <v>-18</v>
      </c>
      <c r="AE40" s="44">
        <f t="shared" si="34"/>
        <v>-1</v>
      </c>
      <c r="AF40" s="112">
        <f t="shared" si="34"/>
        <v>-165</v>
      </c>
      <c r="AG40" s="52">
        <f t="shared" si="34"/>
        <v>-19</v>
      </c>
      <c r="AH40" s="44">
        <f t="shared" si="34"/>
        <v>-1</v>
      </c>
      <c r="AI40" s="112">
        <f t="shared" si="34"/>
        <v>-176</v>
      </c>
      <c r="AJ40" s="52">
        <f t="shared" ref="AJ40:AL40" si="35">ROUND(AJ11*$E40,0)</f>
        <v>-12</v>
      </c>
      <c r="AK40" s="112">
        <f t="shared" si="35"/>
        <v>0</v>
      </c>
      <c r="AL40" s="59">
        <f t="shared" si="35"/>
        <v>-157</v>
      </c>
      <c r="AM40" s="52">
        <f t="shared" ref="AM40:AO40" si="36">ROUND(AM11*$E40,0)</f>
        <v>0</v>
      </c>
      <c r="AN40" s="112">
        <f t="shared" si="36"/>
        <v>0</v>
      </c>
      <c r="AO40" s="59">
        <f t="shared" si="36"/>
        <v>-161</v>
      </c>
    </row>
    <row r="41" spans="1:41">
      <c r="A41" s="22">
        <v>21</v>
      </c>
      <c r="C41" s="24" t="s">
        <v>47</v>
      </c>
      <c r="D41" s="24"/>
      <c r="G41" s="52"/>
      <c r="H41" s="112"/>
      <c r="I41" s="52"/>
      <c r="J41" s="112"/>
      <c r="K41" s="52"/>
      <c r="L41" s="112"/>
      <c r="M41" s="52"/>
      <c r="N41" s="112"/>
      <c r="O41" s="52"/>
      <c r="P41" s="112"/>
      <c r="Q41" s="52"/>
      <c r="R41" s="112"/>
      <c r="S41" s="52"/>
      <c r="T41" s="112"/>
      <c r="U41" s="52"/>
      <c r="V41" s="112">
        <v>-85</v>
      </c>
      <c r="W41" s="112"/>
      <c r="X41" s="52"/>
      <c r="Y41" s="112">
        <v>-432</v>
      </c>
      <c r="Z41" s="112"/>
      <c r="AA41" s="52"/>
      <c r="AB41" s="44">
        <v>-710</v>
      </c>
      <c r="AC41" s="112"/>
      <c r="AD41" s="52"/>
      <c r="AE41" s="44">
        <v>-494</v>
      </c>
      <c r="AF41" s="112"/>
      <c r="AG41" s="52"/>
      <c r="AH41" s="44">
        <v>-494</v>
      </c>
      <c r="AI41" s="112"/>
      <c r="AJ41" s="52"/>
      <c r="AK41" s="112">
        <f>-184+1</f>
        <v>-183</v>
      </c>
      <c r="AL41" s="59"/>
      <c r="AM41" s="52"/>
      <c r="AN41" s="112">
        <v>0</v>
      </c>
      <c r="AO41" s="59"/>
    </row>
    <row r="42" spans="1:41">
      <c r="A42" s="22">
        <v>22</v>
      </c>
      <c r="C42" s="1" t="s">
        <v>52</v>
      </c>
      <c r="D42" s="24"/>
      <c r="G42" s="52"/>
      <c r="H42" s="112"/>
      <c r="I42" s="52"/>
      <c r="J42" s="112"/>
      <c r="K42" s="52"/>
      <c r="L42" s="112"/>
      <c r="M42" s="52"/>
      <c r="N42" s="112"/>
      <c r="O42" s="52"/>
      <c r="P42" s="112"/>
      <c r="Q42" s="52"/>
      <c r="R42" s="112"/>
      <c r="S42" s="52"/>
      <c r="T42" s="112"/>
      <c r="U42" s="52"/>
      <c r="V42" s="112"/>
      <c r="W42" s="112"/>
      <c r="X42" s="52"/>
      <c r="Y42" s="112"/>
      <c r="Z42" s="112"/>
      <c r="AA42" s="52"/>
      <c r="AB42" s="44"/>
      <c r="AC42" s="112"/>
      <c r="AD42" s="52"/>
      <c r="AE42" s="44"/>
      <c r="AF42" s="112"/>
      <c r="AG42" s="52"/>
      <c r="AH42" s="44"/>
      <c r="AI42" s="112"/>
      <c r="AJ42" s="52"/>
      <c r="AK42" s="112"/>
      <c r="AL42" s="59"/>
      <c r="AM42" s="52"/>
      <c r="AN42" s="112"/>
      <c r="AO42" s="59"/>
    </row>
    <row r="43" spans="1:41">
      <c r="A43" s="22">
        <v>23</v>
      </c>
      <c r="C43" s="24" t="s">
        <v>4</v>
      </c>
      <c r="D43" s="24"/>
      <c r="G43" s="53"/>
      <c r="H43" s="45"/>
      <c r="I43" s="53"/>
      <c r="J43" s="45"/>
      <c r="K43" s="53"/>
      <c r="L43" s="45"/>
      <c r="M43" s="53"/>
      <c r="N43" s="45"/>
      <c r="O43" s="53"/>
      <c r="P43" s="45"/>
      <c r="Q43" s="53"/>
      <c r="R43" s="45"/>
      <c r="S43" s="53"/>
      <c r="T43" s="45"/>
      <c r="U43" s="53"/>
      <c r="V43" s="45"/>
      <c r="W43" s="45"/>
      <c r="X43" s="53"/>
      <c r="Y43" s="112"/>
      <c r="Z43" s="45"/>
      <c r="AA43" s="53"/>
      <c r="AB43" s="45"/>
      <c r="AC43" s="45"/>
      <c r="AD43" s="53"/>
      <c r="AE43" s="45"/>
      <c r="AF43" s="45"/>
      <c r="AG43" s="53"/>
      <c r="AH43" s="45"/>
      <c r="AI43" s="45"/>
      <c r="AJ43" s="53"/>
      <c r="AK43" s="45"/>
      <c r="AL43" s="60"/>
      <c r="AM43" s="53"/>
      <c r="AN43" s="45"/>
      <c r="AO43" s="60"/>
    </row>
    <row r="44" spans="1:41">
      <c r="A44" s="22">
        <v>24</v>
      </c>
      <c r="B44" s="24" t="s">
        <v>25</v>
      </c>
      <c r="C44" s="24"/>
      <c r="G44" s="54">
        <f t="shared" ref="G44:P44" si="37">SUM(G40:G43)</f>
        <v>0</v>
      </c>
      <c r="H44" s="46">
        <f t="shared" ref="H44:J44" si="38">SUM(H40:H43)</f>
        <v>-120</v>
      </c>
      <c r="I44" s="54">
        <f t="shared" si="37"/>
        <v>-2</v>
      </c>
      <c r="J44" s="46">
        <f t="shared" si="38"/>
        <v>-224</v>
      </c>
      <c r="K44" s="54">
        <f t="shared" si="37"/>
        <v>-4</v>
      </c>
      <c r="L44" s="46">
        <f t="shared" si="37"/>
        <v>-231</v>
      </c>
      <c r="M44" s="54">
        <f t="shared" si="37"/>
        <v>-4</v>
      </c>
      <c r="N44" s="46">
        <f t="shared" si="37"/>
        <v>-203</v>
      </c>
      <c r="O44" s="54">
        <f t="shared" si="37"/>
        <v>0</v>
      </c>
      <c r="P44" s="46">
        <f t="shared" si="37"/>
        <v>-240</v>
      </c>
      <c r="Q44" s="54">
        <f t="shared" ref="Q44:AI44" si="39">SUM(Q40:Q43)</f>
        <v>-6</v>
      </c>
      <c r="R44" s="46">
        <f t="shared" si="39"/>
        <v>-273</v>
      </c>
      <c r="S44" s="54">
        <f t="shared" si="39"/>
        <v>0</v>
      </c>
      <c r="T44" s="46">
        <f t="shared" si="39"/>
        <v>-314</v>
      </c>
      <c r="U44" s="54">
        <f t="shared" si="39"/>
        <v>-8</v>
      </c>
      <c r="V44" s="46">
        <f t="shared" si="39"/>
        <v>-85</v>
      </c>
      <c r="W44" s="46">
        <f t="shared" si="39"/>
        <v>-327</v>
      </c>
      <c r="X44" s="54">
        <f t="shared" si="39"/>
        <v>-9</v>
      </c>
      <c r="Y44" s="113">
        <f t="shared" si="39"/>
        <v>-433</v>
      </c>
      <c r="Z44" s="46">
        <f t="shared" si="39"/>
        <v>-309</v>
      </c>
      <c r="AA44" s="54">
        <f t="shared" si="39"/>
        <v>-14</v>
      </c>
      <c r="AB44" s="46">
        <f t="shared" si="39"/>
        <v>-711</v>
      </c>
      <c r="AC44" s="46">
        <f t="shared" si="39"/>
        <v>-253</v>
      </c>
      <c r="AD44" s="54">
        <f t="shared" si="39"/>
        <v>-18</v>
      </c>
      <c r="AE44" s="46">
        <f t="shared" si="39"/>
        <v>-495</v>
      </c>
      <c r="AF44" s="46">
        <f t="shared" si="39"/>
        <v>-165</v>
      </c>
      <c r="AG44" s="54">
        <f t="shared" si="39"/>
        <v>-19</v>
      </c>
      <c r="AH44" s="46">
        <f t="shared" si="39"/>
        <v>-495</v>
      </c>
      <c r="AI44" s="46">
        <f t="shared" si="39"/>
        <v>-176</v>
      </c>
      <c r="AJ44" s="54">
        <f t="shared" ref="AJ44:AL44" si="40">SUM(AJ40:AJ43)</f>
        <v>-12</v>
      </c>
      <c r="AK44" s="46">
        <f t="shared" si="40"/>
        <v>-183</v>
      </c>
      <c r="AL44" s="61">
        <f t="shared" si="40"/>
        <v>-157</v>
      </c>
      <c r="AM44" s="54">
        <f t="shared" ref="AM44:AO44" si="41">SUM(AM40:AM43)</f>
        <v>0</v>
      </c>
      <c r="AN44" s="46">
        <f t="shared" si="41"/>
        <v>0</v>
      </c>
      <c r="AO44" s="61">
        <f t="shared" si="41"/>
        <v>-161</v>
      </c>
    </row>
    <row r="45" spans="1:41">
      <c r="A45" s="22">
        <v>25</v>
      </c>
      <c r="B45" s="3" t="s">
        <v>26</v>
      </c>
      <c r="C45" s="24"/>
      <c r="D45" s="24"/>
      <c r="G45" s="54">
        <f t="shared" ref="G45:P45" si="42">G21+G27+G33+G35+G36+G37+G44</f>
        <v>0</v>
      </c>
      <c r="H45" s="46">
        <f t="shared" ref="H45:J45" si="43">H21+H27+H33+H35+H36+H37+H44</f>
        <v>-60334</v>
      </c>
      <c r="I45" s="54">
        <f t="shared" si="42"/>
        <v>-994</v>
      </c>
      <c r="J45" s="46">
        <f t="shared" si="43"/>
        <v>-112082</v>
      </c>
      <c r="K45" s="54">
        <f t="shared" si="42"/>
        <v>-1777</v>
      </c>
      <c r="L45" s="46">
        <f t="shared" si="42"/>
        <v>-115585</v>
      </c>
      <c r="M45" s="54">
        <f t="shared" si="42"/>
        <v>-2124</v>
      </c>
      <c r="N45" s="46">
        <f t="shared" si="42"/>
        <v>-101718</v>
      </c>
      <c r="O45" s="54">
        <f t="shared" si="42"/>
        <v>0</v>
      </c>
      <c r="P45" s="46">
        <f t="shared" si="42"/>
        <v>-119784</v>
      </c>
      <c r="Q45" s="54">
        <f t="shared" ref="Q45:AI45" si="44">Q21+Q27+Q33+Q35+Q36+Q37+Q44</f>
        <v>-2976</v>
      </c>
      <c r="R45" s="46">
        <f t="shared" si="44"/>
        <v>-165020</v>
      </c>
      <c r="S45" s="54">
        <f t="shared" si="44"/>
        <v>0</v>
      </c>
      <c r="T45" s="46">
        <f t="shared" si="44"/>
        <v>-156891</v>
      </c>
      <c r="U45" s="54">
        <f t="shared" si="44"/>
        <v>-4016</v>
      </c>
      <c r="V45" s="46">
        <f t="shared" si="44"/>
        <v>-88</v>
      </c>
      <c r="W45" s="46">
        <f t="shared" si="44"/>
        <v>-230027</v>
      </c>
      <c r="X45" s="54">
        <f t="shared" si="44"/>
        <v>-4588</v>
      </c>
      <c r="Y45" s="113">
        <f t="shared" si="44"/>
        <v>-452</v>
      </c>
      <c r="Z45" s="46">
        <f t="shared" si="44"/>
        <v>-307367</v>
      </c>
      <c r="AA45" s="54">
        <f t="shared" si="44"/>
        <v>-7097</v>
      </c>
      <c r="AB45" s="46">
        <f t="shared" si="44"/>
        <v>-743</v>
      </c>
      <c r="AC45" s="46">
        <f t="shared" si="44"/>
        <v>-210714</v>
      </c>
      <c r="AD45" s="54">
        <f t="shared" si="44"/>
        <v>-8815</v>
      </c>
      <c r="AE45" s="46">
        <f t="shared" si="44"/>
        <v>-518</v>
      </c>
      <c r="AF45" s="46">
        <f t="shared" si="44"/>
        <v>-197909</v>
      </c>
      <c r="AG45" s="54">
        <f t="shared" si="44"/>
        <v>-9376</v>
      </c>
      <c r="AH45" s="46">
        <f t="shared" si="44"/>
        <v>-518</v>
      </c>
      <c r="AI45" s="46">
        <f t="shared" si="44"/>
        <v>-186811</v>
      </c>
      <c r="AJ45" s="54">
        <f t="shared" ref="AJ45:AL45" si="45">AJ21+AJ27+AJ33+AJ35+AJ36+AJ37+AJ44</f>
        <v>-6223</v>
      </c>
      <c r="AK45" s="46">
        <f t="shared" si="45"/>
        <v>-191</v>
      </c>
      <c r="AL45" s="61">
        <f t="shared" si="45"/>
        <v>-146167</v>
      </c>
      <c r="AM45" s="54">
        <f t="shared" ref="AM45:AO45" si="46">AM21+AM27+AM33+AM35+AM36+AM37+AM44</f>
        <v>0</v>
      </c>
      <c r="AN45" s="46">
        <f t="shared" si="46"/>
        <v>0</v>
      </c>
      <c r="AO45" s="61">
        <f t="shared" si="46"/>
        <v>-80435</v>
      </c>
    </row>
    <row r="46" spans="1:41">
      <c r="C46" s="24"/>
      <c r="D46" s="24"/>
      <c r="G46" s="52"/>
      <c r="H46" s="112"/>
      <c r="I46" s="52"/>
      <c r="J46" s="112"/>
      <c r="K46" s="52"/>
      <c r="L46" s="112"/>
      <c r="M46" s="52"/>
      <c r="N46" s="112"/>
      <c r="O46" s="52"/>
      <c r="P46" s="112"/>
      <c r="Q46" s="52"/>
      <c r="R46" s="112"/>
      <c r="S46" s="52"/>
      <c r="T46" s="112"/>
      <c r="U46" s="52"/>
      <c r="V46" s="112"/>
      <c r="W46" s="112"/>
      <c r="X46" s="52"/>
      <c r="Y46" s="113"/>
      <c r="Z46" s="112"/>
      <c r="AA46" s="52"/>
      <c r="AB46" s="44"/>
      <c r="AC46" s="112"/>
      <c r="AD46" s="52"/>
      <c r="AE46" s="44"/>
      <c r="AF46" s="112"/>
      <c r="AG46" s="52"/>
      <c r="AH46" s="44"/>
      <c r="AI46" s="112"/>
      <c r="AJ46" s="52"/>
      <c r="AK46" s="112"/>
      <c r="AL46" s="59"/>
      <c r="AM46" s="52"/>
      <c r="AN46" s="112"/>
      <c r="AO46" s="59"/>
    </row>
    <row r="47" spans="1:41">
      <c r="A47" s="22">
        <v>26</v>
      </c>
      <c r="B47" s="3" t="s">
        <v>27</v>
      </c>
      <c r="C47" s="24"/>
      <c r="D47" s="24"/>
      <c r="G47" s="52">
        <f t="shared" ref="G47:H47" si="47">G14-G45</f>
        <v>0</v>
      </c>
      <c r="H47" s="112">
        <f t="shared" si="47"/>
        <v>0</v>
      </c>
      <c r="I47" s="52">
        <f t="shared" ref="I47:P47" si="48">I14-I45</f>
        <v>0</v>
      </c>
      <c r="J47" s="112">
        <f t="shared" si="48"/>
        <v>0</v>
      </c>
      <c r="K47" s="52">
        <f t="shared" si="48"/>
        <v>0</v>
      </c>
      <c r="L47" s="112">
        <f t="shared" si="48"/>
        <v>0</v>
      </c>
      <c r="M47" s="52">
        <f t="shared" si="48"/>
        <v>0</v>
      </c>
      <c r="N47" s="112">
        <f t="shared" si="48"/>
        <v>0</v>
      </c>
      <c r="O47" s="52">
        <f t="shared" si="48"/>
        <v>0</v>
      </c>
      <c r="P47" s="112">
        <f t="shared" si="48"/>
        <v>0</v>
      </c>
      <c r="Q47" s="52">
        <f t="shared" ref="Q47:AI47" si="49">Q14-Q45</f>
        <v>0</v>
      </c>
      <c r="R47" s="112">
        <f t="shared" si="49"/>
        <v>0</v>
      </c>
      <c r="S47" s="52">
        <f t="shared" si="49"/>
        <v>0</v>
      </c>
      <c r="T47" s="112">
        <f t="shared" si="49"/>
        <v>0</v>
      </c>
      <c r="U47" s="52">
        <f t="shared" si="49"/>
        <v>0</v>
      </c>
      <c r="V47" s="112">
        <f t="shared" si="49"/>
        <v>0</v>
      </c>
      <c r="W47" s="112">
        <f t="shared" si="49"/>
        <v>0</v>
      </c>
      <c r="X47" s="52">
        <f t="shared" si="49"/>
        <v>0</v>
      </c>
      <c r="Y47" s="112">
        <f t="shared" si="49"/>
        <v>0</v>
      </c>
      <c r="Z47" s="112">
        <f t="shared" si="49"/>
        <v>0</v>
      </c>
      <c r="AA47" s="52">
        <f t="shared" si="49"/>
        <v>0</v>
      </c>
      <c r="AB47" s="44">
        <f t="shared" si="49"/>
        <v>0</v>
      </c>
      <c r="AC47" s="112">
        <f t="shared" si="49"/>
        <v>0</v>
      </c>
      <c r="AD47" s="52">
        <f t="shared" si="49"/>
        <v>0</v>
      </c>
      <c r="AE47" s="44">
        <f t="shared" si="49"/>
        <v>0</v>
      </c>
      <c r="AF47" s="112">
        <f t="shared" si="49"/>
        <v>0</v>
      </c>
      <c r="AG47" s="52">
        <f t="shared" si="49"/>
        <v>0</v>
      </c>
      <c r="AH47" s="44">
        <f t="shared" si="49"/>
        <v>0</v>
      </c>
      <c r="AI47" s="112">
        <f t="shared" si="49"/>
        <v>0</v>
      </c>
      <c r="AJ47" s="52">
        <f t="shared" ref="AJ47:AL47" si="50">AJ14-AJ45</f>
        <v>0</v>
      </c>
      <c r="AK47" s="112">
        <f t="shared" si="50"/>
        <v>0</v>
      </c>
      <c r="AL47" s="59">
        <f t="shared" si="50"/>
        <v>0</v>
      </c>
      <c r="AM47" s="52">
        <f t="shared" ref="AM47:AO47" si="51">AM14-AM45</f>
        <v>0</v>
      </c>
      <c r="AN47" s="112">
        <f t="shared" si="51"/>
        <v>0</v>
      </c>
      <c r="AO47" s="59">
        <f t="shared" si="51"/>
        <v>0</v>
      </c>
    </row>
    <row r="48" spans="1:41">
      <c r="C48" s="24"/>
      <c r="D48" s="24"/>
      <c r="G48" s="52"/>
      <c r="H48" s="112"/>
      <c r="I48" s="52"/>
      <c r="J48" s="112"/>
      <c r="K48" s="52"/>
      <c r="L48" s="112"/>
      <c r="M48" s="52"/>
      <c r="N48" s="112"/>
      <c r="O48" s="52"/>
      <c r="P48" s="112"/>
      <c r="Q48" s="52"/>
      <c r="R48" s="112"/>
      <c r="S48" s="52"/>
      <c r="T48" s="112"/>
      <c r="U48" s="52"/>
      <c r="V48" s="112"/>
      <c r="W48" s="112"/>
      <c r="X48" s="52"/>
      <c r="Y48" s="112"/>
      <c r="Z48" s="112"/>
      <c r="AA48" s="52"/>
      <c r="AB48" s="44"/>
      <c r="AC48" s="112"/>
      <c r="AD48" s="52"/>
      <c r="AE48" s="44"/>
      <c r="AF48" s="112"/>
      <c r="AG48" s="52"/>
      <c r="AH48" s="44"/>
      <c r="AI48" s="112"/>
      <c r="AJ48" s="52"/>
      <c r="AK48" s="112"/>
      <c r="AL48" s="59"/>
      <c r="AM48" s="52"/>
      <c r="AN48" s="112"/>
      <c r="AO48" s="59"/>
    </row>
    <row r="49" spans="1:41">
      <c r="B49" s="3" t="s">
        <v>28</v>
      </c>
      <c r="C49" s="24"/>
      <c r="D49" s="24"/>
      <c r="G49" s="52"/>
      <c r="H49" s="112"/>
      <c r="I49" s="52"/>
      <c r="J49" s="112"/>
      <c r="K49" s="52"/>
      <c r="L49" s="112"/>
      <c r="M49" s="52"/>
      <c r="N49" s="112"/>
      <c r="O49" s="52"/>
      <c r="P49" s="112"/>
      <c r="Q49" s="52"/>
      <c r="R49" s="112"/>
      <c r="S49" s="52"/>
      <c r="T49" s="112"/>
      <c r="U49" s="52"/>
      <c r="V49" s="112"/>
      <c r="W49" s="112"/>
      <c r="X49" s="52"/>
      <c r="Y49" s="112"/>
      <c r="Z49" s="112"/>
      <c r="AA49" s="52"/>
      <c r="AB49" s="44"/>
      <c r="AC49" s="112"/>
      <c r="AD49" s="52"/>
      <c r="AE49" s="44"/>
      <c r="AF49" s="112"/>
      <c r="AG49" s="52"/>
      <c r="AH49" s="44"/>
      <c r="AI49" s="112"/>
      <c r="AJ49" s="52"/>
      <c r="AK49" s="112"/>
      <c r="AL49" s="59"/>
      <c r="AM49" s="52"/>
      <c r="AN49" s="112"/>
      <c r="AO49" s="59"/>
    </row>
    <row r="50" spans="1:41">
      <c r="A50" s="22">
        <v>27</v>
      </c>
      <c r="B50" s="24" t="s">
        <v>29</v>
      </c>
      <c r="D50" s="24"/>
      <c r="G50" s="52"/>
      <c r="H50" s="112"/>
      <c r="I50" s="52"/>
      <c r="J50" s="112"/>
      <c r="K50" s="52"/>
      <c r="L50" s="112"/>
      <c r="M50" s="52"/>
      <c r="N50" s="112"/>
      <c r="O50" s="52"/>
      <c r="P50" s="112"/>
      <c r="Q50" s="52"/>
      <c r="R50" s="112"/>
      <c r="S50" s="52"/>
      <c r="T50" s="112"/>
      <c r="U50" s="52"/>
      <c r="V50" s="112"/>
      <c r="W50" s="112"/>
      <c r="X50" s="52"/>
      <c r="Y50" s="112"/>
      <c r="Z50" s="112"/>
      <c r="AA50" s="52"/>
      <c r="AB50" s="44"/>
      <c r="AC50" s="112"/>
      <c r="AD50" s="52"/>
      <c r="AE50" s="44"/>
      <c r="AF50" s="112"/>
      <c r="AG50" s="52"/>
      <c r="AH50" s="44"/>
      <c r="AI50" s="112"/>
      <c r="AJ50" s="52"/>
      <c r="AK50" s="112"/>
      <c r="AL50" s="59"/>
      <c r="AM50" s="52"/>
      <c r="AN50" s="112"/>
      <c r="AO50" s="59"/>
    </row>
    <row r="51" spans="1:41">
      <c r="A51" s="22">
        <v>28</v>
      </c>
      <c r="B51" s="24" t="s">
        <v>46</v>
      </c>
      <c r="D51" s="24"/>
      <c r="G51" s="52"/>
      <c r="H51" s="112"/>
      <c r="I51" s="52"/>
      <c r="J51" s="112"/>
      <c r="K51" s="52"/>
      <c r="L51" s="112"/>
      <c r="M51" s="52"/>
      <c r="N51" s="112"/>
      <c r="O51" s="52"/>
      <c r="P51" s="112"/>
      <c r="Q51" s="52"/>
      <c r="R51" s="112"/>
      <c r="S51" s="52"/>
      <c r="T51" s="112"/>
      <c r="U51" s="52"/>
      <c r="V51" s="112"/>
      <c r="W51" s="112"/>
      <c r="X51" s="52"/>
      <c r="Y51" s="112"/>
      <c r="Z51" s="112"/>
      <c r="AA51" s="52"/>
      <c r="AB51" s="44"/>
      <c r="AC51" s="112"/>
      <c r="AD51" s="52"/>
      <c r="AE51" s="44"/>
      <c r="AF51" s="112"/>
      <c r="AG51" s="52"/>
      <c r="AH51" s="44"/>
      <c r="AI51" s="112"/>
      <c r="AJ51" s="52"/>
      <c r="AK51" s="112"/>
      <c r="AL51" s="59"/>
      <c r="AM51" s="52"/>
      <c r="AN51" s="112"/>
      <c r="AO51" s="59"/>
    </row>
    <row r="52" spans="1:41">
      <c r="A52" s="22">
        <v>29</v>
      </c>
      <c r="B52" s="24" t="s">
        <v>30</v>
      </c>
      <c r="D52" s="24"/>
      <c r="G52" s="52"/>
      <c r="H52" s="112"/>
      <c r="I52" s="52"/>
      <c r="J52" s="112"/>
      <c r="K52" s="52"/>
      <c r="L52" s="112"/>
      <c r="M52" s="52"/>
      <c r="N52" s="112"/>
      <c r="O52" s="52"/>
      <c r="P52" s="112"/>
      <c r="Q52" s="52"/>
      <c r="R52" s="112"/>
      <c r="S52" s="52"/>
      <c r="T52" s="112"/>
      <c r="U52" s="52"/>
      <c r="V52" s="112"/>
      <c r="W52" s="112"/>
      <c r="X52" s="52"/>
      <c r="Y52" s="112"/>
      <c r="Z52" s="112"/>
      <c r="AA52" s="52"/>
      <c r="AB52" s="44"/>
      <c r="AC52" s="112"/>
      <c r="AD52" s="52"/>
      <c r="AE52" s="44"/>
      <c r="AF52" s="112"/>
      <c r="AG52" s="52"/>
      <c r="AH52" s="44"/>
      <c r="AI52" s="112"/>
      <c r="AJ52" s="52"/>
      <c r="AK52" s="112"/>
      <c r="AL52" s="59"/>
      <c r="AM52" s="52"/>
      <c r="AN52" s="112"/>
      <c r="AO52" s="59"/>
    </row>
    <row r="53" spans="1:41">
      <c r="A53" s="22">
        <v>30</v>
      </c>
      <c r="B53" s="24" t="s">
        <v>31</v>
      </c>
      <c r="D53" s="24"/>
      <c r="G53" s="53"/>
      <c r="H53" s="45"/>
      <c r="I53" s="53"/>
      <c r="J53" s="45"/>
      <c r="K53" s="53"/>
      <c r="L53" s="45"/>
      <c r="M53" s="53"/>
      <c r="N53" s="45"/>
      <c r="O53" s="53"/>
      <c r="P53" s="45"/>
      <c r="Q53" s="53"/>
      <c r="R53" s="45"/>
      <c r="S53" s="53"/>
      <c r="T53" s="45"/>
      <c r="U53" s="53"/>
      <c r="V53" s="45"/>
      <c r="W53" s="45"/>
      <c r="X53" s="53"/>
      <c r="Y53" s="112"/>
      <c r="Z53" s="45"/>
      <c r="AA53" s="53"/>
      <c r="AB53" s="45"/>
      <c r="AC53" s="45"/>
      <c r="AD53" s="53"/>
      <c r="AE53" s="45"/>
      <c r="AF53" s="45"/>
      <c r="AG53" s="53"/>
      <c r="AH53" s="45"/>
      <c r="AI53" s="45"/>
      <c r="AJ53" s="53"/>
      <c r="AK53" s="45"/>
      <c r="AL53" s="60"/>
      <c r="AM53" s="53"/>
      <c r="AN53" s="45"/>
      <c r="AO53" s="60"/>
    </row>
    <row r="54" spans="1:41">
      <c r="G54" s="52"/>
      <c r="H54" s="112"/>
      <c r="I54" s="52"/>
      <c r="J54" s="112"/>
      <c r="K54" s="52"/>
      <c r="L54" s="112"/>
      <c r="M54" s="52"/>
      <c r="N54" s="112"/>
      <c r="O54" s="52"/>
      <c r="P54" s="112"/>
      <c r="Q54" s="52"/>
      <c r="R54" s="112"/>
      <c r="S54" s="52"/>
      <c r="T54" s="112"/>
      <c r="U54" s="52"/>
      <c r="V54" s="112"/>
      <c r="W54" s="112"/>
      <c r="X54" s="52"/>
      <c r="Y54" s="113"/>
      <c r="Z54" s="112"/>
      <c r="AA54" s="52"/>
      <c r="AB54" s="44"/>
      <c r="AC54" s="112"/>
      <c r="AD54" s="52"/>
      <c r="AE54" s="44"/>
      <c r="AF54" s="112"/>
      <c r="AG54" s="52"/>
      <c r="AH54" s="44"/>
      <c r="AI54" s="112"/>
      <c r="AJ54" s="52"/>
      <c r="AK54" s="112"/>
      <c r="AL54" s="59"/>
      <c r="AM54" s="52"/>
      <c r="AN54" s="112"/>
      <c r="AO54" s="59"/>
    </row>
    <row r="55" spans="1:41">
      <c r="A55" s="22">
        <v>31</v>
      </c>
      <c r="B55" s="23" t="s">
        <v>32</v>
      </c>
      <c r="C55" s="23"/>
      <c r="D55" s="23"/>
      <c r="G55" s="52">
        <f t="shared" ref="G55:H55" si="52">G47-G50-G51-G52-G53</f>
        <v>0</v>
      </c>
      <c r="H55" s="112">
        <f t="shared" si="52"/>
        <v>0</v>
      </c>
      <c r="I55" s="52">
        <f t="shared" ref="I55:P55" si="53">I47-I50-I51-I52-I53</f>
        <v>0</v>
      </c>
      <c r="J55" s="112">
        <f t="shared" si="53"/>
        <v>0</v>
      </c>
      <c r="K55" s="52">
        <f t="shared" si="53"/>
        <v>0</v>
      </c>
      <c r="L55" s="112">
        <f t="shared" si="53"/>
        <v>0</v>
      </c>
      <c r="M55" s="52">
        <f t="shared" si="53"/>
        <v>0</v>
      </c>
      <c r="N55" s="112">
        <f t="shared" si="53"/>
        <v>0</v>
      </c>
      <c r="O55" s="52">
        <f t="shared" si="53"/>
        <v>0</v>
      </c>
      <c r="P55" s="112">
        <f t="shared" si="53"/>
        <v>0</v>
      </c>
      <c r="Q55" s="52">
        <f t="shared" ref="Q55:AI55" si="54">Q47-Q50-Q51-Q52-Q53</f>
        <v>0</v>
      </c>
      <c r="R55" s="112">
        <f t="shared" si="54"/>
        <v>0</v>
      </c>
      <c r="S55" s="52">
        <f t="shared" si="54"/>
        <v>0</v>
      </c>
      <c r="T55" s="112">
        <f t="shared" si="54"/>
        <v>0</v>
      </c>
      <c r="U55" s="52">
        <f t="shared" si="54"/>
        <v>0</v>
      </c>
      <c r="V55" s="112">
        <f t="shared" si="54"/>
        <v>0</v>
      </c>
      <c r="W55" s="112">
        <f t="shared" si="54"/>
        <v>0</v>
      </c>
      <c r="X55" s="52">
        <f t="shared" si="54"/>
        <v>0</v>
      </c>
      <c r="Y55" s="112">
        <f t="shared" si="54"/>
        <v>0</v>
      </c>
      <c r="Z55" s="112">
        <f t="shared" si="54"/>
        <v>0</v>
      </c>
      <c r="AA55" s="52">
        <f t="shared" si="54"/>
        <v>0</v>
      </c>
      <c r="AB55" s="44">
        <f t="shared" si="54"/>
        <v>0</v>
      </c>
      <c r="AC55" s="112">
        <f t="shared" si="54"/>
        <v>0</v>
      </c>
      <c r="AD55" s="52">
        <f t="shared" si="54"/>
        <v>0</v>
      </c>
      <c r="AE55" s="44">
        <f t="shared" si="54"/>
        <v>0</v>
      </c>
      <c r="AF55" s="112">
        <f t="shared" si="54"/>
        <v>0</v>
      </c>
      <c r="AG55" s="52">
        <f t="shared" si="54"/>
        <v>0</v>
      </c>
      <c r="AH55" s="44">
        <f t="shared" si="54"/>
        <v>0</v>
      </c>
      <c r="AI55" s="112">
        <f t="shared" si="54"/>
        <v>0</v>
      </c>
      <c r="AJ55" s="52">
        <f t="shared" ref="AJ55:AL55" si="55">AJ47-AJ50-AJ51-AJ52-AJ53</f>
        <v>0</v>
      </c>
      <c r="AK55" s="112">
        <f t="shared" si="55"/>
        <v>0</v>
      </c>
      <c r="AL55" s="59">
        <f t="shared" si="55"/>
        <v>0</v>
      </c>
      <c r="AM55" s="52">
        <f t="shared" ref="AM55:AO55" si="56">AM47-AM50-AM51-AM52-AM53</f>
        <v>0</v>
      </c>
      <c r="AN55" s="112">
        <f t="shared" si="56"/>
        <v>0</v>
      </c>
      <c r="AO55" s="59">
        <f t="shared" si="56"/>
        <v>0</v>
      </c>
    </row>
    <row r="56" spans="1:41">
      <c r="G56" s="47"/>
      <c r="H56" s="108"/>
      <c r="I56" s="47"/>
      <c r="J56" s="108"/>
      <c r="K56" s="47"/>
      <c r="L56" s="108"/>
      <c r="M56" s="47"/>
      <c r="N56" s="108"/>
      <c r="O56" s="47"/>
      <c r="P56" s="108"/>
      <c r="Q56" s="47"/>
      <c r="R56" s="108"/>
      <c r="S56" s="47"/>
      <c r="T56" s="108"/>
      <c r="U56" s="47"/>
      <c r="V56" s="108"/>
      <c r="W56" s="108"/>
      <c r="X56" s="47"/>
      <c r="Y56" s="108"/>
      <c r="Z56" s="108"/>
      <c r="AA56" s="47"/>
      <c r="AC56" s="108"/>
      <c r="AD56" s="47"/>
      <c r="AF56" s="108"/>
      <c r="AG56" s="47"/>
      <c r="AI56" s="108"/>
      <c r="AJ56" s="47"/>
      <c r="AK56" s="108"/>
      <c r="AL56" s="108"/>
      <c r="AM56" s="47"/>
      <c r="AN56" s="108"/>
      <c r="AO56" s="108"/>
    </row>
    <row r="57" spans="1:41">
      <c r="B57" s="28" t="s">
        <v>460</v>
      </c>
      <c r="C57" s="28"/>
      <c r="D57" s="28"/>
      <c r="K57" s="108"/>
      <c r="S57" s="108"/>
    </row>
    <row r="58" spans="1:41">
      <c r="B58" s="3" t="s">
        <v>72</v>
      </c>
      <c r="C58" s="3" t="s">
        <v>73</v>
      </c>
      <c r="K58" s="108"/>
      <c r="S58" s="108"/>
    </row>
    <row r="59" spans="1:41">
      <c r="B59" s="3" t="s">
        <v>458</v>
      </c>
      <c r="D59" s="3" t="s">
        <v>459</v>
      </c>
      <c r="K59" s="108"/>
      <c r="S59" s="108"/>
    </row>
    <row r="60" spans="1:41" ht="6" customHeight="1">
      <c r="K60" s="108"/>
      <c r="S60" s="108"/>
    </row>
    <row r="61" spans="1:41">
      <c r="D61" s="3" t="s">
        <v>160</v>
      </c>
      <c r="G61" s="97"/>
      <c r="H61" s="97">
        <v>242</v>
      </c>
      <c r="I61" s="97"/>
      <c r="J61" s="97">
        <v>244</v>
      </c>
      <c r="K61" s="97"/>
      <c r="L61" s="97">
        <v>144</v>
      </c>
      <c r="M61" s="97"/>
      <c r="N61" s="97">
        <v>0</v>
      </c>
      <c r="O61" s="97"/>
      <c r="P61" s="97">
        <v>0</v>
      </c>
      <c r="Q61" s="97"/>
      <c r="R61" s="97">
        <f>27855+479</f>
        <v>28334</v>
      </c>
      <c r="S61" s="97"/>
      <c r="T61" s="97">
        <f>36725+0</f>
        <v>36725</v>
      </c>
      <c r="U61" s="97"/>
      <c r="V61" s="97"/>
      <c r="W61" s="97">
        <f>66526+160</f>
        <v>66686</v>
      </c>
      <c r="X61" s="97"/>
      <c r="Y61" s="97"/>
      <c r="Z61" s="97">
        <f>149894+3124</f>
        <v>153018</v>
      </c>
      <c r="AA61" s="97"/>
      <c r="AB61" s="97"/>
      <c r="AC61" s="97">
        <f>78622+5370</f>
        <v>83992</v>
      </c>
      <c r="AD61" s="97"/>
      <c r="AE61" s="97"/>
      <c r="AF61" s="97">
        <f>109009+6184</f>
        <v>115193</v>
      </c>
      <c r="AG61" s="97"/>
      <c r="AH61" s="97"/>
      <c r="AI61" s="97">
        <f>94024+4770</f>
        <v>98794</v>
      </c>
      <c r="AJ61" s="97"/>
      <c r="AK61" s="97"/>
      <c r="AL61" s="97">
        <f>63689+4133</f>
        <v>67822</v>
      </c>
      <c r="AM61" s="97"/>
      <c r="AN61" s="97"/>
      <c r="AO61" s="97">
        <v>0</v>
      </c>
    </row>
    <row r="62" spans="1:41">
      <c r="G62" s="97"/>
      <c r="H62" s="97"/>
      <c r="I62" s="97"/>
      <c r="J62" s="97"/>
      <c r="K62" s="97"/>
      <c r="L62" s="97"/>
      <c r="M62" s="97"/>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row>
    <row r="63" spans="1:41">
      <c r="D63" s="3" t="s">
        <v>161</v>
      </c>
      <c r="G63" s="97"/>
      <c r="H63" s="97">
        <f>125+38</f>
        <v>163</v>
      </c>
      <c r="I63" s="97"/>
      <c r="J63" s="97">
        <f>134+98</f>
        <v>232</v>
      </c>
      <c r="K63" s="97"/>
      <c r="L63" s="97">
        <f>131+128+2</f>
        <v>261</v>
      </c>
      <c r="M63" s="97"/>
      <c r="N63" s="97">
        <f>142+141+2</f>
        <v>285</v>
      </c>
      <c r="O63" s="97"/>
      <c r="P63" s="97">
        <f>148+181+48-8</f>
        <v>369</v>
      </c>
      <c r="Q63" s="97"/>
      <c r="R63" s="97">
        <f>643+8</f>
        <v>651</v>
      </c>
      <c r="S63" s="97"/>
      <c r="T63" s="97">
        <v>653</v>
      </c>
      <c r="U63" s="97"/>
      <c r="V63" s="97"/>
      <c r="W63" s="97">
        <v>792</v>
      </c>
      <c r="X63" s="97"/>
      <c r="Y63" s="97"/>
      <c r="Z63" s="97">
        <v>783</v>
      </c>
      <c r="AA63" s="97"/>
      <c r="AB63" s="97"/>
      <c r="AC63" s="97">
        <v>802</v>
      </c>
      <c r="AD63" s="97"/>
      <c r="AE63" s="97"/>
      <c r="AF63" s="97">
        <f>801-1</f>
        <v>800</v>
      </c>
      <c r="AG63" s="97"/>
      <c r="AH63" s="97"/>
      <c r="AI63" s="97">
        <f>903+78</f>
        <v>981</v>
      </c>
      <c r="AJ63" s="97"/>
      <c r="AK63" s="97"/>
      <c r="AL63" s="97">
        <f>857+71</f>
        <v>928</v>
      </c>
      <c r="AM63" s="97"/>
      <c r="AN63" s="97"/>
      <c r="AO63" s="97">
        <v>891</v>
      </c>
    </row>
    <row r="64" spans="1:41">
      <c r="K64" s="108"/>
      <c r="S64" s="97"/>
      <c r="T64" s="97"/>
      <c r="U64" s="97"/>
      <c r="V64" s="97"/>
      <c r="W64" s="97"/>
      <c r="X64" s="97"/>
      <c r="Y64" s="97"/>
      <c r="Z64" s="97"/>
      <c r="AA64" s="97"/>
      <c r="AB64" s="97"/>
      <c r="AC64" s="97"/>
      <c r="AD64" s="97"/>
      <c r="AE64" s="97"/>
      <c r="AF64" s="97"/>
      <c r="AG64" s="97"/>
      <c r="AH64" s="97"/>
      <c r="AI64" s="97"/>
      <c r="AJ64" s="97"/>
      <c r="AK64" s="97"/>
      <c r="AL64" s="97"/>
      <c r="AM64" s="97"/>
      <c r="AN64" s="97"/>
      <c r="AO64" s="97"/>
    </row>
    <row r="65" spans="4:41">
      <c r="D65" s="3" t="s">
        <v>162</v>
      </c>
      <c r="H65" s="118">
        <f>'Cost Trends'!F22+H21</f>
        <v>163</v>
      </c>
      <c r="J65" s="118">
        <f>'Cost Trends'!G22+J21</f>
        <v>232</v>
      </c>
      <c r="K65" s="108"/>
      <c r="L65" s="118">
        <f>'Cost Trends'!H22+L21</f>
        <v>261</v>
      </c>
      <c r="N65" s="118">
        <f>'Cost Trends'!I22+N21</f>
        <v>285</v>
      </c>
      <c r="P65" s="118">
        <f>'Cost Trends'!J22+P21</f>
        <v>369</v>
      </c>
      <c r="R65" s="118">
        <f>'Cost Trends'!K22+R21</f>
        <v>651</v>
      </c>
      <c r="T65" s="118">
        <f>'Cost Trends'!L22+T21</f>
        <v>653</v>
      </c>
      <c r="W65" s="118">
        <f>'Cost Trends'!M22+W21</f>
        <v>792</v>
      </c>
      <c r="Z65" s="118">
        <f>'Cost Trends'!N22+Z21</f>
        <v>783</v>
      </c>
      <c r="AC65" s="118">
        <f>'Cost Trends'!O22+AC21</f>
        <v>802</v>
      </c>
      <c r="AF65" s="118">
        <f>'Cost Trends'!P22+AF21</f>
        <v>800</v>
      </c>
      <c r="AI65" s="118">
        <f>'Cost Trends'!Q22+AI21</f>
        <v>981</v>
      </c>
      <c r="AL65" s="118">
        <f>'Cost Trends'!R22+AL21</f>
        <v>928</v>
      </c>
      <c r="AO65" s="118">
        <f>'Cost Trends'!S22+AO21</f>
        <v>891</v>
      </c>
    </row>
  </sheetData>
  <mergeCells count="2">
    <mergeCell ref="AJ6:AL6"/>
    <mergeCell ref="AM6:AO6"/>
  </mergeCells>
  <pageMargins left="0.32" right="0.4" top="0.3" bottom="0.36" header="0.3" footer="0.27"/>
  <pageSetup scale="70" orientation="landscape" r:id="rId1"/>
  <headerFooter>
    <oddFooter>&amp;C&amp;F / &amp;A&amp;RPage &amp;P</oddFooter>
  </headerFooter>
  <colBreaks count="1" manualBreakCount="1">
    <brk id="23" max="1048575"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sheetPr>
  <dimension ref="A1:T68"/>
  <sheetViews>
    <sheetView topLeftCell="A25" zoomScaleNormal="100" workbookViewId="0">
      <pane xSplit="11235" topLeftCell="O1" activePane="topRight"/>
      <selection activeCell="G1" sqref="G1"/>
      <selection pane="topRight" activeCell="R66" sqref="R66"/>
    </sheetView>
  </sheetViews>
  <sheetFormatPr defaultRowHeight="12.75"/>
  <cols>
    <col min="1" max="1" width="9" bestFit="1" customWidth="1"/>
    <col min="3" max="3" width="13.42578125" customWidth="1"/>
    <col min="5" max="7" width="11.42578125" bestFit="1" customWidth="1"/>
    <col min="8" max="9" width="10.85546875" bestFit="1" customWidth="1"/>
    <col min="10" max="11" width="11.42578125" bestFit="1" customWidth="1"/>
    <col min="12" max="13" width="10.85546875" bestFit="1" customWidth="1"/>
    <col min="14" max="16" width="11.42578125" bestFit="1" customWidth="1"/>
    <col min="17" max="17" width="11.5703125" bestFit="1" customWidth="1"/>
    <col min="18" max="18" width="11.85546875" customWidth="1"/>
  </cols>
  <sheetData>
    <row r="1" spans="1:18">
      <c r="A1" s="94" t="s">
        <v>137</v>
      </c>
      <c r="B1" s="94"/>
      <c r="C1" s="94"/>
      <c r="D1" s="94"/>
      <c r="E1" s="94"/>
      <c r="F1" s="94"/>
      <c r="G1" s="94"/>
      <c r="H1" s="94"/>
      <c r="I1" s="94"/>
      <c r="J1" s="94"/>
      <c r="K1" s="94"/>
      <c r="L1" s="94"/>
      <c r="M1" s="94"/>
      <c r="N1" s="94"/>
      <c r="O1" s="94"/>
      <c r="P1" s="94"/>
      <c r="Q1" s="94"/>
    </row>
    <row r="2" spans="1:18">
      <c r="A2" s="94" t="s">
        <v>148</v>
      </c>
      <c r="B2" s="94"/>
      <c r="C2" s="94"/>
      <c r="D2" s="94"/>
      <c r="E2" s="94"/>
      <c r="F2" s="94"/>
      <c r="G2" s="94"/>
      <c r="H2" s="94"/>
      <c r="I2" s="94"/>
      <c r="J2" s="94"/>
      <c r="K2" s="94"/>
      <c r="L2" s="94"/>
      <c r="M2" s="94"/>
      <c r="N2" s="94"/>
      <c r="O2" s="94"/>
      <c r="P2" s="94"/>
      <c r="Q2" s="94"/>
    </row>
    <row r="3" spans="1:18">
      <c r="A3" s="94" t="s">
        <v>449</v>
      </c>
      <c r="B3" s="94"/>
      <c r="C3" s="94"/>
      <c r="D3" s="94"/>
      <c r="E3" s="94"/>
      <c r="F3" s="94"/>
      <c r="G3" s="94"/>
      <c r="H3" s="94"/>
      <c r="I3" s="94"/>
      <c r="J3" s="94"/>
      <c r="K3" s="94"/>
      <c r="L3" s="94"/>
      <c r="M3" s="94"/>
      <c r="N3" s="94"/>
      <c r="O3" s="94"/>
      <c r="P3" s="94"/>
      <c r="Q3" s="94"/>
    </row>
    <row r="4" spans="1:18">
      <c r="A4" s="94" t="s">
        <v>138</v>
      </c>
      <c r="B4" s="94"/>
      <c r="C4" s="94"/>
      <c r="D4" s="94"/>
      <c r="E4" s="94"/>
      <c r="F4" s="94"/>
      <c r="G4" s="94"/>
      <c r="H4" s="94"/>
      <c r="I4" s="94"/>
      <c r="J4" s="94"/>
      <c r="K4" s="94"/>
      <c r="L4" s="94"/>
      <c r="M4" s="94"/>
      <c r="N4" s="94"/>
      <c r="O4" s="94"/>
      <c r="P4" s="94"/>
      <c r="Q4" s="94"/>
    </row>
    <row r="5" spans="1:18">
      <c r="A5" s="94"/>
      <c r="B5" s="94"/>
      <c r="C5" s="94"/>
      <c r="D5" s="94"/>
      <c r="E5" s="94"/>
      <c r="F5" s="94"/>
      <c r="G5" s="94"/>
      <c r="H5" s="94"/>
      <c r="I5" s="94"/>
      <c r="J5" s="94"/>
      <c r="K5" s="94"/>
      <c r="L5" s="94"/>
      <c r="M5" s="94"/>
      <c r="N5" s="94"/>
      <c r="O5" s="94"/>
      <c r="P5" s="94"/>
      <c r="Q5" s="94"/>
    </row>
    <row r="6" spans="1:18">
      <c r="A6" s="94"/>
      <c r="B6" s="94"/>
      <c r="C6" s="94"/>
      <c r="D6" s="94"/>
      <c r="E6" s="95">
        <v>2000</v>
      </c>
      <c r="F6" s="95">
        <v>2001</v>
      </c>
      <c r="G6" s="95">
        <v>2002</v>
      </c>
      <c r="H6" s="95">
        <v>2003</v>
      </c>
      <c r="I6" s="95">
        <v>2004</v>
      </c>
      <c r="J6" s="95">
        <v>2005</v>
      </c>
      <c r="K6" s="95">
        <v>2006</v>
      </c>
      <c r="L6" s="95">
        <v>2007</v>
      </c>
      <c r="M6" s="95">
        <v>2008</v>
      </c>
      <c r="N6" s="95">
        <v>2009</v>
      </c>
      <c r="O6" s="95">
        <v>2010</v>
      </c>
      <c r="P6" s="95">
        <v>2011</v>
      </c>
      <c r="Q6" s="95">
        <v>2012</v>
      </c>
      <c r="R6" s="95">
        <v>2013</v>
      </c>
    </row>
    <row r="9" spans="1:18">
      <c r="A9" t="s">
        <v>149</v>
      </c>
    </row>
    <row r="10" spans="1:18">
      <c r="A10" s="22">
        <v>21</v>
      </c>
      <c r="B10" s="24" t="s">
        <v>47</v>
      </c>
      <c r="C10" s="24"/>
      <c r="D10" s="24"/>
      <c r="E10" s="32">
        <v>1027</v>
      </c>
      <c r="F10" s="32">
        <v>1187</v>
      </c>
      <c r="G10" s="32">
        <v>1460</v>
      </c>
      <c r="H10" s="32">
        <v>1522</v>
      </c>
      <c r="I10" s="32">
        <v>1349</v>
      </c>
      <c r="J10" s="32">
        <v>1343</v>
      </c>
      <c r="K10" s="32">
        <v>1282</v>
      </c>
      <c r="L10" s="32">
        <v>683</v>
      </c>
      <c r="M10" s="32">
        <v>1561</v>
      </c>
      <c r="N10" s="32">
        <v>2439</v>
      </c>
      <c r="O10" s="32">
        <v>2628</v>
      </c>
      <c r="P10" s="32">
        <v>2734</v>
      </c>
      <c r="Q10" s="32">
        <v>3276</v>
      </c>
      <c r="R10" s="336">
        <v>3868</v>
      </c>
    </row>
    <row r="11" spans="1:18">
      <c r="A11" s="22">
        <v>22</v>
      </c>
      <c r="B11" s="1" t="s">
        <v>52</v>
      </c>
      <c r="C11" s="1"/>
      <c r="D11" s="24"/>
      <c r="E11" s="32"/>
      <c r="F11" s="32"/>
      <c r="G11" s="32"/>
      <c r="H11" s="32"/>
      <c r="I11" s="32"/>
      <c r="J11" s="32"/>
      <c r="K11" s="32"/>
      <c r="L11" s="32"/>
      <c r="M11" s="32"/>
      <c r="N11" s="32"/>
      <c r="O11" s="32"/>
      <c r="P11" s="32">
        <v>-186</v>
      </c>
      <c r="Q11" s="32">
        <v>171</v>
      </c>
      <c r="R11" s="336">
        <v>91</v>
      </c>
    </row>
    <row r="12" spans="1:18">
      <c r="A12" s="70"/>
    </row>
    <row r="13" spans="1:18">
      <c r="A13" s="70"/>
      <c r="B13" s="70"/>
      <c r="E13" s="96"/>
      <c r="F13" s="96"/>
      <c r="G13" s="96"/>
      <c r="H13" s="96"/>
      <c r="I13" s="96"/>
      <c r="J13" s="96"/>
      <c r="K13" s="96"/>
      <c r="L13" s="96"/>
      <c r="M13" s="96"/>
      <c r="N13" s="96"/>
      <c r="O13" s="96"/>
      <c r="P13" s="96"/>
      <c r="Q13" s="96"/>
    </row>
    <row r="14" spans="1:18">
      <c r="A14" s="70" t="s">
        <v>150</v>
      </c>
      <c r="B14" s="70"/>
      <c r="E14" s="96">
        <v>565</v>
      </c>
      <c r="F14" s="96">
        <v>632</v>
      </c>
      <c r="G14" s="96">
        <v>811</v>
      </c>
      <c r="H14" s="96">
        <v>907</v>
      </c>
      <c r="I14" s="96">
        <f>291+478</f>
        <v>769</v>
      </c>
      <c r="J14" s="96">
        <f>827-54</f>
        <v>773</v>
      </c>
      <c r="K14" s="96">
        <v>903</v>
      </c>
      <c r="L14" s="96">
        <v>1014</v>
      </c>
      <c r="M14" s="96">
        <v>1151</v>
      </c>
      <c r="N14" s="96">
        <v>1220</v>
      </c>
      <c r="O14" s="96">
        <v>1478</v>
      </c>
      <c r="P14" s="96">
        <v>1642</v>
      </c>
      <c r="Q14" s="96">
        <v>1954</v>
      </c>
      <c r="R14" s="96">
        <f>2332+61</f>
        <v>2393</v>
      </c>
    </row>
    <row r="15" spans="1:18">
      <c r="A15" s="70" t="s">
        <v>151</v>
      </c>
      <c r="E15" s="97">
        <f>358+3</f>
        <v>361</v>
      </c>
      <c r="F15" s="97">
        <f>269+3</f>
        <v>272</v>
      </c>
      <c r="G15" s="97">
        <f>355+2</f>
        <v>357</v>
      </c>
      <c r="H15" s="97">
        <f>351+3</f>
        <v>354</v>
      </c>
      <c r="I15" s="97">
        <f>236+6</f>
        <v>242</v>
      </c>
      <c r="J15" s="97">
        <f>419+4</f>
        <v>423</v>
      </c>
      <c r="K15" s="97">
        <f>373+5+1</f>
        <v>379</v>
      </c>
      <c r="L15" s="97">
        <f>478+5</f>
        <v>483</v>
      </c>
      <c r="M15" s="97">
        <f>646+5</f>
        <v>651</v>
      </c>
      <c r="N15" s="97">
        <f>773+5</f>
        <v>778</v>
      </c>
      <c r="O15" s="97">
        <f>16+778+139</f>
        <v>933</v>
      </c>
      <c r="P15" s="97">
        <f>24+1066</f>
        <v>1090</v>
      </c>
      <c r="Q15" s="97">
        <f>1292+26</f>
        <v>1318</v>
      </c>
      <c r="R15">
        <v>1471</v>
      </c>
    </row>
    <row r="16" spans="1:18">
      <c r="A16" s="70" t="s">
        <v>152</v>
      </c>
      <c r="E16" s="97">
        <v>101</v>
      </c>
      <c r="F16" s="97">
        <v>116</v>
      </c>
      <c r="G16" s="97">
        <v>107</v>
      </c>
      <c r="H16" s="97">
        <v>102</v>
      </c>
      <c r="I16" s="97">
        <f>146+23</f>
        <v>169</v>
      </c>
      <c r="J16" s="97">
        <f>139+8</f>
        <v>147</v>
      </c>
      <c r="K16" s="97"/>
      <c r="L16" s="97">
        <v>1</v>
      </c>
      <c r="M16" s="97">
        <v>1</v>
      </c>
      <c r="N16" s="97">
        <v>1</v>
      </c>
      <c r="O16" s="97">
        <v>1</v>
      </c>
      <c r="P16" s="97">
        <v>2</v>
      </c>
      <c r="Q16" s="97">
        <v>4</v>
      </c>
      <c r="R16" s="97">
        <v>4</v>
      </c>
    </row>
    <row r="17" spans="1:18">
      <c r="A17" s="70" t="s">
        <v>153</v>
      </c>
      <c r="E17" s="105">
        <f>SUM(E14:E16)</f>
        <v>1027</v>
      </c>
      <c r="F17" s="105">
        <f t="shared" ref="F17:Q17" si="0">SUM(F14:F16)</f>
        <v>1020</v>
      </c>
      <c r="G17" s="105">
        <f t="shared" si="0"/>
        <v>1275</v>
      </c>
      <c r="H17" s="105">
        <f t="shared" si="0"/>
        <v>1363</v>
      </c>
      <c r="I17" s="105">
        <f t="shared" si="0"/>
        <v>1180</v>
      </c>
      <c r="J17" s="105">
        <f t="shared" si="0"/>
        <v>1343</v>
      </c>
      <c r="K17" s="105">
        <f t="shared" si="0"/>
        <v>1282</v>
      </c>
      <c r="L17" s="105">
        <f t="shared" si="0"/>
        <v>1498</v>
      </c>
      <c r="M17" s="105">
        <f t="shared" si="0"/>
        <v>1803</v>
      </c>
      <c r="N17" s="105">
        <f t="shared" si="0"/>
        <v>1999</v>
      </c>
      <c r="O17" s="105">
        <f t="shared" si="0"/>
        <v>2412</v>
      </c>
      <c r="P17" s="105">
        <f t="shared" si="0"/>
        <v>2734</v>
      </c>
      <c r="Q17" s="105">
        <f t="shared" si="0"/>
        <v>3276</v>
      </c>
      <c r="R17" s="105">
        <f t="shared" ref="R17" si="1">SUM(R14:R16)</f>
        <v>3868</v>
      </c>
    </row>
    <row r="18" spans="1:18">
      <c r="A18" s="70"/>
      <c r="E18" s="98"/>
      <c r="F18" s="97"/>
      <c r="G18" s="97"/>
      <c r="H18" s="97"/>
      <c r="I18" s="97"/>
      <c r="J18" s="97"/>
      <c r="K18" s="97"/>
      <c r="L18" s="97"/>
      <c r="M18" s="97"/>
      <c r="N18" s="97"/>
      <c r="O18" s="97"/>
      <c r="P18" s="97"/>
      <c r="Q18" s="97"/>
      <c r="R18" s="97"/>
    </row>
    <row r="19" spans="1:18">
      <c r="A19" s="70" t="s">
        <v>158</v>
      </c>
      <c r="B19" s="70"/>
      <c r="E19" s="104"/>
      <c r="F19" s="104">
        <v>167</v>
      </c>
      <c r="G19" s="104">
        <v>185</v>
      </c>
      <c r="H19" s="104">
        <v>159</v>
      </c>
      <c r="I19" s="104">
        <v>169</v>
      </c>
      <c r="J19" s="104">
        <v>0</v>
      </c>
      <c r="K19" s="104"/>
      <c r="L19" s="104"/>
      <c r="M19" s="104"/>
      <c r="N19" s="104"/>
      <c r="O19" s="104"/>
      <c r="P19" s="104"/>
      <c r="Q19" s="104"/>
      <c r="R19" s="104"/>
    </row>
    <row r="20" spans="1:18">
      <c r="A20" s="70" t="s">
        <v>155</v>
      </c>
      <c r="B20" s="70"/>
      <c r="E20" s="104"/>
      <c r="F20" s="104"/>
      <c r="G20" s="104"/>
      <c r="H20" s="104"/>
      <c r="I20" s="104"/>
      <c r="J20" s="104"/>
      <c r="K20" s="104"/>
      <c r="L20" s="104"/>
      <c r="M20" s="104"/>
      <c r="N20" s="104"/>
      <c r="O20" s="104"/>
      <c r="P20" s="104">
        <v>-449</v>
      </c>
      <c r="Q20" s="104"/>
      <c r="R20" s="104"/>
    </row>
    <row r="21" spans="1:18">
      <c r="A21" s="70" t="s">
        <v>156</v>
      </c>
      <c r="E21" s="97"/>
      <c r="F21" s="97"/>
      <c r="G21" s="97"/>
      <c r="H21" s="97"/>
      <c r="I21" s="97"/>
      <c r="J21" s="97"/>
      <c r="K21" s="97"/>
      <c r="L21" s="97">
        <v>-900</v>
      </c>
      <c r="M21" s="97">
        <v>-674</v>
      </c>
      <c r="N21" s="97">
        <v>-270</v>
      </c>
      <c r="O21" s="97">
        <v>-278</v>
      </c>
      <c r="P21" s="97">
        <v>-231</v>
      </c>
      <c r="Q21" s="97">
        <v>-13</v>
      </c>
      <c r="R21" s="340">
        <v>91</v>
      </c>
    </row>
    <row r="22" spans="1:18">
      <c r="A22" s="70" t="s">
        <v>157</v>
      </c>
      <c r="D22" s="70" t="s">
        <v>102</v>
      </c>
      <c r="L22">
        <v>85</v>
      </c>
      <c r="M22">
        <v>432</v>
      </c>
      <c r="N22">
        <v>710</v>
      </c>
      <c r="O22">
        <v>494</v>
      </c>
      <c r="P22">
        <v>494</v>
      </c>
      <c r="Q22">
        <v>184</v>
      </c>
      <c r="R22" s="132">
        <v>0</v>
      </c>
    </row>
    <row r="25" spans="1:18">
      <c r="A25" s="70" t="s">
        <v>288</v>
      </c>
      <c r="E25" s="106">
        <f t="shared" ref="E25:P25" si="2">SUM(E19:E24)</f>
        <v>0</v>
      </c>
      <c r="F25" s="106">
        <f t="shared" si="2"/>
        <v>167</v>
      </c>
      <c r="G25" s="106">
        <f t="shared" si="2"/>
        <v>185</v>
      </c>
      <c r="H25" s="106">
        <f t="shared" si="2"/>
        <v>159</v>
      </c>
      <c r="I25" s="106">
        <f t="shared" si="2"/>
        <v>169</v>
      </c>
      <c r="J25" s="106">
        <f t="shared" si="2"/>
        <v>0</v>
      </c>
      <c r="K25" s="106">
        <f t="shared" si="2"/>
        <v>0</v>
      </c>
      <c r="L25" s="106">
        <f t="shared" si="2"/>
        <v>-815</v>
      </c>
      <c r="M25" s="106">
        <f t="shared" si="2"/>
        <v>-242</v>
      </c>
      <c r="N25" s="106">
        <f t="shared" si="2"/>
        <v>440</v>
      </c>
      <c r="O25" s="106">
        <f t="shared" si="2"/>
        <v>216</v>
      </c>
      <c r="P25" s="106">
        <f t="shared" si="2"/>
        <v>-186</v>
      </c>
      <c r="Q25" s="106">
        <f>SUM(Q19:Q24)</f>
        <v>171</v>
      </c>
      <c r="R25" s="106">
        <f>SUM(R19:R24)</f>
        <v>91</v>
      </c>
    </row>
    <row r="27" spans="1:18">
      <c r="B27" s="70" t="s">
        <v>139</v>
      </c>
      <c r="E27" s="96">
        <f>E17+E25</f>
        <v>1027</v>
      </c>
      <c r="F27" s="96">
        <f t="shared" ref="F27:Q27" si="3">F17+F25</f>
        <v>1187</v>
      </c>
      <c r="G27" s="96">
        <f t="shared" si="3"/>
        <v>1460</v>
      </c>
      <c r="H27" s="96">
        <f t="shared" si="3"/>
        <v>1522</v>
      </c>
      <c r="I27" s="96">
        <f t="shared" si="3"/>
        <v>1349</v>
      </c>
      <c r="J27" s="96">
        <f t="shared" si="3"/>
        <v>1343</v>
      </c>
      <c r="K27" s="96">
        <f t="shared" si="3"/>
        <v>1282</v>
      </c>
      <c r="L27" s="96">
        <f t="shared" si="3"/>
        <v>683</v>
      </c>
      <c r="M27" s="96">
        <f t="shared" si="3"/>
        <v>1561</v>
      </c>
      <c r="N27" s="96">
        <f t="shared" si="3"/>
        <v>2439</v>
      </c>
      <c r="O27" s="96">
        <f t="shared" si="3"/>
        <v>2628</v>
      </c>
      <c r="P27" s="96">
        <f t="shared" si="3"/>
        <v>2548</v>
      </c>
      <c r="Q27" s="96">
        <f t="shared" si="3"/>
        <v>3447</v>
      </c>
      <c r="R27" s="96">
        <f>R17+R25</f>
        <v>3959</v>
      </c>
    </row>
    <row r="28" spans="1:18">
      <c r="E28" t="str">
        <f t="shared" ref="E28:Q28" si="4">IF(E27=E10+E11,"","check")</f>
        <v/>
      </c>
      <c r="F28" t="str">
        <f t="shared" si="4"/>
        <v/>
      </c>
      <c r="G28" t="str">
        <f t="shared" si="4"/>
        <v/>
      </c>
      <c r="H28" t="str">
        <f t="shared" si="4"/>
        <v/>
      </c>
      <c r="I28" t="str">
        <f t="shared" si="4"/>
        <v/>
      </c>
      <c r="J28" t="str">
        <f t="shared" si="4"/>
        <v/>
      </c>
      <c r="K28" t="str">
        <f t="shared" si="4"/>
        <v/>
      </c>
      <c r="L28" t="str">
        <f t="shared" si="4"/>
        <v/>
      </c>
      <c r="M28" t="str">
        <f t="shared" si="4"/>
        <v/>
      </c>
      <c r="N28" t="str">
        <f t="shared" si="4"/>
        <v/>
      </c>
      <c r="O28" t="str">
        <f t="shared" si="4"/>
        <v/>
      </c>
      <c r="P28" t="str">
        <f t="shared" si="4"/>
        <v/>
      </c>
      <c r="Q28" t="str">
        <f t="shared" si="4"/>
        <v/>
      </c>
      <c r="R28" t="str">
        <f>IF(R27=R10+R11,"","check")</f>
        <v/>
      </c>
    </row>
    <row r="29" spans="1:18">
      <c r="B29" t="s">
        <v>140</v>
      </c>
    </row>
    <row r="30" spans="1:18">
      <c r="E30" s="96">
        <f>E25-E22</f>
        <v>0</v>
      </c>
      <c r="F30" s="96">
        <f t="shared" ref="F30:Q30" si="5">F25-F22</f>
        <v>167</v>
      </c>
      <c r="G30" s="96">
        <f t="shared" si="5"/>
        <v>185</v>
      </c>
      <c r="H30" s="96">
        <f t="shared" si="5"/>
        <v>159</v>
      </c>
      <c r="I30" s="96">
        <f t="shared" si="5"/>
        <v>169</v>
      </c>
      <c r="J30" s="96">
        <f t="shared" si="5"/>
        <v>0</v>
      </c>
      <c r="K30" s="96">
        <f t="shared" si="5"/>
        <v>0</v>
      </c>
      <c r="L30" s="96">
        <f t="shared" si="5"/>
        <v>-900</v>
      </c>
      <c r="M30" s="96">
        <f t="shared" si="5"/>
        <v>-674</v>
      </c>
      <c r="N30" s="96">
        <f t="shared" si="5"/>
        <v>-270</v>
      </c>
      <c r="O30" s="96">
        <f t="shared" si="5"/>
        <v>-278</v>
      </c>
      <c r="P30" s="96">
        <f t="shared" si="5"/>
        <v>-680</v>
      </c>
      <c r="Q30" s="96">
        <f t="shared" si="5"/>
        <v>-13</v>
      </c>
      <c r="R30" s="96">
        <f>R25-R22</f>
        <v>91</v>
      </c>
    </row>
    <row r="31" spans="1:18">
      <c r="E31" s="96"/>
      <c r="F31" s="96"/>
      <c r="G31" s="96"/>
      <c r="H31" s="96"/>
      <c r="I31" s="96"/>
      <c r="J31" s="96"/>
      <c r="K31" s="96"/>
      <c r="L31" s="96"/>
      <c r="M31" s="96"/>
      <c r="N31" s="96"/>
      <c r="O31" s="96"/>
      <c r="P31" s="96"/>
      <c r="Q31" s="96"/>
      <c r="R31" s="96"/>
    </row>
    <row r="32" spans="1:18">
      <c r="E32" s="95">
        <v>2000</v>
      </c>
      <c r="F32" s="95">
        <v>2001</v>
      </c>
      <c r="G32" s="95">
        <v>2002</v>
      </c>
      <c r="H32" s="95">
        <v>2003</v>
      </c>
      <c r="I32" s="95">
        <v>2004</v>
      </c>
      <c r="J32" s="95">
        <v>2005</v>
      </c>
      <c r="K32" s="95">
        <v>2006</v>
      </c>
      <c r="L32" s="95">
        <v>2007</v>
      </c>
      <c r="M32" s="95">
        <v>2008</v>
      </c>
      <c r="N32" s="95">
        <v>2009</v>
      </c>
      <c r="O32" s="95">
        <v>2010</v>
      </c>
      <c r="P32" s="95">
        <v>2011</v>
      </c>
      <c r="Q32" s="95">
        <v>2012</v>
      </c>
      <c r="R32" s="95">
        <v>2013</v>
      </c>
    </row>
    <row r="33" spans="1:20">
      <c r="A33" s="22"/>
      <c r="B33" s="3" t="s">
        <v>40</v>
      </c>
      <c r="C33" s="3"/>
      <c r="D33" s="3"/>
      <c r="E33" s="32"/>
      <c r="F33" s="32"/>
      <c r="G33" s="32"/>
      <c r="H33" s="32"/>
      <c r="I33" s="32"/>
      <c r="J33" s="32"/>
      <c r="K33" s="32"/>
      <c r="L33" s="32"/>
      <c r="M33" s="32"/>
      <c r="N33" s="32"/>
      <c r="O33" s="32"/>
      <c r="P33" s="32"/>
      <c r="Q33" s="32"/>
      <c r="R33" s="32"/>
    </row>
    <row r="34" spans="1:20">
      <c r="A34" s="22"/>
      <c r="B34" s="3" t="s">
        <v>41</v>
      </c>
      <c r="C34" s="3"/>
      <c r="D34" s="3"/>
      <c r="E34" s="32"/>
      <c r="F34" s="32"/>
      <c r="G34" s="32"/>
      <c r="H34" s="32"/>
      <c r="I34" s="32"/>
      <c r="J34" s="32"/>
      <c r="K34" s="32"/>
      <c r="L34" s="32"/>
      <c r="M34" s="32"/>
      <c r="N34" s="32"/>
      <c r="O34" s="32"/>
      <c r="P34" s="32"/>
      <c r="Q34" s="32"/>
      <c r="R34" s="32"/>
    </row>
    <row r="35" spans="1:20">
      <c r="A35" s="22">
        <v>32</v>
      </c>
      <c r="B35" s="24"/>
      <c r="C35" s="24" t="s">
        <v>16</v>
      </c>
      <c r="D35" s="24"/>
      <c r="E35" s="36">
        <v>13695</v>
      </c>
      <c r="F35" s="36">
        <v>13533</v>
      </c>
      <c r="G35" s="36">
        <v>13439</v>
      </c>
      <c r="H35" s="36">
        <v>13712</v>
      </c>
      <c r="I35" s="36">
        <v>13632</v>
      </c>
      <c r="J35" s="36">
        <v>13708</v>
      </c>
      <c r="K35" s="36">
        <v>13854</v>
      </c>
      <c r="L35" s="36">
        <v>13758</v>
      </c>
      <c r="M35" s="36">
        <v>15260</v>
      </c>
      <c r="N35" s="36">
        <v>21798</v>
      </c>
      <c r="O35" s="36">
        <v>20047</v>
      </c>
      <c r="P35" s="36">
        <v>22008</v>
      </c>
      <c r="Q35" s="36">
        <v>24365</v>
      </c>
      <c r="R35" s="337">
        <v>24711</v>
      </c>
      <c r="S35" s="132"/>
      <c r="T35" s="132"/>
    </row>
    <row r="36" spans="1:20">
      <c r="A36" s="22">
        <v>33</v>
      </c>
      <c r="B36" s="24"/>
      <c r="C36" s="24" t="s">
        <v>33</v>
      </c>
      <c r="D36" s="24"/>
      <c r="E36" s="32">
        <v>172997</v>
      </c>
      <c r="F36" s="32">
        <v>182083</v>
      </c>
      <c r="G36" s="32">
        <v>188021</v>
      </c>
      <c r="H36" s="32">
        <v>194231</v>
      </c>
      <c r="I36" s="32">
        <v>201198</v>
      </c>
      <c r="J36" s="32">
        <v>209825</v>
      </c>
      <c r="K36" s="32">
        <v>220332</v>
      </c>
      <c r="L36" s="32">
        <v>230137</v>
      </c>
      <c r="M36" s="32">
        <v>241177</v>
      </c>
      <c r="N36" s="32">
        <v>254579</v>
      </c>
      <c r="O36" s="32">
        <v>268306</v>
      </c>
      <c r="P36" s="32">
        <v>281279</v>
      </c>
      <c r="Q36" s="32">
        <v>296152</v>
      </c>
      <c r="R36" s="32">
        <v>313469</v>
      </c>
    </row>
    <row r="37" spans="1:20">
      <c r="A37" s="22">
        <v>34</v>
      </c>
      <c r="B37" s="24"/>
      <c r="C37" s="24" t="s">
        <v>34</v>
      </c>
      <c r="D37" s="24"/>
      <c r="E37" s="33">
        <v>14347</v>
      </c>
      <c r="F37" s="33">
        <v>15060</v>
      </c>
      <c r="G37" s="33">
        <v>15368</v>
      </c>
      <c r="H37" s="33">
        <v>16112</v>
      </c>
      <c r="I37" s="33">
        <v>16499</v>
      </c>
      <c r="J37" s="33">
        <v>17878</v>
      </c>
      <c r="K37" s="33">
        <v>20791</v>
      </c>
      <c r="L37" s="33">
        <v>21708</v>
      </c>
      <c r="M37" s="33">
        <v>24256</v>
      </c>
      <c r="N37" s="33">
        <v>27747</v>
      </c>
      <c r="O37" s="33">
        <v>33401</v>
      </c>
      <c r="P37" s="33">
        <v>38971</v>
      </c>
      <c r="Q37" s="33">
        <v>44809</v>
      </c>
      <c r="R37" s="33">
        <v>52223</v>
      </c>
    </row>
    <row r="38" spans="1:20">
      <c r="A38" s="22">
        <v>35</v>
      </c>
      <c r="B38" s="24" t="s">
        <v>35</v>
      </c>
      <c r="C38" s="24"/>
      <c r="D38" s="3"/>
      <c r="E38" s="32">
        <f t="shared" ref="E38" si="6">SUM(E35:E37)</f>
        <v>201039</v>
      </c>
      <c r="F38" s="32">
        <f t="shared" ref="F38:M38" si="7">SUM(F35:F37)</f>
        <v>210676</v>
      </c>
      <c r="G38" s="32">
        <f t="shared" si="7"/>
        <v>216828</v>
      </c>
      <c r="H38" s="32">
        <f t="shared" si="7"/>
        <v>224055</v>
      </c>
      <c r="I38" s="32">
        <f t="shared" si="7"/>
        <v>231329</v>
      </c>
      <c r="J38" s="32">
        <f t="shared" si="7"/>
        <v>241411</v>
      </c>
      <c r="K38" s="32">
        <f t="shared" si="7"/>
        <v>254977</v>
      </c>
      <c r="L38" s="32">
        <f t="shared" si="7"/>
        <v>265603</v>
      </c>
      <c r="M38" s="32">
        <f t="shared" si="7"/>
        <v>280693</v>
      </c>
      <c r="N38" s="32">
        <f>SUM(N35:N37)</f>
        <v>304124</v>
      </c>
      <c r="O38" s="32">
        <f>SUM(O35:O37)</f>
        <v>321754</v>
      </c>
      <c r="P38" s="32">
        <f>SUM(P35:P37)</f>
        <v>342258</v>
      </c>
      <c r="Q38" s="32">
        <f>SUM(Q35:Q37)</f>
        <v>365326</v>
      </c>
      <c r="R38" s="32">
        <f>SUM(R35:R37)</f>
        <v>390403</v>
      </c>
    </row>
    <row r="39" spans="1:20">
      <c r="A39" s="22"/>
      <c r="B39" s="24"/>
      <c r="C39" s="24"/>
      <c r="D39" s="3"/>
      <c r="E39" s="32"/>
      <c r="F39" s="32"/>
      <c r="G39" s="32"/>
      <c r="H39" s="32"/>
      <c r="I39" s="32"/>
      <c r="J39" s="32"/>
      <c r="K39" s="32"/>
      <c r="L39" s="32"/>
      <c r="M39" s="32"/>
      <c r="N39" s="32"/>
      <c r="O39" s="32"/>
      <c r="P39" s="32"/>
      <c r="Q39" s="32"/>
      <c r="R39" s="32"/>
    </row>
    <row r="40" spans="1:20">
      <c r="A40" s="22"/>
      <c r="B40" s="24" t="s">
        <v>49</v>
      </c>
      <c r="C40" s="24"/>
      <c r="D40" s="24"/>
      <c r="E40" s="32"/>
      <c r="F40" s="32"/>
      <c r="G40" s="32"/>
      <c r="H40" s="32"/>
      <c r="I40" s="32"/>
      <c r="J40" s="32"/>
      <c r="K40" s="32"/>
      <c r="L40" s="32"/>
      <c r="M40" s="32"/>
      <c r="N40" s="32"/>
      <c r="O40" s="32"/>
      <c r="P40" s="32"/>
      <c r="Q40" s="32"/>
      <c r="R40" s="32"/>
    </row>
    <row r="41" spans="1:20">
      <c r="A41" s="22">
        <v>36</v>
      </c>
      <c r="B41" s="24"/>
      <c r="C41" s="24" t="s">
        <v>16</v>
      </c>
      <c r="D41" s="24"/>
      <c r="E41" s="32">
        <v>6192</v>
      </c>
      <c r="F41" s="32">
        <v>6220</v>
      </c>
      <c r="G41" s="32">
        <v>6115</v>
      </c>
      <c r="H41" s="32">
        <v>6495</v>
      </c>
      <c r="I41" s="32">
        <v>6659</v>
      </c>
      <c r="J41" s="32">
        <v>6924</v>
      </c>
      <c r="K41" s="32">
        <v>7249</v>
      </c>
      <c r="L41" s="32">
        <v>7427</v>
      </c>
      <c r="M41" s="32">
        <v>7581</v>
      </c>
      <c r="N41" s="32">
        <v>7807</v>
      </c>
      <c r="O41" s="32">
        <v>7912</v>
      </c>
      <c r="P41" s="32">
        <v>8286</v>
      </c>
      <c r="Q41" s="32">
        <v>8677</v>
      </c>
      <c r="R41" s="32">
        <f>8920+168</f>
        <v>9088</v>
      </c>
    </row>
    <row r="42" spans="1:20">
      <c r="A42" s="22">
        <v>37</v>
      </c>
      <c r="B42" s="24"/>
      <c r="C42" s="24" t="s">
        <v>33</v>
      </c>
      <c r="D42" s="24"/>
      <c r="E42" s="32">
        <v>47423</v>
      </c>
      <c r="F42" s="32">
        <v>51645</v>
      </c>
      <c r="G42" s="32">
        <v>55845</v>
      </c>
      <c r="H42" s="32">
        <v>60239</v>
      </c>
      <c r="I42" s="32">
        <v>64817</v>
      </c>
      <c r="J42" s="32">
        <v>69428</v>
      </c>
      <c r="K42" s="32">
        <v>74019</v>
      </c>
      <c r="L42" s="32">
        <v>77997</v>
      </c>
      <c r="M42" s="32">
        <v>81405</v>
      </c>
      <c r="N42" s="32">
        <v>84021</v>
      </c>
      <c r="O42" s="32">
        <v>89620</v>
      </c>
      <c r="P42" s="32">
        <v>97489</v>
      </c>
      <c r="Q42" s="32">
        <v>102678</v>
      </c>
      <c r="R42" s="32">
        <v>108662</v>
      </c>
    </row>
    <row r="43" spans="1:20">
      <c r="A43" s="22">
        <v>38</v>
      </c>
      <c r="B43" s="24"/>
      <c r="C43" s="24" t="s">
        <v>34</v>
      </c>
      <c r="D43" s="24"/>
      <c r="E43" s="32">
        <v>5661</v>
      </c>
      <c r="F43" s="32">
        <v>5695</v>
      </c>
      <c r="G43" s="32">
        <v>6442</v>
      </c>
      <c r="H43" s="32">
        <v>7446</v>
      </c>
      <c r="I43" s="32">
        <v>6984</v>
      </c>
      <c r="J43" s="32">
        <v>7208</v>
      </c>
      <c r="K43" s="32">
        <v>7230</v>
      </c>
      <c r="L43" s="32">
        <v>7136</v>
      </c>
      <c r="M43" s="32">
        <v>8309</v>
      </c>
      <c r="N43" s="32">
        <v>8882</v>
      </c>
      <c r="O43" s="32">
        <v>10722</v>
      </c>
      <c r="P43" s="32">
        <v>10926</v>
      </c>
      <c r="Q43" s="32">
        <v>12186</v>
      </c>
      <c r="R43" s="32">
        <f>10772+113+28+3811</f>
        <v>14724</v>
      </c>
    </row>
    <row r="44" spans="1:20">
      <c r="A44" s="22">
        <v>39</v>
      </c>
      <c r="B44" s="24" t="s">
        <v>53</v>
      </c>
      <c r="C44" s="24"/>
      <c r="D44" s="3"/>
      <c r="E44" s="34">
        <f t="shared" ref="E44:M44" si="8">SUM(E41:E43)</f>
        <v>59276</v>
      </c>
      <c r="F44" s="34">
        <f t="shared" si="8"/>
        <v>63560</v>
      </c>
      <c r="G44" s="34">
        <f t="shared" si="8"/>
        <v>68402</v>
      </c>
      <c r="H44" s="34">
        <f t="shared" si="8"/>
        <v>74180</v>
      </c>
      <c r="I44" s="34">
        <f t="shared" si="8"/>
        <v>78460</v>
      </c>
      <c r="J44" s="34">
        <f t="shared" si="8"/>
        <v>83560</v>
      </c>
      <c r="K44" s="34">
        <f t="shared" si="8"/>
        <v>88498</v>
      </c>
      <c r="L44" s="34">
        <f t="shared" si="8"/>
        <v>92560</v>
      </c>
      <c r="M44" s="34">
        <f t="shared" si="8"/>
        <v>97295</v>
      </c>
      <c r="N44" s="34">
        <f>SUM(N41:N43)</f>
        <v>100710</v>
      </c>
      <c r="O44" s="34">
        <f>SUM(O41:O43)</f>
        <v>108254</v>
      </c>
      <c r="P44" s="34">
        <f>SUM(P41:P43)</f>
        <v>116701</v>
      </c>
      <c r="Q44" s="34">
        <f>SUM(Q41:Q43)</f>
        <v>123541</v>
      </c>
      <c r="R44" s="34">
        <f>SUM(R41:R43)</f>
        <v>132474</v>
      </c>
    </row>
    <row r="45" spans="1:20">
      <c r="A45" s="22">
        <v>40</v>
      </c>
      <c r="B45" s="24" t="s">
        <v>44</v>
      </c>
      <c r="C45" s="24"/>
      <c r="D45" s="24"/>
      <c r="E45" s="35">
        <f t="shared" ref="E45:M45" si="9">E38-E44</f>
        <v>141763</v>
      </c>
      <c r="F45" s="35">
        <f t="shared" si="9"/>
        <v>147116</v>
      </c>
      <c r="G45" s="35">
        <f t="shared" si="9"/>
        <v>148426</v>
      </c>
      <c r="H45" s="35">
        <f t="shared" si="9"/>
        <v>149875</v>
      </c>
      <c r="I45" s="35">
        <f t="shared" si="9"/>
        <v>152869</v>
      </c>
      <c r="J45" s="35">
        <f t="shared" si="9"/>
        <v>157851</v>
      </c>
      <c r="K45" s="35">
        <f t="shared" si="9"/>
        <v>166479</v>
      </c>
      <c r="L45" s="35">
        <f t="shared" si="9"/>
        <v>173043</v>
      </c>
      <c r="M45" s="35">
        <f t="shared" si="9"/>
        <v>183398</v>
      </c>
      <c r="N45" s="35">
        <f>N38-N44</f>
        <v>203414</v>
      </c>
      <c r="O45" s="35">
        <f>O38-O44</f>
        <v>213500</v>
      </c>
      <c r="P45" s="35">
        <f>P38-P44</f>
        <v>225557</v>
      </c>
      <c r="Q45" s="35">
        <f>Q38-Q44</f>
        <v>241785</v>
      </c>
      <c r="R45" s="35">
        <f>R38-R44</f>
        <v>257929</v>
      </c>
    </row>
    <row r="46" spans="1:20">
      <c r="A46" s="25">
        <v>41</v>
      </c>
      <c r="B46" s="26" t="s">
        <v>42</v>
      </c>
      <c r="C46" s="26"/>
      <c r="D46" s="26"/>
      <c r="E46" s="33">
        <v>-13136</v>
      </c>
      <c r="F46" s="33">
        <v>-14312</v>
      </c>
      <c r="G46" s="33">
        <v>-15831</v>
      </c>
      <c r="H46" s="33">
        <v>-22438</v>
      </c>
      <c r="I46" s="33">
        <v>-26715</v>
      </c>
      <c r="J46" s="33">
        <v>-23705</v>
      </c>
      <c r="K46" s="33">
        <v>-24592</v>
      </c>
      <c r="L46" s="33">
        <v>-26754</v>
      </c>
      <c r="M46" s="33">
        <v>-28892</v>
      </c>
      <c r="N46" s="33">
        <v>-30967</v>
      </c>
      <c r="O46" s="33">
        <v>-36762</v>
      </c>
      <c r="P46" s="33">
        <v>-42004</v>
      </c>
      <c r="Q46" s="33">
        <v>-46498</v>
      </c>
      <c r="R46" s="33">
        <f>-49832-338</f>
        <v>-50170</v>
      </c>
    </row>
    <row r="47" spans="1:20">
      <c r="A47" s="25">
        <v>42</v>
      </c>
      <c r="B47" s="26" t="s">
        <v>50</v>
      </c>
      <c r="C47" s="26"/>
      <c r="D47" s="26"/>
      <c r="E47" s="35">
        <f t="shared" ref="E47:M47" si="10">E45+E46</f>
        <v>128627</v>
      </c>
      <c r="F47" s="35">
        <f t="shared" si="10"/>
        <v>132804</v>
      </c>
      <c r="G47" s="35">
        <f t="shared" si="10"/>
        <v>132595</v>
      </c>
      <c r="H47" s="35">
        <f t="shared" si="10"/>
        <v>127437</v>
      </c>
      <c r="I47" s="35">
        <f t="shared" si="10"/>
        <v>126154</v>
      </c>
      <c r="J47" s="35">
        <f t="shared" si="10"/>
        <v>134146</v>
      </c>
      <c r="K47" s="35">
        <f t="shared" si="10"/>
        <v>141887</v>
      </c>
      <c r="L47" s="35">
        <f t="shared" si="10"/>
        <v>146289</v>
      </c>
      <c r="M47" s="35">
        <f t="shared" si="10"/>
        <v>154506</v>
      </c>
      <c r="N47" s="35">
        <f>N45+N46</f>
        <v>172447</v>
      </c>
      <c r="O47" s="35">
        <f>O45+O46</f>
        <v>176738</v>
      </c>
      <c r="P47" s="35">
        <f>P45+P46</f>
        <v>183553</v>
      </c>
      <c r="Q47" s="35">
        <f>Q45+Q46</f>
        <v>195287</v>
      </c>
      <c r="R47" s="35">
        <f>R45+R46</f>
        <v>207759</v>
      </c>
    </row>
    <row r="48" spans="1:20">
      <c r="A48" s="22">
        <v>43</v>
      </c>
      <c r="B48" s="24" t="s">
        <v>36</v>
      </c>
      <c r="C48" s="24"/>
      <c r="D48" s="24"/>
      <c r="E48" s="32">
        <v>2810</v>
      </c>
      <c r="F48" s="32">
        <v>3190</v>
      </c>
      <c r="G48" s="32">
        <v>4191</v>
      </c>
      <c r="H48" s="32">
        <v>4568</v>
      </c>
      <c r="I48" s="32">
        <v>4807</v>
      </c>
      <c r="J48" s="32">
        <v>6936</v>
      </c>
      <c r="K48" s="32">
        <v>7628</v>
      </c>
      <c r="L48" s="32">
        <v>5607</v>
      </c>
      <c r="M48" s="32">
        <v>15327</v>
      </c>
      <c r="N48" s="32">
        <v>8440</v>
      </c>
      <c r="O48" s="32">
        <v>10226</v>
      </c>
      <c r="P48" s="32">
        <v>13753</v>
      </c>
      <c r="Q48" s="32">
        <v>13107</v>
      </c>
      <c r="R48" s="32">
        <f>4027+7675</f>
        <v>11702</v>
      </c>
    </row>
    <row r="49" spans="1:18">
      <c r="A49" s="25">
        <v>44</v>
      </c>
      <c r="B49" s="26" t="s">
        <v>37</v>
      </c>
      <c r="C49" s="26"/>
      <c r="D49" s="26"/>
      <c r="E49" s="35">
        <v>-517</v>
      </c>
      <c r="F49" s="35">
        <v>-470</v>
      </c>
      <c r="G49" s="35">
        <v>-424</v>
      </c>
      <c r="H49" s="35">
        <v>-378</v>
      </c>
      <c r="I49" s="35">
        <v>-243</v>
      </c>
      <c r="J49" s="35">
        <v>-286</v>
      </c>
      <c r="K49" s="35">
        <v>-153</v>
      </c>
      <c r="L49" s="35">
        <v>-197</v>
      </c>
      <c r="M49" s="35">
        <v>-152</v>
      </c>
      <c r="N49" s="35">
        <v>-109</v>
      </c>
      <c r="O49" s="35">
        <v>-44</v>
      </c>
      <c r="P49" s="35">
        <v>-14</v>
      </c>
      <c r="Q49" s="35">
        <v>0</v>
      </c>
      <c r="R49" s="35">
        <v>0</v>
      </c>
    </row>
    <row r="50" spans="1:18">
      <c r="A50" s="25">
        <v>45</v>
      </c>
      <c r="B50" s="26" t="s">
        <v>54</v>
      </c>
      <c r="C50" s="26"/>
      <c r="D50" s="26"/>
      <c r="E50" s="35"/>
      <c r="F50" s="35"/>
      <c r="G50" s="35"/>
      <c r="H50" s="35"/>
      <c r="I50" s="35"/>
      <c r="J50" s="35"/>
      <c r="K50" s="35"/>
      <c r="L50" s="35"/>
      <c r="M50" s="35"/>
      <c r="N50" s="35"/>
      <c r="O50" s="35"/>
      <c r="P50" s="35">
        <v>-1012</v>
      </c>
      <c r="Q50" s="35">
        <v>-816</v>
      </c>
      <c r="R50" s="35">
        <f>-12-320</f>
        <v>-332</v>
      </c>
    </row>
    <row r="51" spans="1:18">
      <c r="A51" s="22">
        <v>46</v>
      </c>
      <c r="B51" s="24" t="s">
        <v>45</v>
      </c>
      <c r="C51" s="24"/>
      <c r="D51" s="24"/>
      <c r="E51" s="33">
        <v>0</v>
      </c>
      <c r="F51" s="33">
        <v>0</v>
      </c>
      <c r="G51" s="33">
        <v>0</v>
      </c>
      <c r="H51" s="33">
        <v>0</v>
      </c>
      <c r="I51" s="33">
        <v>0</v>
      </c>
      <c r="J51" s="33">
        <v>0</v>
      </c>
      <c r="K51" s="33">
        <v>0</v>
      </c>
      <c r="L51" s="33">
        <v>0</v>
      </c>
      <c r="M51" s="33">
        <v>0</v>
      </c>
      <c r="N51" s="33">
        <v>0</v>
      </c>
      <c r="O51" s="33">
        <v>0</v>
      </c>
      <c r="P51" s="33">
        <v>0</v>
      </c>
      <c r="Q51" s="33">
        <v>0</v>
      </c>
      <c r="R51" s="33">
        <v>5695</v>
      </c>
    </row>
    <row r="52" spans="1:18">
      <c r="A52" s="22"/>
      <c r="B52" s="3"/>
      <c r="C52" s="3"/>
      <c r="D52" s="3"/>
      <c r="E52" s="4"/>
      <c r="F52" s="4"/>
      <c r="G52" s="4"/>
      <c r="H52" s="4"/>
      <c r="I52" s="4"/>
      <c r="J52" s="4"/>
      <c r="K52" s="4"/>
      <c r="L52" s="4"/>
      <c r="M52" s="4"/>
      <c r="N52" s="4"/>
      <c r="O52" s="4"/>
      <c r="P52" s="4"/>
      <c r="Q52" s="4"/>
      <c r="R52" s="4"/>
    </row>
    <row r="53" spans="1:18">
      <c r="A53" s="22"/>
      <c r="B53" s="3"/>
      <c r="C53" s="3"/>
      <c r="D53" s="3"/>
      <c r="E53" s="32"/>
      <c r="F53" s="32"/>
      <c r="G53" s="32"/>
      <c r="H53" s="32"/>
      <c r="I53" s="32"/>
      <c r="J53" s="32"/>
      <c r="K53" s="32"/>
      <c r="L53" s="32"/>
      <c r="M53" s="32"/>
      <c r="N53" s="32"/>
      <c r="O53" s="32"/>
      <c r="P53" s="32"/>
      <c r="Q53" s="32"/>
      <c r="R53" s="32"/>
    </row>
    <row r="54" spans="1:18" ht="13.5" thickBot="1">
      <c r="A54" s="5">
        <v>47</v>
      </c>
      <c r="B54" s="37" t="s">
        <v>38</v>
      </c>
      <c r="C54" s="37"/>
      <c r="D54" s="37"/>
      <c r="E54" s="38">
        <f t="shared" ref="E54:M54" si="11">SUM(E47:E51)</f>
        <v>130920</v>
      </c>
      <c r="F54" s="38">
        <f t="shared" si="11"/>
        <v>135524</v>
      </c>
      <c r="G54" s="38">
        <f t="shared" si="11"/>
        <v>136362</v>
      </c>
      <c r="H54" s="38">
        <f t="shared" si="11"/>
        <v>131627</v>
      </c>
      <c r="I54" s="38">
        <f t="shared" si="11"/>
        <v>130718</v>
      </c>
      <c r="J54" s="38">
        <f t="shared" si="11"/>
        <v>140796</v>
      </c>
      <c r="K54" s="38">
        <f t="shared" si="11"/>
        <v>149362</v>
      </c>
      <c r="L54" s="38">
        <f t="shared" si="11"/>
        <v>151699</v>
      </c>
      <c r="M54" s="38">
        <f t="shared" si="11"/>
        <v>169681</v>
      </c>
      <c r="N54" s="38">
        <f>SUM(N47:N51)</f>
        <v>180778</v>
      </c>
      <c r="O54" s="38">
        <f>SUM(O47:O51)</f>
        <v>186920</v>
      </c>
      <c r="P54" s="38">
        <f>SUM(P47:P51)</f>
        <v>196280</v>
      </c>
      <c r="Q54" s="38">
        <f>SUM(Q47:Q51)</f>
        <v>207578</v>
      </c>
      <c r="R54" s="38">
        <f>SUM(R47:R51)</f>
        <v>224824</v>
      </c>
    </row>
    <row r="55" spans="1:18" ht="13.5" thickTop="1">
      <c r="A55" s="99"/>
      <c r="B55" s="100"/>
      <c r="C55" s="100"/>
      <c r="D55" s="100"/>
      <c r="E55" s="107"/>
      <c r="F55" s="101"/>
      <c r="G55" s="101"/>
      <c r="H55" s="101"/>
      <c r="I55" s="101"/>
      <c r="J55" s="101"/>
      <c r="K55" s="101"/>
      <c r="L55" s="101"/>
      <c r="M55" s="101"/>
      <c r="N55" s="101"/>
      <c r="O55" s="101"/>
      <c r="P55" s="101"/>
      <c r="Q55" s="101"/>
    </row>
    <row r="56" spans="1:18">
      <c r="E56" t="str">
        <f>IF('Cost Trends'!F91=E54,"","check total")</f>
        <v/>
      </c>
      <c r="F56" t="str">
        <f>IF('Cost Trends'!G91=F54,"","check total")</f>
        <v/>
      </c>
      <c r="G56" t="str">
        <f>IF('Cost Trends'!H91=G54,"","check total")</f>
        <v/>
      </c>
      <c r="H56" t="str">
        <f>IF('Cost Trends'!I91=H54,"","check total")</f>
        <v/>
      </c>
      <c r="I56" t="str">
        <f>IF('Cost Trends'!J91=I54,"","check total")</f>
        <v/>
      </c>
      <c r="J56" t="str">
        <f>IF('Cost Trends'!K91=J54,"","check total")</f>
        <v/>
      </c>
      <c r="K56" t="str">
        <f>IF('Cost Trends'!L91=K54,"","check total")</f>
        <v/>
      </c>
      <c r="L56" t="str">
        <f>IF('Cost Trends'!M91=L54,"","check total")</f>
        <v/>
      </c>
      <c r="M56" t="str">
        <f>IF('Cost Trends'!N91=M54,"","check total")</f>
        <v/>
      </c>
      <c r="N56" t="str">
        <f>IF('Cost Trends'!O91=N54,"","check total")</f>
        <v/>
      </c>
      <c r="O56" t="str">
        <f>IF('Cost Trends'!P91=O54,"","check total")</f>
        <v/>
      </c>
      <c r="P56" t="str">
        <f>IF('Cost Trends'!Q91=P54,"","check total")</f>
        <v/>
      </c>
      <c r="Q56" t="str">
        <f>IF('Cost Trends'!R91=Q54,"","check total")</f>
        <v/>
      </c>
    </row>
    <row r="58" spans="1:18">
      <c r="B58" s="102" t="s">
        <v>141</v>
      </c>
    </row>
    <row r="59" spans="1:18">
      <c r="A59" s="70" t="s">
        <v>143</v>
      </c>
      <c r="D59" s="103" t="s">
        <v>144</v>
      </c>
      <c r="E59" s="97">
        <v>181</v>
      </c>
      <c r="F59" s="97">
        <v>164</v>
      </c>
      <c r="G59" s="97">
        <v>148</v>
      </c>
      <c r="H59" s="97">
        <v>132</v>
      </c>
      <c r="I59" s="97">
        <v>85</v>
      </c>
      <c r="J59" s="97">
        <v>100</v>
      </c>
      <c r="K59" s="97">
        <v>53</v>
      </c>
      <c r="L59" s="97">
        <v>69</v>
      </c>
      <c r="M59" s="97">
        <v>53</v>
      </c>
      <c r="N59" s="97">
        <v>38</v>
      </c>
      <c r="O59" s="97">
        <v>0</v>
      </c>
      <c r="P59" s="97">
        <v>0</v>
      </c>
      <c r="Q59" s="97">
        <v>0</v>
      </c>
      <c r="R59" s="97">
        <v>0</v>
      </c>
    </row>
    <row r="60" spans="1:18">
      <c r="A60" s="70" t="s">
        <v>154</v>
      </c>
      <c r="D60" s="103" t="s">
        <v>146</v>
      </c>
      <c r="E60" s="97">
        <v>3576</v>
      </c>
      <c r="F60" s="97">
        <v>3142</v>
      </c>
      <c r="G60" s="97">
        <v>2709</v>
      </c>
      <c r="H60" s="97">
        <v>2275</v>
      </c>
      <c r="I60" s="97">
        <v>1120</v>
      </c>
      <c r="J60" s="97">
        <v>1457</v>
      </c>
      <c r="K60" s="97">
        <v>1120</v>
      </c>
      <c r="L60" s="97">
        <v>784</v>
      </c>
      <c r="M60" s="97">
        <v>448</v>
      </c>
      <c r="N60" s="97">
        <v>0</v>
      </c>
      <c r="O60" s="97">
        <v>0</v>
      </c>
      <c r="P60" s="97">
        <v>0</v>
      </c>
      <c r="Q60" s="97">
        <v>0</v>
      </c>
      <c r="R60" s="97">
        <v>0</v>
      </c>
    </row>
    <row r="61" spans="1:18">
      <c r="A61" s="70" t="s">
        <v>145</v>
      </c>
      <c r="D61" s="103" t="s">
        <v>146</v>
      </c>
      <c r="E61" s="97">
        <v>-15</v>
      </c>
      <c r="F61" s="97">
        <v>-2</v>
      </c>
      <c r="G61" s="97">
        <v>-2</v>
      </c>
      <c r="H61" s="97">
        <v>-14</v>
      </c>
      <c r="I61" s="97">
        <v>-1</v>
      </c>
      <c r="J61" s="97">
        <v>-28</v>
      </c>
      <c r="K61" s="97">
        <v>-75</v>
      </c>
      <c r="L61" s="97">
        <v>-64</v>
      </c>
      <c r="M61" s="97">
        <v>-49</v>
      </c>
      <c r="N61" s="97">
        <v>-38</v>
      </c>
      <c r="O61" s="97">
        <v>-31</v>
      </c>
      <c r="P61" s="97">
        <v>-22</v>
      </c>
      <c r="Q61" s="97">
        <v>-18</v>
      </c>
      <c r="R61" s="97">
        <v>-12</v>
      </c>
    </row>
    <row r="62" spans="1:18">
      <c r="A62" s="70" t="s">
        <v>147</v>
      </c>
      <c r="D62" s="103" t="s">
        <v>146</v>
      </c>
      <c r="E62" s="97"/>
      <c r="F62" s="97"/>
      <c r="G62" s="97"/>
      <c r="H62" s="97"/>
      <c r="I62" s="97"/>
      <c r="J62" s="97"/>
      <c r="K62" s="97"/>
      <c r="L62" s="97"/>
      <c r="M62" s="97"/>
      <c r="N62" s="97">
        <v>-1359</v>
      </c>
      <c r="O62" s="97">
        <v>-1132</v>
      </c>
      <c r="P62" s="97">
        <v>-990</v>
      </c>
      <c r="Q62" s="97">
        <v>-798</v>
      </c>
      <c r="R62" s="97">
        <v>-320</v>
      </c>
    </row>
    <row r="63" spans="1:18">
      <c r="A63" s="70"/>
    </row>
    <row r="64" spans="1:18">
      <c r="A64" s="70" t="s">
        <v>5</v>
      </c>
      <c r="E64" s="96">
        <f t="shared" ref="E64:R64" si="12">SUM(E59:E62)</f>
        <v>3742</v>
      </c>
      <c r="F64" s="96">
        <f t="shared" si="12"/>
        <v>3304</v>
      </c>
      <c r="G64" s="96">
        <f t="shared" si="12"/>
        <v>2855</v>
      </c>
      <c r="H64" s="96">
        <f t="shared" si="12"/>
        <v>2393</v>
      </c>
      <c r="I64" s="96">
        <f t="shared" si="12"/>
        <v>1204</v>
      </c>
      <c r="J64" s="96">
        <f t="shared" si="12"/>
        <v>1529</v>
      </c>
      <c r="K64" s="96">
        <f t="shared" si="12"/>
        <v>1098</v>
      </c>
      <c r="L64" s="96">
        <f t="shared" si="12"/>
        <v>789</v>
      </c>
      <c r="M64" s="96">
        <f t="shared" si="12"/>
        <v>452</v>
      </c>
      <c r="N64" s="96">
        <f t="shared" si="12"/>
        <v>-1359</v>
      </c>
      <c r="O64" s="96">
        <f t="shared" si="12"/>
        <v>-1163</v>
      </c>
      <c r="P64" s="96">
        <f t="shared" si="12"/>
        <v>-1012</v>
      </c>
      <c r="Q64" s="96">
        <f t="shared" si="12"/>
        <v>-816</v>
      </c>
      <c r="R64" s="96">
        <f t="shared" si="12"/>
        <v>-332</v>
      </c>
    </row>
    <row r="65" spans="1:18">
      <c r="A65" s="70"/>
      <c r="E65" s="96"/>
      <c r="F65" s="96"/>
      <c r="G65" s="96"/>
      <c r="H65" s="96"/>
      <c r="I65" s="96"/>
      <c r="J65" s="96"/>
      <c r="K65" s="96"/>
      <c r="L65" s="96"/>
      <c r="M65" s="96"/>
      <c r="N65" s="96"/>
      <c r="O65" s="96"/>
      <c r="P65" s="96"/>
      <c r="Q65" s="96"/>
    </row>
    <row r="66" spans="1:18">
      <c r="A66" s="70" t="s">
        <v>33</v>
      </c>
      <c r="E66" s="96">
        <f>SUM(E60:E62)</f>
        <v>3561</v>
      </c>
      <c r="F66" s="96">
        <f t="shared" ref="F66:O66" si="13">SUM(F60:F62)</f>
        <v>3140</v>
      </c>
      <c r="G66" s="96">
        <f t="shared" si="13"/>
        <v>2707</v>
      </c>
      <c r="H66" s="96">
        <f t="shared" si="13"/>
        <v>2261</v>
      </c>
      <c r="I66" s="96">
        <f t="shared" si="13"/>
        <v>1119</v>
      </c>
      <c r="J66" s="96">
        <f t="shared" si="13"/>
        <v>1429</v>
      </c>
      <c r="K66" s="96">
        <f t="shared" si="13"/>
        <v>1045</v>
      </c>
      <c r="L66" s="96">
        <f t="shared" si="13"/>
        <v>720</v>
      </c>
      <c r="M66" s="96">
        <f t="shared" si="13"/>
        <v>399</v>
      </c>
      <c r="N66" s="96">
        <f t="shared" si="13"/>
        <v>-1397</v>
      </c>
      <c r="O66" s="96">
        <f t="shared" si="13"/>
        <v>-1163</v>
      </c>
      <c r="P66" s="96"/>
      <c r="Q66" s="96"/>
    </row>
    <row r="67" spans="1:18">
      <c r="A67" s="70" t="s">
        <v>144</v>
      </c>
      <c r="E67" s="96">
        <f>E59</f>
        <v>181</v>
      </c>
      <c r="F67" s="96">
        <f t="shared" ref="F67:O67" si="14">F59</f>
        <v>164</v>
      </c>
      <c r="G67" s="96">
        <f t="shared" si="14"/>
        <v>148</v>
      </c>
      <c r="H67" s="96">
        <f t="shared" si="14"/>
        <v>132</v>
      </c>
      <c r="I67" s="96">
        <f t="shared" si="14"/>
        <v>85</v>
      </c>
      <c r="J67" s="96">
        <f t="shared" si="14"/>
        <v>100</v>
      </c>
      <c r="K67" s="96">
        <f t="shared" si="14"/>
        <v>53</v>
      </c>
      <c r="L67" s="96">
        <f t="shared" si="14"/>
        <v>69</v>
      </c>
      <c r="M67" s="96">
        <f t="shared" si="14"/>
        <v>53</v>
      </c>
      <c r="N67" s="96">
        <f t="shared" si="14"/>
        <v>38</v>
      </c>
      <c r="O67" s="96">
        <f t="shared" si="14"/>
        <v>0</v>
      </c>
      <c r="P67" s="96"/>
      <c r="Q67" s="96"/>
    </row>
    <row r="68" spans="1:18">
      <c r="A68" s="70" t="s">
        <v>142</v>
      </c>
      <c r="E68" s="96"/>
      <c r="F68" s="96"/>
      <c r="G68" s="96"/>
      <c r="H68" s="96"/>
      <c r="I68" s="96"/>
      <c r="J68" s="96"/>
      <c r="K68" s="96"/>
      <c r="L68" s="96"/>
      <c r="M68" s="96"/>
      <c r="N68" s="96"/>
      <c r="O68" s="96"/>
      <c r="P68" s="96">
        <f>SUM(P59:P62)</f>
        <v>-1012</v>
      </c>
      <c r="Q68" s="96">
        <f>SUM(Q59:Q62)</f>
        <v>-816</v>
      </c>
      <c r="R68" s="96">
        <f>SUM(R59:R62)</f>
        <v>-332</v>
      </c>
    </row>
  </sheetData>
  <pageMargins left="0.7" right="0.7" top="0.75" bottom="0.75" header="0.3" footer="0.55000000000000004"/>
  <pageSetup scale="67" orientation="landscape" r:id="rId1"/>
  <headerFooter>
    <oddFooter>&amp;C&amp;F / &amp;A&amp;RPage &amp;P</oddFooter>
  </headerFooter>
  <rowBreaks count="1" manualBreakCount="1">
    <brk id="30" max="16383"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sheetPr>
  <dimension ref="A1:J281"/>
  <sheetViews>
    <sheetView view="pageBreakPreview" zoomScale="115" zoomScaleNormal="100" zoomScaleSheetLayoutView="115" workbookViewId="0">
      <selection activeCell="R283" sqref="R283"/>
    </sheetView>
  </sheetViews>
  <sheetFormatPr defaultRowHeight="12.75"/>
  <cols>
    <col min="2" max="2" width="31" customWidth="1"/>
    <col min="3" max="3" width="15.5703125" customWidth="1"/>
    <col min="4" max="4" width="14" customWidth="1"/>
    <col min="5" max="5" width="15.85546875" customWidth="1"/>
    <col min="6" max="6" width="15.5703125" customWidth="1"/>
    <col min="7" max="7" width="15.42578125" customWidth="1"/>
    <col min="8" max="8" width="13.42578125" customWidth="1"/>
    <col min="9" max="9" width="15.140625" customWidth="1"/>
    <col min="10" max="10" width="15.5703125" customWidth="1"/>
  </cols>
  <sheetData>
    <row r="1" spans="1:10" ht="13.35" customHeight="1">
      <c r="A1" s="483" t="s">
        <v>436</v>
      </c>
      <c r="B1" s="483"/>
      <c r="C1" s="483"/>
      <c r="D1" s="483"/>
      <c r="E1" s="483"/>
      <c r="F1" s="483"/>
      <c r="G1" s="483"/>
      <c r="H1" s="483"/>
      <c r="I1" s="483"/>
      <c r="J1" s="483"/>
    </row>
    <row r="2" spans="1:10">
      <c r="A2" s="483"/>
      <c r="B2" s="483"/>
      <c r="C2" s="483"/>
      <c r="D2" s="483"/>
      <c r="E2" s="483"/>
      <c r="F2" s="483"/>
      <c r="G2" s="483"/>
      <c r="H2" s="483"/>
      <c r="I2" s="483"/>
      <c r="J2" s="483"/>
    </row>
    <row r="3" spans="1:10">
      <c r="A3" s="483"/>
      <c r="B3" s="483"/>
      <c r="C3" s="483"/>
      <c r="D3" s="483"/>
      <c r="E3" s="483"/>
      <c r="F3" s="483"/>
      <c r="G3" s="483"/>
      <c r="H3" s="483"/>
      <c r="I3" s="483"/>
      <c r="J3" s="483"/>
    </row>
    <row r="4" spans="1:10">
      <c r="A4" s="483"/>
      <c r="B4" s="483"/>
      <c r="C4" s="483"/>
      <c r="D4" s="483"/>
      <c r="E4" s="483"/>
      <c r="F4" s="483"/>
      <c r="G4" s="483"/>
      <c r="H4" s="483"/>
      <c r="I4" s="483"/>
      <c r="J4" s="483"/>
    </row>
    <row r="5" spans="1:10">
      <c r="A5" s="335"/>
      <c r="B5" s="335"/>
      <c r="C5" s="335"/>
      <c r="D5" s="272"/>
      <c r="E5" s="272"/>
      <c r="F5" s="272"/>
      <c r="G5" s="272"/>
      <c r="H5" s="272"/>
      <c r="I5" s="272"/>
      <c r="J5" s="272"/>
    </row>
    <row r="6" spans="1:10">
      <c r="A6" s="271"/>
      <c r="B6" s="272"/>
      <c r="C6" s="272"/>
      <c r="D6" s="272"/>
      <c r="E6" s="272"/>
      <c r="F6" s="272"/>
      <c r="G6" s="272"/>
      <c r="H6" s="272"/>
      <c r="I6" s="272"/>
      <c r="J6" s="273" t="s">
        <v>325</v>
      </c>
    </row>
    <row r="7" spans="1:10">
      <c r="A7" s="271"/>
      <c r="B7" s="272"/>
      <c r="C7" s="272"/>
      <c r="D7" s="272"/>
      <c r="E7" s="272"/>
      <c r="F7" s="272"/>
      <c r="G7" s="272"/>
      <c r="H7" s="272"/>
      <c r="I7" s="272"/>
      <c r="J7" s="273" t="s">
        <v>326</v>
      </c>
    </row>
    <row r="8" spans="1:10">
      <c r="A8" s="274" t="s">
        <v>327</v>
      </c>
      <c r="B8" s="273"/>
      <c r="C8" s="273" t="s">
        <v>328</v>
      </c>
      <c r="D8" s="273" t="s">
        <v>329</v>
      </c>
      <c r="E8" s="273" t="s">
        <v>330</v>
      </c>
      <c r="F8" s="273" t="s">
        <v>331</v>
      </c>
      <c r="G8" s="273" t="s">
        <v>332</v>
      </c>
      <c r="H8" s="273" t="s">
        <v>325</v>
      </c>
      <c r="I8" s="273" t="s">
        <v>325</v>
      </c>
      <c r="J8" s="273" t="s">
        <v>333</v>
      </c>
    </row>
    <row r="9" spans="1:10">
      <c r="A9" s="274" t="s">
        <v>334</v>
      </c>
      <c r="B9" s="275"/>
      <c r="C9" s="275" t="s">
        <v>335</v>
      </c>
      <c r="D9" s="275" t="s">
        <v>336</v>
      </c>
      <c r="E9" s="275" t="s">
        <v>337</v>
      </c>
      <c r="F9" s="275" t="s">
        <v>338</v>
      </c>
      <c r="G9" s="275" t="s">
        <v>339</v>
      </c>
      <c r="H9" s="275" t="s">
        <v>340</v>
      </c>
      <c r="I9" s="275" t="s">
        <v>341</v>
      </c>
      <c r="J9" s="275" t="s">
        <v>342</v>
      </c>
    </row>
    <row r="10" spans="1:10">
      <c r="A10" s="271"/>
      <c r="B10" s="276" t="s">
        <v>343</v>
      </c>
      <c r="C10" s="272"/>
      <c r="D10" s="272"/>
      <c r="E10" s="272"/>
      <c r="F10" s="272"/>
      <c r="G10" s="272"/>
      <c r="H10" s="272"/>
      <c r="I10" s="272"/>
      <c r="J10" s="272"/>
    </row>
    <row r="11" spans="1:10">
      <c r="A11" s="271"/>
      <c r="B11" s="277" t="s">
        <v>344</v>
      </c>
      <c r="C11" s="272"/>
      <c r="D11" s="272"/>
      <c r="E11" s="272"/>
      <c r="F11" s="272"/>
      <c r="G11" s="272"/>
      <c r="H11" s="272"/>
      <c r="I11" s="272"/>
      <c r="J11" s="272"/>
    </row>
    <row r="12" spans="1:10">
      <c r="A12" s="271" t="s">
        <v>345</v>
      </c>
      <c r="B12" s="272" t="s">
        <v>346</v>
      </c>
      <c r="C12" s="278"/>
      <c r="D12" s="278">
        <v>70810621.492195159</v>
      </c>
      <c r="E12" s="278">
        <v>5350871.8954175152</v>
      </c>
      <c r="F12" s="278">
        <v>167806</v>
      </c>
      <c r="G12" s="278">
        <v>240000</v>
      </c>
      <c r="H12" s="278">
        <v>7701806.5454545459</v>
      </c>
      <c r="I12" s="278">
        <v>20680039</v>
      </c>
      <c r="J12" s="278">
        <v>9884465</v>
      </c>
    </row>
    <row r="13" spans="1:10">
      <c r="A13" s="271" t="s">
        <v>345</v>
      </c>
      <c r="B13" s="272" t="s">
        <v>347</v>
      </c>
      <c r="C13" s="278"/>
      <c r="D13" s="278">
        <v>40377560.507804818</v>
      </c>
      <c r="E13" s="278">
        <v>14060568.973229647</v>
      </c>
      <c r="F13" s="278">
        <v>167500</v>
      </c>
      <c r="G13" s="278">
        <v>355573</v>
      </c>
      <c r="H13" s="278">
        <v>7009830</v>
      </c>
      <c r="I13" s="278">
        <v>7038252</v>
      </c>
      <c r="J13" s="278"/>
    </row>
    <row r="14" spans="1:10">
      <c r="A14" s="271" t="s">
        <v>345</v>
      </c>
      <c r="B14" s="272" t="s">
        <v>348</v>
      </c>
      <c r="C14" s="278"/>
      <c r="D14" s="278"/>
      <c r="E14" s="278">
        <v>24531426.131352834</v>
      </c>
      <c r="F14" s="278">
        <v>2773321</v>
      </c>
      <c r="G14" s="278">
        <v>409932</v>
      </c>
      <c r="H14" s="278">
        <v>11055056</v>
      </c>
      <c r="I14" s="278">
        <v>1732425</v>
      </c>
      <c r="J14" s="278"/>
    </row>
    <row r="15" spans="1:10">
      <c r="A15" s="271" t="s">
        <v>345</v>
      </c>
      <c r="B15" s="272" t="s">
        <v>349</v>
      </c>
      <c r="C15" s="278"/>
      <c r="D15" s="278"/>
      <c r="E15" s="278"/>
      <c r="F15" s="278">
        <v>1692856</v>
      </c>
      <c r="G15" s="278">
        <v>217933</v>
      </c>
      <c r="H15" s="278">
        <v>2632118</v>
      </c>
      <c r="I15" s="278">
        <v>6129422</v>
      </c>
      <c r="J15" s="278"/>
    </row>
    <row r="16" spans="1:10">
      <c r="A16" s="271" t="s">
        <v>345</v>
      </c>
      <c r="B16" s="272" t="s">
        <v>350</v>
      </c>
      <c r="C16" s="278"/>
      <c r="D16" s="278"/>
      <c r="E16" s="278"/>
      <c r="F16" s="278">
        <v>828325</v>
      </c>
      <c r="G16" s="278"/>
      <c r="H16" s="278">
        <v>357297</v>
      </c>
      <c r="I16" s="278">
        <v>740739</v>
      </c>
      <c r="J16" s="278"/>
    </row>
    <row r="17" spans="1:10">
      <c r="A17" s="271"/>
      <c r="B17" s="272"/>
      <c r="C17" s="279"/>
      <c r="D17" s="279"/>
      <c r="E17" s="279"/>
      <c r="F17" s="279"/>
      <c r="G17" s="279"/>
      <c r="H17" s="279"/>
      <c r="I17" s="279"/>
      <c r="J17" s="279"/>
    </row>
    <row r="18" spans="1:10">
      <c r="A18" s="271"/>
      <c r="B18" s="272" t="s">
        <v>351</v>
      </c>
      <c r="C18" s="278">
        <v>236945744.5454545</v>
      </c>
      <c r="D18" s="278">
        <v>111188181.99999997</v>
      </c>
      <c r="E18" s="278">
        <v>43942867</v>
      </c>
      <c r="F18" s="278">
        <v>5629808</v>
      </c>
      <c r="G18" s="278">
        <v>1223438</v>
      </c>
      <c r="H18" s="278">
        <v>28756107.545454547</v>
      </c>
      <c r="I18" s="278">
        <v>36320877</v>
      </c>
      <c r="J18" s="278">
        <v>9884465</v>
      </c>
    </row>
    <row r="19" spans="1:10">
      <c r="A19" s="271"/>
      <c r="B19" s="272" t="s">
        <v>352</v>
      </c>
      <c r="C19" s="280"/>
      <c r="D19" s="280"/>
      <c r="E19" s="280"/>
      <c r="F19" s="280"/>
      <c r="G19" s="280"/>
      <c r="H19" s="280"/>
      <c r="I19" s="280"/>
      <c r="J19" s="280"/>
    </row>
    <row r="20" spans="1:10">
      <c r="A20" s="271"/>
      <c r="B20" s="272"/>
      <c r="C20" s="278"/>
      <c r="D20" s="278"/>
      <c r="E20" s="278"/>
      <c r="F20" s="278"/>
      <c r="G20" s="278"/>
      <c r="H20" s="278"/>
      <c r="I20" s="278"/>
      <c r="J20" s="278"/>
    </row>
    <row r="21" spans="1:10">
      <c r="A21" s="271"/>
      <c r="B21" s="272" t="s">
        <v>351</v>
      </c>
      <c r="C21" s="278">
        <v>236945744.5454545</v>
      </c>
      <c r="D21" s="278">
        <v>111188181.99999997</v>
      </c>
      <c r="E21" s="278">
        <v>43942867</v>
      </c>
      <c r="F21" s="278">
        <v>5629808</v>
      </c>
      <c r="G21" s="278">
        <v>1223438</v>
      </c>
      <c r="H21" s="278">
        <v>28756107.545454547</v>
      </c>
      <c r="I21" s="278">
        <v>36320877</v>
      </c>
      <c r="J21" s="278">
        <v>9884465</v>
      </c>
    </row>
    <row r="22" spans="1:10">
      <c r="A22" s="271" t="s">
        <v>345</v>
      </c>
      <c r="B22" s="272" t="s">
        <v>353</v>
      </c>
      <c r="C22" s="280">
        <v>0</v>
      </c>
      <c r="D22" s="280">
        <v>0</v>
      </c>
      <c r="E22" s="280">
        <v>0</v>
      </c>
      <c r="F22" s="280"/>
      <c r="G22" s="280"/>
      <c r="H22" s="280"/>
      <c r="I22" s="280"/>
      <c r="J22" s="280"/>
    </row>
    <row r="23" spans="1:10">
      <c r="A23" s="271"/>
      <c r="B23" s="272"/>
      <c r="C23" s="278"/>
      <c r="D23" s="278"/>
      <c r="E23" s="278"/>
      <c r="F23" s="278"/>
      <c r="G23" s="278"/>
      <c r="H23" s="278"/>
      <c r="I23" s="278"/>
      <c r="J23" s="278"/>
    </row>
    <row r="24" spans="1:10">
      <c r="A24" s="271"/>
      <c r="B24" s="272" t="s">
        <v>354</v>
      </c>
      <c r="C24" s="278">
        <v>236945744.5454545</v>
      </c>
      <c r="D24" s="278">
        <v>111188181.99999997</v>
      </c>
      <c r="E24" s="278">
        <v>43942867</v>
      </c>
      <c r="F24" s="278">
        <v>5629808</v>
      </c>
      <c r="G24" s="278">
        <v>1223438</v>
      </c>
      <c r="H24" s="278">
        <v>28756107.545454547</v>
      </c>
      <c r="I24" s="278">
        <v>36320877</v>
      </c>
      <c r="J24" s="278">
        <v>9884465</v>
      </c>
    </row>
    <row r="25" spans="1:10">
      <c r="A25" s="271" t="s">
        <v>355</v>
      </c>
      <c r="B25" s="272" t="s">
        <v>356</v>
      </c>
      <c r="C25" s="280">
        <v>4992235</v>
      </c>
      <c r="D25" s="280">
        <v>3578060</v>
      </c>
      <c r="E25" s="280">
        <v>1369693</v>
      </c>
      <c r="F25" s="280">
        <v>44482</v>
      </c>
      <c r="G25" s="280">
        <v>0</v>
      </c>
      <c r="H25" s="280">
        <v>0</v>
      </c>
      <c r="I25" s="280">
        <v>0</v>
      </c>
      <c r="J25" s="280">
        <v>0</v>
      </c>
    </row>
    <row r="26" spans="1:10">
      <c r="A26" s="271"/>
      <c r="B26" s="272"/>
      <c r="C26" s="278"/>
      <c r="D26" s="278"/>
      <c r="E26" s="278"/>
      <c r="F26" s="278"/>
      <c r="G26" s="278"/>
      <c r="H26" s="278"/>
      <c r="I26" s="278"/>
      <c r="J26" s="278"/>
    </row>
    <row r="27" spans="1:10">
      <c r="A27" s="271"/>
      <c r="B27" s="272" t="s">
        <v>357</v>
      </c>
      <c r="C27" s="278">
        <v>241937979.5454545</v>
      </c>
      <c r="D27" s="278">
        <v>114766241.99999997</v>
      </c>
      <c r="E27" s="278">
        <v>45312560</v>
      </c>
      <c r="F27" s="278">
        <v>5674290</v>
      </c>
      <c r="G27" s="278">
        <v>1223438</v>
      </c>
      <c r="H27" s="278">
        <v>28756107.545454547</v>
      </c>
      <c r="I27" s="278">
        <v>36320877</v>
      </c>
      <c r="J27" s="278">
        <v>9884465</v>
      </c>
    </row>
    <row r="28" spans="1:10">
      <c r="A28" s="271"/>
      <c r="B28" s="272"/>
      <c r="C28" s="278"/>
      <c r="D28" s="278"/>
      <c r="E28" s="278"/>
      <c r="F28" s="278"/>
      <c r="G28" s="278"/>
      <c r="H28" s="278"/>
      <c r="I28" s="278"/>
      <c r="J28" s="278"/>
    </row>
    <row r="29" spans="1:10">
      <c r="A29" s="271" t="s">
        <v>345</v>
      </c>
      <c r="B29" s="272" t="s">
        <v>358</v>
      </c>
      <c r="C29" s="278"/>
      <c r="D29" s="278">
        <v>1768266.9999999963</v>
      </c>
      <c r="E29" s="278"/>
      <c r="F29" s="278"/>
      <c r="G29" s="278">
        <v>24</v>
      </c>
      <c r="H29" s="278">
        <v>456</v>
      </c>
      <c r="I29" s="278">
        <v>48</v>
      </c>
      <c r="J29" s="278">
        <v>12</v>
      </c>
    </row>
    <row r="30" spans="1:10">
      <c r="A30" s="271" t="s">
        <v>345</v>
      </c>
      <c r="B30" s="272" t="s">
        <v>359</v>
      </c>
      <c r="C30" s="278"/>
      <c r="D30" s="278"/>
      <c r="E30" s="278">
        <v>29796.999999999956</v>
      </c>
      <c r="F30" s="278">
        <v>336</v>
      </c>
      <c r="G30" s="278"/>
      <c r="H30" s="278"/>
      <c r="I30" s="278"/>
      <c r="J30" s="278"/>
    </row>
    <row r="31" spans="1:10">
      <c r="A31" s="271"/>
      <c r="B31" s="272"/>
      <c r="C31" s="278"/>
      <c r="D31" s="278"/>
      <c r="E31" s="278"/>
      <c r="F31" s="278"/>
      <c r="G31" s="278"/>
      <c r="H31" s="278"/>
      <c r="I31" s="278"/>
      <c r="J31" s="278"/>
    </row>
    <row r="32" spans="1:10">
      <c r="A32" s="271" t="s">
        <v>328</v>
      </c>
      <c r="B32" s="273"/>
      <c r="C32" s="281"/>
      <c r="D32" s="281"/>
      <c r="E32" s="281"/>
      <c r="F32" s="281"/>
      <c r="G32" s="281"/>
      <c r="H32" s="281"/>
      <c r="I32" s="281"/>
      <c r="J32" s="281"/>
    </row>
    <row r="33" spans="1:10">
      <c r="A33" s="271"/>
      <c r="B33" s="276" t="s">
        <v>360</v>
      </c>
      <c r="C33" s="278"/>
      <c r="D33" s="278"/>
      <c r="E33" s="278"/>
      <c r="F33" s="278"/>
      <c r="G33" s="278"/>
      <c r="H33" s="278"/>
      <c r="I33" s="278"/>
      <c r="J33" s="278"/>
    </row>
    <row r="34" spans="1:10">
      <c r="A34" s="271"/>
      <c r="B34" s="277" t="s">
        <v>344</v>
      </c>
      <c r="C34" s="278"/>
      <c r="D34" s="278"/>
      <c r="E34" s="278"/>
      <c r="F34" s="278"/>
      <c r="G34" s="278"/>
      <c r="H34" s="278"/>
      <c r="I34" s="278"/>
      <c r="J34" s="278"/>
    </row>
    <row r="35" spans="1:10">
      <c r="A35" s="271"/>
      <c r="B35" s="272" t="s">
        <v>346</v>
      </c>
      <c r="C35" s="278"/>
      <c r="D35" s="278">
        <v>70810621.492195159</v>
      </c>
      <c r="E35" s="278">
        <v>5350871.8954175152</v>
      </c>
      <c r="F35" s="278">
        <v>167806</v>
      </c>
      <c r="G35" s="278">
        <v>240000</v>
      </c>
      <c r="H35" s="278">
        <v>7701806.5454545459</v>
      </c>
      <c r="I35" s="278">
        <v>20680039</v>
      </c>
      <c r="J35" s="278">
        <v>9884465</v>
      </c>
    </row>
    <row r="36" spans="1:10">
      <c r="A36" s="271"/>
      <c r="B36" s="272" t="s">
        <v>347</v>
      </c>
      <c r="C36" s="278"/>
      <c r="D36" s="278">
        <v>40377560.507804818</v>
      </c>
      <c r="E36" s="278">
        <v>14060568.973229647</v>
      </c>
      <c r="F36" s="278">
        <v>167500</v>
      </c>
      <c r="G36" s="278">
        <v>355573</v>
      </c>
      <c r="H36" s="278">
        <v>7009830</v>
      </c>
      <c r="I36" s="278">
        <v>7038252</v>
      </c>
      <c r="J36" s="278">
        <v>0</v>
      </c>
    </row>
    <row r="37" spans="1:10">
      <c r="A37" s="271"/>
      <c r="B37" s="272" t="s">
        <v>348</v>
      </c>
      <c r="C37" s="278"/>
      <c r="D37" s="278">
        <v>0</v>
      </c>
      <c r="E37" s="278">
        <v>24531426.131352834</v>
      </c>
      <c r="F37" s="278">
        <v>2773321</v>
      </c>
      <c r="G37" s="278">
        <v>409932</v>
      </c>
      <c r="H37" s="278">
        <v>11055056</v>
      </c>
      <c r="I37" s="278">
        <v>1732425</v>
      </c>
      <c r="J37" s="278">
        <v>0</v>
      </c>
    </row>
    <row r="38" spans="1:10">
      <c r="A38" s="271"/>
      <c r="B38" s="272" t="s">
        <v>349</v>
      </c>
      <c r="C38" s="278"/>
      <c r="D38" s="278">
        <v>0</v>
      </c>
      <c r="E38" s="278">
        <v>0</v>
      </c>
      <c r="F38" s="278">
        <v>1692856</v>
      </c>
      <c r="G38" s="278">
        <v>217933</v>
      </c>
      <c r="H38" s="278">
        <v>2632118</v>
      </c>
      <c r="I38" s="278">
        <v>6129422</v>
      </c>
      <c r="J38" s="278">
        <v>0</v>
      </c>
    </row>
    <row r="39" spans="1:10">
      <c r="A39" s="271"/>
      <c r="B39" s="272" t="s">
        <v>350</v>
      </c>
      <c r="C39" s="278"/>
      <c r="D39" s="278">
        <v>0</v>
      </c>
      <c r="E39" s="278">
        <v>0</v>
      </c>
      <c r="F39" s="278">
        <v>828325</v>
      </c>
      <c r="G39" s="278">
        <v>0</v>
      </c>
      <c r="H39" s="278">
        <v>357297</v>
      </c>
      <c r="I39" s="278">
        <v>740739</v>
      </c>
      <c r="J39" s="278">
        <v>0</v>
      </c>
    </row>
    <row r="40" spans="1:10">
      <c r="A40" s="271"/>
      <c r="B40" s="272"/>
      <c r="C40" s="279"/>
      <c r="D40" s="279"/>
      <c r="E40" s="279"/>
      <c r="F40" s="279"/>
      <c r="G40" s="279"/>
      <c r="H40" s="279"/>
      <c r="I40" s="279"/>
      <c r="J40" s="279"/>
    </row>
    <row r="41" spans="1:10">
      <c r="A41" s="271"/>
      <c r="B41" s="272" t="s">
        <v>351</v>
      </c>
      <c r="C41" s="278">
        <v>236945744.5454545</v>
      </c>
      <c r="D41" s="278">
        <v>111188181.99999997</v>
      </c>
      <c r="E41" s="278">
        <v>43942867</v>
      </c>
      <c r="F41" s="278">
        <v>5629808</v>
      </c>
      <c r="G41" s="278">
        <v>1223438</v>
      </c>
      <c r="H41" s="278">
        <v>28756107.545454547</v>
      </c>
      <c r="I41" s="278">
        <v>36320877</v>
      </c>
      <c r="J41" s="278">
        <v>9884465</v>
      </c>
    </row>
    <row r="42" spans="1:10">
      <c r="A42" s="271"/>
      <c r="B42" s="272" t="s">
        <v>361</v>
      </c>
      <c r="C42" s="280">
        <v>0</v>
      </c>
      <c r="D42" s="280">
        <v>0</v>
      </c>
      <c r="E42" s="280">
        <v>0</v>
      </c>
      <c r="F42" s="280">
        <v>0</v>
      </c>
      <c r="G42" s="280">
        <v>0</v>
      </c>
      <c r="H42" s="280">
        <v>0</v>
      </c>
      <c r="I42" s="280">
        <v>0</v>
      </c>
      <c r="J42" s="280">
        <v>0</v>
      </c>
    </row>
    <row r="43" spans="1:10">
      <c r="A43" s="271"/>
      <c r="B43" s="272"/>
      <c r="C43" s="278"/>
      <c r="D43" s="278"/>
      <c r="E43" s="278"/>
      <c r="F43" s="278"/>
      <c r="G43" s="278"/>
      <c r="H43" s="278"/>
      <c r="I43" s="278"/>
      <c r="J43" s="278"/>
    </row>
    <row r="44" spans="1:10">
      <c r="A44" s="271"/>
      <c r="B44" s="272" t="s">
        <v>351</v>
      </c>
      <c r="C44" s="278">
        <v>236945744.5454545</v>
      </c>
      <c r="D44" s="278">
        <v>111188181.99999997</v>
      </c>
      <c r="E44" s="278">
        <v>43942867</v>
      </c>
      <c r="F44" s="278">
        <v>5629808</v>
      </c>
      <c r="G44" s="278">
        <v>1223438</v>
      </c>
      <c r="H44" s="278">
        <v>28756107.545454547</v>
      </c>
      <c r="I44" s="278">
        <v>36320877</v>
      </c>
      <c r="J44" s="278">
        <v>9884465</v>
      </c>
    </row>
    <row r="45" spans="1:10">
      <c r="A45" s="271"/>
      <c r="B45" s="272" t="s">
        <v>353</v>
      </c>
      <c r="C45" s="280">
        <v>0</v>
      </c>
      <c r="D45" s="280">
        <v>0</v>
      </c>
      <c r="E45" s="280">
        <v>0</v>
      </c>
      <c r="F45" s="280">
        <v>0</v>
      </c>
      <c r="G45" s="280">
        <v>0</v>
      </c>
      <c r="H45" s="280">
        <v>0</v>
      </c>
      <c r="I45" s="280">
        <v>0</v>
      </c>
      <c r="J45" s="280">
        <v>0</v>
      </c>
    </row>
    <row r="46" spans="1:10">
      <c r="A46" s="271"/>
      <c r="B46" s="272"/>
      <c r="C46" s="278"/>
      <c r="D46" s="278"/>
      <c r="E46" s="278"/>
      <c r="F46" s="278"/>
      <c r="G46" s="278"/>
      <c r="H46" s="278"/>
      <c r="I46" s="278"/>
      <c r="J46" s="278"/>
    </row>
    <row r="47" spans="1:10">
      <c r="A47" s="271"/>
      <c r="B47" s="272" t="s">
        <v>354</v>
      </c>
      <c r="C47" s="278">
        <v>236945744.5454545</v>
      </c>
      <c r="D47" s="278">
        <v>111188181.99999997</v>
      </c>
      <c r="E47" s="278">
        <v>43942867</v>
      </c>
      <c r="F47" s="278">
        <v>5629808</v>
      </c>
      <c r="G47" s="278">
        <v>1223438</v>
      </c>
      <c r="H47" s="278">
        <v>28756107.545454547</v>
      </c>
      <c r="I47" s="278">
        <v>36320877</v>
      </c>
      <c r="J47" s="278">
        <v>9884465</v>
      </c>
    </row>
    <row r="48" spans="1:10">
      <c r="A48" s="271"/>
      <c r="B48" s="272" t="s">
        <v>356</v>
      </c>
      <c r="C48" s="280">
        <v>4992235</v>
      </c>
      <c r="D48" s="280">
        <v>3578060</v>
      </c>
      <c r="E48" s="280">
        <v>1369693</v>
      </c>
      <c r="F48" s="280">
        <v>44482</v>
      </c>
      <c r="G48" s="280">
        <v>0</v>
      </c>
      <c r="H48" s="280">
        <v>0</v>
      </c>
      <c r="I48" s="280">
        <v>0</v>
      </c>
      <c r="J48" s="280">
        <v>0</v>
      </c>
    </row>
    <row r="49" spans="1:10">
      <c r="A49" s="271"/>
      <c r="B49" s="272"/>
      <c r="C49" s="278"/>
      <c r="D49" s="278"/>
      <c r="E49" s="278"/>
      <c r="F49" s="278"/>
      <c r="G49" s="278"/>
      <c r="H49" s="278"/>
      <c r="I49" s="278"/>
      <c r="J49" s="278"/>
    </row>
    <row r="50" spans="1:10">
      <c r="A50" s="271"/>
      <c r="B50" s="272" t="s">
        <v>357</v>
      </c>
      <c r="C50" s="278">
        <v>241937979.5454545</v>
      </c>
      <c r="D50" s="278">
        <v>114766241.99999997</v>
      </c>
      <c r="E50" s="278">
        <v>45312560</v>
      </c>
      <c r="F50" s="278">
        <v>5674290</v>
      </c>
      <c r="G50" s="278">
        <v>1223438</v>
      </c>
      <c r="H50" s="278">
        <v>28756107.545454547</v>
      </c>
      <c r="I50" s="278">
        <v>36320877</v>
      </c>
      <c r="J50" s="278">
        <v>9884465</v>
      </c>
    </row>
    <row r="51" spans="1:10">
      <c r="A51" s="271"/>
      <c r="B51" s="272"/>
      <c r="C51" s="278"/>
      <c r="D51" s="278"/>
      <c r="E51" s="278"/>
      <c r="F51" s="278"/>
      <c r="G51" s="278"/>
      <c r="H51" s="278"/>
      <c r="I51" s="278"/>
      <c r="J51" s="278"/>
    </row>
    <row r="52" spans="1:10">
      <c r="A52" s="271"/>
      <c r="B52" s="272" t="s">
        <v>358</v>
      </c>
      <c r="C52" s="278"/>
      <c r="D52" s="278">
        <v>1768266.9999999963</v>
      </c>
      <c r="E52" s="278">
        <v>0</v>
      </c>
      <c r="F52" s="278">
        <v>0</v>
      </c>
      <c r="G52" s="278">
        <v>24</v>
      </c>
      <c r="H52" s="278">
        <v>456</v>
      </c>
      <c r="I52" s="278">
        <v>48</v>
      </c>
      <c r="J52" s="278">
        <v>12</v>
      </c>
    </row>
    <row r="53" spans="1:10">
      <c r="A53" s="271"/>
      <c r="B53" s="272" t="s">
        <v>359</v>
      </c>
      <c r="C53" s="278"/>
      <c r="D53" s="278">
        <v>0</v>
      </c>
      <c r="E53" s="278">
        <v>29796.999999999956</v>
      </c>
      <c r="F53" s="278">
        <v>336</v>
      </c>
      <c r="G53" s="278"/>
      <c r="H53" s="278"/>
      <c r="I53" s="278"/>
      <c r="J53" s="278"/>
    </row>
    <row r="54" spans="1:10">
      <c r="A54" s="271"/>
      <c r="B54" s="272"/>
      <c r="C54" s="282"/>
      <c r="D54" s="283"/>
      <c r="E54" s="283">
        <v>2</v>
      </c>
      <c r="F54" s="283">
        <v>3</v>
      </c>
      <c r="G54" s="283">
        <v>4</v>
      </c>
      <c r="H54" s="283">
        <v>5</v>
      </c>
      <c r="I54" s="283">
        <v>6</v>
      </c>
      <c r="J54" s="283">
        <v>7</v>
      </c>
    </row>
    <row r="55" spans="1:10">
      <c r="A55" s="271"/>
      <c r="B55" s="272"/>
      <c r="C55" s="282"/>
      <c r="D55" s="284"/>
      <c r="E55" s="284"/>
      <c r="F55" s="284"/>
      <c r="G55" s="284"/>
      <c r="H55" s="284"/>
      <c r="I55" s="282"/>
      <c r="J55" s="273" t="s">
        <v>325</v>
      </c>
    </row>
    <row r="56" spans="1:10">
      <c r="A56" s="271"/>
      <c r="B56" s="272"/>
      <c r="C56" s="282"/>
      <c r="D56" s="272"/>
      <c r="E56" s="272"/>
      <c r="F56" s="272"/>
      <c r="G56" s="272"/>
      <c r="H56" s="272"/>
      <c r="I56" s="272"/>
      <c r="J56" s="273" t="s">
        <v>326</v>
      </c>
    </row>
    <row r="57" spans="1:10">
      <c r="A57" s="274" t="s">
        <v>327</v>
      </c>
      <c r="B57" s="273"/>
      <c r="C57" s="273" t="s">
        <v>328</v>
      </c>
      <c r="D57" s="273" t="s">
        <v>329</v>
      </c>
      <c r="E57" s="273" t="s">
        <v>330</v>
      </c>
      <c r="F57" s="273" t="s">
        <v>331</v>
      </c>
      <c r="G57" s="273" t="s">
        <v>332</v>
      </c>
      <c r="H57" s="273" t="s">
        <v>325</v>
      </c>
      <c r="I57" s="273" t="s">
        <v>325</v>
      </c>
      <c r="J57" s="273" t="s">
        <v>333</v>
      </c>
    </row>
    <row r="58" spans="1:10">
      <c r="A58" s="274" t="s">
        <v>334</v>
      </c>
      <c r="B58" s="275"/>
      <c r="C58" s="275" t="s">
        <v>335</v>
      </c>
      <c r="D58" s="275" t="s">
        <v>336</v>
      </c>
      <c r="E58" s="275" t="s">
        <v>362</v>
      </c>
      <c r="F58" s="275" t="s">
        <v>363</v>
      </c>
      <c r="G58" s="275" t="s">
        <v>364</v>
      </c>
      <c r="H58" s="275" t="s">
        <v>340</v>
      </c>
      <c r="I58" s="275" t="s">
        <v>341</v>
      </c>
      <c r="J58" s="275" t="s">
        <v>342</v>
      </c>
    </row>
    <row r="59" spans="1:10">
      <c r="A59" s="271"/>
      <c r="B59" s="276" t="s">
        <v>365</v>
      </c>
      <c r="C59" s="272"/>
      <c r="D59" s="272"/>
      <c r="E59" s="272"/>
      <c r="F59" s="272"/>
      <c r="G59" s="272"/>
      <c r="H59" s="272"/>
      <c r="I59" s="285">
        <v>-1</v>
      </c>
      <c r="J59" s="285">
        <v>-2</v>
      </c>
    </row>
    <row r="60" spans="1:10" ht="13.5">
      <c r="A60" s="286" t="s">
        <v>366</v>
      </c>
      <c r="B60" s="272" t="s">
        <v>367</v>
      </c>
      <c r="C60" s="272"/>
      <c r="D60" s="287">
        <v>8</v>
      </c>
      <c r="E60" s="287">
        <v>0</v>
      </c>
      <c r="F60" s="287">
        <v>0</v>
      </c>
      <c r="G60" s="287">
        <v>0</v>
      </c>
      <c r="H60" s="287">
        <v>400</v>
      </c>
      <c r="I60" s="288">
        <v>200</v>
      </c>
      <c r="J60" s="288">
        <v>26332</v>
      </c>
    </row>
    <row r="61" spans="1:10" ht="13.5">
      <c r="A61" s="286" t="s">
        <v>366</v>
      </c>
      <c r="B61" s="272" t="s">
        <v>368</v>
      </c>
      <c r="C61" s="272"/>
      <c r="D61" s="287">
        <v>0</v>
      </c>
      <c r="E61" s="287">
        <v>159.57</v>
      </c>
      <c r="F61" s="287">
        <v>405.6</v>
      </c>
      <c r="G61" s="287">
        <v>0</v>
      </c>
      <c r="H61" s="287">
        <v>0</v>
      </c>
      <c r="I61" s="288">
        <v>0</v>
      </c>
      <c r="J61" s="288">
        <v>0</v>
      </c>
    </row>
    <row r="62" spans="1:10">
      <c r="A62" s="271"/>
      <c r="B62" s="272"/>
      <c r="C62" s="272"/>
      <c r="D62" s="272"/>
      <c r="E62" s="272"/>
      <c r="F62" s="272"/>
      <c r="G62" s="272"/>
      <c r="H62" s="272"/>
      <c r="I62" s="289"/>
      <c r="J62" s="289"/>
    </row>
    <row r="63" spans="1:10" ht="13.5">
      <c r="A63" s="286" t="s">
        <v>366</v>
      </c>
      <c r="B63" s="272" t="s">
        <v>369</v>
      </c>
      <c r="C63" s="272"/>
      <c r="D63" s="290">
        <v>77.200999999999993</v>
      </c>
      <c r="E63" s="290">
        <v>7.9959999999999951</v>
      </c>
      <c r="F63" s="290">
        <v>6.0120000000000005</v>
      </c>
      <c r="G63" s="290">
        <v>63.418999999999997</v>
      </c>
      <c r="H63" s="290">
        <v>8.206999999999999</v>
      </c>
      <c r="I63" s="291">
        <v>2.8</v>
      </c>
      <c r="J63" s="291">
        <v>1</v>
      </c>
    </row>
    <row r="64" spans="1:10" ht="13.5">
      <c r="A64" s="286" t="s">
        <v>366</v>
      </c>
      <c r="B64" s="272" t="s">
        <v>370</v>
      </c>
      <c r="C64" s="272"/>
      <c r="D64" s="290">
        <v>87.200999999999993</v>
      </c>
      <c r="E64" s="290">
        <v>75.49199999999999</v>
      </c>
      <c r="F64" s="290">
        <v>75.007000000000005</v>
      </c>
      <c r="G64" s="290">
        <v>58.951000000000001</v>
      </c>
      <c r="H64" s="290">
        <v>7.3070000000000004</v>
      </c>
      <c r="I64" s="292">
        <v>4.5</v>
      </c>
      <c r="J64" s="291">
        <v>0</v>
      </c>
    </row>
    <row r="65" spans="1:10" ht="13.5">
      <c r="A65" s="286" t="s">
        <v>366</v>
      </c>
      <c r="B65" s="272" t="s">
        <v>371</v>
      </c>
      <c r="C65" s="272"/>
      <c r="D65" s="290">
        <v>0</v>
      </c>
      <c r="E65" s="290">
        <v>68.23599999999999</v>
      </c>
      <c r="F65" s="290">
        <v>67.587000000000003</v>
      </c>
      <c r="G65" s="290">
        <v>57.854999999999997</v>
      </c>
      <c r="H65" s="290">
        <v>6.593</v>
      </c>
      <c r="I65" s="291">
        <v>3.1680000000000001</v>
      </c>
      <c r="J65" s="291">
        <v>0</v>
      </c>
    </row>
    <row r="66" spans="1:10" ht="13.5">
      <c r="A66" s="286" t="s">
        <v>366</v>
      </c>
      <c r="B66" s="272" t="s">
        <v>372</v>
      </c>
      <c r="C66" s="272"/>
      <c r="D66" s="290">
        <v>0</v>
      </c>
      <c r="E66" s="290">
        <v>0</v>
      </c>
      <c r="F66" s="290">
        <v>62.927999999999997</v>
      </c>
      <c r="G66" s="290">
        <v>57.491999999999997</v>
      </c>
      <c r="H66" s="290">
        <v>6.101</v>
      </c>
      <c r="I66" s="291">
        <v>2.5</v>
      </c>
      <c r="J66" s="291">
        <v>0</v>
      </c>
    </row>
    <row r="67" spans="1:10" ht="13.5">
      <c r="A67" s="286" t="s">
        <v>366</v>
      </c>
      <c r="B67" s="272" t="s">
        <v>373</v>
      </c>
      <c r="C67" s="272"/>
      <c r="D67" s="290">
        <v>0</v>
      </c>
      <c r="E67" s="290">
        <v>0</v>
      </c>
      <c r="F67" s="290">
        <v>59.179000000000002</v>
      </c>
      <c r="G67" s="290">
        <v>0</v>
      </c>
      <c r="H67" s="290">
        <v>4.5960000000000001</v>
      </c>
      <c r="I67" s="291">
        <v>2.0910000000000002</v>
      </c>
      <c r="J67" s="291">
        <v>0</v>
      </c>
    </row>
    <row r="68" spans="1:10">
      <c r="A68" s="271"/>
      <c r="B68" s="272"/>
      <c r="C68" s="272"/>
      <c r="D68" s="290"/>
      <c r="E68" s="290"/>
      <c r="F68" s="290"/>
      <c r="G68" s="290"/>
      <c r="H68" s="290"/>
      <c r="I68" s="290"/>
      <c r="J68" s="290"/>
    </row>
    <row r="69" spans="1:10">
      <c r="A69" s="271"/>
      <c r="B69" s="272" t="s">
        <v>374</v>
      </c>
      <c r="C69" s="272"/>
      <c r="D69" s="290">
        <v>80.832461529049937</v>
      </c>
      <c r="E69" s="290">
        <v>63.222375499532156</v>
      </c>
      <c r="F69" s="290">
        <v>63.334390089324543</v>
      </c>
      <c r="G69" s="290">
        <v>59.200355064988997</v>
      </c>
      <c r="H69" s="290"/>
      <c r="I69" s="290"/>
      <c r="J69" s="290"/>
    </row>
    <row r="70" spans="1:10">
      <c r="A70" s="271"/>
      <c r="B70" s="272"/>
      <c r="C70" s="272"/>
      <c r="D70" s="293"/>
      <c r="E70" s="293"/>
      <c r="F70" s="293"/>
      <c r="G70" s="293"/>
      <c r="H70" s="293"/>
      <c r="I70" s="293"/>
      <c r="J70" s="293"/>
    </row>
    <row r="71" spans="1:10">
      <c r="A71" s="272"/>
      <c r="B71" s="272"/>
      <c r="C71" s="272"/>
      <c r="D71" s="272"/>
      <c r="E71" s="272"/>
      <c r="F71" s="272"/>
      <c r="G71" s="272"/>
      <c r="H71" s="272"/>
      <c r="I71" s="272"/>
      <c r="J71" s="272"/>
    </row>
    <row r="72" spans="1:10">
      <c r="A72" s="272"/>
      <c r="B72" s="272"/>
      <c r="C72" s="272"/>
      <c r="D72" s="272"/>
      <c r="E72" s="272"/>
      <c r="F72" s="272"/>
      <c r="G72" s="272"/>
      <c r="H72" s="272"/>
      <c r="I72" s="272"/>
      <c r="J72" s="272"/>
    </row>
    <row r="73" spans="1:10">
      <c r="A73" s="272"/>
      <c r="B73" s="272"/>
      <c r="C73" s="272"/>
      <c r="D73" s="272"/>
      <c r="E73" s="272"/>
      <c r="F73" s="272"/>
      <c r="G73" s="272"/>
      <c r="H73" s="272"/>
      <c r="I73" s="272"/>
      <c r="J73" s="272"/>
    </row>
    <row r="74" spans="1:10">
      <c r="A74" s="271"/>
      <c r="B74" s="272"/>
      <c r="C74" s="272"/>
      <c r="D74" s="293"/>
      <c r="E74" s="293"/>
      <c r="F74" s="293"/>
      <c r="G74" s="293"/>
      <c r="H74" s="293"/>
      <c r="I74" s="293"/>
      <c r="J74" s="293"/>
    </row>
    <row r="75" spans="1:10">
      <c r="A75" s="271"/>
      <c r="B75" s="272"/>
      <c r="C75" s="272"/>
      <c r="D75" s="293"/>
      <c r="E75" s="293"/>
      <c r="F75" s="293"/>
      <c r="G75" s="293"/>
      <c r="H75" s="293"/>
      <c r="I75" s="293"/>
      <c r="J75" s="293"/>
    </row>
    <row r="76" spans="1:10">
      <c r="A76" s="271"/>
      <c r="B76" s="272"/>
      <c r="C76" s="272"/>
      <c r="D76" s="293"/>
      <c r="E76" s="293"/>
      <c r="F76" s="293"/>
      <c r="G76" s="293"/>
      <c r="H76" s="293"/>
      <c r="I76" s="293"/>
      <c r="J76" s="293"/>
    </row>
    <row r="77" spans="1:10">
      <c r="A77" s="271"/>
      <c r="B77" s="276" t="s">
        <v>375</v>
      </c>
      <c r="C77" s="272"/>
      <c r="D77" s="272"/>
      <c r="E77" s="272"/>
      <c r="F77" s="272"/>
      <c r="G77" s="272"/>
      <c r="H77" s="272"/>
      <c r="I77" s="272"/>
      <c r="J77" s="272"/>
    </row>
    <row r="78" spans="1:10">
      <c r="A78" s="271"/>
      <c r="B78" s="272" t="s">
        <v>367</v>
      </c>
      <c r="C78" s="272"/>
      <c r="D78" s="287">
        <v>8</v>
      </c>
      <c r="E78" s="287">
        <v>0</v>
      </c>
      <c r="F78" s="287">
        <v>0</v>
      </c>
      <c r="G78" s="287">
        <v>0</v>
      </c>
      <c r="H78" s="287">
        <v>400</v>
      </c>
      <c r="I78" s="288">
        <v>200</v>
      </c>
      <c r="J78" s="288">
        <v>26332</v>
      </c>
    </row>
    <row r="79" spans="1:10">
      <c r="A79" s="271"/>
      <c r="B79" s="272" t="s">
        <v>368</v>
      </c>
      <c r="C79" s="272"/>
      <c r="D79" s="287">
        <v>0</v>
      </c>
      <c r="E79" s="287">
        <v>159.57</v>
      </c>
      <c r="F79" s="287">
        <v>405.6</v>
      </c>
      <c r="G79" s="287">
        <v>0</v>
      </c>
      <c r="H79" s="287">
        <v>0</v>
      </c>
      <c r="I79" s="288">
        <v>0</v>
      </c>
      <c r="J79" s="288">
        <v>0</v>
      </c>
    </row>
    <row r="80" spans="1:10">
      <c r="A80" s="271"/>
      <c r="B80" s="272"/>
      <c r="C80" s="272"/>
      <c r="D80" s="272"/>
      <c r="E80" s="272"/>
      <c r="F80" s="272"/>
      <c r="G80" s="272"/>
      <c r="H80" s="272"/>
      <c r="I80" s="289"/>
      <c r="J80" s="289"/>
    </row>
    <row r="81" spans="1:10">
      <c r="A81" s="271"/>
      <c r="B81" s="272" t="s">
        <v>369</v>
      </c>
      <c r="C81" s="272"/>
      <c r="D81" s="290">
        <v>77.200999999999993</v>
      </c>
      <c r="E81" s="290">
        <v>7.9960000000000004</v>
      </c>
      <c r="F81" s="290">
        <v>6.0119999999999996</v>
      </c>
      <c r="G81" s="290">
        <v>63.418999999999997</v>
      </c>
      <c r="H81" s="290">
        <v>8.2070000000000007</v>
      </c>
      <c r="I81" s="291">
        <v>2.8</v>
      </c>
      <c r="J81" s="291">
        <v>1</v>
      </c>
    </row>
    <row r="82" spans="1:10">
      <c r="A82" s="271"/>
      <c r="B82" s="272" t="s">
        <v>370</v>
      </c>
      <c r="C82" s="272"/>
      <c r="D82" s="290">
        <v>87.200999999999993</v>
      </c>
      <c r="E82" s="290">
        <v>75.492000000000004</v>
      </c>
      <c r="F82" s="290">
        <v>75.007000000000005</v>
      </c>
      <c r="G82" s="290">
        <v>58.951000000000001</v>
      </c>
      <c r="H82" s="290">
        <v>7.3070000000000004</v>
      </c>
      <c r="I82" s="292">
        <v>4.5</v>
      </c>
      <c r="J82" s="291">
        <v>0</v>
      </c>
    </row>
    <row r="83" spans="1:10">
      <c r="A83" s="271"/>
      <c r="B83" s="272" t="s">
        <v>371</v>
      </c>
      <c r="C83" s="272"/>
      <c r="D83" s="290">
        <v>0</v>
      </c>
      <c r="E83" s="290">
        <v>68.236000000000004</v>
      </c>
      <c r="F83" s="290">
        <v>67.587000000000003</v>
      </c>
      <c r="G83" s="290">
        <v>57.854999999999997</v>
      </c>
      <c r="H83" s="290">
        <v>6.593</v>
      </c>
      <c r="I83" s="291">
        <v>3.1680000000000001</v>
      </c>
      <c r="J83" s="291">
        <v>0</v>
      </c>
    </row>
    <row r="84" spans="1:10">
      <c r="A84" s="271"/>
      <c r="B84" s="272" t="s">
        <v>372</v>
      </c>
      <c r="C84" s="272"/>
      <c r="D84" s="290">
        <v>0</v>
      </c>
      <c r="E84" s="290">
        <v>0</v>
      </c>
      <c r="F84" s="290">
        <v>62.927999999999997</v>
      </c>
      <c r="G84" s="290">
        <v>57.491999999999997</v>
      </c>
      <c r="H84" s="290">
        <v>6.101</v>
      </c>
      <c r="I84" s="291">
        <v>2.5</v>
      </c>
      <c r="J84" s="291">
        <v>0</v>
      </c>
    </row>
    <row r="85" spans="1:10">
      <c r="A85" s="271"/>
      <c r="B85" s="272" t="s">
        <v>373</v>
      </c>
      <c r="C85" s="272"/>
      <c r="D85" s="290">
        <v>0</v>
      </c>
      <c r="E85" s="290">
        <v>0</v>
      </c>
      <c r="F85" s="290">
        <v>59.179000000000002</v>
      </c>
      <c r="G85" s="290">
        <v>0</v>
      </c>
      <c r="H85" s="290">
        <v>4.5960000000000001</v>
      </c>
      <c r="I85" s="291">
        <v>2.0910000000000002</v>
      </c>
      <c r="J85" s="291">
        <v>0</v>
      </c>
    </row>
    <row r="86" spans="1:10">
      <c r="A86" s="271"/>
      <c r="B86" s="272"/>
      <c r="C86" s="272"/>
      <c r="D86" s="290"/>
      <c r="E86" s="290"/>
      <c r="F86" s="290"/>
      <c r="G86" s="290"/>
      <c r="H86" s="290"/>
      <c r="I86" s="290"/>
      <c r="J86" s="290"/>
    </row>
    <row r="87" spans="1:10">
      <c r="A87" s="271"/>
      <c r="B87" s="272" t="s">
        <v>374</v>
      </c>
      <c r="C87" s="272"/>
      <c r="D87" s="290">
        <v>80.832461529049937</v>
      </c>
      <c r="E87" s="290">
        <v>63.222375499532156</v>
      </c>
      <c r="F87" s="290">
        <v>63.334390089324543</v>
      </c>
      <c r="G87" s="290">
        <v>59.200355064988997</v>
      </c>
      <c r="H87" s="290"/>
      <c r="I87" s="290"/>
      <c r="J87" s="290"/>
    </row>
    <row r="88" spans="1:10">
      <c r="A88" s="271"/>
      <c r="B88" s="272"/>
      <c r="C88" s="272"/>
      <c r="D88" s="293"/>
      <c r="E88" s="293"/>
      <c r="F88" s="293"/>
      <c r="G88" s="293"/>
      <c r="H88" s="293"/>
      <c r="I88" s="293"/>
      <c r="J88" s="293"/>
    </row>
    <row r="89" spans="1:10">
      <c r="A89" s="272"/>
      <c r="B89" s="272"/>
      <c r="C89" s="272"/>
      <c r="D89" s="272"/>
      <c r="E89" s="272"/>
      <c r="F89" s="272"/>
      <c r="G89" s="272"/>
      <c r="H89" s="272"/>
      <c r="I89" s="272"/>
      <c r="J89" s="272"/>
    </row>
    <row r="90" spans="1:10">
      <c r="A90" s="272"/>
      <c r="B90" s="294"/>
      <c r="C90" s="272"/>
      <c r="D90" s="272"/>
      <c r="E90" s="272"/>
      <c r="F90" s="272"/>
      <c r="G90" s="272"/>
      <c r="H90" s="272"/>
      <c r="I90" s="272"/>
      <c r="J90" s="272"/>
    </row>
    <row r="91" spans="1:10">
      <c r="A91" s="271"/>
      <c r="B91" s="272" t="s">
        <v>376</v>
      </c>
      <c r="C91" s="272"/>
      <c r="D91" s="293"/>
      <c r="E91" s="293"/>
      <c r="F91" s="293"/>
      <c r="G91" s="293"/>
      <c r="H91" s="293"/>
      <c r="I91" s="293"/>
      <c r="J91" s="293"/>
    </row>
    <row r="92" spans="1:10">
      <c r="A92" s="271"/>
      <c r="B92" s="295" t="s">
        <v>377</v>
      </c>
      <c r="C92" s="272"/>
      <c r="D92" s="293"/>
      <c r="E92" s="293"/>
      <c r="F92" s="293"/>
      <c r="G92" s="293"/>
      <c r="H92" s="293"/>
      <c r="I92" s="293"/>
      <c r="J92" s="293"/>
    </row>
    <row r="93" spans="1:10">
      <c r="A93" s="271"/>
      <c r="B93" s="272" t="s">
        <v>378</v>
      </c>
      <c r="C93" s="272"/>
      <c r="D93" s="293"/>
      <c r="E93" s="293"/>
      <c r="F93" s="293"/>
      <c r="G93" s="293"/>
      <c r="H93" s="293"/>
      <c r="I93" s="293"/>
      <c r="J93" s="293"/>
    </row>
    <row r="94" spans="1:10">
      <c r="A94" s="271"/>
      <c r="B94" s="272" t="s">
        <v>379</v>
      </c>
      <c r="C94" s="272"/>
      <c r="D94" s="293"/>
      <c r="E94" s="293"/>
      <c r="F94" s="293"/>
      <c r="G94" s="293"/>
      <c r="H94" s="293"/>
      <c r="I94" s="293"/>
      <c r="J94" s="293"/>
    </row>
    <row r="95" spans="1:10">
      <c r="A95" s="271"/>
      <c r="B95" s="272" t="s">
        <v>380</v>
      </c>
      <c r="C95" s="272"/>
      <c r="D95" s="293"/>
      <c r="E95" s="293"/>
      <c r="F95" s="293"/>
      <c r="G95" s="293"/>
      <c r="H95" s="293"/>
      <c r="I95" s="293"/>
      <c r="J95" s="293"/>
    </row>
    <row r="96" spans="1:10">
      <c r="A96" s="271"/>
      <c r="B96" s="272"/>
      <c r="C96" s="272"/>
      <c r="D96" s="293"/>
      <c r="E96" s="293"/>
      <c r="F96" s="293"/>
      <c r="G96" s="293"/>
      <c r="H96" s="293"/>
      <c r="I96" s="293"/>
      <c r="J96" s="293"/>
    </row>
    <row r="97" spans="1:10">
      <c r="A97" s="271"/>
      <c r="B97" s="272" t="s">
        <v>381</v>
      </c>
      <c r="C97" s="272"/>
      <c r="D97" s="293"/>
      <c r="E97" s="293"/>
      <c r="F97" s="293"/>
      <c r="G97" s="293"/>
      <c r="H97" s="293"/>
      <c r="I97" s="293"/>
      <c r="J97" s="293"/>
    </row>
    <row r="98" spans="1:10">
      <c r="A98" s="271"/>
      <c r="B98" s="272"/>
      <c r="C98" s="272"/>
      <c r="D98" s="272"/>
      <c r="E98" s="272"/>
      <c r="F98" s="272"/>
      <c r="G98" s="272"/>
      <c r="H98" s="272"/>
      <c r="I98" s="272"/>
      <c r="J98" s="272"/>
    </row>
    <row r="99" spans="1:10">
      <c r="A99" s="271"/>
      <c r="B99" s="272"/>
      <c r="C99" s="272"/>
      <c r="D99" s="272"/>
      <c r="E99" s="272"/>
      <c r="F99" s="272"/>
      <c r="G99" s="272"/>
      <c r="H99" s="272"/>
      <c r="I99" s="272"/>
      <c r="J99" s="272"/>
    </row>
    <row r="100" spans="1:10">
      <c r="A100" s="271"/>
      <c r="B100" s="272"/>
      <c r="C100" s="272"/>
      <c r="D100" s="272"/>
      <c r="E100" s="272"/>
      <c r="F100" s="272"/>
      <c r="G100" s="272"/>
      <c r="H100" s="272"/>
      <c r="I100" s="272"/>
      <c r="J100" s="272"/>
    </row>
    <row r="101" spans="1:10">
      <c r="A101" s="271"/>
      <c r="B101" s="294" t="s">
        <v>382</v>
      </c>
      <c r="C101" s="272"/>
      <c r="D101" s="272"/>
      <c r="E101" s="272"/>
      <c r="F101" s="272"/>
      <c r="G101" s="272"/>
      <c r="H101" s="272"/>
      <c r="I101" s="272"/>
      <c r="J101" s="272"/>
    </row>
    <row r="102" spans="1:10">
      <c r="A102" s="271"/>
      <c r="B102" s="272"/>
      <c r="C102" s="272"/>
      <c r="D102" s="272"/>
      <c r="E102" s="272"/>
      <c r="F102" s="272"/>
      <c r="G102" s="272"/>
      <c r="H102" s="272"/>
      <c r="I102" s="272"/>
      <c r="J102" s="272"/>
    </row>
    <row r="103" spans="1:10">
      <c r="A103" s="271"/>
      <c r="B103" s="272"/>
      <c r="C103" s="272"/>
      <c r="D103" s="272"/>
      <c r="E103" s="272"/>
      <c r="F103" s="272"/>
      <c r="G103" s="272"/>
      <c r="H103" s="272"/>
      <c r="I103" s="272"/>
      <c r="J103" s="272"/>
    </row>
    <row r="104" spans="1:10">
      <c r="A104" s="271"/>
      <c r="B104" s="272"/>
      <c r="C104" s="272"/>
      <c r="D104" s="272"/>
      <c r="E104" s="272"/>
      <c r="F104" s="272"/>
      <c r="G104" s="272"/>
      <c r="H104" s="272"/>
      <c r="I104" s="272"/>
      <c r="J104" s="273" t="s">
        <v>325</v>
      </c>
    </row>
    <row r="105" spans="1:10">
      <c r="A105" s="271"/>
      <c r="B105" s="272"/>
      <c r="C105" s="272"/>
      <c r="D105" s="272"/>
      <c r="E105" s="272"/>
      <c r="F105" s="272"/>
      <c r="G105" s="272"/>
      <c r="H105" s="272"/>
      <c r="I105" s="272"/>
      <c r="J105" s="273" t="s">
        <v>326</v>
      </c>
    </row>
    <row r="106" spans="1:10">
      <c r="A106" s="274" t="s">
        <v>327</v>
      </c>
      <c r="B106" s="273"/>
      <c r="C106" s="273" t="s">
        <v>328</v>
      </c>
      <c r="D106" s="273" t="s">
        <v>329</v>
      </c>
      <c r="E106" s="273" t="s">
        <v>330</v>
      </c>
      <c r="F106" s="273" t="s">
        <v>331</v>
      </c>
      <c r="G106" s="273" t="s">
        <v>332</v>
      </c>
      <c r="H106" s="273" t="s">
        <v>325</v>
      </c>
      <c r="I106" s="273" t="s">
        <v>325</v>
      </c>
      <c r="J106" s="273" t="s">
        <v>333</v>
      </c>
    </row>
    <row r="107" spans="1:10">
      <c r="A107" s="274" t="s">
        <v>334</v>
      </c>
      <c r="B107" s="275"/>
      <c r="C107" s="275" t="s">
        <v>335</v>
      </c>
      <c r="D107" s="275" t="s">
        <v>336</v>
      </c>
      <c r="E107" s="275" t="s">
        <v>362</v>
      </c>
      <c r="F107" s="275" t="s">
        <v>363</v>
      </c>
      <c r="G107" s="275" t="s">
        <v>364</v>
      </c>
      <c r="H107" s="275" t="s">
        <v>340</v>
      </c>
      <c r="I107" s="275" t="s">
        <v>341</v>
      </c>
      <c r="J107" s="275" t="s">
        <v>342</v>
      </c>
    </row>
    <row r="108" spans="1:10">
      <c r="A108" s="271"/>
      <c r="B108" s="276" t="s">
        <v>383</v>
      </c>
      <c r="C108" s="296"/>
      <c r="D108" s="296"/>
      <c r="E108" s="296"/>
      <c r="F108" s="296"/>
      <c r="G108" s="296"/>
      <c r="H108" s="296"/>
      <c r="I108" s="296"/>
      <c r="J108" s="296"/>
    </row>
    <row r="109" spans="1:10">
      <c r="A109" s="271"/>
      <c r="B109" s="272" t="s">
        <v>384</v>
      </c>
      <c r="C109" s="296"/>
      <c r="D109" s="296"/>
      <c r="E109" s="296"/>
      <c r="F109" s="296"/>
      <c r="G109" s="296"/>
      <c r="H109" s="296"/>
      <c r="I109" s="296"/>
      <c r="J109" s="296"/>
    </row>
    <row r="110" spans="1:10">
      <c r="A110" s="271"/>
      <c r="B110" s="297" t="s">
        <v>367</v>
      </c>
      <c r="C110" s="298">
        <v>14654119.99999997</v>
      </c>
      <c r="D110" s="299">
        <v>14146135.99999997</v>
      </c>
      <c r="E110" s="299">
        <v>0</v>
      </c>
      <c r="F110" s="299">
        <v>0</v>
      </c>
      <c r="G110" s="299">
        <v>0</v>
      </c>
      <c r="H110" s="299">
        <v>182400</v>
      </c>
      <c r="I110" s="299">
        <v>9600</v>
      </c>
      <c r="J110" s="299">
        <v>315984</v>
      </c>
    </row>
    <row r="111" spans="1:10">
      <c r="A111" s="271"/>
      <c r="B111" s="297" t="s">
        <v>368</v>
      </c>
      <c r="C111" s="300">
        <v>4890988.8899999922</v>
      </c>
      <c r="D111" s="278">
        <v>0</v>
      </c>
      <c r="E111" s="278">
        <v>4754707.2899999926</v>
      </c>
      <c r="F111" s="278">
        <v>136281.60000000001</v>
      </c>
      <c r="G111" s="278">
        <v>0</v>
      </c>
      <c r="H111" s="278">
        <v>0</v>
      </c>
      <c r="I111" s="278">
        <v>0</v>
      </c>
      <c r="J111" s="278">
        <v>0</v>
      </c>
    </row>
    <row r="112" spans="1:10">
      <c r="A112" s="271"/>
      <c r="B112" s="297" t="s">
        <v>346</v>
      </c>
      <c r="C112" s="300">
        <v>56566630.719999999</v>
      </c>
      <c r="D112" s="278">
        <v>54666507.899999999</v>
      </c>
      <c r="E112" s="278">
        <v>427855.72</v>
      </c>
      <c r="F112" s="278">
        <v>10088.5</v>
      </c>
      <c r="G112" s="278">
        <v>152205.6</v>
      </c>
      <c r="H112" s="278">
        <v>632087.26</v>
      </c>
      <c r="I112" s="278">
        <v>579041.09</v>
      </c>
      <c r="J112" s="278">
        <v>98844.65</v>
      </c>
    </row>
    <row r="113" spans="1:10">
      <c r="A113" s="271"/>
      <c r="B113" s="297" t="s">
        <v>347</v>
      </c>
      <c r="C113" s="300">
        <v>46988421.460000001</v>
      </c>
      <c r="D113" s="278">
        <v>35209636.539999999</v>
      </c>
      <c r="E113" s="278">
        <v>10614604.73</v>
      </c>
      <c r="F113" s="278">
        <v>125636.73</v>
      </c>
      <c r="G113" s="278">
        <v>209613.84</v>
      </c>
      <c r="H113" s="278">
        <v>512208.28</v>
      </c>
      <c r="I113" s="278">
        <v>316721.34000000003</v>
      </c>
      <c r="J113" s="278">
        <v>0</v>
      </c>
    </row>
    <row r="114" spans="1:10">
      <c r="A114" s="271"/>
      <c r="B114" s="297" t="s">
        <v>348</v>
      </c>
      <c r="C114" s="300">
        <v>19634577.609999999</v>
      </c>
      <c r="D114" s="278">
        <v>0</v>
      </c>
      <c r="E114" s="278">
        <v>16739263.93</v>
      </c>
      <c r="F114" s="278">
        <v>1874404.46</v>
      </c>
      <c r="G114" s="278">
        <v>237166.16</v>
      </c>
      <c r="H114" s="278">
        <v>728859.84</v>
      </c>
      <c r="I114" s="278">
        <v>54883.22</v>
      </c>
      <c r="J114" s="278">
        <v>0</v>
      </c>
    </row>
    <row r="115" spans="1:10">
      <c r="A115" s="271"/>
      <c r="B115" s="297" t="s">
        <v>349</v>
      </c>
      <c r="C115" s="300">
        <v>1504395.53</v>
      </c>
      <c r="D115" s="278">
        <v>0</v>
      </c>
      <c r="E115" s="278">
        <v>0</v>
      </c>
      <c r="F115" s="278">
        <v>1065280.42</v>
      </c>
      <c r="G115" s="278">
        <v>125294.04</v>
      </c>
      <c r="H115" s="278">
        <v>160585.51999999999</v>
      </c>
      <c r="I115" s="278">
        <v>153235.54999999999</v>
      </c>
      <c r="J115" s="278">
        <v>0</v>
      </c>
    </row>
    <row r="116" spans="1:10">
      <c r="A116" s="271"/>
      <c r="B116" s="297" t="s">
        <v>350</v>
      </c>
      <c r="C116" s="300">
        <v>522104.67</v>
      </c>
      <c r="D116" s="278">
        <v>0</v>
      </c>
      <c r="E116" s="278">
        <v>0</v>
      </c>
      <c r="F116" s="278">
        <v>490194.45</v>
      </c>
      <c r="G116" s="278">
        <v>0</v>
      </c>
      <c r="H116" s="278">
        <v>16421.37</v>
      </c>
      <c r="I116" s="278">
        <v>15488.85</v>
      </c>
      <c r="J116" s="278">
        <v>0</v>
      </c>
    </row>
    <row r="117" spans="1:10">
      <c r="A117" s="271"/>
      <c r="B117" s="297" t="s">
        <v>385</v>
      </c>
      <c r="C117" s="300">
        <v>0</v>
      </c>
      <c r="D117" s="278"/>
      <c r="E117" s="278"/>
      <c r="F117" s="278"/>
      <c r="G117" s="278"/>
      <c r="H117" s="278"/>
      <c r="I117" s="278"/>
      <c r="J117" s="301">
        <v>0</v>
      </c>
    </row>
    <row r="118" spans="1:10">
      <c r="A118" s="272"/>
      <c r="B118" s="272"/>
      <c r="C118" s="302"/>
      <c r="D118" s="302"/>
      <c r="E118" s="302"/>
      <c r="F118" s="302"/>
      <c r="G118" s="302"/>
      <c r="H118" s="303"/>
      <c r="I118" s="302"/>
      <c r="J118" s="303"/>
    </row>
    <row r="119" spans="1:10">
      <c r="A119" s="271"/>
      <c r="B119" s="272" t="s">
        <v>351</v>
      </c>
      <c r="C119" s="298">
        <v>144761238.87999997</v>
      </c>
      <c r="D119" s="296">
        <v>104022280.43999997</v>
      </c>
      <c r="E119" s="296">
        <v>32536431.669999994</v>
      </c>
      <c r="F119" s="296">
        <v>3701886.16</v>
      </c>
      <c r="G119" s="296">
        <v>724279.64</v>
      </c>
      <c r="H119" s="296">
        <v>2232562.27</v>
      </c>
      <c r="I119" s="296">
        <v>1128970.05</v>
      </c>
      <c r="J119" s="296">
        <v>414828.65</v>
      </c>
    </row>
    <row r="120" spans="1:10">
      <c r="A120" s="272"/>
      <c r="B120" s="272" t="s">
        <v>361</v>
      </c>
      <c r="C120" s="304"/>
      <c r="D120" s="305"/>
      <c r="E120" s="305"/>
      <c r="F120" s="305"/>
      <c r="G120" s="305"/>
      <c r="H120" s="305"/>
      <c r="I120" s="305"/>
      <c r="J120" s="305"/>
    </row>
    <row r="121" spans="1:10">
      <c r="A121" s="271"/>
      <c r="B121" s="272"/>
      <c r="C121" s="298"/>
      <c r="D121" s="296"/>
      <c r="E121" s="296"/>
      <c r="F121" s="296"/>
      <c r="G121" s="296"/>
      <c r="H121" s="296"/>
      <c r="I121" s="296"/>
      <c r="J121" s="296"/>
    </row>
    <row r="122" spans="1:10">
      <c r="A122" s="271"/>
      <c r="B122" s="272" t="s">
        <v>351</v>
      </c>
      <c r="C122" s="298">
        <v>144761238.87999997</v>
      </c>
      <c r="D122" s="296">
        <v>104022280.43999997</v>
      </c>
      <c r="E122" s="296">
        <v>32536431.669999994</v>
      </c>
      <c r="F122" s="296">
        <v>3701886.16</v>
      </c>
      <c r="G122" s="296">
        <v>724279.64</v>
      </c>
      <c r="H122" s="296">
        <v>2232562.27</v>
      </c>
      <c r="I122" s="296">
        <v>1128970.05</v>
      </c>
      <c r="J122" s="296">
        <v>414828.65</v>
      </c>
    </row>
    <row r="123" spans="1:10">
      <c r="A123" s="271"/>
      <c r="B123" s="272" t="s">
        <v>386</v>
      </c>
      <c r="C123" s="306">
        <v>0</v>
      </c>
      <c r="D123" s="307">
        <v>0</v>
      </c>
      <c r="E123" s="307">
        <v>0</v>
      </c>
      <c r="F123" s="307">
        <v>0</v>
      </c>
      <c r="G123" s="307">
        <v>0</v>
      </c>
      <c r="H123" s="307">
        <v>0</v>
      </c>
      <c r="I123" s="307">
        <v>0</v>
      </c>
      <c r="J123" s="307">
        <v>0</v>
      </c>
    </row>
    <row r="124" spans="1:10">
      <c r="A124" s="271"/>
      <c r="B124" s="272"/>
      <c r="C124" s="308"/>
      <c r="D124" s="303"/>
      <c r="E124" s="303"/>
      <c r="F124" s="303"/>
      <c r="G124" s="303"/>
      <c r="H124" s="303"/>
      <c r="I124" s="303"/>
      <c r="J124" s="303"/>
    </row>
    <row r="125" spans="1:10">
      <c r="A125" s="271"/>
      <c r="B125" s="309" t="s">
        <v>387</v>
      </c>
      <c r="C125" s="298">
        <v>144761238.87999997</v>
      </c>
      <c r="D125" s="296">
        <v>104022280.43999997</v>
      </c>
      <c r="E125" s="296">
        <v>32536431.669999994</v>
      </c>
      <c r="F125" s="296">
        <v>3701886.16</v>
      </c>
      <c r="G125" s="296">
        <v>724279.64</v>
      </c>
      <c r="H125" s="296">
        <v>2232562.27</v>
      </c>
      <c r="I125" s="296">
        <v>1128970.05</v>
      </c>
      <c r="J125" s="296">
        <v>414828.65</v>
      </c>
    </row>
    <row r="126" spans="1:10">
      <c r="A126" s="271"/>
      <c r="B126" s="272"/>
      <c r="C126" s="272"/>
      <c r="D126" s="272"/>
      <c r="E126" s="272"/>
      <c r="F126" s="272"/>
      <c r="G126" s="272"/>
      <c r="H126" s="272"/>
      <c r="I126" s="272"/>
      <c r="J126" s="272"/>
    </row>
    <row r="127" spans="1:10">
      <c r="A127" s="271"/>
      <c r="B127" s="272"/>
      <c r="C127" s="272"/>
      <c r="D127" s="272"/>
      <c r="E127" s="272"/>
      <c r="F127" s="272"/>
      <c r="G127" s="272"/>
      <c r="H127" s="272"/>
      <c r="I127" s="272"/>
      <c r="J127" s="272"/>
    </row>
    <row r="128" spans="1:10">
      <c r="A128" s="271"/>
      <c r="B128" s="309" t="s">
        <v>388</v>
      </c>
      <c r="C128" s="296"/>
      <c r="D128" s="296"/>
      <c r="E128" s="296"/>
      <c r="F128" s="296"/>
      <c r="G128" s="296"/>
      <c r="H128" s="296"/>
      <c r="I128" s="296"/>
      <c r="J128" s="296"/>
    </row>
    <row r="129" spans="1:10">
      <c r="A129" s="271"/>
      <c r="B129" s="310" t="s">
        <v>389</v>
      </c>
      <c r="C129" s="296"/>
      <c r="D129" s="296"/>
      <c r="E129" s="296"/>
      <c r="F129" s="296"/>
      <c r="G129" s="311"/>
      <c r="H129" s="311"/>
      <c r="I129" s="296"/>
      <c r="J129" s="296"/>
    </row>
    <row r="130" spans="1:10">
      <c r="A130" s="312" t="s">
        <v>390</v>
      </c>
      <c r="B130" s="313" t="s">
        <v>391</v>
      </c>
      <c r="C130" s="306">
        <v>-345642</v>
      </c>
      <c r="D130" s="314">
        <v>-228646</v>
      </c>
      <c r="E130" s="314">
        <v>-84161</v>
      </c>
      <c r="F130" s="314">
        <v>-32835</v>
      </c>
      <c r="G130" s="314"/>
      <c r="H130" s="314"/>
      <c r="I130" s="282"/>
      <c r="J130" s="282"/>
    </row>
    <row r="131" spans="1:10">
      <c r="A131" s="271" t="s">
        <v>392</v>
      </c>
      <c r="B131" s="315" t="s">
        <v>393</v>
      </c>
      <c r="C131" s="298"/>
      <c r="D131" s="293">
        <v>80.832461529049937</v>
      </c>
      <c r="E131" s="293">
        <v>63.222375499532156</v>
      </c>
      <c r="F131" s="293">
        <v>63.334390089324543</v>
      </c>
      <c r="G131" s="293"/>
      <c r="H131" s="293"/>
      <c r="I131" s="293"/>
      <c r="J131" s="293"/>
    </row>
    <row r="132" spans="1:10">
      <c r="A132" s="271"/>
      <c r="B132" s="316" t="s">
        <v>394</v>
      </c>
      <c r="C132" s="317">
        <v>-258824.62000000002</v>
      </c>
      <c r="D132" s="303">
        <v>-184820.19</v>
      </c>
      <c r="E132" s="303">
        <v>-53208.58</v>
      </c>
      <c r="F132" s="303">
        <v>-20795.849999999999</v>
      </c>
      <c r="G132" s="303"/>
      <c r="H132" s="303"/>
      <c r="I132" s="303"/>
      <c r="J132" s="303"/>
    </row>
    <row r="133" spans="1:10">
      <c r="A133" s="271"/>
      <c r="B133" s="316"/>
      <c r="C133" s="317"/>
      <c r="D133" s="296"/>
      <c r="E133" s="296"/>
      <c r="F133" s="296"/>
      <c r="G133" s="296"/>
      <c r="H133" s="296"/>
      <c r="I133" s="296"/>
      <c r="J133" s="296"/>
    </row>
    <row r="134" spans="1:10">
      <c r="A134" s="312" t="s">
        <v>390</v>
      </c>
      <c r="B134" s="313" t="s">
        <v>395</v>
      </c>
      <c r="C134" s="306">
        <v>0</v>
      </c>
      <c r="D134" s="318">
        <v>0</v>
      </c>
      <c r="E134" s="318">
        <v>0</v>
      </c>
      <c r="F134" s="319"/>
      <c r="G134" s="282"/>
      <c r="H134" s="282"/>
      <c r="I134" s="282"/>
      <c r="J134" s="282"/>
    </row>
    <row r="135" spans="1:10">
      <c r="A135" s="271" t="s">
        <v>392</v>
      </c>
      <c r="B135" s="315" t="s">
        <v>396</v>
      </c>
      <c r="C135" s="317"/>
      <c r="D135" s="293">
        <v>77.200999999999993</v>
      </c>
      <c r="E135" s="293">
        <v>69.135190329097824</v>
      </c>
      <c r="F135" s="320"/>
      <c r="G135" s="293"/>
      <c r="H135" s="293"/>
      <c r="I135" s="293"/>
      <c r="J135" s="293"/>
    </row>
    <row r="136" spans="1:10">
      <c r="A136" s="271"/>
      <c r="B136" s="316" t="s">
        <v>397</v>
      </c>
      <c r="C136" s="317">
        <v>0</v>
      </c>
      <c r="D136" s="303">
        <v>0</v>
      </c>
      <c r="E136" s="303">
        <v>0</v>
      </c>
      <c r="F136" s="303"/>
      <c r="G136" s="303"/>
      <c r="H136" s="303"/>
      <c r="I136" s="302"/>
      <c r="J136" s="303"/>
    </row>
    <row r="137" spans="1:10">
      <c r="A137" s="271"/>
      <c r="B137" s="316"/>
      <c r="C137" s="317"/>
      <c r="D137" s="296"/>
      <c r="E137" s="296"/>
      <c r="F137" s="296"/>
      <c r="G137" s="296"/>
      <c r="H137" s="296"/>
      <c r="I137" s="272"/>
      <c r="J137" s="296"/>
    </row>
    <row r="138" spans="1:10">
      <c r="A138" s="271"/>
      <c r="B138" s="313" t="s">
        <v>398</v>
      </c>
      <c r="C138" s="306">
        <v>-345642</v>
      </c>
      <c r="D138" s="306">
        <v>-228646</v>
      </c>
      <c r="E138" s="306">
        <v>-84161</v>
      </c>
      <c r="F138" s="307">
        <v>-32835</v>
      </c>
      <c r="G138" s="307"/>
      <c r="H138" s="307"/>
      <c r="I138" s="307"/>
      <c r="J138" s="307"/>
    </row>
    <row r="139" spans="1:10">
      <c r="A139" s="271"/>
      <c r="B139" s="316" t="s">
        <v>399</v>
      </c>
      <c r="C139" s="317">
        <v>-258824.62000000002</v>
      </c>
      <c r="D139" s="296">
        <v>-184820.19</v>
      </c>
      <c r="E139" s="296">
        <v>-53208.58</v>
      </c>
      <c r="F139" s="296">
        <v>-20795.849999999999</v>
      </c>
      <c r="G139" s="296"/>
      <c r="H139" s="296"/>
      <c r="I139" s="296"/>
      <c r="J139" s="296"/>
    </row>
    <row r="140" spans="1:10">
      <c r="A140" s="271"/>
      <c r="B140" s="310" t="s">
        <v>400</v>
      </c>
      <c r="C140" s="317"/>
      <c r="D140" s="296"/>
      <c r="E140" s="296"/>
      <c r="F140" s="296"/>
      <c r="G140" s="296"/>
      <c r="H140" s="296"/>
      <c r="I140" s="296"/>
      <c r="J140" s="296"/>
    </row>
    <row r="141" spans="1:10">
      <c r="A141" s="312" t="s">
        <v>401</v>
      </c>
      <c r="B141" s="313" t="s">
        <v>395</v>
      </c>
      <c r="C141" s="306">
        <v>5337877</v>
      </c>
      <c r="D141" s="321">
        <v>3806706</v>
      </c>
      <c r="E141" s="321">
        <v>1453854</v>
      </c>
      <c r="F141" s="321">
        <v>77317</v>
      </c>
      <c r="G141" s="319"/>
      <c r="H141" s="307"/>
      <c r="I141" s="282"/>
      <c r="J141" s="282"/>
    </row>
    <row r="142" spans="1:10">
      <c r="A142" s="271" t="s">
        <v>392</v>
      </c>
      <c r="B142" s="315" t="s">
        <v>396</v>
      </c>
      <c r="C142" s="317"/>
      <c r="D142" s="293">
        <v>81.872574542981198</v>
      </c>
      <c r="E142" s="293">
        <v>69.135190329097824</v>
      </c>
      <c r="F142" s="320">
        <v>60.453096254080499</v>
      </c>
      <c r="G142" s="293"/>
      <c r="H142" s="293"/>
      <c r="I142" s="293"/>
      <c r="J142" s="293"/>
    </row>
    <row r="143" spans="1:10">
      <c r="A143" s="271"/>
      <c r="B143" s="316" t="s">
        <v>397</v>
      </c>
      <c r="C143" s="317">
        <v>4168513.46</v>
      </c>
      <c r="D143" s="303">
        <v>3116648.21</v>
      </c>
      <c r="E143" s="303">
        <v>1005124.73</v>
      </c>
      <c r="F143" s="303">
        <v>46740.52</v>
      </c>
      <c r="G143" s="303"/>
      <c r="H143" s="303"/>
      <c r="I143" s="303"/>
      <c r="J143" s="303"/>
    </row>
    <row r="144" spans="1:10">
      <c r="A144" s="271"/>
      <c r="B144" s="316" t="s">
        <v>402</v>
      </c>
      <c r="C144" s="322"/>
      <c r="D144" s="323"/>
      <c r="E144" s="323"/>
      <c r="F144" s="323"/>
      <c r="G144" s="323"/>
      <c r="H144" s="323"/>
      <c r="I144" s="323"/>
      <c r="J144" s="323"/>
    </row>
    <row r="145" spans="1:10">
      <c r="A145" s="271"/>
      <c r="B145" s="272"/>
      <c r="C145" s="317"/>
      <c r="D145" s="296"/>
      <c r="E145" s="296"/>
      <c r="F145" s="296"/>
      <c r="G145" s="296"/>
      <c r="H145" s="296"/>
      <c r="I145" s="296"/>
      <c r="J145" s="296"/>
    </row>
    <row r="146" spans="1:10">
      <c r="A146" s="271"/>
      <c r="B146" s="272" t="s">
        <v>403</v>
      </c>
      <c r="C146" s="317">
        <v>3909688.84</v>
      </c>
      <c r="D146" s="296">
        <v>2931828.02</v>
      </c>
      <c r="E146" s="296">
        <v>951916.15</v>
      </c>
      <c r="F146" s="296">
        <v>25944.67</v>
      </c>
      <c r="G146" s="296">
        <v>0</v>
      </c>
      <c r="H146" s="296">
        <v>0</v>
      </c>
      <c r="I146" s="296">
        <v>0</v>
      </c>
      <c r="J146" s="296">
        <v>0</v>
      </c>
    </row>
    <row r="147" spans="1:10">
      <c r="A147" s="271"/>
      <c r="B147" s="272" t="s">
        <v>387</v>
      </c>
      <c r="C147" s="304">
        <v>144761238.87999997</v>
      </c>
      <c r="D147" s="305">
        <v>104022280.43999997</v>
      </c>
      <c r="E147" s="305">
        <v>32536431.669999994</v>
      </c>
      <c r="F147" s="305">
        <v>3701886.16</v>
      </c>
      <c r="G147" s="305">
        <v>724279.64</v>
      </c>
      <c r="H147" s="305">
        <v>2232562.27</v>
      </c>
      <c r="I147" s="305">
        <v>1128970.05</v>
      </c>
      <c r="J147" s="305">
        <v>414828.65</v>
      </c>
    </row>
    <row r="148" spans="1:10">
      <c r="A148" s="271"/>
      <c r="B148" s="272"/>
      <c r="C148" s="298"/>
      <c r="D148" s="296"/>
      <c r="E148" s="296"/>
      <c r="F148" s="296"/>
      <c r="G148" s="296"/>
      <c r="H148" s="296"/>
      <c r="I148" s="296"/>
      <c r="J148" s="296"/>
    </row>
    <row r="149" spans="1:10">
      <c r="A149" s="271"/>
      <c r="B149" s="272" t="s">
        <v>404</v>
      </c>
      <c r="C149" s="298">
        <v>148670927.72</v>
      </c>
      <c r="D149" s="296">
        <v>106954108.45999996</v>
      </c>
      <c r="E149" s="296">
        <v>33488347.819999993</v>
      </c>
      <c r="F149" s="296">
        <v>3727830.83</v>
      </c>
      <c r="G149" s="296">
        <v>724279.64</v>
      </c>
      <c r="H149" s="296">
        <v>2232562.27</v>
      </c>
      <c r="I149" s="296">
        <v>1128970.05</v>
      </c>
      <c r="J149" s="296">
        <v>414828.65</v>
      </c>
    </row>
    <row r="150" spans="1:10">
      <c r="A150" s="271"/>
      <c r="B150" s="272"/>
      <c r="C150" s="298"/>
      <c r="D150" s="296"/>
      <c r="E150" s="296"/>
      <c r="F150" s="296"/>
      <c r="G150" s="296"/>
      <c r="H150" s="296"/>
      <c r="I150" s="296"/>
      <c r="J150" s="296"/>
    </row>
    <row r="151" spans="1:10">
      <c r="A151" s="271"/>
      <c r="B151" s="272"/>
      <c r="C151" s="298"/>
      <c r="D151" s="296"/>
      <c r="E151" s="296"/>
      <c r="F151" s="296"/>
      <c r="G151" s="296"/>
      <c r="H151" s="296"/>
      <c r="I151" s="296"/>
      <c r="J151" s="296"/>
    </row>
    <row r="152" spans="1:10">
      <c r="A152" s="271"/>
      <c r="B152" s="273"/>
      <c r="C152" s="296"/>
      <c r="D152" s="296"/>
      <c r="E152" s="296"/>
      <c r="F152" s="296"/>
      <c r="G152" s="296"/>
      <c r="H152" s="296"/>
      <c r="I152" s="296"/>
      <c r="J152" s="296"/>
    </row>
    <row r="153" spans="1:10">
      <c r="A153" s="271"/>
      <c r="B153" s="273"/>
      <c r="C153" s="296"/>
      <c r="D153" s="296"/>
      <c r="E153" s="296"/>
      <c r="F153" s="296"/>
      <c r="G153" s="296"/>
      <c r="H153" s="296"/>
      <c r="I153" s="296"/>
      <c r="J153" s="273" t="s">
        <v>325</v>
      </c>
    </row>
    <row r="154" spans="1:10">
      <c r="A154" s="271"/>
      <c r="B154" s="273"/>
      <c r="C154" s="296"/>
      <c r="D154" s="296"/>
      <c r="E154" s="296"/>
      <c r="F154" s="296"/>
      <c r="G154" s="296"/>
      <c r="H154" s="296"/>
      <c r="I154" s="296"/>
      <c r="J154" s="273" t="s">
        <v>326</v>
      </c>
    </row>
    <row r="155" spans="1:10">
      <c r="A155" s="274" t="s">
        <v>327</v>
      </c>
      <c r="B155" s="273"/>
      <c r="C155" s="273" t="s">
        <v>328</v>
      </c>
      <c r="D155" s="273" t="s">
        <v>329</v>
      </c>
      <c r="E155" s="273" t="s">
        <v>330</v>
      </c>
      <c r="F155" s="273" t="s">
        <v>331</v>
      </c>
      <c r="G155" s="273" t="s">
        <v>332</v>
      </c>
      <c r="H155" s="273" t="s">
        <v>325</v>
      </c>
      <c r="I155" s="273" t="s">
        <v>325</v>
      </c>
      <c r="J155" s="273" t="s">
        <v>333</v>
      </c>
    </row>
    <row r="156" spans="1:10">
      <c r="A156" s="274" t="s">
        <v>334</v>
      </c>
      <c r="B156" s="275"/>
      <c r="C156" s="275" t="s">
        <v>335</v>
      </c>
      <c r="D156" s="275" t="s">
        <v>336</v>
      </c>
      <c r="E156" s="275" t="s">
        <v>362</v>
      </c>
      <c r="F156" s="275" t="s">
        <v>363</v>
      </c>
      <c r="G156" s="275" t="s">
        <v>364</v>
      </c>
      <c r="H156" s="275" t="s">
        <v>340</v>
      </c>
      <c r="I156" s="275" t="s">
        <v>341</v>
      </c>
      <c r="J156" s="275" t="s">
        <v>342</v>
      </c>
    </row>
    <row r="157" spans="1:10">
      <c r="A157" s="271"/>
      <c r="B157" s="276" t="s">
        <v>405</v>
      </c>
      <c r="C157" s="296"/>
      <c r="D157" s="296"/>
      <c r="E157" s="296"/>
      <c r="F157" s="296"/>
      <c r="G157" s="296"/>
      <c r="H157" s="296"/>
      <c r="I157" s="296"/>
      <c r="J157" s="296"/>
    </row>
    <row r="158" spans="1:10">
      <c r="A158" s="271"/>
      <c r="B158" s="272" t="s">
        <v>384</v>
      </c>
      <c r="C158" s="296"/>
      <c r="D158" s="296"/>
      <c r="E158" s="296"/>
      <c r="F158" s="296"/>
      <c r="G158" s="296"/>
      <c r="H158" s="296"/>
      <c r="I158" s="296"/>
      <c r="J158" s="296"/>
    </row>
    <row r="159" spans="1:10">
      <c r="A159" s="271"/>
      <c r="B159" s="297" t="s">
        <v>367</v>
      </c>
      <c r="C159" s="298">
        <v>14654119.99999997</v>
      </c>
      <c r="D159" s="299">
        <v>14146135.99999997</v>
      </c>
      <c r="E159" s="299">
        <v>0</v>
      </c>
      <c r="F159" s="299">
        <v>0</v>
      </c>
      <c r="G159" s="299">
        <v>0</v>
      </c>
      <c r="H159" s="299">
        <v>182400</v>
      </c>
      <c r="I159" s="299">
        <v>9600</v>
      </c>
      <c r="J159" s="299">
        <v>315984</v>
      </c>
    </row>
    <row r="160" spans="1:10">
      <c r="A160" s="271"/>
      <c r="B160" s="297" t="s">
        <v>368</v>
      </c>
      <c r="C160" s="300">
        <v>4890988.8899999922</v>
      </c>
      <c r="D160" s="278">
        <v>0</v>
      </c>
      <c r="E160" s="278">
        <v>4754707.2899999926</v>
      </c>
      <c r="F160" s="278">
        <v>136281.60000000001</v>
      </c>
      <c r="G160" s="278">
        <v>0</v>
      </c>
      <c r="H160" s="278">
        <v>0</v>
      </c>
      <c r="I160" s="278">
        <v>0</v>
      </c>
      <c r="J160" s="278">
        <v>0</v>
      </c>
    </row>
    <row r="161" spans="1:10">
      <c r="A161" s="271"/>
      <c r="B161" s="297" t="s">
        <v>346</v>
      </c>
      <c r="C161" s="300">
        <v>56566630.719999999</v>
      </c>
      <c r="D161" s="278">
        <v>54666507.899999999</v>
      </c>
      <c r="E161" s="278">
        <v>427855.72</v>
      </c>
      <c r="F161" s="278">
        <v>10088.5</v>
      </c>
      <c r="G161" s="278">
        <v>152205.6</v>
      </c>
      <c r="H161" s="278">
        <v>632087.26</v>
      </c>
      <c r="I161" s="278">
        <v>579041.09</v>
      </c>
      <c r="J161" s="278">
        <v>98844.65</v>
      </c>
    </row>
    <row r="162" spans="1:10">
      <c r="A162" s="271"/>
      <c r="B162" s="297" t="s">
        <v>347</v>
      </c>
      <c r="C162" s="300">
        <v>46988421.460000001</v>
      </c>
      <c r="D162" s="278">
        <v>35209636.539999999</v>
      </c>
      <c r="E162" s="278">
        <v>10614604.73</v>
      </c>
      <c r="F162" s="278">
        <v>125636.73</v>
      </c>
      <c r="G162" s="278">
        <v>209613.84</v>
      </c>
      <c r="H162" s="278">
        <v>512208.28</v>
      </c>
      <c r="I162" s="278">
        <v>316721.34000000003</v>
      </c>
      <c r="J162" s="278">
        <v>0</v>
      </c>
    </row>
    <row r="163" spans="1:10">
      <c r="A163" s="271"/>
      <c r="B163" s="297" t="s">
        <v>348</v>
      </c>
      <c r="C163" s="300">
        <v>19634577.609999999</v>
      </c>
      <c r="D163" s="278">
        <v>0</v>
      </c>
      <c r="E163" s="278">
        <v>16739263.93</v>
      </c>
      <c r="F163" s="278">
        <v>1874404.46</v>
      </c>
      <c r="G163" s="278">
        <v>237166.16</v>
      </c>
      <c r="H163" s="278">
        <v>728859.84</v>
      </c>
      <c r="I163" s="278">
        <v>54883.22</v>
      </c>
      <c r="J163" s="278">
        <v>0</v>
      </c>
    </row>
    <row r="164" spans="1:10">
      <c r="A164" s="271"/>
      <c r="B164" s="297" t="s">
        <v>349</v>
      </c>
      <c r="C164" s="300">
        <v>1504395.53</v>
      </c>
      <c r="D164" s="278">
        <v>0</v>
      </c>
      <c r="E164" s="278">
        <v>0</v>
      </c>
      <c r="F164" s="278">
        <v>1065280.42</v>
      </c>
      <c r="G164" s="278">
        <v>125294.04</v>
      </c>
      <c r="H164" s="278">
        <v>160585.51999999999</v>
      </c>
      <c r="I164" s="278">
        <v>153235.54999999999</v>
      </c>
      <c r="J164" s="278">
        <v>0</v>
      </c>
    </row>
    <row r="165" spans="1:10">
      <c r="A165" s="271"/>
      <c r="B165" s="297" t="s">
        <v>350</v>
      </c>
      <c r="C165" s="300">
        <v>522104.67</v>
      </c>
      <c r="D165" s="278">
        <v>0</v>
      </c>
      <c r="E165" s="278">
        <v>0</v>
      </c>
      <c r="F165" s="278">
        <v>490194.45</v>
      </c>
      <c r="G165" s="278">
        <v>0</v>
      </c>
      <c r="H165" s="278">
        <v>16421.37</v>
      </c>
      <c r="I165" s="278">
        <v>15488.85</v>
      </c>
      <c r="J165" s="278">
        <v>0</v>
      </c>
    </row>
    <row r="166" spans="1:10">
      <c r="A166" s="271"/>
      <c r="B166" s="297" t="s">
        <v>385</v>
      </c>
      <c r="C166" s="300">
        <v>0</v>
      </c>
      <c r="D166" s="278"/>
      <c r="E166" s="278"/>
      <c r="F166" s="278"/>
      <c r="G166" s="278"/>
      <c r="H166" s="278"/>
      <c r="I166" s="278"/>
      <c r="J166" s="301">
        <v>0</v>
      </c>
    </row>
    <row r="167" spans="1:10">
      <c r="A167" s="272"/>
      <c r="B167" s="272"/>
      <c r="C167" s="308"/>
      <c r="D167" s="302"/>
      <c r="E167" s="302"/>
      <c r="F167" s="302"/>
      <c r="G167" s="302"/>
      <c r="H167" s="302"/>
      <c r="I167" s="302"/>
      <c r="J167" s="302"/>
    </row>
    <row r="168" spans="1:10">
      <c r="A168" s="271"/>
      <c r="B168" s="272" t="s">
        <v>351</v>
      </c>
      <c r="C168" s="298">
        <v>144761238.87999997</v>
      </c>
      <c r="D168" s="296">
        <v>104022280.43999997</v>
      </c>
      <c r="E168" s="296">
        <v>32536431.669999994</v>
      </c>
      <c r="F168" s="296">
        <v>3701886.16</v>
      </c>
      <c r="G168" s="296">
        <v>724279.64</v>
      </c>
      <c r="H168" s="296">
        <v>2232562.27</v>
      </c>
      <c r="I168" s="296">
        <v>1128970.05</v>
      </c>
      <c r="J168" s="296">
        <v>414828.65</v>
      </c>
    </row>
    <row r="169" spans="1:10">
      <c r="A169" s="272"/>
      <c r="B169" s="272" t="s">
        <v>361</v>
      </c>
      <c r="C169" s="304"/>
      <c r="D169" s="305"/>
      <c r="E169" s="305"/>
      <c r="F169" s="305"/>
      <c r="G169" s="305"/>
      <c r="H169" s="305"/>
      <c r="I169" s="305"/>
      <c r="J169" s="305"/>
    </row>
    <row r="170" spans="1:10">
      <c r="A170" s="271"/>
      <c r="B170" s="272"/>
      <c r="C170" s="298"/>
      <c r="D170" s="296"/>
      <c r="E170" s="296"/>
      <c r="F170" s="296"/>
      <c r="G170" s="296"/>
      <c r="H170" s="296"/>
      <c r="I170" s="296"/>
      <c r="J170" s="296"/>
    </row>
    <row r="171" spans="1:10">
      <c r="A171" s="271"/>
      <c r="B171" s="272" t="s">
        <v>351</v>
      </c>
      <c r="C171" s="298">
        <v>144761238.87999997</v>
      </c>
      <c r="D171" s="296">
        <v>104022280.43999997</v>
      </c>
      <c r="E171" s="296">
        <v>32536431.669999994</v>
      </c>
      <c r="F171" s="296">
        <v>3701886.16</v>
      </c>
      <c r="G171" s="296">
        <v>724279.64</v>
      </c>
      <c r="H171" s="296">
        <v>2232562.27</v>
      </c>
      <c r="I171" s="296">
        <v>1128970.05</v>
      </c>
      <c r="J171" s="296">
        <v>414828.65</v>
      </c>
    </row>
    <row r="172" spans="1:10">
      <c r="A172" s="271"/>
      <c r="B172" s="272" t="s">
        <v>386</v>
      </c>
      <c r="C172" s="304">
        <v>0</v>
      </c>
      <c r="D172" s="305">
        <v>0</v>
      </c>
      <c r="E172" s="305">
        <v>0</v>
      </c>
      <c r="F172" s="305">
        <v>0</v>
      </c>
      <c r="G172" s="305">
        <v>0</v>
      </c>
      <c r="H172" s="305">
        <v>0</v>
      </c>
      <c r="I172" s="305">
        <v>0</v>
      </c>
      <c r="J172" s="305">
        <v>0</v>
      </c>
    </row>
    <row r="173" spans="1:10">
      <c r="A173" s="271"/>
      <c r="B173" s="272"/>
      <c r="C173" s="298"/>
      <c r="D173" s="296"/>
      <c r="E173" s="296"/>
      <c r="F173" s="296"/>
      <c r="G173" s="296"/>
      <c r="H173" s="296"/>
      <c r="I173" s="296"/>
      <c r="J173" s="296"/>
    </row>
    <row r="174" spans="1:10">
      <c r="A174" s="271"/>
      <c r="B174" s="272" t="s">
        <v>387</v>
      </c>
      <c r="C174" s="298">
        <v>144761238.87999997</v>
      </c>
      <c r="D174" s="296">
        <v>104022280.43999997</v>
      </c>
      <c r="E174" s="296">
        <v>32536431.669999994</v>
      </c>
      <c r="F174" s="296">
        <v>3701886.16</v>
      </c>
      <c r="G174" s="296">
        <v>724279.64</v>
      </c>
      <c r="H174" s="296">
        <v>2232562.27</v>
      </c>
      <c r="I174" s="296">
        <v>1128970.05</v>
      </c>
      <c r="J174" s="296">
        <v>414828.65</v>
      </c>
    </row>
    <row r="175" spans="1:10">
      <c r="A175" s="271"/>
      <c r="B175" s="272"/>
      <c r="C175" s="298"/>
      <c r="D175" s="296"/>
      <c r="E175" s="296"/>
      <c r="F175" s="296"/>
      <c r="G175" s="296"/>
      <c r="H175" s="296"/>
      <c r="I175" s="296"/>
      <c r="J175" s="296"/>
    </row>
    <row r="176" spans="1:10">
      <c r="A176" s="271"/>
      <c r="B176" s="309" t="s">
        <v>388</v>
      </c>
      <c r="C176" s="296"/>
      <c r="D176" s="296"/>
      <c r="E176" s="296"/>
      <c r="F176" s="296"/>
      <c r="G176" s="296"/>
      <c r="H176" s="296"/>
      <c r="I176" s="296"/>
      <c r="J176" s="296"/>
    </row>
    <row r="177" spans="1:10">
      <c r="A177" s="271"/>
      <c r="B177" s="310" t="s">
        <v>389</v>
      </c>
      <c r="C177" s="307"/>
      <c r="D177" s="307"/>
      <c r="E177" s="307"/>
      <c r="F177" s="307"/>
      <c r="G177" s="296"/>
      <c r="H177" s="296"/>
      <c r="I177" s="296"/>
      <c r="J177" s="296"/>
    </row>
    <row r="178" spans="1:10">
      <c r="A178" s="282"/>
      <c r="B178" s="313" t="s">
        <v>406</v>
      </c>
      <c r="C178" s="307">
        <v>-345642</v>
      </c>
      <c r="D178" s="307">
        <v>-228646</v>
      </c>
      <c r="E178" s="307">
        <v>-84161</v>
      </c>
      <c r="F178" s="307">
        <v>-32835</v>
      </c>
      <c r="G178" s="282"/>
      <c r="H178" s="282"/>
      <c r="I178" s="272"/>
      <c r="J178" s="282"/>
    </row>
    <row r="179" spans="1:10">
      <c r="A179" s="271" t="s">
        <v>392</v>
      </c>
      <c r="B179" s="315" t="s">
        <v>407</v>
      </c>
      <c r="C179" s="293"/>
      <c r="D179" s="324">
        <v>80.832461529049937</v>
      </c>
      <c r="E179" s="324">
        <v>63.222375499532156</v>
      </c>
      <c r="F179" s="324">
        <v>63.334390089324543</v>
      </c>
      <c r="G179" s="324"/>
      <c r="H179" s="324"/>
      <c r="I179" s="277"/>
      <c r="J179" s="325"/>
    </row>
    <row r="180" spans="1:10">
      <c r="A180" s="271"/>
      <c r="B180" s="316" t="s">
        <v>408</v>
      </c>
      <c r="C180" s="296">
        <v>-258824.62000000002</v>
      </c>
      <c r="D180" s="296">
        <v>-184820.19</v>
      </c>
      <c r="E180" s="296">
        <v>-53208.58</v>
      </c>
      <c r="F180" s="296">
        <v>-20795.849999999999</v>
      </c>
      <c r="G180" s="296"/>
      <c r="H180" s="296"/>
      <c r="I180" s="272"/>
      <c r="J180" s="296"/>
    </row>
    <row r="181" spans="1:10">
      <c r="A181" s="271"/>
      <c r="B181" s="316"/>
      <c r="C181" s="296"/>
      <c r="D181" s="296"/>
      <c r="E181" s="296"/>
      <c r="F181" s="296"/>
      <c r="G181" s="296"/>
      <c r="H181" s="296"/>
      <c r="I181" s="272"/>
      <c r="J181" s="296"/>
    </row>
    <row r="182" spans="1:10">
      <c r="A182" s="271"/>
      <c r="B182" s="313" t="s">
        <v>395</v>
      </c>
      <c r="C182" s="307">
        <v>0</v>
      </c>
      <c r="D182" s="307">
        <v>0</v>
      </c>
      <c r="E182" s="307">
        <v>0</v>
      </c>
      <c r="F182" s="307">
        <v>0</v>
      </c>
      <c r="G182" s="282"/>
      <c r="H182" s="282"/>
      <c r="I182" s="272"/>
      <c r="J182" s="282"/>
    </row>
    <row r="183" spans="1:10">
      <c r="A183" s="271" t="s">
        <v>392</v>
      </c>
      <c r="B183" s="315" t="s">
        <v>396</v>
      </c>
      <c r="C183" s="293"/>
      <c r="D183" s="324">
        <v>77.200999999999993</v>
      </c>
      <c r="E183" s="324">
        <v>69.135190329097838</v>
      </c>
      <c r="F183" s="324">
        <v>63.334390089324543</v>
      </c>
      <c r="G183" s="324"/>
      <c r="H183" s="324"/>
      <c r="I183" s="277"/>
      <c r="J183" s="324"/>
    </row>
    <row r="184" spans="1:10">
      <c r="A184" s="271"/>
      <c r="B184" s="316" t="s">
        <v>397</v>
      </c>
      <c r="C184" s="296">
        <v>0</v>
      </c>
      <c r="D184" s="296">
        <v>0</v>
      </c>
      <c r="E184" s="296">
        <v>0</v>
      </c>
      <c r="F184" s="296">
        <v>0</v>
      </c>
      <c r="G184" s="296"/>
      <c r="H184" s="296"/>
      <c r="I184" s="272"/>
      <c r="J184" s="296"/>
    </row>
    <row r="185" spans="1:10">
      <c r="A185" s="271"/>
      <c r="B185" s="316"/>
      <c r="C185" s="296"/>
      <c r="D185" s="296"/>
      <c r="E185" s="296"/>
      <c r="F185" s="296"/>
      <c r="G185" s="296"/>
      <c r="H185" s="296"/>
      <c r="I185" s="272"/>
      <c r="J185" s="296"/>
    </row>
    <row r="186" spans="1:10">
      <c r="A186" s="271"/>
      <c r="B186" s="313" t="s">
        <v>398</v>
      </c>
      <c r="C186" s="307">
        <v>-345642</v>
      </c>
      <c r="D186" s="307">
        <v>-228646</v>
      </c>
      <c r="E186" s="307">
        <v>-84161</v>
      </c>
      <c r="F186" s="307">
        <v>-32835</v>
      </c>
      <c r="G186" s="282"/>
      <c r="H186" s="282"/>
      <c r="I186" s="272"/>
      <c r="J186" s="282"/>
    </row>
    <row r="187" spans="1:10">
      <c r="A187" s="271"/>
      <c r="B187" s="316" t="s">
        <v>399</v>
      </c>
      <c r="C187" s="296">
        <v>-258824.62000000002</v>
      </c>
      <c r="D187" s="296">
        <v>-184820.19</v>
      </c>
      <c r="E187" s="296">
        <v>-53208.58</v>
      </c>
      <c r="F187" s="296">
        <v>-20795.849999999999</v>
      </c>
      <c r="G187" s="296"/>
      <c r="H187" s="296"/>
      <c r="I187" s="272"/>
      <c r="J187" s="296"/>
    </row>
    <row r="188" spans="1:10">
      <c r="A188" s="271"/>
      <c r="B188" s="310" t="s">
        <v>400</v>
      </c>
      <c r="C188" s="296"/>
      <c r="D188" s="296"/>
      <c r="E188" s="296"/>
      <c r="F188" s="296"/>
      <c r="G188" s="296"/>
      <c r="H188" s="296"/>
      <c r="I188" s="272"/>
      <c r="J188" s="296"/>
    </row>
    <row r="189" spans="1:10">
      <c r="A189" s="271"/>
      <c r="B189" s="313" t="s">
        <v>395</v>
      </c>
      <c r="C189" s="307">
        <v>5337877</v>
      </c>
      <c r="D189" s="307">
        <v>3806706</v>
      </c>
      <c r="E189" s="307">
        <v>1453854</v>
      </c>
      <c r="F189" s="307">
        <v>77317</v>
      </c>
      <c r="G189" s="282"/>
      <c r="H189" s="282"/>
      <c r="I189" s="272"/>
      <c r="J189" s="282"/>
    </row>
    <row r="190" spans="1:10">
      <c r="A190" s="271" t="s">
        <v>392</v>
      </c>
      <c r="B190" s="315" t="s">
        <v>396</v>
      </c>
      <c r="C190" s="296"/>
      <c r="D190" s="324">
        <v>81.872574542981198</v>
      </c>
      <c r="E190" s="324">
        <v>69.135190329097838</v>
      </c>
      <c r="F190" s="324">
        <v>60.453096254080499</v>
      </c>
      <c r="G190" s="324"/>
      <c r="H190" s="324"/>
      <c r="I190" s="277"/>
      <c r="J190" s="324"/>
    </row>
    <row r="191" spans="1:10">
      <c r="A191" s="271"/>
      <c r="B191" s="316" t="s">
        <v>397</v>
      </c>
      <c r="C191" s="296">
        <v>4168513.46</v>
      </c>
      <c r="D191" s="296">
        <v>3116648.21</v>
      </c>
      <c r="E191" s="296">
        <v>1005124.73</v>
      </c>
      <c r="F191" s="296">
        <v>46740.52</v>
      </c>
      <c r="G191" s="296"/>
      <c r="H191" s="296"/>
      <c r="I191" s="296"/>
      <c r="J191" s="296"/>
    </row>
    <row r="192" spans="1:10">
      <c r="A192" s="271"/>
      <c r="B192" s="316" t="s">
        <v>402</v>
      </c>
      <c r="C192" s="323"/>
      <c r="D192" s="323"/>
      <c r="E192" s="323"/>
      <c r="F192" s="323"/>
      <c r="G192" s="323"/>
      <c r="H192" s="323"/>
      <c r="I192" s="323"/>
      <c r="J192" s="323"/>
    </row>
    <row r="193" spans="1:10">
      <c r="A193" s="271"/>
      <c r="B193" s="272"/>
      <c r="C193" s="296"/>
      <c r="D193" s="296"/>
      <c r="E193" s="296"/>
      <c r="F193" s="296"/>
      <c r="G193" s="296"/>
      <c r="H193" s="296"/>
      <c r="I193" s="296"/>
      <c r="J193" s="296"/>
    </row>
    <row r="194" spans="1:10">
      <c r="A194" s="271"/>
      <c r="B194" s="272" t="s">
        <v>403</v>
      </c>
      <c r="C194" s="296">
        <v>3909688.84</v>
      </c>
      <c r="D194" s="296">
        <v>2931828.02</v>
      </c>
      <c r="E194" s="296">
        <v>951916.15</v>
      </c>
      <c r="F194" s="296">
        <v>25944.67</v>
      </c>
      <c r="G194" s="296">
        <v>0</v>
      </c>
      <c r="H194" s="296">
        <v>0</v>
      </c>
      <c r="I194" s="296">
        <v>0</v>
      </c>
      <c r="J194" s="296">
        <v>0</v>
      </c>
    </row>
    <row r="195" spans="1:10">
      <c r="A195" s="271"/>
      <c r="B195" s="272" t="s">
        <v>387</v>
      </c>
      <c r="C195" s="305">
        <v>144761238.87999997</v>
      </c>
      <c r="D195" s="305">
        <v>104022280.43999997</v>
      </c>
      <c r="E195" s="305">
        <v>32536431.669999994</v>
      </c>
      <c r="F195" s="305">
        <v>3701886.16</v>
      </c>
      <c r="G195" s="305">
        <v>724279.64</v>
      </c>
      <c r="H195" s="305">
        <v>2232562.27</v>
      </c>
      <c r="I195" s="305">
        <v>1128970.05</v>
      </c>
      <c r="J195" s="305">
        <v>414828.65</v>
      </c>
    </row>
    <row r="196" spans="1:10">
      <c r="A196" s="271"/>
      <c r="B196" s="272" t="s">
        <v>409</v>
      </c>
      <c r="C196" s="296">
        <v>148670927.72</v>
      </c>
      <c r="D196" s="296">
        <v>106954108.45999996</v>
      </c>
      <c r="E196" s="296">
        <v>33488347.819999993</v>
      </c>
      <c r="F196" s="296">
        <v>3727830.83</v>
      </c>
      <c r="G196" s="296">
        <v>724279.64</v>
      </c>
      <c r="H196" s="296">
        <v>2232562.27</v>
      </c>
      <c r="I196" s="296">
        <v>1128970.05</v>
      </c>
      <c r="J196" s="296">
        <v>414828.65</v>
      </c>
    </row>
    <row r="197" spans="1:10">
      <c r="A197" s="271"/>
      <c r="B197" s="272" t="s">
        <v>404</v>
      </c>
      <c r="C197" s="323">
        <v>148670927.72</v>
      </c>
      <c r="D197" s="323">
        <v>106954108.45999996</v>
      </c>
      <c r="E197" s="323">
        <v>33488347.819999993</v>
      </c>
      <c r="F197" s="323">
        <v>3727830.83</v>
      </c>
      <c r="G197" s="323">
        <v>724279.64</v>
      </c>
      <c r="H197" s="323">
        <v>2232562.27</v>
      </c>
      <c r="I197" s="323">
        <v>1128970.05</v>
      </c>
      <c r="J197" s="323">
        <v>414828.65</v>
      </c>
    </row>
    <row r="198" spans="1:10">
      <c r="A198" s="271"/>
      <c r="B198" s="272"/>
      <c r="C198" s="272"/>
      <c r="D198" s="272"/>
      <c r="E198" s="272"/>
      <c r="F198" s="272"/>
      <c r="G198" s="272"/>
      <c r="H198" s="272"/>
      <c r="I198" s="272"/>
      <c r="J198" s="272"/>
    </row>
    <row r="199" spans="1:10">
      <c r="A199" s="326"/>
      <c r="B199" s="294" t="s">
        <v>410</v>
      </c>
      <c r="C199" s="327">
        <v>0</v>
      </c>
      <c r="D199" s="327">
        <v>0</v>
      </c>
      <c r="E199" s="327">
        <v>0</v>
      </c>
      <c r="F199" s="327">
        <v>0</v>
      </c>
      <c r="G199" s="327">
        <v>0</v>
      </c>
      <c r="H199" s="327">
        <v>0</v>
      </c>
      <c r="I199" s="327">
        <v>0</v>
      </c>
      <c r="J199" s="327">
        <v>0</v>
      </c>
    </row>
    <row r="200" spans="1:10">
      <c r="A200" s="326"/>
      <c r="B200" s="294" t="s">
        <v>411</v>
      </c>
      <c r="C200" s="328">
        <v>0</v>
      </c>
      <c r="D200" s="328">
        <v>0</v>
      </c>
      <c r="E200" s="328">
        <v>0</v>
      </c>
      <c r="F200" s="328">
        <v>0</v>
      </c>
      <c r="G200" s="328">
        <v>0</v>
      </c>
      <c r="H200" s="328">
        <v>0</v>
      </c>
      <c r="I200" s="328">
        <v>0</v>
      </c>
      <c r="J200" s="328">
        <v>0</v>
      </c>
    </row>
    <row r="201" spans="1:10">
      <c r="A201" s="271"/>
      <c r="B201" s="273"/>
      <c r="C201" s="329"/>
      <c r="D201" s="329"/>
      <c r="E201" s="330"/>
      <c r="F201" s="330"/>
      <c r="G201" s="330"/>
      <c r="H201" s="330"/>
      <c r="I201" s="330"/>
      <c r="J201" s="330"/>
    </row>
    <row r="202" spans="1:10">
      <c r="A202" s="271"/>
      <c r="B202" s="273"/>
      <c r="C202" s="329"/>
      <c r="D202" s="329"/>
      <c r="E202" s="329"/>
      <c r="F202" s="329"/>
      <c r="G202" s="329"/>
      <c r="H202" s="329"/>
      <c r="I202" s="329"/>
      <c r="J202" s="329"/>
    </row>
    <row r="203" spans="1:10">
      <c r="A203" s="271"/>
      <c r="B203" s="273"/>
      <c r="C203" s="329"/>
      <c r="D203" s="329"/>
      <c r="E203" s="329"/>
      <c r="F203" s="329"/>
      <c r="G203" s="329"/>
      <c r="H203" s="329"/>
      <c r="I203" s="329"/>
      <c r="J203" s="329"/>
    </row>
    <row r="204" spans="1:10">
      <c r="A204" s="274" t="s">
        <v>327</v>
      </c>
      <c r="B204" s="273"/>
      <c r="C204" s="273" t="s">
        <v>328</v>
      </c>
      <c r="D204" s="273" t="s">
        <v>335</v>
      </c>
      <c r="E204" s="273" t="s">
        <v>335</v>
      </c>
      <c r="F204" s="273" t="s">
        <v>412</v>
      </c>
      <c r="G204" s="273" t="s">
        <v>412</v>
      </c>
      <c r="H204" s="273" t="s">
        <v>413</v>
      </c>
      <c r="I204" s="273" t="s">
        <v>413</v>
      </c>
      <c r="J204" s="273"/>
    </row>
    <row r="205" spans="1:10">
      <c r="A205" s="274" t="s">
        <v>334</v>
      </c>
      <c r="B205" s="273"/>
      <c r="C205" s="275" t="s">
        <v>414</v>
      </c>
      <c r="D205" s="275" t="s">
        <v>344</v>
      </c>
      <c r="E205" s="275" t="s">
        <v>415</v>
      </c>
      <c r="F205" s="275" t="s">
        <v>416</v>
      </c>
      <c r="G205" s="275" t="s">
        <v>415</v>
      </c>
      <c r="H205" s="275" t="s">
        <v>344</v>
      </c>
      <c r="I205" s="275" t="s">
        <v>415</v>
      </c>
      <c r="J205" s="273"/>
    </row>
    <row r="206" spans="1:10">
      <c r="A206" s="271"/>
      <c r="B206" s="331" t="s">
        <v>417</v>
      </c>
      <c r="C206" s="272"/>
      <c r="D206" s="272"/>
      <c r="E206" s="272"/>
      <c r="F206" s="272"/>
      <c r="G206" s="272"/>
      <c r="H206" s="272"/>
      <c r="I206" s="272"/>
      <c r="J206" s="272"/>
    </row>
    <row r="207" spans="1:10">
      <c r="A207" s="271"/>
      <c r="B207" s="272" t="s">
        <v>336</v>
      </c>
      <c r="C207" s="272"/>
      <c r="D207" s="272"/>
      <c r="E207" s="272"/>
      <c r="F207" s="272"/>
      <c r="G207" s="272"/>
      <c r="H207" s="272"/>
      <c r="I207" s="272"/>
      <c r="J207" s="272"/>
    </row>
    <row r="208" spans="1:10">
      <c r="A208" s="271"/>
      <c r="B208" s="297" t="s">
        <v>418</v>
      </c>
      <c r="C208" s="293">
        <v>77.200999999999993</v>
      </c>
      <c r="D208" s="282">
        <v>70810621.492195159</v>
      </c>
      <c r="E208" s="296">
        <v>54666507.898189582</v>
      </c>
      <c r="F208" s="332">
        <v>24755737.999999948</v>
      </c>
      <c r="G208" s="296">
        <v>19111677.293379959</v>
      </c>
      <c r="H208" s="282">
        <v>46054883.492195211</v>
      </c>
      <c r="I208" s="296">
        <v>35554830.604809619</v>
      </c>
      <c r="J208" s="272"/>
    </row>
    <row r="209" spans="1:10">
      <c r="A209" s="271"/>
      <c r="B209" s="297" t="s">
        <v>419</v>
      </c>
      <c r="C209" s="293">
        <v>87.200999999999993</v>
      </c>
      <c r="D209" s="282">
        <v>40377560.507804818</v>
      </c>
      <c r="E209" s="296">
        <v>35209636.53841088</v>
      </c>
      <c r="F209" s="332">
        <v>0</v>
      </c>
      <c r="G209" s="296">
        <v>0</v>
      </c>
      <c r="H209" s="282">
        <v>40377560.507804818</v>
      </c>
      <c r="I209" s="296">
        <v>35209636.53841088</v>
      </c>
      <c r="J209" s="272"/>
    </row>
    <row r="210" spans="1:10">
      <c r="A210" s="271"/>
      <c r="B210" s="272"/>
      <c r="C210" s="272"/>
      <c r="D210" s="302"/>
      <c r="E210" s="302"/>
      <c r="F210" s="302"/>
      <c r="G210" s="302"/>
      <c r="H210" s="302"/>
      <c r="I210" s="303"/>
      <c r="J210" s="272"/>
    </row>
    <row r="211" spans="1:10">
      <c r="A211" s="271"/>
      <c r="B211" s="272" t="s">
        <v>335</v>
      </c>
      <c r="C211" s="272"/>
      <c r="D211" s="282">
        <v>111188181.99999997</v>
      </c>
      <c r="E211" s="296">
        <v>89876144.436600462</v>
      </c>
      <c r="F211" s="321">
        <v>24755737.999999948</v>
      </c>
      <c r="G211" s="296">
        <v>19111677.293379959</v>
      </c>
      <c r="H211" s="282">
        <v>86432444.00000003</v>
      </c>
      <c r="I211" s="296">
        <v>70764467.143220499</v>
      </c>
      <c r="J211" s="272"/>
    </row>
    <row r="212" spans="1:10">
      <c r="A212" s="271"/>
      <c r="B212" s="272" t="s">
        <v>420</v>
      </c>
      <c r="C212" s="272"/>
      <c r="D212" s="272"/>
      <c r="E212" s="293">
        <v>80.832461525992471</v>
      </c>
      <c r="F212" s="293"/>
      <c r="G212" s="293">
        <v>77.200999999999993</v>
      </c>
      <c r="H212" s="272"/>
      <c r="I212" s="293">
        <v>81.872574542981198</v>
      </c>
      <c r="J212" s="272"/>
    </row>
    <row r="213" spans="1:10">
      <c r="A213" s="271"/>
      <c r="B213" s="272"/>
      <c r="C213" s="272"/>
      <c r="D213" s="272"/>
      <c r="E213" s="272"/>
      <c r="F213" s="272"/>
      <c r="G213" s="272"/>
      <c r="H213" s="272"/>
      <c r="I213" s="272"/>
      <c r="J213" s="272"/>
    </row>
    <row r="214" spans="1:10">
      <c r="A214" s="271"/>
      <c r="B214" s="272"/>
      <c r="C214" s="272"/>
      <c r="D214" s="272"/>
      <c r="E214" s="272"/>
      <c r="F214" s="272"/>
      <c r="G214" s="272"/>
      <c r="H214" s="272"/>
      <c r="I214" s="272"/>
      <c r="J214" s="272"/>
    </row>
    <row r="215" spans="1:10" hidden="1">
      <c r="A215" s="271"/>
      <c r="B215" s="331" t="s">
        <v>421</v>
      </c>
      <c r="C215" s="272"/>
      <c r="D215" s="272"/>
      <c r="E215" s="272"/>
      <c r="F215" s="272"/>
      <c r="G215" s="272"/>
      <c r="H215" s="272"/>
      <c r="I215" s="272"/>
      <c r="J215" s="272"/>
    </row>
    <row r="216" spans="1:10" hidden="1">
      <c r="A216" s="271"/>
      <c r="B216" s="272" t="s">
        <v>336</v>
      </c>
      <c r="C216" s="272"/>
      <c r="D216" s="272"/>
      <c r="E216" s="272"/>
      <c r="F216" s="272"/>
      <c r="G216" s="272"/>
      <c r="H216" s="272"/>
      <c r="I216" s="272"/>
      <c r="J216" s="272"/>
    </row>
    <row r="217" spans="1:10" hidden="1">
      <c r="A217" s="271"/>
      <c r="B217" s="297" t="s">
        <v>418</v>
      </c>
      <c r="C217" s="293">
        <v>77.200999999999993</v>
      </c>
      <c r="D217" s="282">
        <v>70810621.492195159</v>
      </c>
      <c r="E217" s="296">
        <v>54666507.898189582</v>
      </c>
      <c r="F217" s="332">
        <v>24755737.999999948</v>
      </c>
      <c r="G217" s="296">
        <v>19111677.293379959</v>
      </c>
      <c r="H217" s="282">
        <v>46054883.492195211</v>
      </c>
      <c r="I217" s="296">
        <v>35554830.604809619</v>
      </c>
      <c r="J217" s="272"/>
    </row>
    <row r="218" spans="1:10" hidden="1">
      <c r="A218" s="271"/>
      <c r="B218" s="297" t="s">
        <v>419</v>
      </c>
      <c r="C218" s="293">
        <v>87.200999999999993</v>
      </c>
      <c r="D218" s="282">
        <v>40377560.507804818</v>
      </c>
      <c r="E218" s="296">
        <v>35209636.53841088</v>
      </c>
      <c r="F218" s="332">
        <v>0</v>
      </c>
      <c r="G218" s="296">
        <v>0</v>
      </c>
      <c r="H218" s="282">
        <v>40377560.507804818</v>
      </c>
      <c r="I218" s="296">
        <v>35209636.53841088</v>
      </c>
      <c r="J218" s="272"/>
    </row>
    <row r="219" spans="1:10" hidden="1">
      <c r="A219" s="271"/>
      <c r="B219" s="272"/>
      <c r="C219" s="272"/>
      <c r="D219" s="302"/>
      <c r="E219" s="302"/>
      <c r="F219" s="302"/>
      <c r="G219" s="302"/>
      <c r="H219" s="302"/>
      <c r="I219" s="302"/>
      <c r="J219" s="272"/>
    </row>
    <row r="220" spans="1:10" hidden="1">
      <c r="A220" s="271"/>
      <c r="B220" s="272" t="s">
        <v>335</v>
      </c>
      <c r="C220" s="272"/>
      <c r="D220" s="282">
        <v>111188181.99999997</v>
      </c>
      <c r="E220" s="296">
        <v>89876144.436600462</v>
      </c>
      <c r="F220" s="307">
        <v>24755737.999999948</v>
      </c>
      <c r="G220" s="296">
        <v>19111677.293379959</v>
      </c>
      <c r="H220" s="282">
        <v>86432444.00000003</v>
      </c>
      <c r="I220" s="282">
        <v>70764467.143220499</v>
      </c>
      <c r="J220" s="272"/>
    </row>
    <row r="221" spans="1:10" hidden="1">
      <c r="A221" s="271"/>
      <c r="B221" s="272" t="s">
        <v>420</v>
      </c>
      <c r="C221" s="272"/>
      <c r="D221" s="272"/>
      <c r="E221" s="293">
        <v>80.832461525992471</v>
      </c>
      <c r="F221" s="293"/>
      <c r="G221" s="293">
        <v>77.200999999999993</v>
      </c>
      <c r="H221" s="272"/>
      <c r="I221" s="293">
        <v>81.872574542981198</v>
      </c>
      <c r="J221" s="272"/>
    </row>
    <row r="222" spans="1:10" hidden="1">
      <c r="A222" s="271"/>
      <c r="B222" s="272"/>
      <c r="C222" s="272"/>
      <c r="D222" s="272"/>
      <c r="E222" s="272"/>
      <c r="F222" s="272"/>
      <c r="G222" s="272"/>
      <c r="H222" s="272"/>
      <c r="I222" s="272"/>
      <c r="J222" s="272"/>
    </row>
    <row r="223" spans="1:10" hidden="1">
      <c r="A223" s="271"/>
      <c r="B223" s="272"/>
      <c r="C223" s="272"/>
      <c r="D223" s="272"/>
      <c r="E223" s="272"/>
      <c r="F223" s="272"/>
      <c r="G223" s="272"/>
      <c r="H223" s="272"/>
      <c r="I223" s="272"/>
      <c r="J223" s="272"/>
    </row>
    <row r="224" spans="1:10">
      <c r="A224" s="271"/>
      <c r="B224" s="333" t="s">
        <v>422</v>
      </c>
      <c r="C224" s="272"/>
      <c r="D224" s="272"/>
      <c r="E224" s="272"/>
      <c r="F224" s="272"/>
      <c r="G224" s="272"/>
      <c r="H224" s="272"/>
      <c r="I224" s="272"/>
      <c r="J224" s="272"/>
    </row>
    <row r="225" spans="1:10">
      <c r="A225" s="271"/>
      <c r="B225" s="309" t="s">
        <v>423</v>
      </c>
      <c r="C225" s="272"/>
      <c r="D225" s="272"/>
      <c r="E225" s="272"/>
      <c r="F225" s="272"/>
      <c r="G225" s="272"/>
      <c r="H225" s="272"/>
      <c r="I225" s="272"/>
      <c r="J225" s="272"/>
    </row>
    <row r="226" spans="1:10">
      <c r="A226" s="271"/>
      <c r="B226" s="272"/>
      <c r="C226" s="272"/>
      <c r="D226" s="272"/>
      <c r="E226" s="272"/>
      <c r="F226" s="272"/>
      <c r="G226" s="272"/>
      <c r="H226" s="272"/>
      <c r="I226" s="272"/>
      <c r="J226" s="272"/>
    </row>
    <row r="227" spans="1:10">
      <c r="A227" s="271"/>
      <c r="B227" s="331" t="s">
        <v>417</v>
      </c>
      <c r="C227" s="272"/>
      <c r="D227" s="272"/>
      <c r="E227" s="272"/>
      <c r="F227" s="272"/>
      <c r="G227" s="272"/>
      <c r="H227" s="272"/>
      <c r="I227" s="272"/>
      <c r="J227" s="272"/>
    </row>
    <row r="228" spans="1:10">
      <c r="A228" s="271"/>
      <c r="B228" s="272" t="s">
        <v>362</v>
      </c>
      <c r="C228" s="272"/>
      <c r="D228" s="272"/>
      <c r="E228" s="272"/>
      <c r="F228" s="272"/>
      <c r="G228" s="272"/>
      <c r="H228" s="272"/>
      <c r="I228" s="272"/>
      <c r="J228" s="272"/>
    </row>
    <row r="229" spans="1:10">
      <c r="A229" s="271"/>
      <c r="B229" s="297" t="s">
        <v>424</v>
      </c>
      <c r="C229" s="293">
        <v>7.9959999999999951</v>
      </c>
      <c r="D229" s="282">
        <v>5350871.8954175152</v>
      </c>
      <c r="E229" s="296">
        <v>427855.71675758431</v>
      </c>
      <c r="F229" s="332">
        <v>5350871.8954175152</v>
      </c>
      <c r="G229" s="296">
        <v>427855.71675758431</v>
      </c>
      <c r="H229" s="282">
        <v>0</v>
      </c>
      <c r="I229" s="296">
        <v>0</v>
      </c>
      <c r="J229" s="272"/>
    </row>
    <row r="230" spans="1:10">
      <c r="A230" s="271"/>
      <c r="B230" s="297" t="s">
        <v>425</v>
      </c>
      <c r="C230" s="293">
        <v>75.49199999999999</v>
      </c>
      <c r="D230" s="282">
        <v>14060568.973229647</v>
      </c>
      <c r="E230" s="296">
        <v>10614604.729270523</v>
      </c>
      <c r="F230" s="332">
        <v>10590523.104582461</v>
      </c>
      <c r="G230" s="296">
        <v>7994997.7021113895</v>
      </c>
      <c r="H230" s="282">
        <v>3470045.8686471861</v>
      </c>
      <c r="I230" s="296">
        <v>2619607.0271591335</v>
      </c>
      <c r="J230" s="272"/>
    </row>
    <row r="231" spans="1:10">
      <c r="A231" s="271"/>
      <c r="B231" s="297" t="s">
        <v>426</v>
      </c>
      <c r="C231" s="293">
        <v>68.23599999999999</v>
      </c>
      <c r="D231" s="282">
        <v>24531426.131352834</v>
      </c>
      <c r="E231" s="296">
        <v>16739263.934989918</v>
      </c>
      <c r="F231" s="332">
        <v>0</v>
      </c>
      <c r="G231" s="296">
        <v>0</v>
      </c>
      <c r="H231" s="282">
        <v>24531426.131352834</v>
      </c>
      <c r="I231" s="296">
        <v>16739263.934989918</v>
      </c>
      <c r="J231" s="272"/>
    </row>
    <row r="232" spans="1:10">
      <c r="A232" s="271"/>
      <c r="B232" s="272"/>
      <c r="C232" s="272"/>
      <c r="D232" s="302"/>
      <c r="E232" s="302"/>
      <c r="F232" s="302"/>
      <c r="G232" s="302"/>
      <c r="H232" s="302"/>
      <c r="I232" s="303"/>
      <c r="J232" s="272"/>
    </row>
    <row r="233" spans="1:10">
      <c r="A233" s="271"/>
      <c r="B233" s="272" t="s">
        <v>335</v>
      </c>
      <c r="C233" s="272"/>
      <c r="D233" s="282">
        <v>43942867</v>
      </c>
      <c r="E233" s="296">
        <v>27781724.381018028</v>
      </c>
      <c r="F233" s="321">
        <v>15941394.999999976</v>
      </c>
      <c r="G233" s="296">
        <v>8422853.4188689739</v>
      </c>
      <c r="H233" s="282">
        <v>28001472.000000022</v>
      </c>
      <c r="I233" s="296">
        <v>19358870.96214905</v>
      </c>
      <c r="J233" s="272"/>
    </row>
    <row r="234" spans="1:10">
      <c r="A234" s="271"/>
      <c r="B234" s="272" t="s">
        <v>420</v>
      </c>
      <c r="C234" s="272"/>
      <c r="D234" s="272"/>
      <c r="E234" s="293">
        <v>63.222375501848859</v>
      </c>
      <c r="F234" s="293"/>
      <c r="G234" s="293">
        <v>52.83636356083634</v>
      </c>
      <c r="H234" s="272"/>
      <c r="I234" s="293">
        <v>69.135190329097824</v>
      </c>
      <c r="J234" s="272"/>
    </row>
    <row r="235" spans="1:10">
      <c r="A235" s="271"/>
      <c r="B235" s="272"/>
      <c r="C235" s="272"/>
      <c r="D235" s="272"/>
      <c r="E235" s="272"/>
      <c r="F235" s="272"/>
      <c r="G235" s="272"/>
      <c r="H235" s="272"/>
      <c r="I235" s="272"/>
      <c r="J235" s="272"/>
    </row>
    <row r="236" spans="1:10" hidden="1">
      <c r="A236" s="271"/>
      <c r="B236" s="272"/>
      <c r="C236" s="272"/>
      <c r="D236" s="272"/>
      <c r="E236" s="272"/>
      <c r="F236" s="272"/>
      <c r="G236" s="272"/>
      <c r="H236" s="272"/>
      <c r="I236" s="272"/>
      <c r="J236" s="272"/>
    </row>
    <row r="237" spans="1:10" hidden="1">
      <c r="A237" s="271"/>
      <c r="B237" s="331" t="s">
        <v>421</v>
      </c>
      <c r="C237" s="272"/>
      <c r="D237" s="272"/>
      <c r="E237" s="272"/>
      <c r="F237" s="272"/>
      <c r="G237" s="272"/>
      <c r="H237" s="272"/>
      <c r="I237" s="272"/>
      <c r="J237" s="272"/>
    </row>
    <row r="238" spans="1:10" hidden="1">
      <c r="A238" s="271"/>
      <c r="B238" s="272" t="s">
        <v>362</v>
      </c>
      <c r="C238" s="272"/>
      <c r="D238" s="272"/>
      <c r="E238" s="272"/>
      <c r="F238" s="272"/>
      <c r="G238" s="272"/>
      <c r="H238" s="272"/>
      <c r="I238" s="272"/>
      <c r="J238" s="272"/>
    </row>
    <row r="239" spans="1:10" hidden="1">
      <c r="A239" s="271"/>
      <c r="B239" s="297" t="s">
        <v>424</v>
      </c>
      <c r="C239" s="293">
        <v>7.9960000000000004</v>
      </c>
      <c r="D239" s="282">
        <v>5350871.8954175152</v>
      </c>
      <c r="E239" s="296">
        <v>427855.71675758454</v>
      </c>
      <c r="F239" s="332">
        <v>5350871.8954175152</v>
      </c>
      <c r="G239" s="296">
        <v>427855.71675758454</v>
      </c>
      <c r="H239" s="282">
        <v>0</v>
      </c>
      <c r="I239" s="296">
        <v>0</v>
      </c>
      <c r="J239" s="272"/>
    </row>
    <row r="240" spans="1:10" hidden="1">
      <c r="A240" s="271"/>
      <c r="B240" s="297" t="s">
        <v>425</v>
      </c>
      <c r="C240" s="293">
        <v>75.492000000000004</v>
      </c>
      <c r="D240" s="282">
        <v>14060568.973229647</v>
      </c>
      <c r="E240" s="296">
        <v>10614604.729270525</v>
      </c>
      <c r="F240" s="332">
        <v>10590523.104582461</v>
      </c>
      <c r="G240" s="296">
        <v>7994997.7021113923</v>
      </c>
      <c r="H240" s="282">
        <v>3470045.8686471861</v>
      </c>
      <c r="I240" s="296">
        <v>2619607.0271591339</v>
      </c>
      <c r="J240" s="272"/>
    </row>
    <row r="241" spans="1:10" hidden="1">
      <c r="A241" s="271"/>
      <c r="B241" s="297" t="s">
        <v>426</v>
      </c>
      <c r="C241" s="293">
        <v>68.236000000000004</v>
      </c>
      <c r="D241" s="282">
        <v>24531426.131352834</v>
      </c>
      <c r="E241" s="296">
        <v>16739263.934989922</v>
      </c>
      <c r="F241" s="332">
        <v>0</v>
      </c>
      <c r="G241" s="296">
        <v>0</v>
      </c>
      <c r="H241" s="282">
        <v>24531426.131352834</v>
      </c>
      <c r="I241" s="296">
        <v>16739263.934989922</v>
      </c>
      <c r="J241" s="272"/>
    </row>
    <row r="242" spans="1:10" hidden="1">
      <c r="A242" s="271"/>
      <c r="B242" s="272"/>
      <c r="C242" s="272"/>
      <c r="D242" s="302"/>
      <c r="E242" s="302"/>
      <c r="F242" s="302"/>
      <c r="G242" s="302"/>
      <c r="H242" s="302"/>
      <c r="I242" s="302"/>
      <c r="J242" s="272"/>
    </row>
    <row r="243" spans="1:10" hidden="1">
      <c r="A243" s="271"/>
      <c r="B243" s="272" t="s">
        <v>335</v>
      </c>
      <c r="C243" s="272"/>
      <c r="D243" s="282">
        <v>43942867</v>
      </c>
      <c r="E243" s="296">
        <v>27781724.381018031</v>
      </c>
      <c r="F243" s="307">
        <v>15941394.999999976</v>
      </c>
      <c r="G243" s="296">
        <v>8422853.4188689776</v>
      </c>
      <c r="H243" s="282">
        <v>28001472.000000022</v>
      </c>
      <c r="I243" s="282">
        <v>19358870.962149054</v>
      </c>
      <c r="J243" s="272"/>
    </row>
    <row r="244" spans="1:10" hidden="1">
      <c r="A244" s="271"/>
      <c r="B244" s="272" t="s">
        <v>420</v>
      </c>
      <c r="C244" s="272"/>
      <c r="D244" s="272"/>
      <c r="E244" s="293">
        <v>63.222375501848873</v>
      </c>
      <c r="F244" s="293"/>
      <c r="G244" s="293">
        <v>52.836363560836361</v>
      </c>
      <c r="H244" s="272"/>
      <c r="I244" s="293">
        <v>69.135190329097838</v>
      </c>
      <c r="J244" s="272"/>
    </row>
    <row r="245" spans="1:10" hidden="1">
      <c r="A245" s="271"/>
      <c r="B245" s="272"/>
      <c r="C245" s="272"/>
      <c r="D245" s="272"/>
      <c r="E245" s="272"/>
      <c r="F245" s="272"/>
      <c r="G245" s="272"/>
      <c r="H245" s="272"/>
      <c r="I245" s="272"/>
      <c r="J245" s="272"/>
    </row>
    <row r="246" spans="1:10">
      <c r="A246" s="271"/>
      <c r="B246" s="272"/>
      <c r="C246" s="272"/>
      <c r="D246" s="272"/>
      <c r="E246" s="272"/>
      <c r="F246" s="272"/>
      <c r="G246" s="272"/>
      <c r="H246" s="272"/>
      <c r="I246" s="272"/>
      <c r="J246" s="272"/>
    </row>
    <row r="247" spans="1:10">
      <c r="A247" s="271"/>
      <c r="B247" s="333" t="s">
        <v>427</v>
      </c>
      <c r="C247" s="272"/>
      <c r="D247" s="272"/>
      <c r="E247" s="272"/>
      <c r="F247" s="272"/>
      <c r="G247" s="272"/>
      <c r="H247" s="272"/>
      <c r="I247" s="272"/>
      <c r="J247" s="272"/>
    </row>
    <row r="248" spans="1:10">
      <c r="A248" s="271"/>
      <c r="B248" s="309" t="s">
        <v>428</v>
      </c>
      <c r="C248" s="272"/>
      <c r="D248" s="272"/>
      <c r="E248" s="272"/>
      <c r="F248" s="272"/>
      <c r="G248" s="272"/>
      <c r="H248" s="272"/>
      <c r="I248" s="272"/>
      <c r="J248" s="272"/>
    </row>
    <row r="249" spans="1:10">
      <c r="A249" s="271"/>
      <c r="B249" s="272"/>
      <c r="C249" s="272"/>
      <c r="D249" s="272"/>
      <c r="E249" s="272"/>
      <c r="F249" s="272"/>
      <c r="G249" s="272"/>
      <c r="H249" s="272"/>
      <c r="I249" s="272"/>
      <c r="J249" s="272"/>
    </row>
    <row r="250" spans="1:10">
      <c r="A250" s="274" t="s">
        <v>327</v>
      </c>
      <c r="B250" s="273"/>
      <c r="C250" s="273" t="s">
        <v>328</v>
      </c>
      <c r="D250" s="273" t="s">
        <v>335</v>
      </c>
      <c r="E250" s="273" t="s">
        <v>335</v>
      </c>
      <c r="F250" s="273" t="s">
        <v>412</v>
      </c>
      <c r="G250" s="273" t="s">
        <v>412</v>
      </c>
      <c r="H250" s="273" t="s">
        <v>413</v>
      </c>
      <c r="I250" s="273" t="s">
        <v>413</v>
      </c>
      <c r="J250" s="272"/>
    </row>
    <row r="251" spans="1:10">
      <c r="A251" s="274" t="s">
        <v>334</v>
      </c>
      <c r="B251" s="273"/>
      <c r="C251" s="275" t="s">
        <v>414</v>
      </c>
      <c r="D251" s="275" t="s">
        <v>344</v>
      </c>
      <c r="E251" s="275" t="s">
        <v>415</v>
      </c>
      <c r="F251" s="275" t="s">
        <v>416</v>
      </c>
      <c r="G251" s="275" t="s">
        <v>415</v>
      </c>
      <c r="H251" s="275" t="s">
        <v>344</v>
      </c>
      <c r="I251" s="275" t="s">
        <v>415</v>
      </c>
      <c r="J251" s="272"/>
    </row>
    <row r="252" spans="1:10">
      <c r="A252" s="271"/>
      <c r="B252" s="272"/>
      <c r="C252" s="272"/>
      <c r="D252" s="272"/>
      <c r="E252" s="272"/>
      <c r="F252" s="272"/>
      <c r="G252" s="272"/>
      <c r="H252" s="272"/>
      <c r="I252" s="272"/>
      <c r="J252" s="272"/>
    </row>
    <row r="253" spans="1:10">
      <c r="A253" s="271"/>
      <c r="B253" s="331" t="s">
        <v>417</v>
      </c>
      <c r="C253" s="272"/>
      <c r="D253" s="272"/>
      <c r="E253" s="272"/>
      <c r="F253" s="272"/>
      <c r="G253" s="272"/>
      <c r="H253" s="272"/>
      <c r="I253" s="272"/>
      <c r="J253" s="272"/>
    </row>
    <row r="254" spans="1:10">
      <c r="A254" s="271"/>
      <c r="B254" s="272" t="s">
        <v>363</v>
      </c>
      <c r="C254" s="272"/>
      <c r="D254" s="272"/>
      <c r="E254" s="272"/>
      <c r="F254" s="272"/>
      <c r="G254" s="272"/>
      <c r="H254" s="272"/>
      <c r="I254" s="272"/>
      <c r="J254" s="272"/>
    </row>
    <row r="255" spans="1:10">
      <c r="A255" s="271"/>
      <c r="B255" s="297" t="s">
        <v>429</v>
      </c>
      <c r="C255" s="293">
        <v>6.0120000000000005</v>
      </c>
      <c r="D255" s="282">
        <v>167806</v>
      </c>
      <c r="E255" s="296">
        <v>10088.496720000001</v>
      </c>
      <c r="F255" s="332">
        <v>167806</v>
      </c>
      <c r="G255" s="296">
        <v>10088.496720000001</v>
      </c>
      <c r="H255" s="282">
        <v>0</v>
      </c>
      <c r="I255" s="296">
        <v>0</v>
      </c>
      <c r="J255" s="272"/>
    </row>
    <row r="256" spans="1:10">
      <c r="A256" s="271"/>
      <c r="B256" s="297" t="s">
        <v>430</v>
      </c>
      <c r="C256" s="293">
        <v>75.007000000000005</v>
      </c>
      <c r="D256" s="282">
        <v>167500</v>
      </c>
      <c r="E256" s="296">
        <v>125636.72500000001</v>
      </c>
      <c r="F256" s="332">
        <v>167500</v>
      </c>
      <c r="G256" s="296">
        <v>125636.72500000001</v>
      </c>
      <c r="H256" s="282">
        <v>0</v>
      </c>
      <c r="I256" s="296">
        <v>0</v>
      </c>
      <c r="J256" s="272"/>
    </row>
    <row r="257" spans="1:10">
      <c r="A257" s="271"/>
      <c r="B257" s="297" t="s">
        <v>431</v>
      </c>
      <c r="C257" s="293">
        <v>67.587000000000003</v>
      </c>
      <c r="D257" s="282">
        <v>2773321</v>
      </c>
      <c r="E257" s="296">
        <v>1874404.4642700001</v>
      </c>
      <c r="F257" s="332">
        <v>2773321</v>
      </c>
      <c r="G257" s="296">
        <v>1874404.4642700001</v>
      </c>
      <c r="H257" s="282">
        <v>0</v>
      </c>
      <c r="I257" s="296">
        <v>0</v>
      </c>
      <c r="J257" s="272"/>
    </row>
    <row r="258" spans="1:10">
      <c r="A258" s="271"/>
      <c r="B258" s="297" t="s">
        <v>432</v>
      </c>
      <c r="C258" s="293">
        <v>62.927999999999997</v>
      </c>
      <c r="D258" s="282">
        <v>1692856</v>
      </c>
      <c r="E258" s="296">
        <v>1065280.42368</v>
      </c>
      <c r="F258" s="332">
        <v>1266429</v>
      </c>
      <c r="G258" s="296">
        <v>796938.44112000009</v>
      </c>
      <c r="H258" s="282">
        <v>426427</v>
      </c>
      <c r="I258" s="296">
        <v>268341.98255999997</v>
      </c>
      <c r="J258" s="272"/>
    </row>
    <row r="259" spans="1:10">
      <c r="A259" s="271"/>
      <c r="B259" s="297" t="s">
        <v>433</v>
      </c>
      <c r="C259" s="293">
        <v>59.179000000000002</v>
      </c>
      <c r="D259" s="282">
        <v>828325</v>
      </c>
      <c r="E259" s="296">
        <v>490194.45175000007</v>
      </c>
      <c r="F259" s="332">
        <v>0</v>
      </c>
      <c r="G259" s="296">
        <v>0</v>
      </c>
      <c r="H259" s="282">
        <v>828325</v>
      </c>
      <c r="I259" s="296">
        <v>490194.45175000007</v>
      </c>
      <c r="J259" s="272"/>
    </row>
    <row r="260" spans="1:10">
      <c r="A260" s="271"/>
      <c r="B260" s="272"/>
      <c r="C260" s="272"/>
      <c r="D260" s="302"/>
      <c r="E260" s="302"/>
      <c r="F260" s="302"/>
      <c r="G260" s="302"/>
      <c r="H260" s="302"/>
      <c r="I260" s="303"/>
      <c r="J260" s="272"/>
    </row>
    <row r="261" spans="1:10">
      <c r="A261" s="271"/>
      <c r="B261" s="272" t="s">
        <v>335</v>
      </c>
      <c r="C261" s="272"/>
      <c r="D261" s="282">
        <v>5629808</v>
      </c>
      <c r="E261" s="296">
        <v>3565604.5614200002</v>
      </c>
      <c r="F261" s="321">
        <v>4375056</v>
      </c>
      <c r="G261" s="296">
        <v>2010129.6859900001</v>
      </c>
      <c r="H261" s="282">
        <v>1254752</v>
      </c>
      <c r="I261" s="296">
        <v>758536.43431000004</v>
      </c>
      <c r="J261" s="272"/>
    </row>
    <row r="262" spans="1:10">
      <c r="A262" s="271"/>
      <c r="B262" s="272" t="s">
        <v>420</v>
      </c>
      <c r="C262" s="272"/>
      <c r="D262" s="272"/>
      <c r="E262" s="293">
        <v>63.334390114547425</v>
      </c>
      <c r="F262" s="293"/>
      <c r="G262" s="293">
        <v>45.94523329507097</v>
      </c>
      <c r="H262" s="272"/>
      <c r="I262" s="293">
        <v>60.453096254080499</v>
      </c>
      <c r="J262" s="272"/>
    </row>
    <row r="263" spans="1:10">
      <c r="A263" s="271"/>
      <c r="B263" s="272"/>
      <c r="C263" s="272"/>
      <c r="D263" s="272"/>
      <c r="E263" s="272"/>
      <c r="F263" s="272"/>
      <c r="G263" s="272"/>
      <c r="H263" s="272"/>
      <c r="I263" s="272"/>
      <c r="J263" s="272"/>
    </row>
    <row r="264" spans="1:10">
      <c r="A264" s="271"/>
      <c r="B264" s="272"/>
      <c r="C264" s="272"/>
      <c r="D264" s="272"/>
      <c r="E264" s="272"/>
      <c r="F264" s="272"/>
      <c r="G264" s="272"/>
      <c r="H264" s="272"/>
      <c r="I264" s="272"/>
      <c r="J264" s="272"/>
    </row>
    <row r="265" spans="1:10" hidden="1">
      <c r="A265" s="271"/>
      <c r="B265" s="331" t="s">
        <v>421</v>
      </c>
      <c r="C265" s="272"/>
      <c r="D265" s="272"/>
      <c r="E265" s="272"/>
      <c r="F265" s="272"/>
      <c r="G265" s="272"/>
      <c r="H265" s="272"/>
      <c r="I265" s="272"/>
      <c r="J265" s="272"/>
    </row>
    <row r="266" spans="1:10" hidden="1">
      <c r="A266" s="271"/>
      <c r="B266" s="272" t="s">
        <v>363</v>
      </c>
      <c r="C266" s="272"/>
      <c r="D266" s="272"/>
      <c r="E266" s="272"/>
      <c r="F266" s="272"/>
      <c r="G266" s="272"/>
      <c r="H266" s="272"/>
      <c r="I266" s="272"/>
      <c r="J266" s="272"/>
    </row>
    <row r="267" spans="1:10" hidden="1">
      <c r="A267" s="271"/>
      <c r="B267" s="297" t="s">
        <v>429</v>
      </c>
      <c r="C267" s="293">
        <v>6.0119999999999996</v>
      </c>
      <c r="D267" s="282">
        <v>167806</v>
      </c>
      <c r="E267" s="296">
        <v>10088.496719999999</v>
      </c>
      <c r="F267" s="332">
        <v>167806</v>
      </c>
      <c r="G267" s="296">
        <v>10088.496719999999</v>
      </c>
      <c r="H267" s="282">
        <v>0</v>
      </c>
      <c r="I267" s="296">
        <v>0</v>
      </c>
      <c r="J267" s="272"/>
    </row>
    <row r="268" spans="1:10" hidden="1">
      <c r="A268" s="271"/>
      <c r="B268" s="297" t="s">
        <v>430</v>
      </c>
      <c r="C268" s="293">
        <v>75.007000000000005</v>
      </c>
      <c r="D268" s="282">
        <v>167500</v>
      </c>
      <c r="E268" s="296">
        <v>125636.72500000001</v>
      </c>
      <c r="F268" s="332">
        <v>167500</v>
      </c>
      <c r="G268" s="296">
        <v>125636.72500000001</v>
      </c>
      <c r="H268" s="282">
        <v>0</v>
      </c>
      <c r="I268" s="296">
        <v>0</v>
      </c>
      <c r="J268" s="272"/>
    </row>
    <row r="269" spans="1:10" hidden="1">
      <c r="A269" s="271"/>
      <c r="B269" s="297" t="s">
        <v>431</v>
      </c>
      <c r="C269" s="293">
        <v>67.587000000000003</v>
      </c>
      <c r="D269" s="282">
        <v>2773321</v>
      </c>
      <c r="E269" s="296">
        <v>1874404.4642700001</v>
      </c>
      <c r="F269" s="332">
        <v>2773321</v>
      </c>
      <c r="G269" s="296">
        <v>1874404.4642700001</v>
      </c>
      <c r="H269" s="282">
        <v>0</v>
      </c>
      <c r="I269" s="296">
        <v>0</v>
      </c>
      <c r="J269" s="272"/>
    </row>
    <row r="270" spans="1:10" hidden="1">
      <c r="A270" s="271"/>
      <c r="B270" s="297" t="s">
        <v>432</v>
      </c>
      <c r="C270" s="293">
        <v>62.927999999999997</v>
      </c>
      <c r="D270" s="282">
        <v>1692856</v>
      </c>
      <c r="E270" s="296">
        <v>1065280.42368</v>
      </c>
      <c r="F270" s="332">
        <v>1266429</v>
      </c>
      <c r="G270" s="296">
        <v>796938.44112000009</v>
      </c>
      <c r="H270" s="282">
        <v>426427</v>
      </c>
      <c r="I270" s="296">
        <v>268341.98255999997</v>
      </c>
      <c r="J270" s="272"/>
    </row>
    <row r="271" spans="1:10" hidden="1">
      <c r="A271" s="271"/>
      <c r="B271" s="297" t="s">
        <v>433</v>
      </c>
      <c r="C271" s="293">
        <v>59.179000000000002</v>
      </c>
      <c r="D271" s="282">
        <v>828325</v>
      </c>
      <c r="E271" s="296">
        <v>490194.45175000007</v>
      </c>
      <c r="F271" s="332">
        <v>0</v>
      </c>
      <c r="G271" s="296">
        <v>0</v>
      </c>
      <c r="H271" s="282">
        <v>828325</v>
      </c>
      <c r="I271" s="296">
        <v>490194.45175000007</v>
      </c>
      <c r="J271" s="272"/>
    </row>
    <row r="272" spans="1:10" hidden="1">
      <c r="A272" s="271"/>
      <c r="B272" s="272"/>
      <c r="C272" s="272"/>
      <c r="D272" s="302"/>
      <c r="E272" s="302"/>
      <c r="F272" s="302"/>
      <c r="G272" s="302"/>
      <c r="H272" s="302"/>
      <c r="I272" s="302"/>
      <c r="J272" s="272"/>
    </row>
    <row r="273" spans="1:10" hidden="1">
      <c r="A273" s="271"/>
      <c r="B273" s="272" t="s">
        <v>335</v>
      </c>
      <c r="C273" s="272"/>
      <c r="D273" s="282">
        <v>5629808</v>
      </c>
      <c r="E273" s="296">
        <v>3565604.5614200002</v>
      </c>
      <c r="F273" s="307">
        <v>4375056</v>
      </c>
      <c r="G273" s="296">
        <v>2807068.1271100002</v>
      </c>
      <c r="H273" s="282">
        <v>1254752</v>
      </c>
      <c r="I273" s="282">
        <v>758536.43431000004</v>
      </c>
      <c r="J273" s="272"/>
    </row>
    <row r="274" spans="1:10" hidden="1">
      <c r="A274" s="271"/>
      <c r="B274" s="272" t="s">
        <v>420</v>
      </c>
      <c r="C274" s="272"/>
      <c r="D274" s="272"/>
      <c r="E274" s="293">
        <v>63.334390114547425</v>
      </c>
      <c r="F274" s="293"/>
      <c r="G274" s="293">
        <v>64.160735933665762</v>
      </c>
      <c r="H274" s="272"/>
      <c r="I274" s="293">
        <v>60.453096254080499</v>
      </c>
      <c r="J274" s="272"/>
    </row>
    <row r="275" spans="1:10">
      <c r="A275" s="271"/>
      <c r="B275" s="272"/>
      <c r="C275" s="272"/>
      <c r="D275" s="272"/>
      <c r="E275" s="272"/>
      <c r="F275" s="272"/>
      <c r="G275" s="272"/>
      <c r="H275" s="272"/>
      <c r="I275" s="272"/>
      <c r="J275" s="272"/>
    </row>
    <row r="276" spans="1:10">
      <c r="A276" s="271"/>
      <c r="B276" s="333" t="s">
        <v>434</v>
      </c>
      <c r="C276" s="272"/>
      <c r="D276" s="272"/>
      <c r="E276" s="272"/>
      <c r="F276" s="272"/>
      <c r="G276" s="272"/>
      <c r="H276" s="272"/>
      <c r="I276" s="272"/>
      <c r="J276" s="272"/>
    </row>
    <row r="277" spans="1:10">
      <c r="A277" s="271"/>
      <c r="B277" s="309" t="s">
        <v>435</v>
      </c>
      <c r="C277" s="272"/>
      <c r="D277" s="272"/>
      <c r="E277" s="272"/>
      <c r="F277" s="272"/>
      <c r="G277" s="272"/>
      <c r="H277" s="272"/>
      <c r="I277" s="272"/>
      <c r="J277" s="272"/>
    </row>
    <row r="278" spans="1:10">
      <c r="A278" s="271"/>
      <c r="B278" s="272"/>
      <c r="C278" s="272"/>
      <c r="D278" s="272"/>
      <c r="E278" s="272"/>
      <c r="F278" s="272"/>
      <c r="G278" s="272"/>
      <c r="H278" s="272"/>
      <c r="I278" s="272"/>
      <c r="J278" s="272"/>
    </row>
    <row r="279" spans="1:10">
      <c r="A279" s="271"/>
      <c r="B279" s="272"/>
      <c r="C279" s="272"/>
      <c r="D279" s="272"/>
      <c r="E279" s="272"/>
      <c r="F279" s="272"/>
      <c r="G279" s="272"/>
      <c r="H279" s="272"/>
      <c r="I279" s="272"/>
      <c r="J279" s="272"/>
    </row>
    <row r="280" spans="1:10">
      <c r="A280" s="271"/>
      <c r="B280" s="272"/>
      <c r="C280" s="272"/>
      <c r="D280" s="334">
        <v>0</v>
      </c>
      <c r="E280" s="334">
        <v>0</v>
      </c>
      <c r="F280" s="334">
        <v>0</v>
      </c>
      <c r="G280" s="334">
        <v>0</v>
      </c>
      <c r="H280" s="334">
        <v>0</v>
      </c>
      <c r="I280" s="296"/>
      <c r="J280" s="272"/>
    </row>
    <row r="281" spans="1:10">
      <c r="A281" s="271"/>
      <c r="B281" s="272"/>
      <c r="C281" s="272"/>
      <c r="D281" s="282">
        <v>64.903231242793211</v>
      </c>
      <c r="E281" s="282">
        <v>1520.7087961875379</v>
      </c>
      <c r="F281" s="282">
        <v>16887.767857142859</v>
      </c>
      <c r="G281" s="282">
        <v>50976.583333333336</v>
      </c>
      <c r="H281" s="282">
        <v>63061.639354066989</v>
      </c>
      <c r="I281" s="272"/>
      <c r="J281" s="272"/>
    </row>
  </sheetData>
  <mergeCells count="1">
    <mergeCell ref="A1:J4"/>
  </mergeCells>
  <pageMargins left="0.7" right="0.7" top="0.75" bottom="0.55000000000000004" header="0.3" footer="0.3"/>
  <pageSetup scale="75" orientation="landscape" r:id="rId1"/>
  <rowBreaks count="4" manualBreakCount="4">
    <brk id="53" max="9" man="1"/>
    <brk id="102" max="9" man="1"/>
    <brk id="151" max="9" man="1"/>
    <brk id="202" max="9"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tabSelected="1" topLeftCell="A4" zoomScaleNormal="100" zoomScaleSheetLayoutView="130" workbookViewId="0">
      <selection activeCell="C7" sqref="C7"/>
    </sheetView>
  </sheetViews>
  <sheetFormatPr defaultRowHeight="12.75"/>
  <cols>
    <col min="1" max="1" width="7.140625" customWidth="1"/>
    <col min="2" max="2" width="3" bestFit="1" customWidth="1"/>
    <col min="3" max="3" width="28.85546875" customWidth="1"/>
    <col min="4" max="5" width="2" customWidth="1"/>
    <col min="6" max="6" width="12.42578125" customWidth="1"/>
    <col min="7" max="7" width="12.5703125" bestFit="1" customWidth="1"/>
    <col min="8" max="8" width="15.85546875" bestFit="1" customWidth="1"/>
    <col min="9" max="9" width="13.5703125" bestFit="1" customWidth="1"/>
    <col min="10" max="10" width="11.5703125" customWidth="1"/>
    <col min="11" max="11" width="13.42578125" hidden="1" customWidth="1"/>
    <col min="12" max="12" width="15.85546875" customWidth="1"/>
    <col min="13" max="13" width="17" customWidth="1"/>
    <col min="14" max="14" width="8.85546875" customWidth="1"/>
    <col min="15" max="15" width="17.85546875" hidden="1" customWidth="1"/>
    <col min="16" max="16" width="3.85546875" hidden="1" customWidth="1"/>
    <col min="17" max="17" width="18.85546875" hidden="1" customWidth="1"/>
  </cols>
  <sheetData>
    <row r="1" spans="1:17" s="254" customFormat="1" ht="14.25">
      <c r="A1" s="450" t="s">
        <v>43</v>
      </c>
      <c r="B1" s="450"/>
      <c r="C1" s="450"/>
      <c r="D1" s="450"/>
      <c r="E1" s="450"/>
      <c r="F1" s="450"/>
      <c r="G1" s="450"/>
      <c r="H1" s="450"/>
      <c r="I1" s="450"/>
      <c r="J1" s="450"/>
      <c r="K1" s="450"/>
      <c r="L1" s="450"/>
      <c r="M1" s="450"/>
    </row>
    <row r="2" spans="1:17" s="254" customFormat="1" ht="14.25">
      <c r="A2" s="450" t="s">
        <v>323</v>
      </c>
      <c r="B2" s="450"/>
      <c r="C2" s="450"/>
      <c r="D2" s="450"/>
      <c r="E2" s="450"/>
      <c r="F2" s="450"/>
      <c r="G2" s="450"/>
      <c r="H2" s="450"/>
      <c r="I2" s="450"/>
      <c r="J2" s="450"/>
      <c r="K2" s="450"/>
      <c r="L2" s="450"/>
      <c r="M2" s="450"/>
    </row>
    <row r="3" spans="1:17" s="254" customFormat="1" ht="14.25">
      <c r="A3" s="450" t="s">
        <v>239</v>
      </c>
      <c r="B3" s="450"/>
      <c r="C3" s="450"/>
      <c r="D3" s="450"/>
      <c r="E3" s="450"/>
      <c r="F3" s="450"/>
      <c r="G3" s="450"/>
      <c r="H3" s="450"/>
      <c r="I3" s="450"/>
      <c r="J3" s="450"/>
      <c r="K3" s="450"/>
      <c r="L3" s="450"/>
      <c r="M3" s="450"/>
    </row>
    <row r="4" spans="1:17" s="254" customFormat="1" ht="14.25">
      <c r="A4" s="450" t="s">
        <v>224</v>
      </c>
      <c r="B4" s="450"/>
      <c r="C4" s="450"/>
      <c r="D4" s="450"/>
      <c r="E4" s="450"/>
      <c r="F4" s="450"/>
      <c r="G4" s="450"/>
      <c r="H4" s="450"/>
      <c r="I4" s="450"/>
      <c r="J4" s="450"/>
      <c r="K4" s="450"/>
      <c r="L4" s="450"/>
      <c r="M4" s="450"/>
    </row>
    <row r="5" spans="1:17" s="254" customFormat="1" ht="12.75" customHeight="1">
      <c r="A5" s="450" t="s">
        <v>454</v>
      </c>
      <c r="B5" s="450"/>
      <c r="C5" s="450"/>
      <c r="D5" s="450"/>
      <c r="E5" s="450"/>
      <c r="F5" s="450"/>
      <c r="G5" s="450"/>
      <c r="H5" s="450"/>
      <c r="I5" s="450"/>
      <c r="J5" s="450"/>
      <c r="K5" s="450"/>
      <c r="L5" s="450"/>
      <c r="M5" s="450"/>
    </row>
    <row r="6" spans="1:17" s="254" customFormat="1" ht="14.25">
      <c r="A6" s="450" t="s">
        <v>240</v>
      </c>
      <c r="B6" s="450"/>
      <c r="C6" s="450"/>
      <c r="D6" s="450"/>
      <c r="E6" s="450"/>
      <c r="F6" s="450"/>
      <c r="G6" s="450"/>
      <c r="H6" s="450"/>
      <c r="I6" s="450"/>
      <c r="J6" s="450"/>
      <c r="K6" s="450"/>
      <c r="L6" s="450"/>
      <c r="M6" s="450"/>
    </row>
    <row r="7" spans="1:17">
      <c r="A7" s="177"/>
      <c r="B7" s="177"/>
      <c r="C7" s="177"/>
      <c r="D7" s="177"/>
      <c r="E7" s="177"/>
      <c r="F7" s="177"/>
      <c r="G7" s="177"/>
      <c r="H7" s="177"/>
      <c r="I7" s="177"/>
      <c r="J7" s="177"/>
    </row>
    <row r="8" spans="1:17">
      <c r="A8" s="177"/>
      <c r="B8" s="177"/>
      <c r="C8" s="177"/>
      <c r="D8" s="177"/>
      <c r="E8" s="177"/>
      <c r="F8" s="177" t="s">
        <v>241</v>
      </c>
      <c r="G8" s="177" t="s">
        <v>242</v>
      </c>
      <c r="H8" s="177" t="s">
        <v>243</v>
      </c>
      <c r="I8" s="342" t="s">
        <v>461</v>
      </c>
      <c r="J8" s="177" t="s">
        <v>244</v>
      </c>
      <c r="L8" s="177" t="s">
        <v>245</v>
      </c>
      <c r="M8" s="177" t="s">
        <v>246</v>
      </c>
    </row>
    <row r="9" spans="1:17" ht="13.5" thickBot="1">
      <c r="A9" s="177" t="s">
        <v>208</v>
      </c>
      <c r="B9" s="177"/>
      <c r="C9" s="177"/>
      <c r="D9" s="177"/>
      <c r="E9" s="177"/>
      <c r="F9" s="177" t="s">
        <v>247</v>
      </c>
      <c r="G9" s="177" t="s">
        <v>248</v>
      </c>
      <c r="H9" s="177" t="s">
        <v>249</v>
      </c>
      <c r="I9" s="342" t="s">
        <v>462</v>
      </c>
      <c r="J9" s="177" t="s">
        <v>250</v>
      </c>
      <c r="L9" s="247" t="s">
        <v>264</v>
      </c>
      <c r="M9" s="255" t="s">
        <v>279</v>
      </c>
    </row>
    <row r="10" spans="1:17">
      <c r="A10" s="180" t="s">
        <v>2</v>
      </c>
      <c r="B10" s="177"/>
      <c r="C10" s="180" t="s">
        <v>90</v>
      </c>
      <c r="D10" s="181"/>
      <c r="E10" s="181"/>
      <c r="F10" s="180" t="s">
        <v>251</v>
      </c>
      <c r="G10" s="180" t="s">
        <v>252</v>
      </c>
      <c r="H10" s="180" t="s">
        <v>251</v>
      </c>
      <c r="I10" s="343" t="s">
        <v>463</v>
      </c>
      <c r="J10" s="180" t="s">
        <v>251</v>
      </c>
      <c r="L10" s="180" t="s">
        <v>516</v>
      </c>
      <c r="M10" s="180" t="s">
        <v>263</v>
      </c>
      <c r="O10" s="348"/>
      <c r="P10" s="349"/>
      <c r="Q10" s="350"/>
    </row>
    <row r="11" spans="1:17">
      <c r="A11" s="170"/>
      <c r="B11" s="170"/>
      <c r="C11" s="170"/>
      <c r="D11" s="170"/>
      <c r="E11" s="170"/>
      <c r="F11" s="170"/>
      <c r="G11" s="170"/>
      <c r="H11" s="170"/>
      <c r="I11" s="170"/>
      <c r="J11" s="170"/>
      <c r="O11" s="367" t="s">
        <v>465</v>
      </c>
      <c r="P11" s="108"/>
      <c r="Q11" s="377" t="s">
        <v>488</v>
      </c>
    </row>
    <row r="12" spans="1:17">
      <c r="A12" s="185">
        <v>1</v>
      </c>
      <c r="B12" s="170"/>
      <c r="C12" s="170" t="s">
        <v>253</v>
      </c>
      <c r="D12" s="170"/>
      <c r="E12" s="170"/>
      <c r="F12" s="221">
        <f>'Attrition 12.2013 to 2015'!Q86</f>
        <v>247795.55671396453</v>
      </c>
      <c r="G12" s="222">
        <f>IF(Q12="Growth Rate", 'Attrition 12.2013 to 2015'!Q97, 1)</f>
        <v>1</v>
      </c>
      <c r="H12" s="223">
        <f>F12/G12</f>
        <v>247795.55671396453</v>
      </c>
      <c r="I12" s="223">
        <v>0</v>
      </c>
      <c r="J12" s="223">
        <f>H12+I12</f>
        <v>247795.55671396453</v>
      </c>
      <c r="O12" s="353" t="s">
        <v>509</v>
      </c>
      <c r="P12" s="108"/>
      <c r="Q12" s="354" t="s">
        <v>489</v>
      </c>
    </row>
    <row r="13" spans="1:17">
      <c r="A13" s="185"/>
      <c r="B13" s="170"/>
      <c r="C13" s="170"/>
      <c r="D13" s="170"/>
      <c r="E13" s="170"/>
      <c r="F13" s="223"/>
      <c r="G13" s="223"/>
      <c r="H13" s="223"/>
      <c r="I13" s="223"/>
      <c r="J13" s="223"/>
      <c r="O13" s="351"/>
      <c r="P13" s="108"/>
      <c r="Q13" s="352"/>
    </row>
    <row r="14" spans="1:17">
      <c r="A14" s="185">
        <v>2</v>
      </c>
      <c r="B14" s="170"/>
      <c r="C14" s="170" t="s">
        <v>127</v>
      </c>
      <c r="D14" s="170"/>
      <c r="E14" s="170"/>
      <c r="F14" s="224"/>
      <c r="G14" s="225"/>
      <c r="H14" s="226">
        <f>ROR!F15</f>
        <v>6.7699999999999996E-2</v>
      </c>
      <c r="I14" s="226"/>
      <c r="J14" s="226">
        <f>H14</f>
        <v>6.7699999999999996E-2</v>
      </c>
      <c r="O14" s="376" t="s">
        <v>485</v>
      </c>
      <c r="P14" s="108"/>
      <c r="Q14" s="352"/>
    </row>
    <row r="15" spans="1:17">
      <c r="A15" s="185"/>
      <c r="B15" s="170"/>
      <c r="C15" s="170"/>
      <c r="D15" s="170"/>
      <c r="E15" s="170"/>
      <c r="F15" s="225"/>
      <c r="G15" s="225"/>
      <c r="H15" s="225"/>
      <c r="I15" s="225"/>
      <c r="J15" s="225"/>
      <c r="O15" s="353" t="s">
        <v>486</v>
      </c>
      <c r="P15" s="108"/>
      <c r="Q15" s="352"/>
    </row>
    <row r="16" spans="1:17">
      <c r="A16" s="185">
        <v>3</v>
      </c>
      <c r="B16" s="170"/>
      <c r="C16" s="170" t="s">
        <v>128</v>
      </c>
      <c r="D16" s="170"/>
      <c r="E16" s="170"/>
      <c r="F16" s="227"/>
      <c r="G16" s="223"/>
      <c r="H16" s="227">
        <f>ROUND(H12*H14,0)</f>
        <v>16776</v>
      </c>
      <c r="I16" s="227">
        <f>ROUND(I12*I14,0)</f>
        <v>0</v>
      </c>
      <c r="J16" s="227">
        <f>ROUND(J12*J14,0)</f>
        <v>16776</v>
      </c>
      <c r="O16" s="351"/>
      <c r="P16" s="108"/>
      <c r="Q16" s="352"/>
    </row>
    <row r="17" spans="1:17">
      <c r="A17" s="185"/>
      <c r="B17" s="170"/>
      <c r="C17" s="170"/>
      <c r="D17" s="170"/>
      <c r="E17" s="170"/>
      <c r="F17" s="223"/>
      <c r="G17" s="223"/>
      <c r="H17" s="223"/>
      <c r="I17" s="223"/>
      <c r="J17" s="223"/>
      <c r="O17" s="368" t="s">
        <v>466</v>
      </c>
      <c r="P17" s="108"/>
      <c r="Q17" s="369" t="s">
        <v>467</v>
      </c>
    </row>
    <row r="18" spans="1:17">
      <c r="A18" s="185">
        <v>4</v>
      </c>
      <c r="B18" s="170"/>
      <c r="C18" s="170" t="s">
        <v>254</v>
      </c>
      <c r="D18" s="170"/>
      <c r="E18" s="170"/>
      <c r="F18" s="243">
        <f>'Attrition 12.2013 to 2015'!Q65</f>
        <v>11707.204992545519</v>
      </c>
      <c r="G18" s="229">
        <f>G12</f>
        <v>1</v>
      </c>
      <c r="H18" s="228">
        <f>F18/G18</f>
        <v>11707.204992545519</v>
      </c>
      <c r="I18" s="228">
        <v>-171</v>
      </c>
      <c r="J18" s="228">
        <f>H18+I18</f>
        <v>11536.204992545519</v>
      </c>
      <c r="L18" s="228">
        <f>J18+(L24*J22)</f>
        <v>12379.020532545519</v>
      </c>
      <c r="O18" s="353" t="s">
        <v>484</v>
      </c>
      <c r="P18" s="108"/>
      <c r="Q18" s="354" t="s">
        <v>487</v>
      </c>
    </row>
    <row r="19" spans="1:17" ht="13.5" thickBot="1">
      <c r="A19" s="185"/>
      <c r="B19" s="170"/>
      <c r="C19" s="170"/>
      <c r="D19" s="170"/>
      <c r="E19" s="170"/>
      <c r="F19" s="170"/>
      <c r="G19" s="170"/>
      <c r="H19" s="170"/>
      <c r="I19" s="170"/>
      <c r="J19" s="170"/>
      <c r="O19" s="355"/>
      <c r="P19" s="356"/>
      <c r="Q19" s="357"/>
    </row>
    <row r="20" spans="1:17">
      <c r="A20" s="185">
        <v>5</v>
      </c>
      <c r="B20" s="170"/>
      <c r="C20" s="170" t="s">
        <v>130</v>
      </c>
      <c r="D20" s="170"/>
      <c r="E20" s="170"/>
      <c r="F20" s="223"/>
      <c r="G20" s="223"/>
      <c r="H20" s="223">
        <f>H16-H18</f>
        <v>5068.7950074544806</v>
      </c>
      <c r="I20" s="223">
        <f>I16-I18</f>
        <v>171</v>
      </c>
      <c r="J20" s="223">
        <f>J16-J18</f>
        <v>5239.7950074544806</v>
      </c>
    </row>
    <row r="21" spans="1:17">
      <c r="A21" s="185"/>
      <c r="B21" s="170"/>
      <c r="C21" s="170"/>
      <c r="D21" s="170"/>
      <c r="E21" s="170"/>
      <c r="F21" s="170"/>
      <c r="G21" s="170"/>
      <c r="H21" s="170"/>
      <c r="I21" s="170"/>
      <c r="J21" s="170"/>
    </row>
    <row r="22" spans="1:17">
      <c r="A22" s="185">
        <v>6</v>
      </c>
      <c r="B22" s="170"/>
      <c r="C22" s="170" t="s">
        <v>205</v>
      </c>
      <c r="D22" s="170"/>
      <c r="E22" s="170"/>
      <c r="F22" s="230"/>
      <c r="G22" s="170"/>
      <c r="H22" s="230">
        <f>'Attrition 12.2013 to 2015'!Q95</f>
        <v>0.62063000000000001</v>
      </c>
      <c r="I22" s="230">
        <f>H22</f>
        <v>0.62063000000000001</v>
      </c>
      <c r="J22" s="230">
        <f>H22</f>
        <v>0.62063000000000001</v>
      </c>
      <c r="O22" s="70" t="s">
        <v>482</v>
      </c>
    </row>
    <row r="23" spans="1:17" ht="13.5" thickBot="1">
      <c r="A23" s="185"/>
      <c r="B23" s="170"/>
      <c r="C23" s="170"/>
      <c r="D23" s="170"/>
      <c r="E23" s="170"/>
      <c r="F23" s="231"/>
      <c r="G23" s="170"/>
      <c r="H23" s="170"/>
      <c r="I23" s="170"/>
      <c r="O23" s="370" t="s">
        <v>484</v>
      </c>
    </row>
    <row r="24" spans="1:17" ht="13.5" thickBot="1">
      <c r="A24" s="185">
        <v>7</v>
      </c>
      <c r="B24" s="170"/>
      <c r="C24" s="170" t="s">
        <v>510</v>
      </c>
      <c r="D24" s="170"/>
      <c r="E24" s="170"/>
      <c r="F24" s="232"/>
      <c r="G24" s="233"/>
      <c r="H24" s="244">
        <f>ROUND(H20/H22,0)</f>
        <v>8167</v>
      </c>
      <c r="I24" s="415">
        <f>ROUND(I20/I22,0)</f>
        <v>276</v>
      </c>
      <c r="J24" s="417">
        <f>ROUND(J20/J22,0)</f>
        <v>8443</v>
      </c>
      <c r="L24" s="416">
        <v>1358</v>
      </c>
      <c r="M24" s="417">
        <f>J24-L24</f>
        <v>7085</v>
      </c>
    </row>
    <row r="25" spans="1:17">
      <c r="A25" s="185"/>
      <c r="B25" s="170"/>
      <c r="C25" s="170"/>
      <c r="D25" s="170"/>
      <c r="E25" s="170"/>
      <c r="F25" s="232"/>
      <c r="G25" s="233"/>
      <c r="H25" s="232"/>
      <c r="I25" s="234"/>
      <c r="J25" s="235"/>
    </row>
    <row r="26" spans="1:17">
      <c r="A26" s="185">
        <v>8</v>
      </c>
      <c r="B26" s="236"/>
      <c r="C26" s="170" t="s">
        <v>255</v>
      </c>
      <c r="D26" s="170"/>
      <c r="E26" s="170"/>
      <c r="F26" s="233"/>
      <c r="G26" s="233"/>
      <c r="J26" s="245">
        <f>'Attrition 12.2013 to 2015'!M12+'Attrition 12.2013 to 2015'!M13+'Attrition 12.2013 to 2015'!O15</f>
        <v>148671</v>
      </c>
      <c r="K26" s="233"/>
      <c r="L26" s="245">
        <f>J26+L24</f>
        <v>150029</v>
      </c>
      <c r="M26" s="419">
        <f>L26+M24</f>
        <v>157114</v>
      </c>
    </row>
    <row r="27" spans="1:17">
      <c r="A27" s="185"/>
      <c r="B27" s="236"/>
      <c r="C27" s="170"/>
      <c r="D27" s="170"/>
      <c r="E27" s="170"/>
      <c r="F27" s="233"/>
      <c r="G27" s="233"/>
      <c r="J27" s="245"/>
      <c r="K27" s="233"/>
      <c r="L27" s="245"/>
      <c r="M27" s="419"/>
    </row>
    <row r="28" spans="1:17">
      <c r="A28" s="185">
        <v>9</v>
      </c>
      <c r="B28" s="236"/>
      <c r="C28" s="170" t="s">
        <v>518</v>
      </c>
      <c r="D28" s="170"/>
      <c r="E28" s="170"/>
      <c r="F28" s="233"/>
      <c r="G28" s="233"/>
      <c r="J28" s="448">
        <f>J18/J12</f>
        <v>4.6555334347104523E-2</v>
      </c>
      <c r="K28" s="446"/>
      <c r="L28" s="448">
        <f>L18/J12</f>
        <v>4.9956587990134443E-2</v>
      </c>
      <c r="M28" s="419"/>
    </row>
    <row r="29" spans="1:17">
      <c r="A29" s="185"/>
      <c r="B29" s="236"/>
      <c r="C29" s="170"/>
      <c r="D29" s="170"/>
      <c r="E29" s="170"/>
      <c r="F29" s="231"/>
      <c r="G29" s="170"/>
      <c r="J29" s="170"/>
      <c r="M29" s="237"/>
    </row>
    <row r="30" spans="1:17" ht="13.5" thickBot="1">
      <c r="A30" s="185">
        <v>10</v>
      </c>
      <c r="B30" s="236"/>
      <c r="C30" s="170" t="s">
        <v>256</v>
      </c>
      <c r="D30" s="170"/>
      <c r="E30" s="170"/>
      <c r="F30" s="238"/>
      <c r="G30" s="224"/>
      <c r="J30" s="239">
        <f>J24/J26</f>
        <v>5.6789824511841586E-2</v>
      </c>
      <c r="L30" s="447"/>
      <c r="M30" s="239">
        <f>M24/M26</f>
        <v>4.5094644652927174E-2</v>
      </c>
    </row>
    <row r="31" spans="1:17" ht="14.25" thickTop="1" thickBot="1">
      <c r="A31" s="240"/>
      <c r="B31" s="240"/>
      <c r="C31" s="240"/>
      <c r="D31" s="240"/>
      <c r="E31" s="240"/>
      <c r="F31" s="241"/>
      <c r="G31" s="240"/>
      <c r="H31" s="240"/>
      <c r="I31" s="240"/>
      <c r="J31" s="240"/>
      <c r="L31" s="233"/>
    </row>
    <row r="32" spans="1:17" ht="13.5" thickBot="1">
      <c r="A32" s="185">
        <v>11</v>
      </c>
      <c r="B32" s="236"/>
      <c r="C32" s="170" t="s">
        <v>511</v>
      </c>
      <c r="F32" s="108"/>
      <c r="J32" s="418">
        <f>J26+J24</f>
        <v>157114</v>
      </c>
      <c r="L32" s="170"/>
    </row>
    <row r="33" spans="1:13" ht="11.25" customHeight="1">
      <c r="F33" s="108"/>
      <c r="L33" s="224"/>
    </row>
    <row r="34" spans="1:13">
      <c r="F34" s="108"/>
    </row>
    <row r="35" spans="1:13">
      <c r="F35" s="108"/>
    </row>
    <row r="36" spans="1:13" ht="42" customHeight="1">
      <c r="A36" s="242" t="s">
        <v>257</v>
      </c>
      <c r="B36" s="242" t="s">
        <v>258</v>
      </c>
      <c r="C36" s="449" t="s">
        <v>517</v>
      </c>
      <c r="D36" s="449"/>
      <c r="E36" s="449"/>
      <c r="F36" s="449"/>
      <c r="G36" s="449"/>
      <c r="H36" s="449"/>
      <c r="I36" s="449"/>
      <c r="J36" s="449"/>
      <c r="K36" s="449"/>
      <c r="L36" s="449"/>
      <c r="M36" s="449"/>
    </row>
    <row r="37" spans="1:13" ht="85.5" customHeight="1">
      <c r="B37" s="248"/>
      <c r="C37" s="449"/>
      <c r="D37" s="449"/>
      <c r="E37" s="449"/>
      <c r="F37" s="449"/>
      <c r="G37" s="449"/>
      <c r="H37" s="449"/>
      <c r="I37" s="449"/>
      <c r="J37" s="449"/>
      <c r="K37" s="449"/>
      <c r="L37" s="449"/>
      <c r="M37" s="449"/>
    </row>
  </sheetData>
  <mergeCells count="8">
    <mergeCell ref="C36:M36"/>
    <mergeCell ref="C37:M37"/>
    <mergeCell ref="A1:M1"/>
    <mergeCell ref="A3:M3"/>
    <mergeCell ref="A4:M4"/>
    <mergeCell ref="A5:M5"/>
    <mergeCell ref="A6:M6"/>
    <mergeCell ref="A2:M2"/>
  </mergeCells>
  <dataValidations count="5">
    <dataValidation type="list" allowBlank="1" showInputMessage="1" showErrorMessage="1" sqref="O12">
      <formula1>"Proposed, Current, Ken, PacifiCorp, Pac46eq, KenDecoup"</formula1>
    </dataValidation>
    <dataValidation type="list" allowBlank="1" showInputMessage="1" showErrorMessage="1" sqref="Q18">
      <formula1>"Alternative, Actual, Best"</formula1>
    </dataValidation>
    <dataValidation type="list" allowBlank="1" showInputMessage="1" showErrorMessage="1" sqref="O23">
      <formula1>"Zero, 2001-2013, 2007-2013, Weighted 50-50"</formula1>
    </dataValidation>
    <dataValidation type="list" allowBlank="1" showInputMessage="1" showErrorMessage="1" sqref="O15">
      <formula1>"Compounding, Linear"</formula1>
    </dataValidation>
    <dataValidation type="list" allowBlank="1" showInputMessage="1" showErrorMessage="1" sqref="Q12">
      <formula1>"Growth Rate, Future Test Year"</formula1>
    </dataValidation>
  </dataValidations>
  <pageMargins left="0.7" right="0.7" top="0.75" bottom="0.75" header="0.3" footer="0.3"/>
  <pageSetup scale="85" orientation="landscape" r:id="rId1"/>
  <headerFooter scaleWithDoc="0">
    <oddFooter>&amp;C&amp;F&amp;RPage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'Cost Trends'!$H$173:$W$173</xm:f>
          </x14:formula1>
          <xm:sqref>O18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topLeftCell="C1" zoomScaleNormal="100" zoomScaleSheetLayoutView="130" workbookViewId="0">
      <selection activeCell="C7" sqref="C7"/>
    </sheetView>
  </sheetViews>
  <sheetFormatPr defaultRowHeight="12.75"/>
  <cols>
    <col min="4" max="6" width="9.42578125" bestFit="1" customWidth="1"/>
    <col min="8" max="8" width="2.140625" customWidth="1"/>
    <col min="9" max="9" width="2.42578125" customWidth="1"/>
    <col min="10" max="10" width="5.42578125" customWidth="1"/>
    <col min="11" max="11" width="3.42578125" customWidth="1"/>
    <col min="13" max="13" width="24.140625" customWidth="1"/>
    <col min="14" max="14" width="11.85546875" bestFit="1" customWidth="1"/>
    <col min="15" max="15" width="3.140625" customWidth="1"/>
  </cols>
  <sheetData>
    <row r="1" spans="1:14" ht="15">
      <c r="A1" s="164"/>
      <c r="B1" s="164"/>
      <c r="C1" s="164"/>
      <c r="D1" s="164"/>
      <c r="E1" s="164"/>
      <c r="F1" s="164"/>
      <c r="G1" s="164"/>
      <c r="H1" s="164"/>
      <c r="I1" s="164"/>
      <c r="J1" s="165"/>
      <c r="K1" s="165"/>
      <c r="L1" s="165"/>
      <c r="M1" s="165"/>
      <c r="N1" s="166"/>
    </row>
    <row r="2" spans="1:14" ht="15">
      <c r="A2" s="451" t="s">
        <v>43</v>
      </c>
      <c r="B2" s="451"/>
      <c r="C2" s="451"/>
      <c r="D2" s="451"/>
      <c r="E2" s="451"/>
      <c r="F2" s="451"/>
      <c r="G2" s="451"/>
      <c r="H2" s="164"/>
      <c r="I2" s="164"/>
      <c r="J2" s="165" t="s">
        <v>205</v>
      </c>
      <c r="K2" s="165"/>
      <c r="L2" s="165"/>
      <c r="M2" s="165"/>
      <c r="N2" s="166"/>
    </row>
    <row r="3" spans="1:14" ht="15">
      <c r="A3" s="451" t="s">
        <v>324</v>
      </c>
      <c r="B3" s="451"/>
      <c r="C3" s="451"/>
      <c r="D3" s="451"/>
      <c r="E3" s="451"/>
      <c r="F3" s="451"/>
      <c r="G3" s="451"/>
      <c r="H3" s="164"/>
      <c r="I3" s="164"/>
      <c r="J3" s="165" t="s">
        <v>225</v>
      </c>
      <c r="K3" s="165"/>
      <c r="L3" s="165"/>
      <c r="M3" s="165"/>
      <c r="N3" s="166"/>
    </row>
    <row r="4" spans="1:14" ht="15.75" customHeight="1">
      <c r="A4" s="451" t="s">
        <v>224</v>
      </c>
      <c r="B4" s="451"/>
      <c r="C4" s="451"/>
      <c r="D4" s="451"/>
      <c r="E4" s="451"/>
      <c r="F4" s="451"/>
      <c r="G4" s="451"/>
      <c r="H4" s="164"/>
      <c r="I4" s="164"/>
      <c r="J4" s="165" t="s">
        <v>454</v>
      </c>
      <c r="K4" s="165"/>
      <c r="L4" s="165"/>
      <c r="M4" s="165"/>
      <c r="N4" s="166"/>
    </row>
    <row r="5" spans="1:14" ht="15.75" thickBot="1">
      <c r="A5" s="451"/>
      <c r="B5" s="451"/>
      <c r="C5" s="451"/>
      <c r="D5" s="451"/>
      <c r="E5" s="451"/>
      <c r="F5" s="451"/>
      <c r="G5" s="451"/>
      <c r="H5" s="164"/>
      <c r="I5" s="164"/>
      <c r="J5" s="170"/>
      <c r="K5" s="170"/>
      <c r="L5" s="170"/>
      <c r="M5" s="170"/>
      <c r="N5" s="171"/>
    </row>
    <row r="6" spans="1:14" ht="15">
      <c r="A6" s="167" t="s">
        <v>221</v>
      </c>
      <c r="B6" s="168"/>
      <c r="C6" s="168"/>
      <c r="D6" s="168"/>
      <c r="E6" s="168"/>
      <c r="F6" s="168"/>
      <c r="G6" s="169"/>
      <c r="H6" s="164"/>
      <c r="I6" s="164"/>
      <c r="J6" s="177" t="s">
        <v>208</v>
      </c>
      <c r="K6" s="177"/>
      <c r="L6" s="177"/>
      <c r="M6" s="177"/>
      <c r="N6" s="178"/>
    </row>
    <row r="7" spans="1:14" ht="15">
      <c r="A7" s="172"/>
      <c r="B7" s="173"/>
      <c r="C7" s="173"/>
      <c r="D7" s="174"/>
      <c r="E7" s="175"/>
      <c r="F7" s="174"/>
      <c r="G7" s="176"/>
      <c r="H7" s="164"/>
      <c r="I7" s="164"/>
      <c r="J7" s="180" t="s">
        <v>2</v>
      </c>
      <c r="K7" s="177"/>
      <c r="L7" s="180" t="s">
        <v>90</v>
      </c>
      <c r="M7" s="181"/>
      <c r="N7" s="182" t="s">
        <v>165</v>
      </c>
    </row>
    <row r="8" spans="1:14" ht="15">
      <c r="A8" s="172"/>
      <c r="B8" s="179"/>
      <c r="C8" s="174"/>
      <c r="D8" s="174" t="s">
        <v>209</v>
      </c>
      <c r="E8" s="174"/>
      <c r="F8" s="174" t="s">
        <v>110</v>
      </c>
      <c r="G8" s="176"/>
      <c r="H8" s="164"/>
      <c r="I8" s="164"/>
      <c r="J8" s="170"/>
      <c r="K8" s="170"/>
      <c r="L8" s="170"/>
      <c r="M8" s="170"/>
      <c r="N8" s="171"/>
    </row>
    <row r="9" spans="1:14" ht="15">
      <c r="A9" s="172"/>
      <c r="B9" s="183" t="s">
        <v>210</v>
      </c>
      <c r="C9" s="174"/>
      <c r="D9" s="183" t="s">
        <v>211</v>
      </c>
      <c r="E9" s="183" t="s">
        <v>166</v>
      </c>
      <c r="F9" s="183" t="s">
        <v>166</v>
      </c>
      <c r="G9" s="176"/>
      <c r="H9" s="164"/>
      <c r="I9" s="164"/>
      <c r="J9" s="185">
        <v>1</v>
      </c>
      <c r="K9" s="170"/>
      <c r="L9" s="186" t="s">
        <v>212</v>
      </c>
      <c r="M9" s="170"/>
      <c r="N9" s="187">
        <v>1</v>
      </c>
    </row>
    <row r="10" spans="1:14" ht="15.75" thickBot="1">
      <c r="A10" s="172"/>
      <c r="B10" s="173"/>
      <c r="C10" s="173"/>
      <c r="D10" s="173"/>
      <c r="E10" s="175"/>
      <c r="F10" s="173"/>
      <c r="G10" s="184"/>
      <c r="H10" s="164"/>
      <c r="I10" s="164"/>
      <c r="J10" s="185"/>
      <c r="K10" s="170"/>
      <c r="L10" s="170"/>
      <c r="M10" s="170"/>
      <c r="N10" s="187"/>
    </row>
    <row r="11" spans="1:14" ht="15.75" thickBot="1">
      <c r="A11" s="172"/>
      <c r="B11" s="179" t="s">
        <v>213</v>
      </c>
      <c r="C11" s="188"/>
      <c r="D11" s="189">
        <f>100%-D13</f>
        <v>0.58000000000000007</v>
      </c>
      <c r="E11" s="388">
        <v>5.3199999999999997E-2</v>
      </c>
      <c r="F11" s="189">
        <f>ROUND(D11*E11,4)</f>
        <v>3.09E-2</v>
      </c>
      <c r="G11" s="191"/>
      <c r="H11" s="164"/>
      <c r="I11" s="164"/>
      <c r="J11" s="185"/>
      <c r="K11" s="170"/>
      <c r="L11" s="194" t="s">
        <v>214</v>
      </c>
      <c r="M11" s="195"/>
      <c r="N11" s="187"/>
    </row>
    <row r="12" spans="1:14" ht="15.75" thickBot="1">
      <c r="A12" s="172"/>
      <c r="B12" s="179"/>
      <c r="C12" s="192"/>
      <c r="D12" s="189"/>
      <c r="E12" s="190"/>
      <c r="F12" s="189"/>
      <c r="G12" s="193"/>
      <c r="H12" s="164"/>
      <c r="I12" s="164"/>
      <c r="J12" s="185">
        <v>2</v>
      </c>
      <c r="K12" s="170"/>
      <c r="L12" s="195" t="s">
        <v>216</v>
      </c>
      <c r="M12" s="195"/>
      <c r="N12" s="195">
        <v>4.8500000000000001E-3</v>
      </c>
    </row>
    <row r="13" spans="1:14" ht="15.75" thickBot="1">
      <c r="A13" s="172"/>
      <c r="B13" s="179" t="s">
        <v>215</v>
      </c>
      <c r="C13" s="192"/>
      <c r="D13" s="388">
        <f>IF(Summary!$O$12="Pac46Eq",46%, IF(Summary!$O$12="Proposed",49%,IF(Summary!$O$12="Ken",46%,IF(Summary!$O$12="Current",D40,IF(Summary!$O$12="KenDecoup", 42%,47%)))))</f>
        <v>0.42</v>
      </c>
      <c r="E13" s="388">
        <f>IF(Summary!$O$12="Proposed",10.1%,IF(Summary!$O$12="Ken",8.75%,IF(Summary!$O$12="Current",E40,IF(Summary!$O$12="KenDecoup",8.75%,9.5%))))</f>
        <v>8.7499999999999994E-2</v>
      </c>
      <c r="F13" s="189">
        <f>ROUND(D13*E13,4)</f>
        <v>3.6799999999999999E-2</v>
      </c>
      <c r="G13" s="184"/>
      <c r="H13" s="164"/>
      <c r="I13" s="164"/>
      <c r="J13" s="185"/>
      <c r="K13" s="170"/>
      <c r="L13" s="195"/>
      <c r="M13" s="195"/>
      <c r="N13" s="195"/>
    </row>
    <row r="14" spans="1:14" ht="15">
      <c r="A14" s="172"/>
      <c r="B14" s="179"/>
      <c r="C14" s="192"/>
      <c r="D14" s="196"/>
      <c r="E14" s="197"/>
      <c r="F14" s="189"/>
      <c r="G14" s="176"/>
      <c r="H14" s="164"/>
      <c r="I14" s="164"/>
      <c r="J14" s="185">
        <v>3</v>
      </c>
      <c r="K14" s="170"/>
      <c r="L14" s="195" t="s">
        <v>217</v>
      </c>
      <c r="M14" s="195"/>
      <c r="N14" s="195">
        <v>2E-3</v>
      </c>
    </row>
    <row r="15" spans="1:14" ht="15.75" thickBot="1">
      <c r="A15" s="172"/>
      <c r="B15" s="179" t="s">
        <v>5</v>
      </c>
      <c r="C15" s="188"/>
      <c r="D15" s="198">
        <f>SUM(D11:D13)</f>
        <v>1</v>
      </c>
      <c r="E15" s="197"/>
      <c r="F15" s="198">
        <f>SUM(F11:F13)</f>
        <v>6.7699999999999996E-2</v>
      </c>
      <c r="G15" s="176"/>
      <c r="H15" s="164"/>
      <c r="I15" s="164"/>
      <c r="J15" s="185"/>
      <c r="K15" s="170"/>
      <c r="L15" s="195"/>
      <c r="M15" s="195"/>
      <c r="N15" s="195"/>
    </row>
    <row r="16" spans="1:14" ht="16.5" thickTop="1" thickBot="1">
      <c r="A16" s="199"/>
      <c r="B16" s="200"/>
      <c r="C16" s="201"/>
      <c r="D16" s="202"/>
      <c r="E16" s="203"/>
      <c r="F16" s="202"/>
      <c r="G16" s="204"/>
      <c r="H16" s="164"/>
      <c r="I16" s="164"/>
      <c r="J16" s="185">
        <v>4</v>
      </c>
      <c r="K16" s="170"/>
      <c r="L16" s="195" t="s">
        <v>218</v>
      </c>
      <c r="M16" s="195"/>
      <c r="N16" s="195">
        <v>3.8332999999999999E-2</v>
      </c>
    </row>
    <row r="17" spans="1:14" ht="15">
      <c r="H17" s="164"/>
      <c r="I17" s="164"/>
      <c r="J17" s="185"/>
      <c r="K17" s="170"/>
      <c r="L17" s="195"/>
      <c r="M17" s="195"/>
      <c r="N17" s="195"/>
    </row>
    <row r="18" spans="1:14" ht="15">
      <c r="F18" s="344" t="s">
        <v>503</v>
      </c>
      <c r="H18" s="164"/>
      <c r="I18" s="164"/>
      <c r="J18" s="185">
        <v>5</v>
      </c>
      <c r="K18" s="170"/>
      <c r="L18" s="195" t="s">
        <v>219</v>
      </c>
      <c r="M18" s="195"/>
      <c r="N18" s="205">
        <f>SUM(N12:N16)</f>
        <v>4.5183000000000001E-2</v>
      </c>
    </row>
    <row r="19" spans="1:14" ht="15">
      <c r="F19" s="223">
        <f>Summary!M24</f>
        <v>7085</v>
      </c>
      <c r="H19" s="164"/>
      <c r="I19" s="164"/>
      <c r="J19" s="185"/>
      <c r="K19" s="170"/>
      <c r="L19" s="195"/>
      <c r="M19" s="195"/>
      <c r="N19" s="206"/>
    </row>
    <row r="20" spans="1:14" ht="15">
      <c r="H20" s="164"/>
      <c r="I20" s="164"/>
      <c r="J20" s="185">
        <v>6</v>
      </c>
      <c r="K20" s="170"/>
      <c r="L20" s="195" t="s">
        <v>220</v>
      </c>
      <c r="M20" s="195"/>
      <c r="N20" s="206">
        <f>N9-N18</f>
        <v>0.95481700000000003</v>
      </c>
    </row>
    <row r="21" spans="1:14" ht="15">
      <c r="H21" s="164"/>
      <c r="I21" s="164"/>
      <c r="J21" s="170"/>
      <c r="K21" s="170"/>
      <c r="L21" s="195"/>
      <c r="M21" s="195"/>
      <c r="N21" s="206"/>
    </row>
    <row r="22" spans="1:14" ht="15">
      <c r="H22" s="164"/>
      <c r="I22" s="164"/>
      <c r="J22" s="185">
        <v>7</v>
      </c>
      <c r="K22" s="170"/>
      <c r="L22" s="195" t="s">
        <v>222</v>
      </c>
      <c r="M22" s="207"/>
      <c r="N22" s="208">
        <f>ROUND(N20*0.35,6)</f>
        <v>0.33418599999999998</v>
      </c>
    </row>
    <row r="23" spans="1:14" ht="15">
      <c r="H23" s="164"/>
      <c r="I23" s="164"/>
      <c r="J23" s="170"/>
      <c r="K23" s="170"/>
      <c r="L23" s="195"/>
      <c r="M23" s="195"/>
      <c r="N23" s="206"/>
    </row>
    <row r="24" spans="1:14" ht="15.75" thickBot="1">
      <c r="H24" s="164"/>
      <c r="I24" s="164"/>
      <c r="J24" s="185">
        <v>8</v>
      </c>
      <c r="K24" s="170"/>
      <c r="L24" s="194" t="s">
        <v>223</v>
      </c>
      <c r="M24" s="195"/>
      <c r="N24" s="209">
        <f>ROUND(N20-N22,5)</f>
        <v>0.62063000000000001</v>
      </c>
    </row>
    <row r="25" spans="1:14" ht="15.75" thickTop="1">
      <c r="H25" s="164"/>
      <c r="I25" s="164"/>
      <c r="J25" s="164"/>
      <c r="K25" s="164"/>
      <c r="L25" s="164"/>
      <c r="M25" s="164"/>
      <c r="N25" s="164"/>
    </row>
    <row r="26" spans="1:14" ht="15">
      <c r="H26" s="164"/>
      <c r="I26" s="164"/>
    </row>
    <row r="27" spans="1:14" ht="15">
      <c r="H27" s="164"/>
      <c r="I27" s="164"/>
    </row>
    <row r="29" spans="1:14">
      <c r="A29" s="451" t="s">
        <v>43</v>
      </c>
      <c r="B29" s="451"/>
      <c r="C29" s="451"/>
      <c r="D29" s="451"/>
      <c r="E29" s="451"/>
      <c r="F29" s="451"/>
      <c r="G29" s="451"/>
    </row>
    <row r="30" spans="1:14" ht="11.25" customHeight="1">
      <c r="A30" s="451" t="s">
        <v>456</v>
      </c>
      <c r="B30" s="451"/>
      <c r="C30" s="451"/>
      <c r="D30" s="451"/>
      <c r="E30" s="451"/>
      <c r="F30" s="451"/>
      <c r="G30" s="451"/>
    </row>
    <row r="31" spans="1:14">
      <c r="A31" s="451" t="s">
        <v>224</v>
      </c>
      <c r="B31" s="451"/>
      <c r="C31" s="451"/>
      <c r="D31" s="451"/>
      <c r="E31" s="451"/>
      <c r="F31" s="451"/>
      <c r="G31" s="451"/>
    </row>
    <row r="32" spans="1:14" ht="13.5" thickBot="1">
      <c r="A32" s="451"/>
      <c r="B32" s="451"/>
      <c r="C32" s="451"/>
      <c r="D32" s="451"/>
      <c r="E32" s="451"/>
      <c r="F32" s="451"/>
      <c r="G32" s="451"/>
    </row>
    <row r="33" spans="1:7">
      <c r="A33" s="167" t="s">
        <v>206</v>
      </c>
      <c r="B33" s="168"/>
      <c r="C33" s="168"/>
      <c r="D33" s="168"/>
      <c r="E33" s="168"/>
      <c r="F33" s="168"/>
      <c r="G33" s="169"/>
    </row>
    <row r="34" spans="1:7">
      <c r="A34" s="172"/>
      <c r="B34" s="173"/>
      <c r="C34" s="173"/>
      <c r="D34" s="174"/>
      <c r="E34" s="175"/>
      <c r="F34" s="174" t="s">
        <v>207</v>
      </c>
      <c r="G34" s="176"/>
    </row>
    <row r="35" spans="1:7">
      <c r="A35" s="172"/>
      <c r="B35" s="179"/>
      <c r="C35" s="174"/>
      <c r="D35" s="174" t="s">
        <v>209</v>
      </c>
      <c r="E35" s="174" t="s">
        <v>207</v>
      </c>
      <c r="F35" s="174" t="s">
        <v>110</v>
      </c>
      <c r="G35" s="176"/>
    </row>
    <row r="36" spans="1:7">
      <c r="A36" s="172"/>
      <c r="B36" s="183" t="s">
        <v>210</v>
      </c>
      <c r="C36" s="174"/>
      <c r="D36" s="183" t="s">
        <v>211</v>
      </c>
      <c r="E36" s="183" t="s">
        <v>166</v>
      </c>
      <c r="F36" s="183" t="s">
        <v>166</v>
      </c>
      <c r="G36" s="176"/>
    </row>
    <row r="37" spans="1:7">
      <c r="A37" s="172"/>
      <c r="B37" s="173"/>
      <c r="C37" s="173"/>
      <c r="D37" s="173"/>
      <c r="E37" s="175"/>
      <c r="F37" s="173"/>
      <c r="G37" s="184"/>
    </row>
    <row r="38" spans="1:7">
      <c r="A38" s="172"/>
      <c r="B38" s="179" t="s">
        <v>213</v>
      </c>
      <c r="C38" s="188"/>
      <c r="D38" s="189">
        <f>100%-D40</f>
        <v>0.5373</v>
      </c>
      <c r="E38" s="190">
        <v>5.5599999999999997E-2</v>
      </c>
      <c r="F38" s="189">
        <f>ROUND(D38*E38,4)</f>
        <v>2.9899999999999999E-2</v>
      </c>
      <c r="G38" s="191"/>
    </row>
    <row r="39" spans="1:7">
      <c r="A39" s="172"/>
      <c r="B39" s="179"/>
      <c r="C39" s="192"/>
      <c r="D39" s="189"/>
      <c r="E39" s="190"/>
      <c r="F39" s="189"/>
      <c r="G39" s="193"/>
    </row>
    <row r="40" spans="1:7">
      <c r="A40" s="172"/>
      <c r="B40" s="179" t="s">
        <v>215</v>
      </c>
      <c r="C40" s="192"/>
      <c r="D40" s="189">
        <v>0.4627</v>
      </c>
      <c r="E40" s="190">
        <v>9.8000000000000004E-2</v>
      </c>
      <c r="F40" s="189">
        <f>ROUND(D40*E40,4)</f>
        <v>4.53E-2</v>
      </c>
      <c r="G40" s="184"/>
    </row>
    <row r="41" spans="1:7">
      <c r="A41" s="172"/>
      <c r="B41" s="179"/>
      <c r="C41" s="192"/>
      <c r="D41" s="196"/>
      <c r="E41" s="197"/>
      <c r="F41" s="189"/>
      <c r="G41" s="176"/>
    </row>
    <row r="42" spans="1:7" ht="13.5" thickBot="1">
      <c r="A42" s="172"/>
      <c r="B42" s="179" t="s">
        <v>5</v>
      </c>
      <c r="C42" s="188"/>
      <c r="D42" s="198">
        <f>SUM(D38:D40)</f>
        <v>1</v>
      </c>
      <c r="E42" s="197"/>
      <c r="F42" s="198">
        <f>SUM(F38:F40)</f>
        <v>7.5200000000000003E-2</v>
      </c>
      <c r="G42" s="176"/>
    </row>
    <row r="43" spans="1:7" ht="14.25" thickTop="1" thickBot="1">
      <c r="A43" s="199"/>
      <c r="B43" s="200"/>
      <c r="C43" s="201"/>
      <c r="D43" s="202"/>
      <c r="E43" s="203"/>
      <c r="F43" s="202"/>
      <c r="G43" s="204"/>
    </row>
  </sheetData>
  <mergeCells count="8">
    <mergeCell ref="A32:G32"/>
    <mergeCell ref="A2:G2"/>
    <mergeCell ref="A3:G3"/>
    <mergeCell ref="A4:G4"/>
    <mergeCell ref="A5:G5"/>
    <mergeCell ref="A29:G29"/>
    <mergeCell ref="A30:G30"/>
    <mergeCell ref="A31:G31"/>
  </mergeCells>
  <printOptions horizontalCentered="1"/>
  <pageMargins left="0.7" right="0.7" top="0.75" bottom="0.75" header="0.3" footer="0.3"/>
  <pageSetup scale="105" orientation="portrait" r:id="rId1"/>
  <headerFooter scaleWithDoc="0">
    <oddFooter>&amp;C&amp;F&amp;RPage &amp;P of &amp;N</oddFooter>
  </headerFooter>
  <colBreaks count="1" manualBreakCount="1">
    <brk id="8" max="2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9"/>
  <sheetViews>
    <sheetView topLeftCell="A58" zoomScaleNormal="100" zoomScaleSheetLayoutView="115" workbookViewId="0">
      <selection activeCell="C7" sqref="C7"/>
    </sheetView>
  </sheetViews>
  <sheetFormatPr defaultColWidth="10.5703125" defaultRowHeight="12"/>
  <cols>
    <col min="1" max="1" width="5.5703125" style="22" customWidth="1"/>
    <col min="2" max="3" width="1.5703125" style="3" customWidth="1"/>
    <col min="4" max="4" width="26.85546875" style="3" customWidth="1"/>
    <col min="5" max="5" width="11.5703125" style="4" customWidth="1"/>
    <col min="6" max="6" width="11.140625" style="3" customWidth="1"/>
    <col min="7" max="7" width="10.5703125" style="3" customWidth="1"/>
    <col min="8" max="8" width="12" style="3" customWidth="1"/>
    <col min="9" max="9" width="11.85546875" style="3" customWidth="1"/>
    <col min="10" max="10" width="1.140625" style="3" customWidth="1"/>
    <col min="11" max="11" width="8" style="3" customWidth="1"/>
    <col min="12" max="13" width="10.5703125" style="3"/>
    <col min="14" max="14" width="1.42578125" style="3" customWidth="1"/>
    <col min="15" max="15" width="13.42578125" style="3" customWidth="1"/>
    <col min="16" max="16" width="13.5703125" style="3" customWidth="1"/>
    <col min="17" max="16384" width="10.5703125" style="3"/>
  </cols>
  <sheetData>
    <row r="1" spans="1:19" ht="5.25" customHeight="1">
      <c r="A1" s="2"/>
      <c r="B1" s="457"/>
      <c r="C1" s="457"/>
      <c r="D1" s="457"/>
      <c r="E1" s="457"/>
      <c r="F1" s="457"/>
      <c r="G1" s="457"/>
      <c r="H1" s="457"/>
      <c r="I1" s="457"/>
      <c r="J1" s="457"/>
      <c r="K1" s="457"/>
      <c r="L1" s="457"/>
      <c r="M1" s="457"/>
      <c r="N1" s="457"/>
      <c r="O1" s="457"/>
      <c r="P1" s="457"/>
      <c r="Q1" s="457"/>
      <c r="R1" s="457"/>
      <c r="S1" s="457"/>
    </row>
    <row r="2" spans="1:19" ht="21" thickBot="1">
      <c r="A2" s="458" t="s">
        <v>267</v>
      </c>
      <c r="B2" s="458"/>
      <c r="C2" s="458"/>
      <c r="D2" s="458"/>
      <c r="E2" s="458"/>
      <c r="F2" s="458"/>
      <c r="G2" s="458"/>
      <c r="H2" s="458"/>
      <c r="I2" s="458"/>
      <c r="J2" s="458"/>
      <c r="K2" s="458"/>
      <c r="L2" s="458"/>
      <c r="M2" s="458"/>
      <c r="N2" s="458"/>
      <c r="O2" s="458"/>
      <c r="P2" s="458"/>
      <c r="Q2" s="458"/>
      <c r="R2" s="250"/>
      <c r="S2" s="250"/>
    </row>
    <row r="3" spans="1:19" ht="6.75" customHeight="1">
      <c r="A3" s="2"/>
    </row>
    <row r="4" spans="1:19" ht="2.25" customHeight="1">
      <c r="A4" s="2"/>
      <c r="B4" s="2"/>
      <c r="C4" s="2"/>
      <c r="D4" s="2"/>
    </row>
    <row r="5" spans="1:19">
      <c r="A5" s="2"/>
      <c r="B5" s="2"/>
      <c r="C5" s="2"/>
      <c r="D5" s="210" t="s">
        <v>226</v>
      </c>
      <c r="E5" s="452" t="s">
        <v>266</v>
      </c>
      <c r="F5" s="452"/>
      <c r="G5" s="452"/>
      <c r="H5" s="452"/>
      <c r="I5" s="452"/>
      <c r="K5" s="73"/>
      <c r="L5" s="453" t="s">
        <v>167</v>
      </c>
      <c r="M5" s="453"/>
      <c r="O5" s="453" t="s">
        <v>265</v>
      </c>
      <c r="P5" s="453"/>
      <c r="Q5" s="73"/>
    </row>
    <row r="6" spans="1:19" s="6" customFormat="1" ht="13.35" customHeight="1">
      <c r="A6" s="5"/>
      <c r="E6" s="459" t="s">
        <v>451</v>
      </c>
      <c r="F6" s="462" t="s">
        <v>450</v>
      </c>
      <c r="G6" s="465" t="s">
        <v>316</v>
      </c>
      <c r="H6" s="462" t="s">
        <v>317</v>
      </c>
      <c r="I6" s="454" t="s">
        <v>455</v>
      </c>
      <c r="J6" s="14"/>
      <c r="K6" s="454" t="s">
        <v>203</v>
      </c>
      <c r="L6" s="454" t="s">
        <v>318</v>
      </c>
      <c r="M6" s="454" t="s">
        <v>319</v>
      </c>
      <c r="N6" s="266"/>
      <c r="O6" s="454" t="s">
        <v>452</v>
      </c>
      <c r="P6" s="454" t="s">
        <v>320</v>
      </c>
      <c r="Q6" s="454" t="s">
        <v>321</v>
      </c>
    </row>
    <row r="7" spans="1:19" s="6" customFormat="1">
      <c r="A7" s="25" t="s">
        <v>227</v>
      </c>
      <c r="B7" s="75"/>
      <c r="C7" s="75"/>
      <c r="D7" s="27"/>
      <c r="E7" s="460"/>
      <c r="F7" s="463"/>
      <c r="G7" s="466"/>
      <c r="H7" s="468"/>
      <c r="I7" s="455"/>
      <c r="J7" s="75"/>
      <c r="K7" s="455"/>
      <c r="L7" s="455"/>
      <c r="M7" s="455"/>
      <c r="N7" s="267"/>
      <c r="O7" s="455"/>
      <c r="P7" s="455"/>
      <c r="Q7" s="455"/>
    </row>
    <row r="8" spans="1:19" s="6" customFormat="1">
      <c r="A8" s="25" t="s">
        <v>0</v>
      </c>
      <c r="B8" s="75"/>
      <c r="C8" s="75"/>
      <c r="D8" s="27"/>
      <c r="E8" s="460"/>
      <c r="F8" s="463"/>
      <c r="G8" s="466"/>
      <c r="H8" s="468"/>
      <c r="I8" s="455"/>
      <c r="J8" s="75"/>
      <c r="K8" s="455"/>
      <c r="L8" s="455"/>
      <c r="M8" s="455"/>
      <c r="N8" s="267"/>
      <c r="O8" s="455"/>
      <c r="P8" s="455"/>
      <c r="Q8" s="455"/>
    </row>
    <row r="9" spans="1:19" s="6" customFormat="1">
      <c r="A9" s="91" t="s">
        <v>2</v>
      </c>
      <c r="B9" s="92"/>
      <c r="C9" s="92"/>
      <c r="D9" s="92" t="s">
        <v>3</v>
      </c>
      <c r="E9" s="461"/>
      <c r="F9" s="464"/>
      <c r="G9" s="467"/>
      <c r="H9" s="469"/>
      <c r="I9" s="456"/>
      <c r="J9" s="249"/>
      <c r="K9" s="456"/>
      <c r="L9" s="456"/>
      <c r="M9" s="456"/>
      <c r="N9" s="268"/>
      <c r="O9" s="456"/>
      <c r="P9" s="456"/>
      <c r="Q9" s="456"/>
    </row>
    <row r="10" spans="1:19" s="6" customFormat="1" ht="12.75">
      <c r="A10" s="25"/>
      <c r="B10" s="75"/>
      <c r="C10" s="75"/>
      <c r="D10" s="75"/>
      <c r="E10" s="253" t="s">
        <v>268</v>
      </c>
      <c r="F10" s="253" t="s">
        <v>269</v>
      </c>
      <c r="G10" s="253" t="s">
        <v>270</v>
      </c>
      <c r="H10" s="253" t="s">
        <v>271</v>
      </c>
      <c r="I10" s="253" t="s">
        <v>272</v>
      </c>
      <c r="J10" s="75"/>
      <c r="K10" s="253" t="s">
        <v>273</v>
      </c>
      <c r="L10" s="253" t="s">
        <v>274</v>
      </c>
      <c r="M10" s="253" t="s">
        <v>275</v>
      </c>
      <c r="N10" s="253"/>
      <c r="O10" s="253" t="s">
        <v>276</v>
      </c>
      <c r="P10" s="253" t="s">
        <v>277</v>
      </c>
      <c r="Q10" s="253" t="s">
        <v>278</v>
      </c>
    </row>
    <row r="11" spans="1:19" ht="12.75" thickBot="1">
      <c r="B11" s="3" t="s">
        <v>6</v>
      </c>
    </row>
    <row r="12" spans="1:19" s="23" customFormat="1">
      <c r="A12" s="22">
        <v>1</v>
      </c>
      <c r="B12" s="23" t="s">
        <v>7</v>
      </c>
      <c r="E12" s="77">
        <v>144257</v>
      </c>
      <c r="F12" s="77">
        <v>0</v>
      </c>
      <c r="G12" s="77">
        <v>638</v>
      </c>
      <c r="H12" s="77">
        <f>ROUND(H19/'Riders and Gas Cost Revenue'!E11,0)</f>
        <v>-82905</v>
      </c>
      <c r="I12" s="77">
        <f>SUM(E12:H12)</f>
        <v>61990</v>
      </c>
      <c r="J12" s="84"/>
      <c r="K12" s="149">
        <f>'Weighted Revenue Growth'!J19</f>
        <v>2.0473782200874664E-2</v>
      </c>
      <c r="L12" s="150"/>
      <c r="M12" s="443">
        <f t="shared" ref="M12:M14" si="0">I12+L12</f>
        <v>61990</v>
      </c>
      <c r="N12" s="410"/>
      <c r="O12" s="444">
        <f>-H12</f>
        <v>82905</v>
      </c>
      <c r="P12" s="150">
        <f>(M12+O12)*K12</f>
        <v>2966.5486719957344</v>
      </c>
      <c r="Q12" s="150">
        <f>SUM(M12:P12)</f>
        <v>147861.54867199573</v>
      </c>
    </row>
    <row r="13" spans="1:19" ht="12.75" thickBot="1">
      <c r="A13" s="22">
        <v>2</v>
      </c>
      <c r="B13" s="24" t="s">
        <v>8</v>
      </c>
      <c r="D13" s="24"/>
      <c r="E13" s="77">
        <v>3915</v>
      </c>
      <c r="F13" s="77">
        <v>0</v>
      </c>
      <c r="G13" s="77">
        <v>-139</v>
      </c>
      <c r="H13" s="78"/>
      <c r="I13" s="77">
        <f t="shared" ref="I13:I14" si="1">SUM(E13:H13)</f>
        <v>3776</v>
      </c>
      <c r="J13" s="84"/>
      <c r="K13" s="149">
        <f>'Weighted Revenue Growth'!J25</f>
        <v>6.4802664756977199E-2</v>
      </c>
      <c r="L13" s="151"/>
      <c r="M13" s="445">
        <f t="shared" si="0"/>
        <v>3776</v>
      </c>
      <c r="N13" s="411"/>
      <c r="O13" s="412"/>
      <c r="P13" s="150">
        <f>M13*K13</f>
        <v>244.69486212234591</v>
      </c>
      <c r="Q13" s="151">
        <f>SUM(M13:P13)</f>
        <v>4020.694862122346</v>
      </c>
      <c r="S13" s="77"/>
    </row>
    <row r="14" spans="1:19" ht="12.75" thickBot="1">
      <c r="A14" s="22">
        <v>3</v>
      </c>
      <c r="B14" s="24" t="s">
        <v>9</v>
      </c>
      <c r="D14" s="24"/>
      <c r="E14" s="77">
        <v>403</v>
      </c>
      <c r="F14" s="77">
        <v>0</v>
      </c>
      <c r="G14" s="77">
        <v>0</v>
      </c>
      <c r="H14" s="79"/>
      <c r="I14" s="77">
        <f t="shared" si="1"/>
        <v>403</v>
      </c>
      <c r="J14" s="78"/>
      <c r="K14" s="395">
        <f>IF(Summary!$O$23="Zero",0%,(IF(Summary!$O$23="2001-2013",'trends - adj other rev'!$E$10,(IF(Summary!$O$23="2007-2013",'trends - adj other rev'!$E$11,(IF(Summary!$O$23="Weighted 50-50",'trends - adj other rev'!$E$12,0%)))))))</f>
        <v>0.19354838709677419</v>
      </c>
      <c r="L14" s="79"/>
      <c r="M14" s="151">
        <f t="shared" si="0"/>
        <v>403</v>
      </c>
      <c r="N14" s="79"/>
      <c r="O14" s="79"/>
      <c r="P14" s="150">
        <f>M14*K14</f>
        <v>78</v>
      </c>
      <c r="Q14" s="79">
        <f>SUM(M14:P14)</f>
        <v>481</v>
      </c>
    </row>
    <row r="15" spans="1:19">
      <c r="A15" s="22">
        <v>4</v>
      </c>
      <c r="B15" s="3" t="s">
        <v>10</v>
      </c>
      <c r="C15" s="24"/>
      <c r="D15" s="24"/>
      <c r="E15" s="147">
        <f>SUM(E12:E14)</f>
        <v>148575</v>
      </c>
      <c r="F15" s="147">
        <f>SUM(F12:F14)</f>
        <v>0</v>
      </c>
      <c r="G15" s="147">
        <f>SUM(G12:G14)</f>
        <v>499</v>
      </c>
      <c r="H15" s="147">
        <f>SUM(H12:H14)</f>
        <v>-82905</v>
      </c>
      <c r="I15" s="147">
        <f>SUM(I12:I14)</f>
        <v>66169</v>
      </c>
      <c r="L15" s="147">
        <f t="shared" ref="L15:Q15" si="2">SUM(L12:L14)</f>
        <v>0</v>
      </c>
      <c r="M15" s="147">
        <f t="shared" si="2"/>
        <v>66169</v>
      </c>
      <c r="N15" s="147">
        <f t="shared" si="2"/>
        <v>0</v>
      </c>
      <c r="O15" s="147">
        <f t="shared" si="2"/>
        <v>82905</v>
      </c>
      <c r="P15" s="147">
        <f t="shared" si="2"/>
        <v>3289.2435341180803</v>
      </c>
      <c r="Q15" s="147">
        <f t="shared" si="2"/>
        <v>152363.24353411808</v>
      </c>
    </row>
    <row r="16" spans="1:19">
      <c r="C16" s="24"/>
      <c r="D16" s="24"/>
      <c r="E16" s="78"/>
      <c r="F16" s="78"/>
      <c r="G16" s="78"/>
      <c r="H16" s="78"/>
      <c r="I16" s="78"/>
      <c r="L16" s="78"/>
      <c r="M16" s="78"/>
      <c r="N16" s="78"/>
      <c r="O16" s="78"/>
      <c r="P16" s="78"/>
      <c r="Q16" s="78"/>
    </row>
    <row r="17" spans="1:17">
      <c r="B17" s="3" t="s">
        <v>11</v>
      </c>
      <c r="C17" s="24"/>
      <c r="D17" s="24"/>
      <c r="E17" s="78"/>
      <c r="F17" s="78"/>
      <c r="G17" s="78"/>
      <c r="H17" s="78"/>
      <c r="I17" s="78"/>
      <c r="L17" s="78"/>
      <c r="M17" s="78"/>
      <c r="N17" s="78"/>
      <c r="O17" s="78"/>
      <c r="P17" s="78"/>
      <c r="Q17" s="78"/>
    </row>
    <row r="18" spans="1:17">
      <c r="B18" s="24" t="s">
        <v>51</v>
      </c>
      <c r="D18" s="24"/>
      <c r="E18" s="78"/>
      <c r="F18" s="78"/>
      <c r="G18" s="78"/>
      <c r="H18" s="78"/>
      <c r="I18" s="78"/>
      <c r="L18" s="78"/>
      <c r="M18" s="78"/>
      <c r="N18" s="78"/>
      <c r="O18" s="78"/>
      <c r="P18" s="78"/>
      <c r="Q18" s="78"/>
    </row>
    <row r="19" spans="1:17" ht="12.75" thickBot="1">
      <c r="A19" s="22">
        <v>5</v>
      </c>
      <c r="C19" s="24" t="s">
        <v>12</v>
      </c>
      <c r="D19" s="24"/>
      <c r="E19" s="77">
        <v>76801</v>
      </c>
      <c r="F19" s="77">
        <v>0</v>
      </c>
      <c r="G19" s="77">
        <v>2358</v>
      </c>
      <c r="H19" s="77">
        <v>-79159</v>
      </c>
      <c r="I19" s="77">
        <f>SUM(E19:H19)</f>
        <v>0</v>
      </c>
      <c r="K19" s="89"/>
      <c r="L19" s="151"/>
      <c r="M19" s="151">
        <f>I19+L19</f>
        <v>0</v>
      </c>
      <c r="N19" s="151"/>
      <c r="O19" s="150">
        <f>-H19</f>
        <v>79159</v>
      </c>
      <c r="P19" s="151">
        <f>'Weighted Revenue Growth'!I44/1000</f>
        <v>1664.7200756406314</v>
      </c>
      <c r="Q19" s="151">
        <f>SUM(M19:P19)</f>
        <v>80823.720075640638</v>
      </c>
    </row>
    <row r="20" spans="1:17" ht="12.75" thickBot="1">
      <c r="A20" s="22">
        <v>6</v>
      </c>
      <c r="C20" s="24" t="s">
        <v>13</v>
      </c>
      <c r="D20" s="24"/>
      <c r="E20" s="77">
        <v>891</v>
      </c>
      <c r="F20" s="77">
        <v>0</v>
      </c>
      <c r="G20" s="77">
        <v>-4</v>
      </c>
      <c r="H20" s="78"/>
      <c r="I20" s="77">
        <f t="shared" ref="I20:I21" si="3">SUM(E20:H20)</f>
        <v>887</v>
      </c>
      <c r="J20" s="84"/>
      <c r="K20" s="408">
        <f>'Cost Trends'!G194</f>
        <v>6.3926940639269403E-2</v>
      </c>
      <c r="L20" s="78">
        <f>I20*K20</f>
        <v>56.703196347031962</v>
      </c>
      <c r="M20" s="151">
        <f t="shared" ref="M20:M21" si="4">I20+L20</f>
        <v>943.70319634703196</v>
      </c>
      <c r="N20" s="78"/>
      <c r="O20" s="78"/>
      <c r="P20" s="78"/>
      <c r="Q20" s="151">
        <f t="shared" ref="Q20:Q21" si="5">SUM(M20:P20)</f>
        <v>943.70319634703196</v>
      </c>
    </row>
    <row r="21" spans="1:17">
      <c r="A21" s="22">
        <v>7</v>
      </c>
      <c r="C21" s="24" t="s">
        <v>14</v>
      </c>
      <c r="D21" s="24"/>
      <c r="E21" s="77">
        <v>0</v>
      </c>
      <c r="F21" s="77">
        <v>0</v>
      </c>
      <c r="G21" s="77">
        <v>0</v>
      </c>
      <c r="H21" s="79"/>
      <c r="I21" s="77">
        <f t="shared" si="3"/>
        <v>0</v>
      </c>
      <c r="J21" s="78"/>
      <c r="K21" s="78"/>
      <c r="L21" s="79">
        <f>I21*K21</f>
        <v>0</v>
      </c>
      <c r="M21" s="151">
        <f t="shared" si="4"/>
        <v>0</v>
      </c>
      <c r="N21" s="79"/>
      <c r="O21" s="79"/>
      <c r="P21" s="79"/>
      <c r="Q21" s="151">
        <f t="shared" si="5"/>
        <v>0</v>
      </c>
    </row>
    <row r="22" spans="1:17">
      <c r="A22" s="22">
        <v>8</v>
      </c>
      <c r="B22" s="24" t="s">
        <v>15</v>
      </c>
      <c r="C22" s="24"/>
      <c r="E22" s="147">
        <f>SUM(E19:E21)</f>
        <v>77692</v>
      </c>
      <c r="F22" s="147">
        <f>SUM(F19:F21)</f>
        <v>0</v>
      </c>
      <c r="G22" s="147">
        <f>SUM(G19:G21)</f>
        <v>2354</v>
      </c>
      <c r="H22" s="147">
        <f>SUM(H19:H21)</f>
        <v>-79159</v>
      </c>
      <c r="I22" s="147">
        <f>SUM(I19:I21)</f>
        <v>887</v>
      </c>
      <c r="L22" s="147">
        <f t="shared" ref="L22:Q22" si="6">SUM(L19:L21)</f>
        <v>56.703196347031962</v>
      </c>
      <c r="M22" s="147">
        <f t="shared" si="6"/>
        <v>943.70319634703196</v>
      </c>
      <c r="N22" s="147">
        <f t="shared" si="6"/>
        <v>0</v>
      </c>
      <c r="O22" s="147">
        <f t="shared" si="6"/>
        <v>79159</v>
      </c>
      <c r="P22" s="147">
        <f t="shared" si="6"/>
        <v>1664.7200756406314</v>
      </c>
      <c r="Q22" s="147">
        <f t="shared" si="6"/>
        <v>81767.423271987675</v>
      </c>
    </row>
    <row r="23" spans="1:17">
      <c r="B23" s="24"/>
      <c r="C23" s="24"/>
      <c r="E23" s="78"/>
      <c r="F23" s="78"/>
      <c r="G23" s="78"/>
      <c r="H23" s="78"/>
      <c r="I23" s="78"/>
      <c r="L23" s="78"/>
      <c r="M23" s="78"/>
      <c r="N23" s="78"/>
      <c r="O23" s="78"/>
      <c r="P23" s="78"/>
      <c r="Q23" s="78"/>
    </row>
    <row r="24" spans="1:17">
      <c r="B24" s="24" t="s">
        <v>16</v>
      </c>
      <c r="D24" s="24"/>
      <c r="E24" s="78"/>
      <c r="F24" s="78"/>
      <c r="G24" s="78"/>
      <c r="H24" s="78"/>
      <c r="I24" s="78"/>
      <c r="L24" s="78"/>
      <c r="M24" s="78"/>
      <c r="N24" s="78"/>
      <c r="O24" s="78"/>
      <c r="P24" s="78"/>
      <c r="Q24" s="78"/>
    </row>
    <row r="25" spans="1:17" ht="12.75" thickBot="1">
      <c r="A25" s="22">
        <v>9</v>
      </c>
      <c r="C25" s="24" t="s">
        <v>17</v>
      </c>
      <c r="D25" s="24"/>
      <c r="E25" s="77">
        <v>820</v>
      </c>
      <c r="F25" s="77">
        <v>0</v>
      </c>
      <c r="G25" s="77">
        <v>0</v>
      </c>
      <c r="H25" s="78"/>
      <c r="I25" s="77">
        <f>SUM(E25:H25)</f>
        <v>820</v>
      </c>
      <c r="J25" s="84"/>
      <c r="K25" s="409">
        <f>K20</f>
        <v>6.3926940639269403E-2</v>
      </c>
      <c r="L25" s="78">
        <f>I25*K25</f>
        <v>52.420091324200911</v>
      </c>
      <c r="M25" s="151">
        <f t="shared" ref="M25:M27" si="7">I25+L25</f>
        <v>872.42009132420094</v>
      </c>
      <c r="N25" s="78"/>
      <c r="O25" s="78"/>
      <c r="P25" s="78"/>
      <c r="Q25" s="151">
        <f t="shared" ref="Q25:Q27" si="8">SUM(M25:P25)</f>
        <v>872.42009132420094</v>
      </c>
    </row>
    <row r="26" spans="1:17" ht="12.75" thickBot="1">
      <c r="A26" s="22">
        <v>10</v>
      </c>
      <c r="C26" s="24" t="s">
        <v>47</v>
      </c>
      <c r="D26" s="24"/>
      <c r="E26" s="77">
        <v>380</v>
      </c>
      <c r="F26" s="77">
        <v>0</v>
      </c>
      <c r="G26" s="77">
        <v>0</v>
      </c>
      <c r="H26" s="78"/>
      <c r="I26" s="77">
        <f t="shared" ref="I26:I27" si="9">SUM(E26:H26)</f>
        <v>380</v>
      </c>
      <c r="J26" s="84"/>
      <c r="K26" s="401">
        <f>'Cost Trends'!G196</f>
        <v>0.10268627289903887</v>
      </c>
      <c r="L26" s="78">
        <f>I26*K26</f>
        <v>39.02078370163477</v>
      </c>
      <c r="M26" s="151">
        <f t="shared" si="7"/>
        <v>419.02078370163474</v>
      </c>
      <c r="N26" s="78"/>
      <c r="O26" s="78"/>
      <c r="P26" s="78"/>
      <c r="Q26" s="151">
        <f t="shared" si="8"/>
        <v>419.02078370163474</v>
      </c>
    </row>
    <row r="27" spans="1:17" ht="12.75" thickBot="1">
      <c r="A27" s="22">
        <v>11</v>
      </c>
      <c r="C27" s="24" t="s">
        <v>4</v>
      </c>
      <c r="D27" s="24"/>
      <c r="E27" s="77">
        <v>158</v>
      </c>
      <c r="F27" s="77">
        <v>0</v>
      </c>
      <c r="G27" s="77">
        <v>0</v>
      </c>
      <c r="H27" s="79"/>
      <c r="I27" s="77">
        <f t="shared" si="9"/>
        <v>158</v>
      </c>
      <c r="J27" s="84"/>
      <c r="K27" s="398">
        <f>'Cost Trends'!G198</f>
        <v>8.2643036023887492E-2</v>
      </c>
      <c r="L27" s="79">
        <f>I27*K27</f>
        <v>13.057599691774223</v>
      </c>
      <c r="M27" s="151">
        <f t="shared" si="7"/>
        <v>171.05759969177421</v>
      </c>
      <c r="N27" s="79"/>
      <c r="O27" s="79"/>
      <c r="P27" s="79"/>
      <c r="Q27" s="151">
        <f t="shared" si="8"/>
        <v>171.05759969177421</v>
      </c>
    </row>
    <row r="28" spans="1:17">
      <c r="A28" s="22">
        <v>12</v>
      </c>
      <c r="B28" s="24" t="s">
        <v>18</v>
      </c>
      <c r="C28" s="24"/>
      <c r="E28" s="147">
        <f>SUM(E25:E27)</f>
        <v>1358</v>
      </c>
      <c r="F28" s="147">
        <f>SUM(F25:F27)</f>
        <v>0</v>
      </c>
      <c r="G28" s="147">
        <f>SUM(G25:G27)</f>
        <v>0</v>
      </c>
      <c r="H28" s="147">
        <f>SUM(H25:H27)</f>
        <v>0</v>
      </c>
      <c r="I28" s="147">
        <f>SUM(I25:I27)</f>
        <v>1358</v>
      </c>
      <c r="L28" s="147">
        <f t="shared" ref="L28:Q28" si="10">SUM(L25:L27)</f>
        <v>104.49847471760991</v>
      </c>
      <c r="M28" s="147">
        <f t="shared" si="10"/>
        <v>1462.49847471761</v>
      </c>
      <c r="N28" s="147">
        <f t="shared" si="10"/>
        <v>0</v>
      </c>
      <c r="O28" s="147">
        <f t="shared" si="10"/>
        <v>0</v>
      </c>
      <c r="P28" s="147">
        <f t="shared" si="10"/>
        <v>0</v>
      </c>
      <c r="Q28" s="147">
        <f t="shared" si="10"/>
        <v>1462.49847471761</v>
      </c>
    </row>
    <row r="29" spans="1:17">
      <c r="B29" s="24"/>
      <c r="C29" s="24"/>
      <c r="E29" s="78"/>
      <c r="F29" s="78"/>
      <c r="G29" s="78"/>
      <c r="H29" s="78"/>
      <c r="I29" s="78"/>
      <c r="L29" s="78"/>
      <c r="M29" s="78"/>
      <c r="N29" s="78"/>
      <c r="O29" s="78"/>
      <c r="P29" s="78"/>
      <c r="Q29" s="78"/>
    </row>
    <row r="30" spans="1:17" ht="11.25" customHeight="1">
      <c r="B30" s="24" t="s">
        <v>19</v>
      </c>
      <c r="D30" s="24"/>
      <c r="E30" s="78"/>
      <c r="F30" s="78"/>
      <c r="G30" s="78"/>
      <c r="H30" s="78"/>
      <c r="I30" s="78"/>
      <c r="L30" s="78"/>
      <c r="M30" s="78"/>
      <c r="N30" s="78"/>
      <c r="O30" s="78"/>
      <c r="P30" s="78"/>
      <c r="Q30" s="78"/>
    </row>
    <row r="31" spans="1:17">
      <c r="A31" s="22">
        <v>13</v>
      </c>
      <c r="C31" s="24" t="s">
        <v>17</v>
      </c>
      <c r="D31" s="24"/>
      <c r="E31" s="77">
        <v>10820</v>
      </c>
      <c r="F31" s="77">
        <v>0</v>
      </c>
      <c r="G31" s="77">
        <v>0</v>
      </c>
      <c r="H31" s="78"/>
      <c r="I31" s="77">
        <f>SUM(E31:H31)</f>
        <v>10820</v>
      </c>
      <c r="J31" s="84"/>
      <c r="K31" s="409">
        <f>K20</f>
        <v>6.3926940639269403E-2</v>
      </c>
      <c r="L31" s="78">
        <f>I31*K31</f>
        <v>691.68949771689495</v>
      </c>
      <c r="M31" s="151">
        <f t="shared" ref="M31:M33" si="11">I31+L31</f>
        <v>11511.689497716896</v>
      </c>
      <c r="N31" s="78"/>
      <c r="O31" s="78"/>
      <c r="P31" s="78"/>
      <c r="Q31" s="151">
        <f t="shared" ref="Q31:Q33" si="12">SUM(M31:P31)</f>
        <v>11511.689497716896</v>
      </c>
    </row>
    <row r="32" spans="1:17">
      <c r="A32" s="22">
        <v>14</v>
      </c>
      <c r="C32" s="24" t="s">
        <v>47</v>
      </c>
      <c r="D32" s="24"/>
      <c r="E32" s="77">
        <v>7925</v>
      </c>
      <c r="F32" s="77">
        <v>0</v>
      </c>
      <c r="G32" s="77">
        <v>0</v>
      </c>
      <c r="H32" s="78"/>
      <c r="I32" s="77">
        <f t="shared" ref="I32:I33" si="13">SUM(E32:H32)</f>
        <v>7925</v>
      </c>
      <c r="J32" s="84"/>
      <c r="K32" s="402">
        <f>K26</f>
        <v>0.10268627289903887</v>
      </c>
      <c r="L32" s="78">
        <f>I32*K32</f>
        <v>813.788712724883</v>
      </c>
      <c r="M32" s="151">
        <f t="shared" si="11"/>
        <v>8738.7887127248832</v>
      </c>
      <c r="N32" s="78"/>
      <c r="O32" s="78"/>
      <c r="P32" s="78"/>
      <c r="Q32" s="151">
        <f t="shared" si="12"/>
        <v>8738.7887127248832</v>
      </c>
    </row>
    <row r="33" spans="1:17">
      <c r="A33" s="22">
        <v>15</v>
      </c>
      <c r="C33" s="24" t="s">
        <v>4</v>
      </c>
      <c r="D33" s="24"/>
      <c r="E33" s="77">
        <v>8116</v>
      </c>
      <c r="F33" s="77">
        <v>0</v>
      </c>
      <c r="G33" s="77">
        <v>19</v>
      </c>
      <c r="H33" s="77">
        <f>ROUND($H$12*'Riders and Gas Cost Revenue'!E32,0)</f>
        <v>-3178</v>
      </c>
      <c r="I33" s="77">
        <f t="shared" si="13"/>
        <v>4957</v>
      </c>
      <c r="J33" s="84"/>
      <c r="K33" s="399">
        <f>K27</f>
        <v>8.2643036023887492E-2</v>
      </c>
      <c r="L33" s="79">
        <f>I33*K33</f>
        <v>409.66152957041032</v>
      </c>
      <c r="M33" s="151">
        <f t="shared" si="11"/>
        <v>5366.6615295704105</v>
      </c>
      <c r="N33" s="79"/>
      <c r="O33" s="150">
        <f>-H33</f>
        <v>3178</v>
      </c>
      <c r="P33" s="77">
        <f>ROUND($P$12*'Riders and Gas Cost Revenue'!E32,0)</f>
        <v>114</v>
      </c>
      <c r="Q33" s="151">
        <f t="shared" si="12"/>
        <v>8658.6615295704105</v>
      </c>
    </row>
    <row r="34" spans="1:17" ht="12.75">
      <c r="A34" s="22">
        <v>16</v>
      </c>
      <c r="B34" s="24" t="s">
        <v>20</v>
      </c>
      <c r="C34" s="345"/>
      <c r="E34" s="147">
        <f>SUM(E31:E33)</f>
        <v>26861</v>
      </c>
      <c r="F34" s="147">
        <f>SUM(F31:F33)</f>
        <v>0</v>
      </c>
      <c r="G34" s="147">
        <f>SUM(G31:G33)</f>
        <v>19</v>
      </c>
      <c r="H34" s="147">
        <f>SUM(H31:H33)</f>
        <v>-3178</v>
      </c>
      <c r="I34" s="147">
        <f>SUM(I31:I33)</f>
        <v>23702</v>
      </c>
      <c r="L34" s="147">
        <f t="shared" ref="L34:Q34" si="14">SUM(L31:L33)</f>
        <v>1915.1397400121882</v>
      </c>
      <c r="M34" s="147">
        <f t="shared" si="14"/>
        <v>25617.13974001219</v>
      </c>
      <c r="N34" s="147">
        <f t="shared" si="14"/>
        <v>0</v>
      </c>
      <c r="O34" s="147">
        <f t="shared" si="14"/>
        <v>3178</v>
      </c>
      <c r="P34" s="147">
        <f t="shared" si="14"/>
        <v>114</v>
      </c>
      <c r="Q34" s="147">
        <f t="shared" si="14"/>
        <v>28909.13974001219</v>
      </c>
    </row>
    <row r="35" spans="1:17">
      <c r="C35" s="24"/>
      <c r="D35" s="24"/>
      <c r="E35" s="78"/>
      <c r="F35" s="78"/>
      <c r="G35" s="78"/>
      <c r="H35" s="78"/>
      <c r="I35" s="78"/>
      <c r="L35" s="78"/>
      <c r="M35" s="78"/>
      <c r="N35" s="78"/>
      <c r="O35" s="78"/>
      <c r="P35" s="78"/>
      <c r="Q35" s="78"/>
    </row>
    <row r="36" spans="1:17">
      <c r="A36" s="22">
        <v>17</v>
      </c>
      <c r="B36" s="3" t="s">
        <v>21</v>
      </c>
      <c r="C36" s="24"/>
      <c r="D36" s="24"/>
      <c r="E36" s="77">
        <v>6270</v>
      </c>
      <c r="F36" s="77">
        <v>0</v>
      </c>
      <c r="G36" s="77">
        <v>3</v>
      </c>
      <c r="H36" s="77">
        <f>ROUND($H$12*'Riders and Gas Cost Revenue'!E35,0)</f>
        <v>-402</v>
      </c>
      <c r="I36" s="77">
        <f>SUM(E36:H36)</f>
        <v>5871</v>
      </c>
      <c r="J36" s="84"/>
      <c r="K36" s="409">
        <f>K20</f>
        <v>6.3926940639269403E-2</v>
      </c>
      <c r="L36" s="78">
        <f>I36*K36</f>
        <v>375.31506849315065</v>
      </c>
      <c r="M36" s="151">
        <f t="shared" ref="M36:M38" si="15">I36+L36</f>
        <v>6246.3150684931506</v>
      </c>
      <c r="N36" s="78"/>
      <c r="O36" s="150">
        <f>-H36</f>
        <v>402</v>
      </c>
      <c r="P36" s="77">
        <f>ROUND($P$12*'Riders and Gas Cost Revenue'!E35,0)</f>
        <v>14</v>
      </c>
      <c r="Q36" s="151">
        <f t="shared" ref="Q36:Q38" si="16">SUM(M36:P36)</f>
        <v>6662.3150684931506</v>
      </c>
    </row>
    <row r="37" spans="1:17">
      <c r="A37" s="22">
        <v>18</v>
      </c>
      <c r="B37" s="3" t="s">
        <v>22</v>
      </c>
      <c r="C37" s="24"/>
      <c r="D37" s="24"/>
      <c r="E37" s="77">
        <v>983</v>
      </c>
      <c r="F37" s="77">
        <v>0</v>
      </c>
      <c r="G37" s="77">
        <v>0</v>
      </c>
      <c r="H37" s="78"/>
      <c r="I37" s="77">
        <f t="shared" ref="I37:I38" si="17">SUM(E37:H37)</f>
        <v>983</v>
      </c>
      <c r="J37" s="84"/>
      <c r="K37" s="409">
        <f>K20</f>
        <v>6.3926940639269403E-2</v>
      </c>
      <c r="L37" s="78">
        <f>I37*K37</f>
        <v>62.840182648401822</v>
      </c>
      <c r="M37" s="151">
        <f t="shared" si="15"/>
        <v>1045.8401826484019</v>
      </c>
      <c r="N37" s="78"/>
      <c r="O37" s="78"/>
      <c r="P37" s="78"/>
      <c r="Q37" s="151">
        <f t="shared" si="16"/>
        <v>1045.8401826484019</v>
      </c>
    </row>
    <row r="38" spans="1:17">
      <c r="A38" s="22">
        <v>19</v>
      </c>
      <c r="B38" s="3" t="s">
        <v>23</v>
      </c>
      <c r="C38" s="24"/>
      <c r="D38" s="24"/>
      <c r="E38" s="77">
        <v>3</v>
      </c>
      <c r="F38" s="77">
        <v>0</v>
      </c>
      <c r="G38" s="77">
        <v>0</v>
      </c>
      <c r="H38" s="78"/>
      <c r="I38" s="77">
        <f t="shared" si="17"/>
        <v>3</v>
      </c>
      <c r="J38" s="84"/>
      <c r="K38" s="409">
        <f>K20</f>
        <v>6.3926940639269403E-2</v>
      </c>
      <c r="L38" s="78">
        <f>I38*K38</f>
        <v>0.19178082191780821</v>
      </c>
      <c r="M38" s="151">
        <f t="shared" si="15"/>
        <v>3.1917808219178081</v>
      </c>
      <c r="N38" s="78"/>
      <c r="O38" s="78"/>
      <c r="P38" s="78"/>
      <c r="Q38" s="151">
        <f t="shared" si="16"/>
        <v>3.1917808219178081</v>
      </c>
    </row>
    <row r="39" spans="1:17">
      <c r="C39" s="24"/>
      <c r="D39" s="24"/>
      <c r="E39" s="78"/>
      <c r="F39" s="78"/>
      <c r="G39" s="78"/>
      <c r="H39" s="78"/>
      <c r="I39" s="78"/>
      <c r="L39" s="78"/>
      <c r="M39" s="78"/>
      <c r="N39" s="78"/>
      <c r="O39" s="78"/>
      <c r="P39" s="78"/>
      <c r="Q39" s="78"/>
    </row>
    <row r="40" spans="1:17">
      <c r="B40" s="3" t="s">
        <v>24</v>
      </c>
      <c r="C40" s="24"/>
      <c r="D40" s="24"/>
      <c r="E40" s="78"/>
      <c r="F40" s="78"/>
      <c r="G40" s="78"/>
      <c r="H40" s="78"/>
      <c r="I40" s="78"/>
      <c r="L40" s="78"/>
      <c r="M40" s="78"/>
      <c r="N40" s="78"/>
      <c r="O40" s="78"/>
      <c r="P40" s="78"/>
      <c r="Q40" s="78"/>
    </row>
    <row r="41" spans="1:17">
      <c r="A41" s="22">
        <v>20</v>
      </c>
      <c r="C41" s="24" t="s">
        <v>17</v>
      </c>
      <c r="D41" s="24"/>
      <c r="E41" s="77">
        <v>11862</v>
      </c>
      <c r="F41" s="77">
        <v>0</v>
      </c>
      <c r="G41" s="77">
        <v>1</v>
      </c>
      <c r="H41" s="77">
        <f>ROUND($H$12*'Riders and Gas Cost Revenue'!E40,0)</f>
        <v>-166</v>
      </c>
      <c r="I41" s="77">
        <f t="shared" ref="I41:I44" si="18">SUM(E41:H41)</f>
        <v>11697</v>
      </c>
      <c r="J41" s="84"/>
      <c r="K41" s="409">
        <f>K20</f>
        <v>6.3926940639269403E-2</v>
      </c>
      <c r="L41" s="78">
        <f>I41*K41</f>
        <v>747.7534246575342</v>
      </c>
      <c r="M41" s="151">
        <f t="shared" ref="M41:M44" si="19">I41+L41</f>
        <v>12444.753424657534</v>
      </c>
      <c r="N41" s="78"/>
      <c r="O41" s="150">
        <f>-H41</f>
        <v>166</v>
      </c>
      <c r="P41" s="77">
        <f>ROUND($P$12*'Riders and Gas Cost Revenue'!E40,0)</f>
        <v>6</v>
      </c>
      <c r="Q41" s="151">
        <f t="shared" ref="Q41:Q44" si="20">SUM(M41:P41)</f>
        <v>12616.753424657534</v>
      </c>
    </row>
    <row r="42" spans="1:17">
      <c r="A42" s="22">
        <v>21</v>
      </c>
      <c r="C42" s="24" t="s">
        <v>47</v>
      </c>
      <c r="D42" s="24"/>
      <c r="E42" s="77">
        <v>3868</v>
      </c>
      <c r="F42" s="77">
        <v>0</v>
      </c>
      <c r="G42" s="77">
        <v>0</v>
      </c>
      <c r="H42" s="78"/>
      <c r="I42" s="77">
        <f t="shared" si="18"/>
        <v>3868</v>
      </c>
      <c r="J42" s="84"/>
      <c r="K42" s="402">
        <f>K26</f>
        <v>0.10268627289903887</v>
      </c>
      <c r="L42" s="78">
        <f>I42*K42</f>
        <v>397.19050357348232</v>
      </c>
      <c r="M42" s="151">
        <f t="shared" si="19"/>
        <v>4265.1905035734826</v>
      </c>
      <c r="N42" s="78"/>
      <c r="O42" s="78"/>
      <c r="P42" s="78"/>
      <c r="Q42" s="151">
        <f t="shared" si="20"/>
        <v>4265.1905035734826</v>
      </c>
    </row>
    <row r="43" spans="1:17">
      <c r="A43" s="22">
        <v>22</v>
      </c>
      <c r="C43" s="1" t="s">
        <v>52</v>
      </c>
      <c r="D43" s="24"/>
      <c r="E43" s="77">
        <v>91</v>
      </c>
      <c r="F43" s="77">
        <v>0</v>
      </c>
      <c r="G43" s="77">
        <v>0</v>
      </c>
      <c r="H43" s="78"/>
      <c r="I43" s="77">
        <f t="shared" si="18"/>
        <v>91</v>
      </c>
      <c r="J43" s="78"/>
      <c r="K43" s="140">
        <v>0</v>
      </c>
      <c r="L43" s="78">
        <f>I43*K43</f>
        <v>0</v>
      </c>
      <c r="M43" s="151">
        <f t="shared" si="19"/>
        <v>91</v>
      </c>
      <c r="N43" s="78"/>
      <c r="O43" s="78"/>
      <c r="P43" s="78"/>
      <c r="Q43" s="151">
        <f t="shared" si="20"/>
        <v>91</v>
      </c>
    </row>
    <row r="44" spans="1:17">
      <c r="A44" s="22">
        <v>23</v>
      </c>
      <c r="C44" s="24" t="s">
        <v>4</v>
      </c>
      <c r="D44" s="24"/>
      <c r="E44" s="77">
        <v>0</v>
      </c>
      <c r="F44" s="77">
        <v>0</v>
      </c>
      <c r="G44" s="77">
        <v>0</v>
      </c>
      <c r="H44" s="79"/>
      <c r="I44" s="77">
        <f t="shared" si="18"/>
        <v>0</v>
      </c>
      <c r="J44" s="84"/>
      <c r="K44" s="399">
        <f>K27</f>
        <v>8.2643036023887492E-2</v>
      </c>
      <c r="L44" s="79">
        <f>I44*K44</f>
        <v>0</v>
      </c>
      <c r="M44" s="151">
        <f t="shared" si="19"/>
        <v>0</v>
      </c>
      <c r="N44" s="79"/>
      <c r="O44" s="79"/>
      <c r="P44" s="79"/>
      <c r="Q44" s="151">
        <f t="shared" si="20"/>
        <v>0</v>
      </c>
    </row>
    <row r="45" spans="1:17">
      <c r="A45" s="22">
        <v>24</v>
      </c>
      <c r="B45" s="24" t="s">
        <v>25</v>
      </c>
      <c r="C45" s="24"/>
      <c r="E45" s="147">
        <f>SUM(E41:E44)</f>
        <v>15821</v>
      </c>
      <c r="F45" s="147">
        <f>SUM(F41:F44)</f>
        <v>0</v>
      </c>
      <c r="G45" s="147">
        <f>SUM(G41:G44)</f>
        <v>1</v>
      </c>
      <c r="H45" s="147">
        <f>SUM(H41:H44)</f>
        <v>-166</v>
      </c>
      <c r="I45" s="147">
        <f t="shared" ref="I45:L45" si="21">SUM(I41:I44)</f>
        <v>15656</v>
      </c>
      <c r="J45" s="147">
        <f t="shared" si="21"/>
        <v>0</v>
      </c>
      <c r="L45" s="147">
        <f t="shared" si="21"/>
        <v>1144.9439282310166</v>
      </c>
      <c r="M45" s="147">
        <f t="shared" ref="M45" si="22">SUM(M41:M44)</f>
        <v>16800.943928231016</v>
      </c>
      <c r="N45" s="147">
        <f t="shared" ref="N45" si="23">SUM(N41:N44)</f>
        <v>0</v>
      </c>
      <c r="O45" s="147">
        <f t="shared" ref="O45" si="24">SUM(O41:O44)</f>
        <v>166</v>
      </c>
      <c r="P45" s="147">
        <f t="shared" ref="P45" si="25">SUM(P41:P44)</f>
        <v>6</v>
      </c>
      <c r="Q45" s="147">
        <f t="shared" ref="Q45" si="26">SUM(Q41:Q44)</f>
        <v>16972.943928231016</v>
      </c>
    </row>
    <row r="46" spans="1:17">
      <c r="A46" s="22">
        <v>25</v>
      </c>
      <c r="B46" s="3" t="s">
        <v>26</v>
      </c>
      <c r="C46" s="24"/>
      <c r="D46" s="24"/>
      <c r="E46" s="147">
        <f>E22+E28+E34+E36+E37+E38+E45</f>
        <v>128988</v>
      </c>
      <c r="F46" s="147">
        <f>F22+F28+F34+F36+F37+F38+F45</f>
        <v>0</v>
      </c>
      <c r="G46" s="147">
        <f>G22+G28+G34+G36+G37+G38+G45</f>
        <v>2377</v>
      </c>
      <c r="H46" s="147">
        <f>H22+H28+H34+H36+H37+H38+H45</f>
        <v>-82905</v>
      </c>
      <c r="I46" s="147">
        <f t="shared" ref="I46:L46" si="27">I22+I28+I34+I36+I37+I38+I45</f>
        <v>48460</v>
      </c>
      <c r="J46" s="147">
        <f t="shared" si="27"/>
        <v>0</v>
      </c>
      <c r="L46" s="147">
        <f t="shared" si="27"/>
        <v>3659.6323712713165</v>
      </c>
      <c r="M46" s="147">
        <f t="shared" ref="M46" si="28">M22+M28+M34+M36+M37+M38+M45</f>
        <v>52119.63237127132</v>
      </c>
      <c r="N46" s="147">
        <f t="shared" ref="N46" si="29">N22+N28+N34+N36+N37+N38+N45</f>
        <v>0</v>
      </c>
      <c r="O46" s="147">
        <f t="shared" ref="O46" si="30">O22+O28+O34+O36+O37+O38+O45</f>
        <v>82905</v>
      </c>
      <c r="P46" s="147">
        <f t="shared" ref="P46" si="31">P22+P28+P34+P36+P37+P38+P45</f>
        <v>1798.7200756406314</v>
      </c>
      <c r="Q46" s="147">
        <f t="shared" ref="Q46" si="32">Q22+Q28+Q34+Q36+Q37+Q38+Q45</f>
        <v>136823.35244691194</v>
      </c>
    </row>
    <row r="47" spans="1:17">
      <c r="C47" s="24"/>
      <c r="D47" s="24"/>
      <c r="E47" s="147"/>
      <c r="F47" s="147"/>
      <c r="G47" s="147"/>
      <c r="H47" s="145"/>
      <c r="I47" s="145"/>
      <c r="J47" s="145"/>
      <c r="L47" s="145"/>
      <c r="M47" s="145"/>
      <c r="N47" s="145"/>
      <c r="O47" s="145"/>
      <c r="P47" s="145"/>
      <c r="Q47" s="145"/>
    </row>
    <row r="48" spans="1:17">
      <c r="A48" s="22">
        <v>26</v>
      </c>
      <c r="B48" s="3" t="s">
        <v>27</v>
      </c>
      <c r="C48" s="24"/>
      <c r="D48" s="24"/>
      <c r="E48" s="77">
        <f>E15-E46</f>
        <v>19587</v>
      </c>
      <c r="F48" s="77">
        <f>F15-F46</f>
        <v>0</v>
      </c>
      <c r="G48" s="77">
        <f>G15-G46</f>
        <v>-1878</v>
      </c>
      <c r="H48" s="77">
        <f>H15-H46</f>
        <v>0</v>
      </c>
      <c r="I48" s="77">
        <f t="shared" ref="I48:J48" si="33">I15-I46</f>
        <v>17709</v>
      </c>
      <c r="J48" s="77">
        <f t="shared" si="33"/>
        <v>0</v>
      </c>
      <c r="L48" s="77">
        <f t="shared" ref="L48:Q48" si="34">L15-L46</f>
        <v>-3659.6323712713165</v>
      </c>
      <c r="M48" s="77">
        <f t="shared" si="34"/>
        <v>14049.36762872868</v>
      </c>
      <c r="N48" s="77">
        <f t="shared" si="34"/>
        <v>0</v>
      </c>
      <c r="O48" s="77">
        <f t="shared" si="34"/>
        <v>0</v>
      </c>
      <c r="P48" s="77">
        <f t="shared" si="34"/>
        <v>1490.5234584774489</v>
      </c>
      <c r="Q48" s="77">
        <f t="shared" si="34"/>
        <v>15539.891087206139</v>
      </c>
    </row>
    <row r="49" spans="1:19">
      <c r="C49" s="24"/>
      <c r="D49" s="24"/>
      <c r="E49" s="78"/>
      <c r="F49" s="78"/>
      <c r="G49" s="78"/>
      <c r="H49" s="78"/>
      <c r="I49" s="78"/>
      <c r="L49" s="78"/>
      <c r="M49" s="78"/>
      <c r="N49" s="78"/>
      <c r="O49" s="78"/>
      <c r="P49" s="78"/>
      <c r="Q49" s="78"/>
    </row>
    <row r="50" spans="1:19" ht="21" thickBot="1">
      <c r="A50" s="458" t="str">
        <f>A2</f>
        <v>AVISTA'S 2015 NATURAL GAS ATTRITION REVENUE REQUIREMENT</v>
      </c>
      <c r="B50" s="458"/>
      <c r="C50" s="458"/>
      <c r="D50" s="458"/>
      <c r="E50" s="458"/>
      <c r="F50" s="458"/>
      <c r="G50" s="458"/>
      <c r="H50" s="458"/>
      <c r="I50" s="458"/>
      <c r="J50" s="458"/>
      <c r="K50" s="458"/>
      <c r="L50" s="458"/>
      <c r="M50" s="458"/>
      <c r="N50" s="458"/>
      <c r="O50" s="458"/>
      <c r="P50" s="458"/>
      <c r="Q50" s="458"/>
      <c r="R50" s="250"/>
      <c r="S50" s="250"/>
    </row>
    <row r="51" spans="1:19" ht="6.75" customHeight="1">
      <c r="A51" s="2"/>
    </row>
    <row r="52" spans="1:19" ht="3" customHeight="1">
      <c r="A52" s="2"/>
      <c r="B52" s="2"/>
      <c r="C52" s="2"/>
      <c r="D52" s="2"/>
    </row>
    <row r="53" spans="1:19">
      <c r="A53" s="2"/>
      <c r="B53" s="2"/>
      <c r="C53" s="2"/>
      <c r="D53" s="210" t="s">
        <v>226</v>
      </c>
      <c r="E53" s="452" t="s">
        <v>266</v>
      </c>
      <c r="F53" s="452"/>
      <c r="G53" s="452"/>
      <c r="H53" s="452"/>
      <c r="I53" s="452"/>
      <c r="K53" s="73"/>
      <c r="L53" s="453" t="s">
        <v>167</v>
      </c>
      <c r="M53" s="453"/>
      <c r="O53" s="453" t="s">
        <v>265</v>
      </c>
      <c r="P53" s="453"/>
      <c r="Q53" s="73"/>
    </row>
    <row r="54" spans="1:19" s="6" customFormat="1" ht="13.35" customHeight="1">
      <c r="A54" s="5"/>
      <c r="E54" s="474" t="str">
        <f>E6</f>
        <v>Dec 2013 Commission Basis Report Restated Totals</v>
      </c>
      <c r="F54" s="474" t="str">
        <f t="shared" ref="F54:I54" si="35">F6</f>
        <v>Proposed Working Capital AMA 12.2013</v>
      </c>
      <c r="G54" s="474" t="str">
        <f t="shared" si="35"/>
        <v>Incremental Revenue Normalization Adjustment</v>
      </c>
      <c r="H54" s="474" t="str">
        <f t="shared" si="35"/>
        <v>Exclude Normalized Gas Costs and Revenue</v>
      </c>
      <c r="I54" s="471" t="str">
        <f t="shared" si="35"/>
        <v>December 2013 Escalation Base</v>
      </c>
      <c r="K54" s="471" t="str">
        <f t="shared" ref="K54:M54" si="36">K6</f>
        <v>Escalation Factor</v>
      </c>
      <c r="L54" s="471" t="str">
        <f t="shared" si="36"/>
        <v>Escalation Amount</v>
      </c>
      <c r="M54" s="471" t="str">
        <f t="shared" si="36"/>
        <v>Trended 2015 Non-Energy Cost</v>
      </c>
      <c r="O54" s="471" t="str">
        <f t="shared" ref="O54:P54" si="37">O6</f>
        <v>(plus) 12.2013 Pro-Formed Gas Cost/Revenue</v>
      </c>
      <c r="P54" s="471" t="str">
        <f t="shared" si="37"/>
        <v>(plus) Revenue Growth</v>
      </c>
      <c r="Q54" s="471" t="str">
        <f t="shared" ref="Q54" si="38">Q6</f>
        <v>2015 Revenue and Cost</v>
      </c>
    </row>
    <row r="55" spans="1:19" s="6" customFormat="1">
      <c r="A55" s="25" t="s">
        <v>227</v>
      </c>
      <c r="B55" s="75"/>
      <c r="C55" s="75"/>
      <c r="D55" s="27"/>
      <c r="E55" s="460"/>
      <c r="F55" s="460"/>
      <c r="G55" s="460"/>
      <c r="H55" s="460"/>
      <c r="I55" s="472"/>
      <c r="J55" s="76"/>
      <c r="K55" s="472"/>
      <c r="L55" s="472"/>
      <c r="M55" s="472"/>
      <c r="N55" s="76"/>
      <c r="O55" s="472"/>
      <c r="P55" s="472"/>
      <c r="Q55" s="472"/>
    </row>
    <row r="56" spans="1:19" s="6" customFormat="1">
      <c r="A56" s="25" t="s">
        <v>0</v>
      </c>
      <c r="B56" s="75"/>
      <c r="C56" s="75"/>
      <c r="D56" s="27"/>
      <c r="E56" s="460"/>
      <c r="F56" s="460"/>
      <c r="G56" s="460"/>
      <c r="H56" s="460"/>
      <c r="I56" s="472"/>
      <c r="J56" s="76"/>
      <c r="K56" s="472"/>
      <c r="L56" s="472"/>
      <c r="M56" s="472"/>
      <c r="N56" s="76"/>
      <c r="O56" s="472"/>
      <c r="P56" s="472"/>
      <c r="Q56" s="472"/>
    </row>
    <row r="57" spans="1:19" s="6" customFormat="1">
      <c r="A57" s="91" t="s">
        <v>2</v>
      </c>
      <c r="B57" s="92"/>
      <c r="C57" s="92"/>
      <c r="D57" s="92" t="s">
        <v>3</v>
      </c>
      <c r="E57" s="461"/>
      <c r="F57" s="461"/>
      <c r="G57" s="461"/>
      <c r="H57" s="461"/>
      <c r="I57" s="473"/>
      <c r="J57" s="76"/>
      <c r="K57" s="473"/>
      <c r="L57" s="473"/>
      <c r="M57" s="473"/>
      <c r="N57" s="76"/>
      <c r="O57" s="473"/>
      <c r="P57" s="473"/>
      <c r="Q57" s="473"/>
    </row>
    <row r="58" spans="1:19" s="6" customFormat="1">
      <c r="A58" s="25"/>
      <c r="B58" s="75"/>
      <c r="C58" s="75"/>
      <c r="D58" s="75"/>
      <c r="E58" s="143" t="str">
        <f>E10</f>
        <v>[A]</v>
      </c>
      <c r="F58" s="143" t="str">
        <f t="shared" ref="F58:Q58" si="39">F10</f>
        <v>[B]</v>
      </c>
      <c r="G58" s="143" t="str">
        <f t="shared" si="39"/>
        <v>[C]</v>
      </c>
      <c r="H58" s="143" t="str">
        <f t="shared" si="39"/>
        <v>[D]</v>
      </c>
      <c r="I58" s="143" t="str">
        <f t="shared" si="39"/>
        <v>[E]</v>
      </c>
      <c r="J58" s="144"/>
      <c r="K58" s="143" t="str">
        <f t="shared" si="39"/>
        <v>[F]</v>
      </c>
      <c r="L58" s="143" t="str">
        <f t="shared" si="39"/>
        <v>[G]</v>
      </c>
      <c r="M58" s="143" t="str">
        <f t="shared" si="39"/>
        <v>[H]</v>
      </c>
      <c r="N58" s="144"/>
      <c r="O58" s="143" t="str">
        <f t="shared" si="39"/>
        <v>[I]</v>
      </c>
      <c r="P58" s="143" t="str">
        <f t="shared" si="39"/>
        <v>[J]</v>
      </c>
      <c r="Q58" s="143" t="str">
        <f t="shared" si="39"/>
        <v>[K]</v>
      </c>
    </row>
    <row r="59" spans="1:19">
      <c r="B59" s="3" t="s">
        <v>28</v>
      </c>
      <c r="C59" s="24"/>
      <c r="D59" s="24"/>
      <c r="E59" s="78"/>
      <c r="F59" s="78"/>
      <c r="G59" s="78"/>
      <c r="H59" s="78"/>
      <c r="I59" s="78"/>
      <c r="L59" s="78"/>
      <c r="M59" s="78"/>
      <c r="N59" s="78"/>
      <c r="O59" s="78"/>
      <c r="P59" s="78"/>
      <c r="Q59" s="78"/>
    </row>
    <row r="60" spans="1:19">
      <c r="A60" s="22">
        <v>27</v>
      </c>
      <c r="B60" s="24" t="s">
        <v>29</v>
      </c>
      <c r="D60" s="24"/>
      <c r="E60" s="77">
        <v>4253</v>
      </c>
      <c r="F60" s="77">
        <v>0</v>
      </c>
      <c r="G60" s="77">
        <v>-657</v>
      </c>
      <c r="H60" s="78"/>
      <c r="I60" s="77">
        <f t="shared" ref="I60:I63" si="40">SUM(E60:H60)</f>
        <v>3596</v>
      </c>
      <c r="L60" s="151">
        <f>0.35*L48</f>
        <v>-1280.8713299449607</v>
      </c>
      <c r="M60" s="151">
        <f t="shared" ref="M60:M63" si="41">I60+L60</f>
        <v>2315.128670055039</v>
      </c>
      <c r="N60" s="151"/>
      <c r="O60" s="151">
        <f>0.35*O48</f>
        <v>0</v>
      </c>
      <c r="P60" s="151">
        <f>0.35*P48</f>
        <v>521.68321046710707</v>
      </c>
      <c r="Q60" s="151">
        <f t="shared" ref="Q60:Q63" si="42">SUM(M60:P60)</f>
        <v>2836.8118805221461</v>
      </c>
    </row>
    <row r="61" spans="1:19">
      <c r="A61" s="22">
        <v>28</v>
      </c>
      <c r="B61" s="24" t="s">
        <v>46</v>
      </c>
      <c r="D61" s="24"/>
      <c r="E61" s="77">
        <v>-56</v>
      </c>
      <c r="F61" s="77">
        <f>F86*ROR!$F$38*-0.35</f>
        <v>-50.807575</v>
      </c>
      <c r="G61" s="77">
        <f>G86*ROR!$F$38*-0.35</f>
        <v>0</v>
      </c>
      <c r="H61" s="78"/>
      <c r="I61" s="77">
        <f t="shared" si="40"/>
        <v>-106.807575</v>
      </c>
      <c r="L61" s="151">
        <f>(ROR!F11*-0.35*L86)+(ROR!F11-ROR!F38)*I86*-0.35</f>
        <v>-276.31821086152684</v>
      </c>
      <c r="M61" s="151">
        <f t="shared" si="41"/>
        <v>-383.12578586152682</v>
      </c>
      <c r="N61" s="78"/>
      <c r="O61" s="78"/>
      <c r="P61" s="78"/>
      <c r="Q61" s="151">
        <f t="shared" si="42"/>
        <v>-383.12578586152682</v>
      </c>
    </row>
    <row r="62" spans="1:19">
      <c r="A62" s="22">
        <v>29</v>
      </c>
      <c r="B62" s="24" t="s">
        <v>30</v>
      </c>
      <c r="D62" s="24"/>
      <c r="E62" s="77">
        <v>1403</v>
      </c>
      <c r="F62" s="77">
        <v>0</v>
      </c>
      <c r="G62" s="77">
        <v>0</v>
      </c>
      <c r="H62" s="78"/>
      <c r="I62" s="77">
        <f t="shared" si="40"/>
        <v>1403</v>
      </c>
      <c r="L62" s="78"/>
      <c r="M62" s="151">
        <f t="shared" si="41"/>
        <v>1403</v>
      </c>
      <c r="N62" s="78"/>
      <c r="O62" s="78"/>
      <c r="P62" s="78"/>
      <c r="Q62" s="151">
        <f t="shared" si="42"/>
        <v>1403</v>
      </c>
    </row>
    <row r="63" spans="1:19">
      <c r="A63" s="22">
        <v>30</v>
      </c>
      <c r="B63" s="24" t="s">
        <v>31</v>
      </c>
      <c r="D63" s="24"/>
      <c r="E63" s="77">
        <v>-24</v>
      </c>
      <c r="F63" s="77">
        <v>0</v>
      </c>
      <c r="G63" s="77">
        <v>0</v>
      </c>
      <c r="H63" s="79"/>
      <c r="I63" s="77">
        <f t="shared" si="40"/>
        <v>-24</v>
      </c>
      <c r="L63" s="79"/>
      <c r="M63" s="151">
        <f t="shared" si="41"/>
        <v>-24</v>
      </c>
      <c r="N63" s="79"/>
      <c r="O63" s="79"/>
      <c r="P63" s="79"/>
      <c r="Q63" s="151">
        <f t="shared" si="42"/>
        <v>-24</v>
      </c>
    </row>
    <row r="64" spans="1:19">
      <c r="E64" s="145"/>
      <c r="F64" s="145"/>
      <c r="G64" s="145"/>
      <c r="H64" s="78"/>
      <c r="I64" s="145"/>
      <c r="L64" s="78"/>
      <c r="M64" s="145"/>
      <c r="N64" s="78"/>
      <c r="O64" s="78"/>
      <c r="P64" s="78"/>
      <c r="Q64" s="145"/>
    </row>
    <row r="65" spans="1:18" s="23" customFormat="1" ht="12.75" thickBot="1">
      <c r="A65" s="22">
        <v>31</v>
      </c>
      <c r="B65" s="23" t="s">
        <v>32</v>
      </c>
      <c r="E65" s="80">
        <f>E48-E60-E61-E62-E63</f>
        <v>14011</v>
      </c>
      <c r="F65" s="80">
        <f>F48-F60-F61-F62-F63</f>
        <v>50.807575</v>
      </c>
      <c r="G65" s="80">
        <f>G48-G60-G61-G62-G63</f>
        <v>-1221</v>
      </c>
      <c r="H65" s="80">
        <f>H48-H60-H61-H62-H63</f>
        <v>0</v>
      </c>
      <c r="I65" s="80">
        <f>I48-I60-I61-I62-I63</f>
        <v>12840.807575000001</v>
      </c>
      <c r="L65" s="152">
        <f t="shared" ref="L65:Q65" si="43">L48-L60-L61-L62-L63</f>
        <v>-2102.4428304648286</v>
      </c>
      <c r="M65" s="152">
        <f t="shared" si="43"/>
        <v>10738.364744535167</v>
      </c>
      <c r="N65" s="152">
        <f t="shared" si="43"/>
        <v>0</v>
      </c>
      <c r="O65" s="152">
        <f t="shared" si="43"/>
        <v>0</v>
      </c>
      <c r="P65" s="152">
        <f t="shared" si="43"/>
        <v>968.84024801034184</v>
      </c>
      <c r="Q65" s="413">
        <f t="shared" si="43"/>
        <v>11707.204992545519</v>
      </c>
      <c r="R65" s="77"/>
    </row>
    <row r="66" spans="1:18" ht="12.75" thickTop="1">
      <c r="E66" s="78"/>
      <c r="F66" s="78"/>
      <c r="G66" s="78"/>
      <c r="H66" s="78"/>
      <c r="I66" s="78"/>
      <c r="L66" s="78"/>
      <c r="M66" s="78"/>
      <c r="N66" s="78"/>
      <c r="O66" s="78"/>
      <c r="P66" s="78"/>
      <c r="Q66" s="78"/>
    </row>
    <row r="67" spans="1:18">
      <c r="B67" s="3" t="s">
        <v>40</v>
      </c>
      <c r="E67" s="78"/>
      <c r="F67" s="78"/>
      <c r="G67" s="78"/>
      <c r="H67" s="78"/>
      <c r="I67" s="78"/>
      <c r="L67" s="78"/>
      <c r="M67" s="78"/>
      <c r="N67" s="78"/>
      <c r="O67" s="78"/>
      <c r="P67" s="78"/>
      <c r="Q67" s="78"/>
    </row>
    <row r="68" spans="1:18" ht="12.75" thickBot="1">
      <c r="B68" s="3" t="s">
        <v>41</v>
      </c>
      <c r="E68" s="78"/>
      <c r="F68" s="78"/>
      <c r="G68" s="78"/>
      <c r="H68" s="78"/>
      <c r="I68" s="78"/>
      <c r="L68" s="78"/>
      <c r="M68" s="78"/>
      <c r="N68" s="78"/>
      <c r="O68" s="78"/>
      <c r="P68" s="78"/>
      <c r="Q68" s="78"/>
    </row>
    <row r="69" spans="1:18" ht="12.75" thickBot="1">
      <c r="A69" s="22">
        <v>32</v>
      </c>
      <c r="B69" s="24"/>
      <c r="C69" s="24" t="s">
        <v>16</v>
      </c>
      <c r="D69" s="24"/>
      <c r="E69" s="77">
        <v>24711</v>
      </c>
      <c r="F69" s="77">
        <v>0</v>
      </c>
      <c r="G69" s="77">
        <v>0</v>
      </c>
      <c r="H69" s="77"/>
      <c r="I69" s="77">
        <f t="shared" ref="I69:I71" si="44">SUM(E69:H69)</f>
        <v>24711</v>
      </c>
      <c r="J69" s="84"/>
      <c r="K69" s="405">
        <f>'Cost Trends'!G200</f>
        <v>8.7199864814350159E-2</v>
      </c>
      <c r="L69" s="77">
        <f>I69*K69</f>
        <v>2154.7958594274069</v>
      </c>
      <c r="M69" s="151">
        <f t="shared" ref="M69:M71" si="45">I69+L69</f>
        <v>26865.795859427406</v>
      </c>
      <c r="N69" s="77"/>
      <c r="O69" s="77"/>
      <c r="P69" s="77"/>
      <c r="Q69" s="77">
        <f>SUM(M69:P69)</f>
        <v>26865.795859427406</v>
      </c>
    </row>
    <row r="70" spans="1:18">
      <c r="A70" s="22">
        <v>33</v>
      </c>
      <c r="B70" s="24"/>
      <c r="C70" s="24" t="s">
        <v>33</v>
      </c>
      <c r="D70" s="24"/>
      <c r="E70" s="77">
        <v>313469</v>
      </c>
      <c r="F70" s="77">
        <v>0</v>
      </c>
      <c r="G70" s="77"/>
      <c r="H70" s="78"/>
      <c r="I70" s="77">
        <f t="shared" si="44"/>
        <v>313469</v>
      </c>
      <c r="J70" s="84"/>
      <c r="K70" s="406">
        <f>$K$69</f>
        <v>8.7199864814350159E-2</v>
      </c>
      <c r="L70" s="78">
        <f>I70*K70</f>
        <v>27334.454423489529</v>
      </c>
      <c r="M70" s="151">
        <f t="shared" si="45"/>
        <v>340803.45442348951</v>
      </c>
      <c r="N70" s="78"/>
      <c r="O70" s="78"/>
      <c r="P70" s="78"/>
      <c r="Q70" s="78">
        <f>SUM(M70:P70)</f>
        <v>340803.45442348951</v>
      </c>
    </row>
    <row r="71" spans="1:18">
      <c r="A71" s="22">
        <v>34</v>
      </c>
      <c r="B71" s="24"/>
      <c r="C71" s="24" t="s">
        <v>34</v>
      </c>
      <c r="D71" s="24"/>
      <c r="E71" s="77">
        <v>52223</v>
      </c>
      <c r="F71" s="77">
        <v>0</v>
      </c>
      <c r="G71" s="77">
        <v>0</v>
      </c>
      <c r="H71" s="79"/>
      <c r="I71" s="77">
        <f t="shared" si="44"/>
        <v>52223</v>
      </c>
      <c r="J71" s="84"/>
      <c r="K71" s="406">
        <f>$K$69</f>
        <v>8.7199864814350159E-2</v>
      </c>
      <c r="L71" s="79">
        <f>I71*K71</f>
        <v>4553.8385401998084</v>
      </c>
      <c r="M71" s="151">
        <f t="shared" si="45"/>
        <v>56776.838540199809</v>
      </c>
      <c r="N71" s="79"/>
      <c r="O71" s="79"/>
      <c r="P71" s="79"/>
      <c r="Q71" s="78">
        <f>SUM(M71:P71)</f>
        <v>56776.838540199809</v>
      </c>
    </row>
    <row r="72" spans="1:18">
      <c r="A72" s="22">
        <v>35</v>
      </c>
      <c r="B72" s="24" t="s">
        <v>35</v>
      </c>
      <c r="C72" s="24"/>
      <c r="E72" s="147">
        <f>SUM(E69:E71)</f>
        <v>390403</v>
      </c>
      <c r="F72" s="147">
        <f>SUM(F69:F71)</f>
        <v>0</v>
      </c>
      <c r="G72" s="147">
        <f>SUM(G69:G71)</f>
        <v>0</v>
      </c>
      <c r="H72" s="147">
        <f t="shared" ref="H72:J72" si="46">SUM(H69:H71)</f>
        <v>0</v>
      </c>
      <c r="I72" s="147">
        <f t="shared" si="46"/>
        <v>390403</v>
      </c>
      <c r="J72" s="147">
        <f t="shared" si="46"/>
        <v>0</v>
      </c>
      <c r="L72" s="78">
        <f>SUM(L69:L71)</f>
        <v>34043.088823116741</v>
      </c>
      <c r="M72" s="145">
        <f>SUM(M69:M71)</f>
        <v>424446.08882311673</v>
      </c>
      <c r="N72" s="78"/>
      <c r="O72" s="78"/>
      <c r="P72" s="78"/>
      <c r="Q72" s="145">
        <f>SUM(Q69:Q71)</f>
        <v>424446.08882311673</v>
      </c>
    </row>
    <row r="73" spans="1:18">
      <c r="B73" s="24"/>
      <c r="C73" s="24"/>
      <c r="E73" s="78"/>
      <c r="F73" s="78"/>
      <c r="G73" s="78"/>
      <c r="H73" s="78"/>
      <c r="I73" s="78"/>
      <c r="L73" s="78"/>
      <c r="M73" s="78"/>
      <c r="N73" s="78"/>
      <c r="O73" s="78"/>
      <c r="P73" s="78"/>
      <c r="Q73" s="78"/>
    </row>
    <row r="74" spans="1:18">
      <c r="B74" s="24" t="s">
        <v>49</v>
      </c>
      <c r="C74" s="24"/>
      <c r="D74" s="24"/>
      <c r="E74" s="78"/>
      <c r="F74" s="78"/>
      <c r="G74" s="78"/>
      <c r="H74" s="78"/>
      <c r="I74" s="78"/>
      <c r="L74" s="78"/>
      <c r="M74" s="78"/>
      <c r="N74" s="78"/>
      <c r="O74" s="78"/>
      <c r="P74" s="78"/>
      <c r="Q74" s="78"/>
    </row>
    <row r="75" spans="1:18">
      <c r="A75" s="22">
        <v>36</v>
      </c>
      <c r="B75" s="24"/>
      <c r="C75" s="24" t="s">
        <v>16</v>
      </c>
      <c r="D75" s="24"/>
      <c r="E75" s="77">
        <v>-9088</v>
      </c>
      <c r="F75" s="77">
        <v>0</v>
      </c>
      <c r="G75" s="77">
        <v>0</v>
      </c>
      <c r="H75" s="78"/>
      <c r="I75" s="77">
        <f t="shared" ref="I75:I77" si="47">SUM(E75:H75)</f>
        <v>-9088</v>
      </c>
      <c r="J75" s="84"/>
      <c r="K75" s="406">
        <f t="shared" ref="K75:K77" si="48">$K$69</f>
        <v>8.7199864814350159E-2</v>
      </c>
      <c r="L75" s="78">
        <f>I75*K75</f>
        <v>-792.47237143281427</v>
      </c>
      <c r="M75" s="151">
        <f t="shared" ref="M75:M77" si="49">I75+L75</f>
        <v>-9880.4723714328138</v>
      </c>
      <c r="N75" s="78"/>
      <c r="O75" s="78"/>
      <c r="P75" s="78"/>
      <c r="Q75" s="78">
        <f t="shared" ref="Q75:Q77" si="50">SUM(M75:P75)</f>
        <v>-9880.4723714328138</v>
      </c>
    </row>
    <row r="76" spans="1:18">
      <c r="A76" s="22">
        <v>37</v>
      </c>
      <c r="B76" s="24"/>
      <c r="C76" s="24" t="s">
        <v>33</v>
      </c>
      <c r="D76" s="24"/>
      <c r="E76" s="77">
        <v>-108662</v>
      </c>
      <c r="F76" s="77">
        <v>0</v>
      </c>
      <c r="G76" s="77"/>
      <c r="H76" s="78"/>
      <c r="I76" s="77">
        <f t="shared" si="47"/>
        <v>-108662</v>
      </c>
      <c r="J76" s="84"/>
      <c r="K76" s="406">
        <f t="shared" si="48"/>
        <v>8.7199864814350159E-2</v>
      </c>
      <c r="L76" s="78">
        <f>I76*K76</f>
        <v>-9475.3117104569174</v>
      </c>
      <c r="M76" s="151">
        <f t="shared" si="49"/>
        <v>-118137.31171045691</v>
      </c>
      <c r="N76" s="78"/>
      <c r="O76" s="78"/>
      <c r="P76" s="78"/>
      <c r="Q76" s="78">
        <f t="shared" si="50"/>
        <v>-118137.31171045691</v>
      </c>
    </row>
    <row r="77" spans="1:18">
      <c r="A77" s="22">
        <v>38</v>
      </c>
      <c r="B77" s="24"/>
      <c r="C77" s="24" t="s">
        <v>34</v>
      </c>
      <c r="D77" s="24"/>
      <c r="E77" s="77">
        <v>-14724</v>
      </c>
      <c r="F77" s="77">
        <v>0</v>
      </c>
      <c r="G77" s="77">
        <v>0</v>
      </c>
      <c r="H77" s="78"/>
      <c r="I77" s="77">
        <f t="shared" si="47"/>
        <v>-14724</v>
      </c>
      <c r="J77" s="84"/>
      <c r="K77" s="406">
        <f t="shared" si="48"/>
        <v>8.7199864814350159E-2</v>
      </c>
      <c r="L77" s="78">
        <f>I77*K77</f>
        <v>-1283.9308095264917</v>
      </c>
      <c r="M77" s="151">
        <f t="shared" si="49"/>
        <v>-16007.930809526491</v>
      </c>
      <c r="N77" s="78"/>
      <c r="O77" s="78"/>
      <c r="P77" s="78"/>
      <c r="Q77" s="78">
        <f t="shared" si="50"/>
        <v>-16007.930809526491</v>
      </c>
    </row>
    <row r="78" spans="1:18">
      <c r="A78" s="22">
        <v>39</v>
      </c>
      <c r="B78" s="24" t="s">
        <v>53</v>
      </c>
      <c r="C78" s="24"/>
      <c r="E78" s="146">
        <f>SUM(E75:E77)</f>
        <v>-132474</v>
      </c>
      <c r="F78" s="146">
        <f>SUM(F75:F77)</f>
        <v>0</v>
      </c>
      <c r="G78" s="146">
        <f>SUM(G75:G77)</f>
        <v>0</v>
      </c>
      <c r="H78" s="146">
        <f t="shared" ref="H78:I78" si="51">SUM(H75:H77)</f>
        <v>0</v>
      </c>
      <c r="I78" s="146">
        <f t="shared" si="51"/>
        <v>-132474</v>
      </c>
      <c r="L78" s="81">
        <f>SUM(L75:L77)</f>
        <v>-11551.714891416223</v>
      </c>
      <c r="M78" s="81">
        <f t="shared" ref="M78:N78" si="52">SUM(M75:M77)</f>
        <v>-144025.71489141622</v>
      </c>
      <c r="N78" s="81">
        <f t="shared" si="52"/>
        <v>0</v>
      </c>
      <c r="O78" s="81"/>
      <c r="P78" s="81"/>
      <c r="Q78" s="81">
        <f>SUM(Q75:Q77)</f>
        <v>-144025.71489141622</v>
      </c>
    </row>
    <row r="79" spans="1:18">
      <c r="A79" s="22">
        <v>40</v>
      </c>
      <c r="B79" s="24" t="s">
        <v>44</v>
      </c>
      <c r="C79" s="24"/>
      <c r="D79" s="24"/>
      <c r="E79" s="77">
        <f>E72+E78</f>
        <v>257929</v>
      </c>
      <c r="F79" s="77">
        <f>F72+F78</f>
        <v>0</v>
      </c>
      <c r="G79" s="77">
        <f>G72+G78</f>
        <v>0</v>
      </c>
      <c r="H79" s="77">
        <f t="shared" ref="H79:I79" si="53">H72+H78</f>
        <v>0</v>
      </c>
      <c r="I79" s="77">
        <f t="shared" si="53"/>
        <v>257929</v>
      </c>
      <c r="L79" s="77">
        <f t="shared" ref="L79" si="54">L72+L78</f>
        <v>22491.373931700517</v>
      </c>
      <c r="M79" s="77">
        <f t="shared" ref="M79" si="55">M72+M78</f>
        <v>280420.37393170048</v>
      </c>
      <c r="N79" s="82">
        <f t="shared" ref="N79" si="56">N72-N78</f>
        <v>0</v>
      </c>
      <c r="O79" s="82"/>
      <c r="P79" s="82"/>
      <c r="Q79" s="82">
        <f>Q72+Q78</f>
        <v>280420.37393170048</v>
      </c>
    </row>
    <row r="80" spans="1:18" s="27" customFormat="1">
      <c r="A80" s="25">
        <v>41</v>
      </c>
      <c r="B80" s="26" t="s">
        <v>42</v>
      </c>
      <c r="C80" s="26"/>
      <c r="D80" s="26"/>
      <c r="E80" s="77">
        <v>-50170</v>
      </c>
      <c r="F80" s="77">
        <v>0</v>
      </c>
      <c r="G80" s="77"/>
      <c r="H80" s="79"/>
      <c r="I80" s="77">
        <f t="shared" ref="I80" si="57">SUM(E80:H80)</f>
        <v>-50170</v>
      </c>
      <c r="J80" s="84"/>
      <c r="K80" s="406">
        <f>$K$69</f>
        <v>8.7199864814350159E-2</v>
      </c>
      <c r="L80" s="79">
        <f>I80*K80</f>
        <v>-4374.8172177359475</v>
      </c>
      <c r="M80" s="151">
        <f t="shared" ref="M80" si="58">I80+L80</f>
        <v>-54544.817217735945</v>
      </c>
      <c r="N80" s="79"/>
      <c r="O80" s="79"/>
      <c r="P80" s="79"/>
      <c r="Q80" s="78">
        <f>SUM(M80:P80)</f>
        <v>-54544.817217735945</v>
      </c>
    </row>
    <row r="81" spans="1:19" s="27" customFormat="1">
      <c r="A81" s="25">
        <v>42</v>
      </c>
      <c r="B81" s="26" t="s">
        <v>50</v>
      </c>
      <c r="C81" s="26"/>
      <c r="D81" s="26"/>
      <c r="E81" s="147">
        <f>E79+E80</f>
        <v>207759</v>
      </c>
      <c r="F81" s="147">
        <f>F79+F80</f>
        <v>0</v>
      </c>
      <c r="G81" s="147">
        <f t="shared" ref="G81:I81" si="59">G79+G80</f>
        <v>0</v>
      </c>
      <c r="H81" s="147">
        <f t="shared" si="59"/>
        <v>0</v>
      </c>
      <c r="I81" s="147">
        <f t="shared" si="59"/>
        <v>207759</v>
      </c>
      <c r="L81" s="82">
        <f>L79+L80</f>
        <v>18116.556713964568</v>
      </c>
      <c r="M81" s="145">
        <f>M79+M80</f>
        <v>225875.55671396453</v>
      </c>
      <c r="N81" s="82"/>
      <c r="O81" s="82"/>
      <c r="P81" s="82"/>
      <c r="Q81" s="145">
        <f>Q79+Q80</f>
        <v>225875.55671396453</v>
      </c>
    </row>
    <row r="82" spans="1:19">
      <c r="A82" s="22">
        <v>43</v>
      </c>
      <c r="B82" s="24" t="s">
        <v>36</v>
      </c>
      <c r="C82" s="24"/>
      <c r="D82" s="24"/>
      <c r="E82" s="77">
        <v>11702</v>
      </c>
      <c r="F82" s="77">
        <v>0</v>
      </c>
      <c r="G82" s="77">
        <v>0</v>
      </c>
      <c r="H82" s="78"/>
      <c r="I82" s="77">
        <f t="shared" ref="I82:I85" si="60">SUM(E82:H82)</f>
        <v>11702</v>
      </c>
      <c r="J82" s="84"/>
      <c r="K82" s="84">
        <v>0</v>
      </c>
      <c r="L82" s="78">
        <f>I82*K82</f>
        <v>0</v>
      </c>
      <c r="M82" s="151">
        <f t="shared" ref="M82:M85" si="61">I82+L82</f>
        <v>11702</v>
      </c>
      <c r="N82" s="78"/>
      <c r="O82" s="78"/>
      <c r="P82" s="78"/>
      <c r="Q82" s="78">
        <f t="shared" ref="Q82:Q85" si="62">SUM(M82:P82)</f>
        <v>11702</v>
      </c>
    </row>
    <row r="83" spans="1:19" s="27" customFormat="1">
      <c r="A83" s="25">
        <v>44</v>
      </c>
      <c r="B83" s="26" t="s">
        <v>37</v>
      </c>
      <c r="C83" s="26"/>
      <c r="D83" s="26"/>
      <c r="E83" s="77">
        <v>0</v>
      </c>
      <c r="F83" s="77">
        <v>0</v>
      </c>
      <c r="G83" s="77">
        <v>0</v>
      </c>
      <c r="H83" s="82"/>
      <c r="I83" s="77">
        <f t="shared" si="60"/>
        <v>0</v>
      </c>
      <c r="J83" s="84"/>
      <c r="K83" s="84">
        <v>0</v>
      </c>
      <c r="L83" s="82">
        <f>I83*K83</f>
        <v>0</v>
      </c>
      <c r="M83" s="151">
        <f t="shared" si="61"/>
        <v>0</v>
      </c>
      <c r="N83" s="82"/>
      <c r="O83" s="82"/>
      <c r="P83" s="82"/>
      <c r="Q83" s="78">
        <f t="shared" si="62"/>
        <v>0</v>
      </c>
    </row>
    <row r="84" spans="1:19" s="27" customFormat="1">
      <c r="A84" s="25">
        <v>45</v>
      </c>
      <c r="B84" s="26" t="s">
        <v>54</v>
      </c>
      <c r="C84" s="26"/>
      <c r="D84" s="26"/>
      <c r="E84" s="77">
        <v>-332</v>
      </c>
      <c r="F84" s="77">
        <v>0</v>
      </c>
      <c r="G84" s="77">
        <v>0</v>
      </c>
      <c r="H84" s="82"/>
      <c r="I84" s="77">
        <f t="shared" si="60"/>
        <v>-332</v>
      </c>
      <c r="J84" s="84"/>
      <c r="K84" s="84">
        <v>0</v>
      </c>
      <c r="L84" s="82">
        <f>I84*K84</f>
        <v>0</v>
      </c>
      <c r="M84" s="151">
        <f t="shared" si="61"/>
        <v>-332</v>
      </c>
      <c r="N84" s="82"/>
      <c r="O84" s="82"/>
      <c r="P84" s="82"/>
      <c r="Q84" s="78">
        <f t="shared" si="62"/>
        <v>-332</v>
      </c>
    </row>
    <row r="85" spans="1:19">
      <c r="A85" s="22">
        <v>46</v>
      </c>
      <c r="B85" s="24" t="s">
        <v>45</v>
      </c>
      <c r="C85" s="24"/>
      <c r="D85" s="24"/>
      <c r="E85" s="77">
        <v>5695</v>
      </c>
      <c r="F85" s="77">
        <v>4855</v>
      </c>
      <c r="G85" s="77">
        <v>0</v>
      </c>
      <c r="H85" s="79"/>
      <c r="I85" s="77">
        <f t="shared" si="60"/>
        <v>10550</v>
      </c>
      <c r="J85" s="84"/>
      <c r="K85" s="84">
        <v>0</v>
      </c>
      <c r="L85" s="79">
        <f>I85*K85</f>
        <v>0</v>
      </c>
      <c r="M85" s="151">
        <f t="shared" si="61"/>
        <v>10550</v>
      </c>
      <c r="N85" s="79"/>
      <c r="O85" s="79"/>
      <c r="P85" s="79"/>
      <c r="Q85" s="78">
        <f t="shared" si="62"/>
        <v>10550</v>
      </c>
    </row>
    <row r="86" spans="1:19" s="37" customFormat="1" ht="12.75" thickBot="1">
      <c r="A86" s="5">
        <v>47</v>
      </c>
      <c r="B86" s="37" t="s">
        <v>38</v>
      </c>
      <c r="E86" s="148">
        <f>SUM(E81:E85)</f>
        <v>224824</v>
      </c>
      <c r="F86" s="148">
        <f>SUM(F81:F85)</f>
        <v>4855</v>
      </c>
      <c r="G86" s="148">
        <f>SUM(G81:G85)</f>
        <v>0</v>
      </c>
      <c r="H86" s="148">
        <f t="shared" ref="H86:I86" si="63">SUM(H81:H85)</f>
        <v>0</v>
      </c>
      <c r="I86" s="148">
        <f t="shared" si="63"/>
        <v>229679</v>
      </c>
      <c r="L86" s="80">
        <f>SUM(L81:L85)</f>
        <v>18116.556713964568</v>
      </c>
      <c r="M86" s="148">
        <f>SUM(M81:M85)</f>
        <v>247795.55671396453</v>
      </c>
      <c r="N86" s="80"/>
      <c r="O86" s="80"/>
      <c r="P86" s="80"/>
      <c r="Q86" s="414">
        <f>SUM(Q81:Q85)</f>
        <v>247795.55671396453</v>
      </c>
      <c r="R86" s="36"/>
      <c r="S86" s="36"/>
    </row>
    <row r="87" spans="1:19" s="37" customFormat="1" ht="12.75" thickTop="1">
      <c r="A87" s="5"/>
      <c r="E87" s="154"/>
      <c r="F87" s="154"/>
      <c r="G87" s="154"/>
      <c r="H87" s="154"/>
      <c r="I87" s="154"/>
      <c r="L87" s="154"/>
      <c r="M87" s="154"/>
      <c r="N87" s="154"/>
      <c r="O87" s="154"/>
      <c r="P87" s="154"/>
      <c r="Q87" s="154"/>
      <c r="R87" s="36"/>
      <c r="S87" s="36"/>
    </row>
    <row r="88" spans="1:19" s="37" customFormat="1">
      <c r="A88" s="22">
        <v>48</v>
      </c>
      <c r="B88" s="23" t="s">
        <v>169</v>
      </c>
      <c r="C88" s="23"/>
      <c r="D88" s="23"/>
      <c r="E88" s="436">
        <f>E65/E86</f>
        <v>6.2319859089776893E-2</v>
      </c>
      <c r="F88" s="154"/>
      <c r="G88" s="154"/>
      <c r="H88" s="154"/>
      <c r="L88" s="154"/>
      <c r="M88" s="154"/>
      <c r="N88" s="154"/>
      <c r="O88" s="154"/>
      <c r="P88" s="154"/>
      <c r="Q88" s="436">
        <f>Q65/Q86</f>
        <v>4.7245419360200172E-2</v>
      </c>
      <c r="R88" s="36"/>
      <c r="S88" s="36"/>
    </row>
    <row r="89" spans="1:19" s="28" customFormat="1" ht="12.75" thickBot="1">
      <c r="A89" s="30"/>
      <c r="D89" s="31"/>
      <c r="E89" s="83"/>
      <c r="I89" s="83"/>
      <c r="L89" s="83"/>
      <c r="M89" s="83"/>
      <c r="N89" s="83"/>
      <c r="O89" s="83"/>
      <c r="P89" s="83"/>
    </row>
    <row r="90" spans="1:19">
      <c r="B90" s="421" t="s">
        <v>126</v>
      </c>
      <c r="C90" s="422"/>
      <c r="D90" s="422"/>
      <c r="E90" s="423"/>
      <c r="F90" s="422"/>
      <c r="G90" s="422"/>
      <c r="H90" s="422"/>
      <c r="I90" s="422"/>
      <c r="J90" s="422"/>
      <c r="K90" s="422"/>
      <c r="L90" s="422"/>
      <c r="M90" s="422"/>
      <c r="N90" s="422"/>
      <c r="O90" s="422"/>
      <c r="P90" s="422"/>
      <c r="Q90" s="424"/>
    </row>
    <row r="91" spans="1:19">
      <c r="A91" s="22">
        <v>49</v>
      </c>
      <c r="B91" s="425" t="s">
        <v>127</v>
      </c>
      <c r="C91" s="27"/>
      <c r="D91" s="27"/>
      <c r="E91" s="142">
        <f>ROR!F15</f>
        <v>6.7699999999999996E-2</v>
      </c>
      <c r="F91" s="27"/>
      <c r="G91" s="27"/>
      <c r="H91" s="27"/>
      <c r="I91" s="27"/>
      <c r="J91" s="27"/>
      <c r="K91" s="27"/>
      <c r="L91" s="27"/>
      <c r="M91" s="27"/>
      <c r="N91" s="27"/>
      <c r="O91" s="27"/>
      <c r="P91" s="27"/>
      <c r="Q91" s="426">
        <f>E91</f>
        <v>6.7699999999999996E-2</v>
      </c>
    </row>
    <row r="92" spans="1:19">
      <c r="A92" s="22">
        <v>50</v>
      </c>
      <c r="B92" s="425" t="s">
        <v>128</v>
      </c>
      <c r="C92" s="27"/>
      <c r="D92" s="27"/>
      <c r="E92" s="154">
        <f>E86*E91</f>
        <v>15220.584799999999</v>
      </c>
      <c r="F92" s="27"/>
      <c r="G92" s="27"/>
      <c r="H92" s="27"/>
      <c r="I92" s="27"/>
      <c r="J92" s="27"/>
      <c r="K92" s="27"/>
      <c r="L92" s="27"/>
      <c r="M92" s="27"/>
      <c r="N92" s="27"/>
      <c r="O92" s="27"/>
      <c r="P92" s="27"/>
      <c r="Q92" s="427">
        <f>Q86*Q91</f>
        <v>16775.759189535398</v>
      </c>
    </row>
    <row r="93" spans="1:19">
      <c r="A93" s="22">
        <v>51</v>
      </c>
      <c r="B93" s="425" t="s">
        <v>129</v>
      </c>
      <c r="C93" s="27"/>
      <c r="D93" s="27"/>
      <c r="E93" s="155">
        <f>E65</f>
        <v>14011</v>
      </c>
      <c r="F93" s="27"/>
      <c r="G93" s="27"/>
      <c r="H93" s="27"/>
      <c r="I93" s="27"/>
      <c r="J93" s="27"/>
      <c r="K93" s="27"/>
      <c r="L93" s="27"/>
      <c r="M93" s="27"/>
      <c r="N93" s="27"/>
      <c r="O93" s="27"/>
      <c r="P93" s="27"/>
      <c r="Q93" s="428">
        <f>Q65</f>
        <v>11707.204992545519</v>
      </c>
    </row>
    <row r="94" spans="1:19">
      <c r="A94" s="22">
        <v>52</v>
      </c>
      <c r="B94" s="425" t="s">
        <v>130</v>
      </c>
      <c r="C94" s="27"/>
      <c r="D94" s="27"/>
      <c r="E94" s="156">
        <f>E92-E93</f>
        <v>1209.5847999999987</v>
      </c>
      <c r="F94" s="27"/>
      <c r="G94" s="27"/>
      <c r="H94" s="27"/>
      <c r="I94" s="27"/>
      <c r="J94" s="27"/>
      <c r="K94" s="27"/>
      <c r="L94" s="27"/>
      <c r="M94" s="27"/>
      <c r="N94" s="27"/>
      <c r="O94" s="27"/>
      <c r="P94" s="27"/>
      <c r="Q94" s="429">
        <f>Q92-Q93</f>
        <v>5068.5541969898786</v>
      </c>
    </row>
    <row r="95" spans="1:19">
      <c r="A95" s="22">
        <v>53</v>
      </c>
      <c r="B95" s="425" t="s">
        <v>131</v>
      </c>
      <c r="C95" s="27"/>
      <c r="D95" s="27"/>
      <c r="E95" s="73">
        <f>ROR!N24</f>
        <v>0.62063000000000001</v>
      </c>
      <c r="F95" s="27"/>
      <c r="G95" s="27"/>
      <c r="H95" s="27"/>
      <c r="I95" s="27"/>
      <c r="J95" s="27"/>
      <c r="K95" s="27"/>
      <c r="L95" s="27"/>
      <c r="M95" s="27"/>
      <c r="N95" s="27"/>
      <c r="O95" s="27"/>
      <c r="P95" s="27"/>
      <c r="Q95" s="430">
        <f>E95</f>
        <v>0.62063000000000001</v>
      </c>
    </row>
    <row r="96" spans="1:19">
      <c r="A96" s="22">
        <v>54</v>
      </c>
      <c r="B96" s="425" t="s">
        <v>132</v>
      </c>
      <c r="C96" s="27"/>
      <c r="D96" s="27"/>
      <c r="E96" s="156">
        <f>E94/E95</f>
        <v>1948.9628280940315</v>
      </c>
      <c r="F96" s="27"/>
      <c r="G96" s="27"/>
      <c r="H96" s="27"/>
      <c r="I96" s="27"/>
      <c r="J96" s="27"/>
      <c r="K96" s="27"/>
      <c r="L96" s="27"/>
      <c r="M96" s="27"/>
      <c r="N96" s="27"/>
      <c r="O96" s="27"/>
      <c r="P96" s="27"/>
      <c r="Q96" s="429">
        <f>Q94/Q95</f>
        <v>8166.7889031949444</v>
      </c>
    </row>
    <row r="97" spans="1:22">
      <c r="A97" s="22">
        <v>55</v>
      </c>
      <c r="B97" s="425" t="s">
        <v>133</v>
      </c>
      <c r="C97" s="27"/>
      <c r="D97" s="27"/>
      <c r="E97" s="90"/>
      <c r="F97" s="27"/>
      <c r="G97" s="27"/>
      <c r="H97" s="27"/>
      <c r="I97" s="27"/>
      <c r="J97" s="27"/>
      <c r="K97" s="27"/>
      <c r="L97" s="27"/>
      <c r="M97" s="27"/>
      <c r="N97" s="27"/>
      <c r="O97" s="27"/>
      <c r="P97" s="27"/>
      <c r="Q97" s="431">
        <f>Summary!G12</f>
        <v>1</v>
      </c>
    </row>
    <row r="98" spans="1:22" ht="12.75" thickBot="1">
      <c r="A98" s="22">
        <v>56</v>
      </c>
      <c r="B98" s="425" t="s">
        <v>134</v>
      </c>
      <c r="C98" s="27"/>
      <c r="D98" s="27"/>
      <c r="E98" s="90"/>
      <c r="F98" s="27"/>
      <c r="G98" s="27"/>
      <c r="H98" s="27"/>
      <c r="I98" s="27"/>
      <c r="J98" s="27"/>
      <c r="K98" s="27"/>
      <c r="L98" s="27"/>
      <c r="M98" s="27"/>
      <c r="N98" s="27"/>
      <c r="O98" s="27"/>
      <c r="P98" s="27"/>
      <c r="Q98" s="432">
        <f>Q96/Q97+1</f>
        <v>8167.7889031949444</v>
      </c>
    </row>
    <row r="99" spans="1:22" ht="12.75" thickBot="1">
      <c r="A99" s="22">
        <v>57</v>
      </c>
      <c r="B99" s="433" t="s">
        <v>512</v>
      </c>
      <c r="C99" s="434"/>
      <c r="D99" s="434"/>
      <c r="E99" s="435"/>
      <c r="F99" s="434"/>
      <c r="G99" s="434"/>
      <c r="H99" s="434"/>
      <c r="I99" s="434"/>
      <c r="J99" s="434"/>
      <c r="K99" s="434"/>
      <c r="L99" s="434"/>
      <c r="M99" s="434"/>
      <c r="N99" s="434"/>
      <c r="O99" s="434"/>
      <c r="P99" s="434"/>
      <c r="Q99" s="420">
        <f>Q98+Summary!I24</f>
        <v>8443.7889031949453</v>
      </c>
    </row>
    <row r="100" spans="1:22" ht="27.75" customHeight="1">
      <c r="A100" s="470"/>
      <c r="B100" s="470"/>
      <c r="C100" s="470"/>
      <c r="D100" s="470"/>
      <c r="E100" s="470"/>
      <c r="F100" s="470"/>
      <c r="G100" s="470"/>
      <c r="H100" s="470"/>
      <c r="I100" s="470"/>
      <c r="J100" s="470"/>
      <c r="K100" s="470"/>
      <c r="L100" s="470"/>
      <c r="M100" s="470"/>
      <c r="N100" s="470"/>
      <c r="O100" s="470"/>
      <c r="P100" s="470"/>
      <c r="Q100" s="470"/>
      <c r="R100" s="252"/>
      <c r="S100" s="252"/>
      <c r="T100" s="252"/>
      <c r="U100" s="252"/>
      <c r="V100" s="252"/>
    </row>
    <row r="102" spans="1:22" ht="12.75">
      <c r="I102"/>
      <c r="J102"/>
      <c r="K102"/>
      <c r="L102"/>
      <c r="M102"/>
    </row>
    <row r="103" spans="1:22" ht="12.75">
      <c r="I103"/>
      <c r="J103"/>
      <c r="K103"/>
      <c r="L103"/>
      <c r="M103"/>
    </row>
    <row r="104" spans="1:22" ht="12.75">
      <c r="I104"/>
      <c r="J104"/>
      <c r="K104"/>
      <c r="L104"/>
      <c r="M104"/>
    </row>
    <row r="105" spans="1:22" ht="12.75">
      <c r="I105"/>
      <c r="J105"/>
      <c r="K105"/>
      <c r="L105"/>
      <c r="M105"/>
    </row>
    <row r="106" spans="1:22" ht="12.75">
      <c r="I106"/>
      <c r="J106"/>
      <c r="K106"/>
      <c r="L106"/>
      <c r="M106"/>
    </row>
    <row r="107" spans="1:22" ht="12.75">
      <c r="I107"/>
      <c r="J107"/>
      <c r="K107"/>
      <c r="L107"/>
      <c r="M107"/>
    </row>
    <row r="108" spans="1:22" ht="12.75">
      <c r="I108"/>
      <c r="J108"/>
      <c r="K108"/>
      <c r="L108"/>
      <c r="M108"/>
    </row>
    <row r="109" spans="1:22" ht="12.75">
      <c r="I109"/>
      <c r="J109"/>
      <c r="K109"/>
      <c r="L109"/>
      <c r="M109"/>
    </row>
  </sheetData>
  <mergeCells count="32">
    <mergeCell ref="A100:Q100"/>
    <mergeCell ref="A50:Q50"/>
    <mergeCell ref="E53:I53"/>
    <mergeCell ref="L53:M53"/>
    <mergeCell ref="O53:P53"/>
    <mergeCell ref="P54:P57"/>
    <mergeCell ref="E54:E57"/>
    <mergeCell ref="F54:F57"/>
    <mergeCell ref="G54:G57"/>
    <mergeCell ref="H54:H57"/>
    <mergeCell ref="I54:I57"/>
    <mergeCell ref="K54:K57"/>
    <mergeCell ref="L54:L57"/>
    <mergeCell ref="M54:M57"/>
    <mergeCell ref="O54:O57"/>
    <mergeCell ref="Q54:Q57"/>
    <mergeCell ref="E5:I5"/>
    <mergeCell ref="L5:M5"/>
    <mergeCell ref="P6:P9"/>
    <mergeCell ref="B1:S1"/>
    <mergeCell ref="A2:Q2"/>
    <mergeCell ref="O5:P5"/>
    <mergeCell ref="E6:E9"/>
    <mergeCell ref="F6:F9"/>
    <mergeCell ref="G6:G9"/>
    <mergeCell ref="H6:H9"/>
    <mergeCell ref="I6:I9"/>
    <mergeCell ref="K6:K9"/>
    <mergeCell ref="L6:L9"/>
    <mergeCell ref="M6:M9"/>
    <mergeCell ref="O6:O9"/>
    <mergeCell ref="Q6:Q9"/>
  </mergeCells>
  <pageMargins left="0.7" right="0.7" top="0.75" bottom="0.75" header="0.3" footer="0.3"/>
  <pageSetup scale="75" orientation="landscape" r:id="rId1"/>
  <headerFooter scaleWithDoc="0">
    <oddFooter>&amp;C&amp;F&amp;RPage &amp;P of &amp;N</oddFooter>
  </headerFooter>
  <rowBreaks count="1" manualBreakCount="1">
    <brk id="48"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opLeftCell="A4" workbookViewId="0">
      <selection activeCell="C7" sqref="C7"/>
    </sheetView>
  </sheetViews>
  <sheetFormatPr defaultRowHeight="12.75"/>
  <cols>
    <col min="1" max="1" width="26" customWidth="1"/>
    <col min="2" max="14" width="7.5703125" customWidth="1"/>
  </cols>
  <sheetData>
    <row r="1" spans="1:14" ht="5.45" customHeight="1"/>
    <row r="2" spans="1:14" ht="20.25">
      <c r="B2" s="380" t="s">
        <v>501</v>
      </c>
    </row>
    <row r="4" spans="1:14">
      <c r="A4" s="1"/>
      <c r="B4" s="378">
        <v>2001</v>
      </c>
      <c r="C4" s="378">
        <v>2002</v>
      </c>
      <c r="D4" s="378">
        <v>2003</v>
      </c>
      <c r="E4" s="378">
        <v>2004</v>
      </c>
      <c r="F4" s="378">
        <v>2005</v>
      </c>
      <c r="G4" s="378">
        <v>2006</v>
      </c>
      <c r="H4" s="378">
        <v>2007</v>
      </c>
      <c r="I4" s="378">
        <v>2008</v>
      </c>
      <c r="J4" s="378">
        <v>2009</v>
      </c>
      <c r="K4" s="378">
        <v>2010</v>
      </c>
      <c r="L4" s="378">
        <v>2011</v>
      </c>
      <c r="M4" s="378">
        <v>2012</v>
      </c>
      <c r="N4" s="378">
        <v>2013</v>
      </c>
    </row>
    <row r="5" spans="1:14">
      <c r="A5" s="68" t="s">
        <v>474</v>
      </c>
      <c r="B5" s="381">
        <f>'Cost Trends'!G139</f>
        <v>129500</v>
      </c>
      <c r="C5" s="381">
        <f>'Cost Trends'!H139</f>
        <v>129740</v>
      </c>
      <c r="D5" s="381">
        <f>'Cost Trends'!I139</f>
        <v>125044</v>
      </c>
      <c r="E5" s="381">
        <f>'Cost Trends'!J139</f>
        <v>124950</v>
      </c>
      <c r="F5" s="381">
        <f>'Cost Trends'!K139</f>
        <v>132617</v>
      </c>
      <c r="G5" s="381">
        <f>'Cost Trends'!L139</f>
        <v>140789</v>
      </c>
      <c r="H5" s="381">
        <f>'Cost Trends'!M139</f>
        <v>145500</v>
      </c>
      <c r="I5" s="381">
        <f>'Cost Trends'!N139</f>
        <v>154054</v>
      </c>
      <c r="J5" s="381">
        <f>'Cost Trends'!O139</f>
        <v>173806</v>
      </c>
      <c r="K5" s="381">
        <f>'Cost Trends'!P139</f>
        <v>177901</v>
      </c>
      <c r="L5" s="381">
        <f>'Cost Trends'!Q139</f>
        <v>183553</v>
      </c>
      <c r="M5" s="381">
        <f>'Cost Trends'!R139</f>
        <v>195287</v>
      </c>
      <c r="N5" s="381">
        <f>'Cost Trends'!S139</f>
        <v>207759</v>
      </c>
    </row>
    <row r="6" spans="1:14">
      <c r="A6" s="68" t="s">
        <v>475</v>
      </c>
      <c r="B6" s="386"/>
      <c r="C6" s="386"/>
      <c r="D6" s="386"/>
      <c r="E6" s="386"/>
      <c r="F6" s="386"/>
      <c r="G6" s="386"/>
      <c r="H6" s="386">
        <f>'Cost Trends'!M139</f>
        <v>145500</v>
      </c>
      <c r="I6" s="386">
        <f>'Cost Trends'!N139</f>
        <v>154054</v>
      </c>
      <c r="J6" s="386">
        <f>'Cost Trends'!O139</f>
        <v>173806</v>
      </c>
      <c r="K6" s="386">
        <f>'Cost Trends'!P139</f>
        <v>177901</v>
      </c>
      <c r="L6" s="386">
        <f>'Cost Trends'!Q139</f>
        <v>183553</v>
      </c>
      <c r="M6" s="386">
        <f>'Cost Trends'!R139</f>
        <v>195287</v>
      </c>
      <c r="N6" s="386">
        <f>'Cost Trends'!S139</f>
        <v>207759</v>
      </c>
    </row>
    <row r="7" spans="1:14">
      <c r="A7" s="68"/>
      <c r="B7" s="381"/>
      <c r="C7" s="381"/>
      <c r="D7" s="381"/>
      <c r="E7" s="381"/>
      <c r="F7" s="381"/>
      <c r="G7" s="381"/>
      <c r="H7" s="381"/>
      <c r="I7" s="381"/>
      <c r="J7" s="381"/>
      <c r="K7" s="381"/>
      <c r="L7" s="381"/>
      <c r="M7" s="381"/>
      <c r="N7" s="381"/>
    </row>
    <row r="8" spans="1:14">
      <c r="E8" s="1"/>
      <c r="F8" s="1"/>
      <c r="G8" s="1"/>
      <c r="H8" s="1"/>
      <c r="I8" s="1"/>
      <c r="J8" s="1"/>
      <c r="K8" s="1"/>
      <c r="L8" s="1"/>
      <c r="M8" s="1"/>
      <c r="N8" s="1"/>
    </row>
    <row r="9" spans="1:14">
      <c r="A9" s="1"/>
      <c r="B9" s="378" t="s">
        <v>515</v>
      </c>
      <c r="C9" s="379"/>
      <c r="D9" s="379" t="s">
        <v>476</v>
      </c>
      <c r="E9" s="391" t="s">
        <v>505</v>
      </c>
      <c r="F9" s="1"/>
      <c r="G9" s="1"/>
      <c r="H9" s="1"/>
      <c r="I9" s="1"/>
      <c r="J9" s="1"/>
      <c r="K9" s="1"/>
      <c r="L9" s="1"/>
      <c r="M9" s="1"/>
      <c r="N9" s="1"/>
    </row>
    <row r="10" spans="1:14">
      <c r="A10" s="68" t="s">
        <v>497</v>
      </c>
      <c r="B10" s="381">
        <v>7065</v>
      </c>
      <c r="C10" s="383"/>
      <c r="D10" s="383">
        <f>B10/$M$6</f>
        <v>3.6177523337446935E-2</v>
      </c>
      <c r="E10" s="392"/>
      <c r="F10" s="1"/>
      <c r="G10" s="1"/>
      <c r="H10" s="1"/>
      <c r="I10" s="1"/>
      <c r="J10" s="1"/>
      <c r="K10" s="1"/>
      <c r="L10" s="1"/>
      <c r="M10" s="1"/>
      <c r="N10" s="1"/>
    </row>
    <row r="11" spans="1:14" ht="13.5" thickBot="1">
      <c r="A11" s="68" t="s">
        <v>498</v>
      </c>
      <c r="B11" s="386">
        <v>9964</v>
      </c>
      <c r="C11" s="384"/>
      <c r="D11" s="384">
        <f>B11/$M$6</f>
        <v>5.1022341476903224E-2</v>
      </c>
      <c r="E11" s="392"/>
      <c r="F11" s="1"/>
      <c r="G11" s="1"/>
      <c r="H11" s="1"/>
      <c r="I11" s="1"/>
      <c r="J11" s="1"/>
      <c r="K11" s="1"/>
      <c r="L11" s="1"/>
      <c r="M11" s="1"/>
      <c r="N11" s="1"/>
    </row>
    <row r="12" spans="1:14" ht="13.5" thickBot="1">
      <c r="A12" s="68" t="s">
        <v>492</v>
      </c>
      <c r="B12" s="1"/>
      <c r="C12" s="383"/>
      <c r="D12" s="384">
        <f>AVERAGE(D10:D11)</f>
        <v>4.3599932407175079E-2</v>
      </c>
      <c r="E12" s="403">
        <f>2*D12</f>
        <v>8.7199864814350159E-2</v>
      </c>
    </row>
  </sheetData>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opLeftCell="A7" workbookViewId="0">
      <selection activeCell="C7" sqref="C7"/>
    </sheetView>
  </sheetViews>
  <sheetFormatPr defaultRowHeight="12.75"/>
  <cols>
    <col min="1" max="1" width="28.28515625" customWidth="1"/>
    <col min="2" max="14" width="7.28515625" customWidth="1"/>
  </cols>
  <sheetData>
    <row r="1" spans="1:14" ht="6" customHeight="1"/>
    <row r="2" spans="1:14" ht="20.25">
      <c r="B2" s="380" t="s">
        <v>493</v>
      </c>
    </row>
    <row r="4" spans="1:14">
      <c r="A4" s="1"/>
      <c r="B4" s="378">
        <v>2001</v>
      </c>
      <c r="C4" s="378">
        <v>2002</v>
      </c>
      <c r="D4" s="378">
        <v>2003</v>
      </c>
      <c r="E4" s="378">
        <v>2004</v>
      </c>
      <c r="F4" s="378">
        <v>2005</v>
      </c>
      <c r="G4" s="378">
        <v>2006</v>
      </c>
      <c r="H4" s="378">
        <v>2007</v>
      </c>
      <c r="I4" s="378">
        <v>2008</v>
      </c>
      <c r="J4" s="378">
        <v>2009</v>
      </c>
      <c r="K4" s="378">
        <v>2010</v>
      </c>
      <c r="L4" s="378">
        <v>2011</v>
      </c>
      <c r="M4" s="378">
        <v>2012</v>
      </c>
      <c r="N4" s="378">
        <v>2013</v>
      </c>
    </row>
    <row r="5" spans="1:14">
      <c r="A5" s="68" t="s">
        <v>494</v>
      </c>
      <c r="B5" s="381">
        <f>'Cost Trends'!G149</f>
        <v>8</v>
      </c>
      <c r="C5" s="381">
        <f>'Cost Trends'!H149</f>
        <v>9</v>
      </c>
      <c r="D5" s="381">
        <f>'Cost Trends'!I149</f>
        <v>9</v>
      </c>
      <c r="E5" s="381">
        <f>'Cost Trends'!J149</f>
        <v>12</v>
      </c>
      <c r="F5" s="381">
        <f>'Cost Trends'!K149</f>
        <v>74</v>
      </c>
      <c r="G5" s="381">
        <f>'Cost Trends'!L149</f>
        <v>11</v>
      </c>
      <c r="H5" s="381">
        <f>'Cost Trends'!M149</f>
        <v>13</v>
      </c>
      <c r="I5" s="381">
        <f>'Cost Trends'!N149</f>
        <v>75</v>
      </c>
      <c r="J5" s="381">
        <f>'Cost Trends'!O149</f>
        <v>93</v>
      </c>
      <c r="K5" s="381">
        <f>'Cost Trends'!P149</f>
        <v>64</v>
      </c>
      <c r="L5" s="381">
        <f>'Cost Trends'!Q149</f>
        <v>47</v>
      </c>
      <c r="M5" s="381">
        <f>'Cost Trends'!R149</f>
        <v>285</v>
      </c>
      <c r="N5" s="381">
        <f>'Cost Trends'!S149</f>
        <v>403</v>
      </c>
    </row>
    <row r="6" spans="1:14">
      <c r="A6" s="68" t="s">
        <v>495</v>
      </c>
      <c r="B6" s="382"/>
      <c r="C6" s="382"/>
      <c r="D6" s="382"/>
      <c r="E6" s="382"/>
      <c r="F6" s="382"/>
      <c r="G6" s="382"/>
      <c r="H6" s="386">
        <f>'Cost Trends'!M149</f>
        <v>13</v>
      </c>
      <c r="I6" s="386">
        <f>'Cost Trends'!N149</f>
        <v>75</v>
      </c>
      <c r="J6" s="386">
        <f>'Cost Trends'!O149</f>
        <v>93</v>
      </c>
      <c r="K6" s="386">
        <f>'Cost Trends'!P149</f>
        <v>64</v>
      </c>
      <c r="L6" s="386">
        <f>'Cost Trends'!Q149</f>
        <v>47</v>
      </c>
      <c r="M6" s="386">
        <f>'Cost Trends'!R149</f>
        <v>285</v>
      </c>
      <c r="N6" s="386">
        <f>'Cost Trends'!S149</f>
        <v>403</v>
      </c>
    </row>
    <row r="7" spans="1:14">
      <c r="A7" s="1"/>
      <c r="B7" s="1"/>
      <c r="C7" s="1"/>
      <c r="D7" s="1"/>
      <c r="E7" s="1"/>
      <c r="F7" s="1"/>
      <c r="G7" s="1"/>
      <c r="H7" s="1"/>
      <c r="I7" s="1"/>
      <c r="J7" s="1"/>
      <c r="K7" s="1"/>
      <c r="L7" s="1"/>
      <c r="M7" s="1"/>
      <c r="N7" s="1"/>
    </row>
    <row r="8" spans="1:14">
      <c r="A8" s="1"/>
      <c r="B8" s="1"/>
      <c r="C8" s="1"/>
      <c r="D8" s="1"/>
      <c r="E8" s="1"/>
      <c r="F8" s="1"/>
      <c r="G8" s="1"/>
      <c r="H8" s="1"/>
      <c r="I8" s="1"/>
      <c r="J8" s="1"/>
      <c r="K8" s="1"/>
      <c r="L8" s="1"/>
      <c r="M8" s="1"/>
      <c r="N8" s="1"/>
    </row>
    <row r="9" spans="1:14">
      <c r="A9" s="1"/>
      <c r="B9" s="378" t="s">
        <v>515</v>
      </c>
      <c r="C9" s="379"/>
      <c r="D9" s="379" t="s">
        <v>476</v>
      </c>
      <c r="E9" s="391" t="s">
        <v>505</v>
      </c>
      <c r="F9" s="1"/>
      <c r="G9" s="1"/>
      <c r="H9" s="1"/>
      <c r="I9" s="1"/>
      <c r="J9" s="1"/>
      <c r="K9" s="1"/>
      <c r="L9" s="1"/>
      <c r="M9" s="1"/>
      <c r="N9" s="1"/>
    </row>
    <row r="10" spans="1:14">
      <c r="A10" s="68" t="s">
        <v>490</v>
      </c>
      <c r="B10" s="1">
        <v>22.9</v>
      </c>
      <c r="C10" s="383"/>
      <c r="D10" s="383">
        <f>B10/N5</f>
        <v>5.682382133995037E-2</v>
      </c>
      <c r="E10" s="392">
        <f>2*D10</f>
        <v>0.11364764267990074</v>
      </c>
      <c r="F10" s="1"/>
      <c r="G10" s="1"/>
      <c r="H10" s="1"/>
      <c r="I10" s="1"/>
      <c r="J10" s="1"/>
      <c r="K10" s="1"/>
      <c r="L10" s="1"/>
      <c r="M10" s="1"/>
      <c r="N10" s="1"/>
    </row>
    <row r="11" spans="1:14" ht="13.5" thickBot="1">
      <c r="A11" s="68" t="s">
        <v>491</v>
      </c>
      <c r="B11" s="382">
        <v>55.1</v>
      </c>
      <c r="C11" s="384"/>
      <c r="D11" s="384">
        <f>B11/N5</f>
        <v>0.13672456575682382</v>
      </c>
      <c r="E11" s="392">
        <f>2*D11</f>
        <v>0.27344913151364764</v>
      </c>
      <c r="F11" s="1"/>
      <c r="G11" s="1"/>
      <c r="H11" s="1"/>
      <c r="I11" s="1"/>
      <c r="J11" s="1"/>
      <c r="K11" s="1"/>
      <c r="L11" s="1"/>
      <c r="M11" s="1"/>
      <c r="N11" s="1"/>
    </row>
    <row r="12" spans="1:14" ht="13.5" thickBot="1">
      <c r="A12" s="68" t="s">
        <v>492</v>
      </c>
      <c r="B12" s="1"/>
      <c r="C12" s="383"/>
      <c r="D12" s="382">
        <f>AVERAGE(D10:D11)</f>
        <v>9.6774193548387094E-2</v>
      </c>
      <c r="E12" s="393">
        <f>2*D12</f>
        <v>0.19354838709677419</v>
      </c>
      <c r="F12" s="1"/>
      <c r="G12" s="1"/>
      <c r="H12" s="1"/>
      <c r="I12" s="1"/>
      <c r="J12" s="1"/>
      <c r="K12" s="1"/>
      <c r="L12" s="1"/>
      <c r="M12" s="1"/>
      <c r="N12" s="1"/>
    </row>
  </sheetData>
  <pageMargins left="0.7" right="0.7" top="0.75" bottom="0.75" header="0.3" footer="0.3"/>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workbookViewId="0">
      <selection activeCell="C7" sqref="C7"/>
    </sheetView>
  </sheetViews>
  <sheetFormatPr defaultRowHeight="12.75"/>
  <cols>
    <col min="1" max="1" width="32.42578125" customWidth="1"/>
    <col min="2" max="14" width="7" customWidth="1"/>
  </cols>
  <sheetData>
    <row r="1" spans="1:14" ht="6.6" customHeight="1"/>
    <row r="2" spans="1:14" ht="20.25">
      <c r="B2" s="380" t="s">
        <v>499</v>
      </c>
    </row>
    <row r="4" spans="1:14">
      <c r="A4" s="1"/>
      <c r="B4" s="378">
        <v>2001</v>
      </c>
      <c r="C4" s="378">
        <v>2002</v>
      </c>
      <c r="D4" s="378">
        <v>2003</v>
      </c>
      <c r="E4" s="378">
        <v>2004</v>
      </c>
      <c r="F4" s="378">
        <v>2005</v>
      </c>
      <c r="G4" s="378">
        <v>2006</v>
      </c>
      <c r="H4" s="378">
        <v>2007</v>
      </c>
      <c r="I4" s="378">
        <v>2008</v>
      </c>
      <c r="J4" s="378">
        <v>2009</v>
      </c>
      <c r="K4" s="378">
        <v>2010</v>
      </c>
      <c r="L4" s="378">
        <v>2011</v>
      </c>
      <c r="M4" s="378">
        <v>2012</v>
      </c>
      <c r="N4" s="378">
        <v>2013</v>
      </c>
    </row>
    <row r="5" spans="1:14">
      <c r="A5" s="68" t="s">
        <v>479</v>
      </c>
      <c r="B5" s="381">
        <f>'Cost Trends'!G136</f>
        <v>3119</v>
      </c>
      <c r="C5" s="381">
        <f>'Cost Trends'!H136</f>
        <v>3720</v>
      </c>
      <c r="D5" s="381">
        <f>'Cost Trends'!I136</f>
        <v>3367</v>
      </c>
      <c r="E5" s="381">
        <f>'Cost Trends'!J136</f>
        <v>3765</v>
      </c>
      <c r="F5" s="381">
        <f>'Cost Trends'!K136</f>
        <v>3357</v>
      </c>
      <c r="G5" s="381">
        <f>'Cost Trends'!L136</f>
        <v>3589</v>
      </c>
      <c r="H5" s="381">
        <f>'Cost Trends'!M136</f>
        <v>3541</v>
      </c>
      <c r="I5" s="381">
        <f>'Cost Trends'!N136</f>
        <v>2961</v>
      </c>
      <c r="J5" s="381">
        <f>'Cost Trends'!O136</f>
        <v>3728</v>
      </c>
      <c r="K5" s="381">
        <f>'Cost Trends'!P136</f>
        <v>3834</v>
      </c>
      <c r="L5" s="381">
        <f>'Cost Trends'!Q136</f>
        <v>4316.6743270000006</v>
      </c>
      <c r="M5" s="381">
        <f>'Cost Trends'!R136</f>
        <v>4592</v>
      </c>
      <c r="N5" s="381">
        <f>'Cost Trends'!S136</f>
        <v>5191</v>
      </c>
    </row>
    <row r="6" spans="1:14">
      <c r="A6" s="68" t="s">
        <v>480</v>
      </c>
      <c r="B6" s="382"/>
      <c r="C6" s="382"/>
      <c r="D6" s="382"/>
      <c r="E6" s="382"/>
      <c r="F6" s="382"/>
      <c r="G6" s="382"/>
      <c r="H6" s="386">
        <f>'Cost Trends'!M136</f>
        <v>3541</v>
      </c>
      <c r="I6" s="386">
        <f>'Cost Trends'!N136</f>
        <v>2961</v>
      </c>
      <c r="J6" s="386">
        <f>'Cost Trends'!O136</f>
        <v>3728</v>
      </c>
      <c r="K6" s="386">
        <f>'Cost Trends'!P136</f>
        <v>3834</v>
      </c>
      <c r="L6" s="386">
        <f>'Cost Trends'!Q136</f>
        <v>4316.6743270000006</v>
      </c>
      <c r="M6" s="386">
        <f>'Cost Trends'!R136</f>
        <v>4592</v>
      </c>
      <c r="N6" s="386">
        <f>'Cost Trends'!S136</f>
        <v>5191</v>
      </c>
    </row>
    <row r="7" spans="1:14">
      <c r="A7" s="1"/>
      <c r="B7" s="1"/>
      <c r="C7" s="1"/>
      <c r="D7" s="1"/>
      <c r="E7" s="1"/>
      <c r="F7" s="1"/>
      <c r="G7" s="1"/>
      <c r="H7" s="1"/>
      <c r="I7" s="1"/>
      <c r="J7" s="1"/>
      <c r="K7" s="1"/>
      <c r="L7" s="1"/>
      <c r="M7" s="1"/>
      <c r="N7" s="1"/>
    </row>
    <row r="8" spans="1:14">
      <c r="A8" s="1"/>
      <c r="B8" s="1"/>
      <c r="C8" s="1"/>
      <c r="D8" s="1"/>
      <c r="E8" s="1"/>
      <c r="F8" s="1"/>
      <c r="G8" s="1"/>
      <c r="H8" s="1"/>
      <c r="I8" s="1"/>
      <c r="J8" s="1"/>
      <c r="K8" s="1"/>
      <c r="L8" s="1"/>
      <c r="M8" s="1"/>
      <c r="N8" s="1"/>
    </row>
    <row r="9" spans="1:14">
      <c r="A9" s="1"/>
      <c r="B9" s="378" t="s">
        <v>515</v>
      </c>
      <c r="C9" s="379"/>
      <c r="D9" s="379" t="s">
        <v>476</v>
      </c>
      <c r="E9" s="391" t="s">
        <v>505</v>
      </c>
      <c r="F9" s="1"/>
      <c r="G9" s="1"/>
      <c r="H9" s="1"/>
      <c r="I9" s="1"/>
      <c r="J9" s="1"/>
      <c r="K9" s="1"/>
      <c r="L9" s="1"/>
      <c r="M9" s="1"/>
      <c r="N9" s="1"/>
    </row>
    <row r="10" spans="1:14">
      <c r="A10" s="68" t="s">
        <v>490</v>
      </c>
      <c r="B10" s="1">
        <v>115</v>
      </c>
      <c r="C10" s="383"/>
      <c r="D10" s="383">
        <f>B10/N5</f>
        <v>2.2153727605471008E-2</v>
      </c>
      <c r="E10" s="392"/>
      <c r="F10" s="1"/>
      <c r="G10" s="1"/>
      <c r="H10" s="1"/>
      <c r="I10" s="1"/>
      <c r="J10" s="1"/>
      <c r="K10" s="1"/>
      <c r="L10" s="1"/>
      <c r="M10" s="1"/>
      <c r="N10" s="1"/>
    </row>
    <row r="11" spans="1:14" ht="13.5" thickBot="1">
      <c r="A11" s="68" t="s">
        <v>491</v>
      </c>
      <c r="B11" s="382">
        <v>314</v>
      </c>
      <c r="C11" s="384"/>
      <c r="D11" s="384">
        <f>B11/N5</f>
        <v>6.0489308418416488E-2</v>
      </c>
      <c r="E11" s="392"/>
      <c r="F11" s="1"/>
      <c r="G11" s="1"/>
      <c r="H11" s="1"/>
      <c r="I11" s="1"/>
      <c r="J11" s="1"/>
      <c r="K11" s="1"/>
      <c r="L11" s="1"/>
      <c r="M11" s="1"/>
      <c r="N11" s="1"/>
    </row>
    <row r="12" spans="1:14" ht="13.5" thickBot="1">
      <c r="A12" s="68" t="s">
        <v>484</v>
      </c>
      <c r="B12" s="1"/>
      <c r="C12" s="383"/>
      <c r="D12" s="384">
        <f>AVERAGE(D10:D11)</f>
        <v>4.1321518011943746E-2</v>
      </c>
      <c r="E12" s="396">
        <f>2*D12</f>
        <v>8.2643036023887492E-2</v>
      </c>
      <c r="F12" s="1"/>
      <c r="G12" s="1"/>
      <c r="H12" s="1"/>
      <c r="I12" s="1"/>
      <c r="J12" s="1"/>
      <c r="K12" s="1"/>
      <c r="L12" s="1"/>
      <c r="M12" s="1"/>
      <c r="N12" s="1"/>
    </row>
  </sheetData>
  <pageMargins left="0.7" right="0.7" top="0.75" bottom="0.75" header="0.3" footer="0.3"/>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workbookViewId="0">
      <selection activeCell="C7" sqref="C7"/>
    </sheetView>
  </sheetViews>
  <sheetFormatPr defaultRowHeight="12.75"/>
  <cols>
    <col min="1" max="1" width="22.28515625" customWidth="1"/>
    <col min="2" max="14" width="7.85546875" customWidth="1"/>
  </cols>
  <sheetData>
    <row r="1" spans="1:14" ht="6.6" customHeight="1"/>
    <row r="2" spans="1:14" ht="20.25">
      <c r="B2" s="380" t="s">
        <v>500</v>
      </c>
    </row>
    <row r="4" spans="1:14">
      <c r="A4" s="1"/>
      <c r="B4" s="378">
        <v>2001</v>
      </c>
      <c r="C4" s="378">
        <v>2002</v>
      </c>
      <c r="D4" s="378">
        <v>2003</v>
      </c>
      <c r="E4" s="378">
        <v>2004</v>
      </c>
      <c r="F4" s="378">
        <v>2005</v>
      </c>
      <c r="G4" s="378">
        <v>2006</v>
      </c>
      <c r="H4" s="378">
        <v>2007</v>
      </c>
      <c r="I4" s="378">
        <v>2008</v>
      </c>
      <c r="J4" s="378">
        <v>2009</v>
      </c>
      <c r="K4" s="378">
        <v>2010</v>
      </c>
      <c r="L4" s="378">
        <v>2011</v>
      </c>
      <c r="M4" s="378">
        <v>2012</v>
      </c>
      <c r="N4" s="378">
        <v>2013</v>
      </c>
    </row>
    <row r="5" spans="1:14">
      <c r="A5" s="68" t="s">
        <v>477</v>
      </c>
      <c r="B5" s="381">
        <f>'Cost Trends'!G120</f>
        <v>5724</v>
      </c>
      <c r="C5" s="381">
        <f>'Cost Trends'!H120</f>
        <v>6068</v>
      </c>
      <c r="D5" s="381">
        <f>'Cost Trends'!I120</f>
        <v>6379</v>
      </c>
      <c r="E5" s="381">
        <f>'Cost Trends'!J120</f>
        <v>6391</v>
      </c>
      <c r="F5" s="381">
        <f>'Cost Trends'!K120</f>
        <v>6741</v>
      </c>
      <c r="G5" s="381">
        <f>'Cost Trends'!L120</f>
        <v>6963</v>
      </c>
      <c r="H5" s="381">
        <f>'Cost Trends'!M120</f>
        <v>7413</v>
      </c>
      <c r="I5" s="381">
        <f>'Cost Trends'!N120</f>
        <v>7752</v>
      </c>
      <c r="J5" s="381">
        <f>'Cost Trends'!O120</f>
        <v>8456</v>
      </c>
      <c r="K5" s="381">
        <f>'Cost Trends'!P120</f>
        <v>9127</v>
      </c>
      <c r="L5" s="381">
        <f>'Cost Trends'!Q120</f>
        <v>9778</v>
      </c>
      <c r="M5" s="381">
        <f>'Cost Trends'!R120</f>
        <v>10692</v>
      </c>
      <c r="N5" s="381">
        <f>'Cost Trends'!S120</f>
        <v>12173</v>
      </c>
    </row>
    <row r="6" spans="1:14">
      <c r="A6" s="68" t="s">
        <v>478</v>
      </c>
      <c r="B6" s="382"/>
      <c r="C6" s="382"/>
      <c r="D6" s="382"/>
      <c r="E6" s="382"/>
      <c r="F6" s="382"/>
      <c r="G6" s="382"/>
      <c r="H6" s="386">
        <f>'Cost Trends'!M120</f>
        <v>7413</v>
      </c>
      <c r="I6" s="386">
        <f>'Cost Trends'!N120</f>
        <v>7752</v>
      </c>
      <c r="J6" s="386">
        <f>'Cost Trends'!O120</f>
        <v>8456</v>
      </c>
      <c r="K6" s="386">
        <f>'Cost Trends'!P120</f>
        <v>9127</v>
      </c>
      <c r="L6" s="386">
        <f>'Cost Trends'!Q120</f>
        <v>9778</v>
      </c>
      <c r="M6" s="386">
        <f>'Cost Trends'!R120</f>
        <v>10692</v>
      </c>
      <c r="N6" s="386">
        <f>'Cost Trends'!S120</f>
        <v>12173</v>
      </c>
    </row>
    <row r="7" spans="1:14">
      <c r="A7" s="1"/>
      <c r="B7" s="1"/>
      <c r="C7" s="1"/>
      <c r="D7" s="1"/>
      <c r="E7" s="1"/>
      <c r="F7" s="1"/>
      <c r="G7" s="1"/>
      <c r="H7" s="1"/>
      <c r="I7" s="1"/>
      <c r="J7" s="1"/>
      <c r="K7" s="1"/>
      <c r="L7" s="1"/>
      <c r="M7" s="1"/>
      <c r="N7" s="1"/>
    </row>
    <row r="8" spans="1:14">
      <c r="A8" s="1"/>
      <c r="B8" s="1"/>
      <c r="C8" s="1"/>
      <c r="D8" s="1"/>
      <c r="E8" s="1"/>
      <c r="F8" s="1"/>
      <c r="G8" s="1"/>
      <c r="H8" s="1"/>
      <c r="I8" s="1"/>
      <c r="J8" s="1"/>
      <c r="K8" s="1"/>
      <c r="L8" s="1"/>
      <c r="M8" s="1"/>
      <c r="N8" s="1"/>
    </row>
    <row r="9" spans="1:14">
      <c r="A9" s="1"/>
      <c r="B9" s="378" t="s">
        <v>515</v>
      </c>
      <c r="C9" s="379"/>
      <c r="D9" s="379" t="s">
        <v>476</v>
      </c>
      <c r="E9" s="391" t="s">
        <v>505</v>
      </c>
      <c r="F9" s="1"/>
      <c r="G9" s="1"/>
      <c r="H9" s="1"/>
      <c r="I9" s="1"/>
      <c r="J9" s="1"/>
      <c r="K9" s="1"/>
      <c r="L9" s="1"/>
      <c r="M9" s="1"/>
      <c r="N9" s="1"/>
    </row>
    <row r="10" spans="1:14">
      <c r="A10" s="68" t="s">
        <v>490</v>
      </c>
      <c r="B10" s="1">
        <v>483</v>
      </c>
      <c r="C10" s="383"/>
      <c r="D10" s="383">
        <f>B10/N5</f>
        <v>3.9677975848188614E-2</v>
      </c>
      <c r="E10" s="392"/>
      <c r="F10" s="1"/>
      <c r="G10" s="1"/>
      <c r="H10" s="1"/>
      <c r="I10" s="1"/>
      <c r="J10" s="1"/>
      <c r="K10" s="1"/>
      <c r="L10" s="1"/>
      <c r="M10" s="1"/>
      <c r="N10" s="1"/>
    </row>
    <row r="11" spans="1:14" ht="13.5" thickBot="1">
      <c r="A11" s="68" t="s">
        <v>491</v>
      </c>
      <c r="B11" s="382">
        <v>767</v>
      </c>
      <c r="C11" s="384"/>
      <c r="D11" s="384">
        <f>B11/N5</f>
        <v>6.3008297050850245E-2</v>
      </c>
      <c r="E11" s="392"/>
      <c r="F11" s="1"/>
      <c r="G11" s="1"/>
      <c r="H11" s="1"/>
      <c r="I11" s="1"/>
      <c r="J11" s="1"/>
      <c r="K11" s="1"/>
      <c r="L11" s="1"/>
      <c r="M11" s="1"/>
      <c r="N11" s="1"/>
    </row>
    <row r="12" spans="1:14" ht="13.5" thickBot="1">
      <c r="A12" s="68" t="s">
        <v>492</v>
      </c>
      <c r="B12" s="1"/>
      <c r="C12" s="383"/>
      <c r="D12" s="384">
        <f>AVERAGE(D10:D11)</f>
        <v>5.1343136449519433E-2</v>
      </c>
      <c r="E12" s="394">
        <f>2*D12</f>
        <v>0.10268627289903887</v>
      </c>
      <c r="F12" s="1"/>
      <c r="G12" s="1"/>
      <c r="H12" s="1"/>
      <c r="I12" s="1"/>
      <c r="J12" s="1"/>
      <c r="K12" s="1"/>
      <c r="L12" s="1"/>
      <c r="M12" s="1"/>
      <c r="N12" s="1"/>
    </row>
  </sheetData>
  <sheetProtection formatCells="0" formatColumns="0" formatRows="0" sort="0" autoFilter="0"/>
  <pageMargins left="0.7" right="0.7" top="0.75" bottom="0.75" header="0.3" footer="0.3"/>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election activeCell="C7" sqref="C7"/>
    </sheetView>
  </sheetViews>
  <sheetFormatPr defaultRowHeight="12.75"/>
  <cols>
    <col min="1" max="1" width="31.42578125" customWidth="1"/>
    <col min="2" max="14" width="7.140625" customWidth="1"/>
  </cols>
  <sheetData>
    <row r="1" spans="1:14" ht="6.6" customHeight="1"/>
    <row r="2" spans="1:14" ht="20.25">
      <c r="B2" s="380" t="s">
        <v>496</v>
      </c>
    </row>
    <row r="4" spans="1:14">
      <c r="A4" s="1"/>
      <c r="B4" s="378">
        <v>2001</v>
      </c>
      <c r="C4" s="378">
        <v>2002</v>
      </c>
      <c r="D4" s="378">
        <v>2003</v>
      </c>
      <c r="E4" s="378">
        <v>2004</v>
      </c>
      <c r="F4" s="378">
        <v>2005</v>
      </c>
      <c r="G4" s="378">
        <v>2006</v>
      </c>
      <c r="H4" s="378">
        <v>2007</v>
      </c>
      <c r="I4" s="378">
        <v>2008</v>
      </c>
      <c r="J4" s="378">
        <v>2009</v>
      </c>
      <c r="K4" s="378">
        <v>2010</v>
      </c>
      <c r="L4" s="378">
        <v>2011</v>
      </c>
      <c r="M4" s="378">
        <v>2012</v>
      </c>
      <c r="N4" s="378">
        <v>2013</v>
      </c>
    </row>
    <row r="5" spans="1:14">
      <c r="A5" s="68" t="s">
        <v>502</v>
      </c>
      <c r="B5" s="387">
        <f>'Cost Trends'!G113</f>
        <v>16390</v>
      </c>
      <c r="C5" s="387">
        <f>'Cost Trends'!H113</f>
        <v>19734</v>
      </c>
      <c r="D5" s="387">
        <f>'Cost Trends'!I113</f>
        <v>20837</v>
      </c>
      <c r="E5" s="387">
        <f>'Cost Trends'!J113</f>
        <v>20042</v>
      </c>
      <c r="F5" s="387">
        <f>'Cost Trends'!K113</f>
        <v>20675</v>
      </c>
      <c r="G5" s="387">
        <f>'Cost Trends'!L113</f>
        <v>20604</v>
      </c>
      <c r="H5" s="387">
        <f>'Cost Trends'!M113</f>
        <v>21291</v>
      </c>
      <c r="I5" s="387">
        <f>'Cost Trends'!N113</f>
        <v>21878</v>
      </c>
      <c r="J5" s="387">
        <f>'Cost Trends'!O113</f>
        <v>24669</v>
      </c>
      <c r="K5" s="387">
        <f>'Cost Trends'!P113</f>
        <v>26056</v>
      </c>
      <c r="L5" s="387">
        <f>'Cost Trends'!Q113</f>
        <v>27900.852941999998</v>
      </c>
      <c r="M5" s="387">
        <f>'Cost Trends'!R113</f>
        <v>30802</v>
      </c>
      <c r="N5" s="387">
        <f>'Cost Trends'!S113</f>
        <v>31098</v>
      </c>
    </row>
    <row r="6" spans="1:14">
      <c r="A6" s="68"/>
      <c r="B6" s="387"/>
      <c r="C6" s="387"/>
      <c r="D6" s="387"/>
      <c r="E6" s="387"/>
      <c r="F6" s="387"/>
      <c r="G6" s="387"/>
      <c r="H6" s="387"/>
      <c r="I6" s="387"/>
      <c r="J6" s="387"/>
      <c r="K6" s="387"/>
      <c r="L6" s="387"/>
      <c r="M6" s="387"/>
      <c r="N6" s="387"/>
    </row>
    <row r="7" spans="1:14">
      <c r="A7" s="1"/>
      <c r="B7" s="378">
        <v>2001</v>
      </c>
      <c r="C7" s="378">
        <v>2002</v>
      </c>
      <c r="D7" s="378">
        <v>2003</v>
      </c>
      <c r="E7" s="378">
        <v>2004</v>
      </c>
      <c r="F7" s="378">
        <v>2005</v>
      </c>
      <c r="G7" s="378">
        <v>2006</v>
      </c>
      <c r="H7" s="378">
        <v>2007</v>
      </c>
      <c r="I7" s="378">
        <v>2008</v>
      </c>
      <c r="J7" s="378">
        <v>2009</v>
      </c>
      <c r="K7" s="378">
        <v>2010</v>
      </c>
      <c r="L7" s="378">
        <v>2011</v>
      </c>
      <c r="M7" s="378">
        <v>2012</v>
      </c>
      <c r="N7" s="378">
        <v>2013</v>
      </c>
    </row>
    <row r="8" spans="1:14">
      <c r="A8" s="68" t="s">
        <v>506</v>
      </c>
      <c r="B8" s="381">
        <f>'Cost Trends'!G113</f>
        <v>16390</v>
      </c>
      <c r="C8" s="381">
        <f>'Cost Trends'!H113</f>
        <v>19734</v>
      </c>
      <c r="D8" s="381">
        <f>'Cost Trends'!I113</f>
        <v>20837</v>
      </c>
      <c r="E8" s="381">
        <f>'Cost Trends'!J113</f>
        <v>20042</v>
      </c>
      <c r="F8" s="381">
        <f>'Cost Trends'!K113</f>
        <v>20675</v>
      </c>
      <c r="G8" s="381">
        <f>'Cost Trends'!L113</f>
        <v>20604</v>
      </c>
      <c r="H8" s="381">
        <f>'Cost Trends'!M113</f>
        <v>21291</v>
      </c>
      <c r="I8" s="381">
        <f>'Cost Trends'!N113</f>
        <v>21878</v>
      </c>
      <c r="M8" s="381"/>
      <c r="N8" s="381">
        <f>'Cost Trends'!S113</f>
        <v>31098</v>
      </c>
    </row>
    <row r="9" spans="1:14">
      <c r="A9" s="68" t="s">
        <v>508</v>
      </c>
      <c r="B9" s="382"/>
      <c r="C9" s="382"/>
      <c r="D9" s="382"/>
      <c r="E9" s="382"/>
      <c r="F9" s="382"/>
      <c r="G9" s="382"/>
      <c r="H9" s="386"/>
      <c r="I9" s="386"/>
      <c r="J9" s="386">
        <f>'Cost Trends'!O113</f>
        <v>24669</v>
      </c>
      <c r="K9" s="386">
        <f>'Cost Trends'!P113</f>
        <v>26056</v>
      </c>
      <c r="L9" s="386">
        <f>'Cost Trends'!Q113</f>
        <v>27900.852941999998</v>
      </c>
      <c r="M9" s="386">
        <f>'Cost Trends'!R113</f>
        <v>30802</v>
      </c>
      <c r="N9" s="386"/>
    </row>
    <row r="10" spans="1:14">
      <c r="A10" s="1"/>
      <c r="B10" s="1"/>
      <c r="C10" s="1"/>
      <c r="D10" s="1"/>
      <c r="E10" s="1"/>
      <c r="F10" s="1"/>
      <c r="G10" s="1"/>
      <c r="H10" s="1"/>
      <c r="I10" s="1"/>
      <c r="J10" s="1"/>
      <c r="K10" s="1"/>
      <c r="L10" s="1"/>
      <c r="M10" s="1"/>
      <c r="N10" s="1"/>
    </row>
    <row r="11" spans="1:14">
      <c r="A11" s="1"/>
      <c r="B11" s="378" t="s">
        <v>515</v>
      </c>
      <c r="C11" s="379"/>
      <c r="D11" s="379" t="s">
        <v>476</v>
      </c>
      <c r="E11" s="391" t="s">
        <v>505</v>
      </c>
      <c r="F11" s="1"/>
      <c r="G11" s="1"/>
      <c r="H11" s="1"/>
      <c r="I11" s="1"/>
      <c r="J11" s="1"/>
      <c r="K11" s="1"/>
      <c r="L11" s="1"/>
      <c r="M11" s="1"/>
      <c r="N11" s="1"/>
    </row>
    <row r="12" spans="1:14">
      <c r="A12" s="68" t="s">
        <v>497</v>
      </c>
      <c r="B12" s="381">
        <v>1094.2</v>
      </c>
      <c r="C12" s="437"/>
      <c r="D12" s="439">
        <f>B12/N8</f>
        <v>3.5185542478615987E-2</v>
      </c>
      <c r="E12" s="439"/>
      <c r="F12" s="1"/>
      <c r="G12" s="1"/>
      <c r="H12" s="1"/>
      <c r="I12" s="1"/>
      <c r="J12" s="1"/>
      <c r="K12" s="1"/>
      <c r="L12" s="1"/>
      <c r="M12" s="1"/>
      <c r="N12" s="1"/>
    </row>
    <row r="13" spans="1:14" ht="13.5" thickBot="1">
      <c r="A13" s="68" t="s">
        <v>507</v>
      </c>
      <c r="B13" s="386">
        <v>792</v>
      </c>
      <c r="C13" s="382"/>
      <c r="D13" s="390">
        <f>B13/N8</f>
        <v>2.5467875747636502E-2</v>
      </c>
      <c r="E13" s="392"/>
      <c r="F13" s="1"/>
      <c r="G13" s="1"/>
      <c r="H13" s="1"/>
      <c r="I13" s="1"/>
      <c r="J13" s="1"/>
      <c r="K13" s="1"/>
      <c r="L13" s="1"/>
      <c r="M13" s="1"/>
      <c r="N13" s="1"/>
    </row>
    <row r="14" spans="1:14" ht="13.5" thickBot="1">
      <c r="A14" s="68" t="s">
        <v>504</v>
      </c>
      <c r="B14" s="386">
        <v>994</v>
      </c>
      <c r="C14" s="438"/>
      <c r="D14" s="440">
        <f>B14/N8</f>
        <v>3.1963470319634701E-2</v>
      </c>
      <c r="E14" s="441">
        <f>D14*2</f>
        <v>6.3926940639269403E-2</v>
      </c>
      <c r="F14" s="1" t="s">
        <v>514</v>
      </c>
      <c r="G14" s="1"/>
      <c r="H14" s="1"/>
      <c r="I14" s="1"/>
      <c r="J14" s="1"/>
      <c r="K14" s="1"/>
      <c r="L14" s="1"/>
      <c r="M14" s="1"/>
      <c r="N14" s="1"/>
    </row>
    <row r="15" spans="1:14">
      <c r="A15" s="68" t="s">
        <v>513</v>
      </c>
      <c r="B15" s="87"/>
      <c r="C15" s="87"/>
      <c r="D15" s="390">
        <v>0.04</v>
      </c>
      <c r="E15" s="442">
        <v>0.08</v>
      </c>
      <c r="F15" s="1"/>
      <c r="G15" s="1"/>
      <c r="H15" s="1"/>
      <c r="I15" s="1"/>
      <c r="J15" s="1"/>
      <c r="K15" s="1"/>
      <c r="L15" s="1"/>
      <c r="M15" s="1"/>
      <c r="N15" s="1"/>
    </row>
    <row r="16" spans="1:14">
      <c r="A16" s="68"/>
      <c r="B16" s="389"/>
      <c r="C16" s="371"/>
      <c r="D16" s="385"/>
    </row>
  </sheetData>
  <pageMargins left="0.7" right="0.7" top="0.75" bottom="0.75" header="0.3" footer="0.3"/>
  <pageSetup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2014-02-04T08:00:00+00:00</OpenedDate>
    <Date1 xmlns="dc463f71-b30c-4ab2-9473-d307f9d35888">2014-07-22T07:00:00+00:00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140188</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6D05DFA5A769A459A1C549E33C26839" ma:contentTypeVersion="175" ma:contentTypeDescription="" ma:contentTypeScope="" ma:versionID="4eb91c358a4103962b49e91bd02f562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9af5a78cd4b1f642e3ede5db40f327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3A2C12-7F8C-481A-8E5C-C47726E3486F}"/>
</file>

<file path=customXml/itemProps2.xml><?xml version="1.0" encoding="utf-8"?>
<ds:datastoreItem xmlns:ds="http://schemas.openxmlformats.org/officeDocument/2006/customXml" ds:itemID="{B61EB3C3-4C3E-4004-B73A-26A3E916E7C0}"/>
</file>

<file path=customXml/itemProps3.xml><?xml version="1.0" encoding="utf-8"?>
<ds:datastoreItem xmlns:ds="http://schemas.openxmlformats.org/officeDocument/2006/customXml" ds:itemID="{515376B8-8E2D-4C19-9849-8F5616A1B784}"/>
</file>

<file path=customXml/itemProps4.xml><?xml version="1.0" encoding="utf-8"?>
<ds:datastoreItem xmlns:ds="http://schemas.openxmlformats.org/officeDocument/2006/customXml" ds:itemID="{AF363D36-EC09-4BF4-B2BF-3119CD5BAE3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10</vt:i4>
      </vt:variant>
    </vt:vector>
  </HeadingPairs>
  <TitlesOfParts>
    <vt:vector size="25" baseType="lpstr">
      <vt:lpstr>Notes</vt:lpstr>
      <vt:lpstr>Summary</vt:lpstr>
      <vt:lpstr>ROR</vt:lpstr>
      <vt:lpstr>Attrition 12.2013 to 2015</vt:lpstr>
      <vt:lpstr>trends - Net Plant after DFIT</vt:lpstr>
      <vt:lpstr>trends - adj other rev</vt:lpstr>
      <vt:lpstr>trends - adj taxes</vt:lpstr>
      <vt:lpstr>trends - Adj Dep Amort</vt:lpstr>
      <vt:lpstr>trends - Adj Operating Exp</vt:lpstr>
      <vt:lpstr>Cost Trends</vt:lpstr>
      <vt:lpstr>Weighted Revenue Growth</vt:lpstr>
      <vt:lpstr>Forecast Bill Determinants</vt:lpstr>
      <vt:lpstr>Riders and Gas Cost Revenue</vt:lpstr>
      <vt:lpstr>Reg Amort and Other RB</vt:lpstr>
      <vt:lpstr>06.2013 Revenue Model</vt:lpstr>
      <vt:lpstr>Base1_Billing2</vt:lpstr>
      <vt:lpstr>'06.2013 Revenue Model'!Print_Area</vt:lpstr>
      <vt:lpstr>'Attrition 12.2013 to 2015'!Print_Area</vt:lpstr>
      <vt:lpstr>'Cost Trends'!Print_Area</vt:lpstr>
      <vt:lpstr>'Riders and Gas Cost Revenue'!Print_Area</vt:lpstr>
      <vt:lpstr>ROR!Print_Area</vt:lpstr>
      <vt:lpstr>Summary!Print_Area</vt:lpstr>
      <vt:lpstr>'06.2013 Revenue Model'!Print_Titles</vt:lpstr>
      <vt:lpstr>'Cost Trends'!Print_Titles</vt:lpstr>
      <vt:lpstr>'Riders and Gas Cost Revenue'!Print_Titles</vt:lpstr>
    </vt:vector>
  </TitlesOfParts>
  <Company>Micron Electronics,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Exhibit No.__(CRM-3)</dc:title>
  <dc:creator>Preferred Customer</dc:creator>
  <cp:lastModifiedBy>McGuire, Chris (UTC)</cp:lastModifiedBy>
  <cp:lastPrinted>2014-07-16T20:21:11Z</cp:lastPrinted>
  <dcterms:created xsi:type="dcterms:W3CDTF">1997-05-15T21:41:44Z</dcterms:created>
  <dcterms:modified xsi:type="dcterms:W3CDTF">2014-08-05T15:58:44Z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0x0101006E56B4D1795A2E4DB2F0B01679ED314A0076D05DFA5A769A459A1C549E33C26839</vt:lpwstr>
  </property>
  <property fmtid="{D5CDD505-2E9C-101B-9397-08002B2CF9AE}" pid="3" name="_docset_NoMedatataSyncRequired">
    <vt:lpwstr>False</vt:lpwstr>
  </property>
</Properties>
</file>