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5" yWindow="-15" windowWidth="12720" windowHeight="9240"/>
  </bookViews>
  <sheets>
    <sheet name="Rebate" sheetId="1" r:id="rId1"/>
    <sheet name="Generation Allocation" sheetId="5" r:id="rId2"/>
    <sheet name="REC Revenue" sheetId="2" state="hidden" r:id="rId3"/>
    <sheet name="Sales" sheetId="3" state="hidden" r:id="rId4"/>
  </sheets>
  <externalReferences>
    <externalReference r:id="rId5"/>
  </externalReferences>
  <calcPr calcId="152511"/>
</workbook>
</file>

<file path=xl/calcChain.xml><?xml version="1.0" encoding="utf-8"?>
<calcChain xmlns="http://schemas.openxmlformats.org/spreadsheetml/2006/main">
  <c r="D14" i="1" l="1"/>
  <c r="I12" i="1" l="1"/>
  <c r="J19" i="1" l="1"/>
  <c r="C18" i="5" l="1"/>
  <c r="C12" i="5"/>
  <c r="C10" i="5"/>
  <c r="C8" i="5"/>
  <c r="A8" i="5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J10" i="1" l="1"/>
  <c r="R8" i="2" l="1"/>
  <c r="S12" i="3" l="1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T11" i="3"/>
  <c r="T10" i="3"/>
  <c r="T9" i="3"/>
  <c r="T8" i="3"/>
  <c r="T7" i="3"/>
  <c r="T6" i="3"/>
  <c r="F12" i="1"/>
  <c r="E12" i="1"/>
  <c r="U33" i="2"/>
  <c r="N33" i="2"/>
  <c r="G33" i="2"/>
  <c r="N24" i="2"/>
  <c r="U19" i="2"/>
  <c r="D16" i="1" s="1"/>
  <c r="N19" i="2"/>
  <c r="G19" i="2"/>
  <c r="D12" i="1" s="1"/>
  <c r="U11" i="2"/>
  <c r="N11" i="2"/>
  <c r="G11" i="2"/>
  <c r="U10" i="2"/>
  <c r="N10" i="2"/>
  <c r="G10" i="2"/>
  <c r="U9" i="2"/>
  <c r="N9" i="2"/>
  <c r="U8" i="2"/>
  <c r="K8" i="2"/>
  <c r="N8" i="2" s="1"/>
  <c r="N12" i="2" s="1"/>
  <c r="G8" i="2"/>
  <c r="G12" i="2" s="1"/>
  <c r="G21" i="2" s="1"/>
  <c r="G22" i="2" s="1"/>
  <c r="G27" i="2" s="1"/>
  <c r="G35" i="2" s="1"/>
  <c r="L6" i="2"/>
  <c r="E6" i="2"/>
  <c r="N21" i="2" l="1"/>
  <c r="N22" i="2" s="1"/>
  <c r="N27" i="2" s="1"/>
  <c r="N35" i="2" s="1"/>
  <c r="U12" i="2"/>
  <c r="C16" i="1" s="1"/>
  <c r="G16" i="1" s="1"/>
  <c r="C12" i="1"/>
  <c r="G12" i="1" s="1"/>
  <c r="J12" i="1" s="1"/>
  <c r="T12" i="3"/>
  <c r="U21" i="2"/>
  <c r="U22" i="2" s="1"/>
  <c r="U27" i="2" s="1"/>
  <c r="U35" i="2" s="1"/>
  <c r="C14" i="1"/>
  <c r="G14" i="1" s="1"/>
  <c r="I14" i="1" l="1"/>
  <c r="J14" i="1" s="1"/>
  <c r="I16" i="1" s="1"/>
  <c r="J16" i="1" l="1"/>
  <c r="J18" i="1" s="1"/>
  <c r="J21" i="1" s="1"/>
  <c r="F17" i="5" l="1"/>
  <c r="F19" i="5" s="1"/>
  <c r="F11" i="5" s="1"/>
  <c r="J17" i="5"/>
  <c r="J19" i="5" s="1"/>
  <c r="J11" i="5" s="1"/>
  <c r="J9" i="5" s="1"/>
  <c r="H17" i="5"/>
  <c r="H19" i="5" s="1"/>
  <c r="H11" i="5" s="1"/>
  <c r="E17" i="5"/>
  <c r="E19" i="5" s="1"/>
  <c r="E11" i="5" s="1"/>
  <c r="G17" i="5"/>
  <c r="G19" i="5" s="1"/>
  <c r="G11" i="5" s="1"/>
  <c r="D17" i="5"/>
  <c r="I17" i="5"/>
  <c r="I19" i="5" s="1"/>
  <c r="I11" i="5" s="1"/>
  <c r="E14" i="5" l="1"/>
  <c r="E13" i="5"/>
  <c r="E9" i="5"/>
  <c r="I9" i="5"/>
  <c r="I14" i="5"/>
  <c r="I13" i="5"/>
  <c r="H9" i="5"/>
  <c r="H14" i="5"/>
  <c r="H13" i="5"/>
  <c r="D19" i="5"/>
  <c r="D11" i="5" s="1"/>
  <c r="C17" i="5"/>
  <c r="G9" i="5"/>
  <c r="G13" i="5"/>
  <c r="G14" i="5"/>
  <c r="F9" i="5"/>
  <c r="F13" i="5"/>
  <c r="F14" i="5"/>
  <c r="D9" i="5" l="1"/>
  <c r="C9" i="5" s="1"/>
  <c r="D14" i="5"/>
  <c r="D13" i="5"/>
</calcChain>
</file>

<file path=xl/sharedStrings.xml><?xml version="1.0" encoding="utf-8"?>
<sst xmlns="http://schemas.openxmlformats.org/spreadsheetml/2006/main" count="183" uniqueCount="109">
  <si>
    <t>Jan 1 - Jun 30 2016</t>
  </si>
  <si>
    <t>REC</t>
  </si>
  <si>
    <t>Revenue</t>
  </si>
  <si>
    <t>Expenses</t>
  </si>
  <si>
    <t>Projected</t>
  </si>
  <si>
    <t>REC Revenue</t>
  </si>
  <si>
    <t>In Base</t>
  </si>
  <si>
    <t>Rates</t>
  </si>
  <si>
    <t>Net REC</t>
  </si>
  <si>
    <t>Total</t>
  </si>
  <si>
    <t>REC Expense</t>
  </si>
  <si>
    <t>REC Revenue Rebate Calculation</t>
  </si>
  <si>
    <t>REC Revenue and Expenses, 2012 through June 2016.</t>
  </si>
  <si>
    <t>Interest</t>
  </si>
  <si>
    <t>Estimated</t>
  </si>
  <si>
    <t>Balance</t>
  </si>
  <si>
    <t>This is the REC revenue balance including interest as of 12-31-13.</t>
  </si>
  <si>
    <t>2012 - 2013</t>
  </si>
  <si>
    <t>Average</t>
  </si>
  <si>
    <t>Quantity</t>
  </si>
  <si>
    <t>Price</t>
  </si>
  <si>
    <t>2016 trhu June 30</t>
  </si>
  <si>
    <t>Executed Sales</t>
  </si>
  <si>
    <t>Projected Sales</t>
  </si>
  <si>
    <t xml:space="preserve">CEC </t>
  </si>
  <si>
    <t>CEC Long-term</t>
  </si>
  <si>
    <t>Green E</t>
  </si>
  <si>
    <t>Other</t>
  </si>
  <si>
    <t>WREGIS</t>
  </si>
  <si>
    <t>Green-e</t>
  </si>
  <si>
    <t>Brokers</t>
  </si>
  <si>
    <t>Net Revenue</t>
  </si>
  <si>
    <t>WA Allocation</t>
  </si>
  <si>
    <t>WA Directly Assigned Revenue</t>
  </si>
  <si>
    <t>WA Directly Assigned Cost</t>
  </si>
  <si>
    <t>Net WA REC Revenue</t>
  </si>
  <si>
    <t>WA Authorized REC Revenue</t>
  </si>
  <si>
    <t>WA Authorized REC Expense</t>
  </si>
  <si>
    <t>WA Authorized Net REC Revenue</t>
  </si>
  <si>
    <t>WA REC Revenue in excess of Authorized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</si>
  <si>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</si>
  <si>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</si>
  <si>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</si>
  <si>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</si>
  <si>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</si>
  <si>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</si>
  <si>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</si>
  <si>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</si>
  <si>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</si>
  <si>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</si>
  <si>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</si>
  <si>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</si>
  <si>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18 Month Total</t>
  </si>
  <si>
    <t>Residential Schedule 001</t>
  </si>
  <si>
    <t>General Svc Schedule 011/012</t>
  </si>
  <si>
    <t>Large Gen Svc Schedule 021/022</t>
  </si>
  <si>
    <t>Extra Large Gen Schedule 25</t>
  </si>
  <si>
    <t>Pumping Schedule 31/32</t>
  </si>
  <si>
    <t>Street and Area Lights</t>
  </si>
  <si>
    <t xml:space="preserve">     Total</t>
  </si>
  <si>
    <t>Revenue Gross-up Factor</t>
  </si>
  <si>
    <t>Revenue Requirement</t>
  </si>
  <si>
    <t>Washington Allocation</t>
  </si>
  <si>
    <t>Rate</t>
  </si>
  <si>
    <t>NEW</t>
  </si>
  <si>
    <t xml:space="preserve"> </t>
  </si>
  <si>
    <t>RESIDENTIAL</t>
  </si>
  <si>
    <t xml:space="preserve">GENERAL SVC. </t>
  </si>
  <si>
    <t>LG. GEN. SVC.</t>
  </si>
  <si>
    <t>EX LG GEN SVC</t>
  </si>
  <si>
    <t>ULT LG GEN SVC</t>
  </si>
  <si>
    <t>PUMPING</t>
  </si>
  <si>
    <t>ST &amp; AREA LTG</t>
  </si>
  <si>
    <t>DESCRIPTION</t>
  </si>
  <si>
    <t>TOTAL</t>
  </si>
  <si>
    <t>SCHEDULE 1</t>
  </si>
  <si>
    <t>SCH. 11,12</t>
  </si>
  <si>
    <t>SCH. 21,22</t>
  </si>
  <si>
    <t>SCHEDULE 25</t>
  </si>
  <si>
    <t>SCHEDULE 26</t>
  </si>
  <si>
    <t>SCH. 30, 31, 32</t>
  </si>
  <si>
    <t>SCH. 41-48</t>
  </si>
  <si>
    <t>Line No.</t>
  </si>
  <si>
    <t>A</t>
  </si>
  <si>
    <t>B</t>
  </si>
  <si>
    <t>C</t>
  </si>
  <si>
    <t>D</t>
  </si>
  <si>
    <t xml:space="preserve">E </t>
  </si>
  <si>
    <t>F</t>
  </si>
  <si>
    <t>G</t>
  </si>
  <si>
    <t>H</t>
  </si>
  <si>
    <t>I</t>
  </si>
  <si>
    <t>J</t>
  </si>
  <si>
    <t>Generation Allocated</t>
  </si>
  <si>
    <t>Total Generation Percentage</t>
  </si>
  <si>
    <t>Annual Load (Rate Year)</t>
  </si>
  <si>
    <t>Cents Per kWh Rate</t>
  </si>
  <si>
    <t>Total Bills</t>
  </si>
  <si>
    <t>Avg Monthly Credit Per Customer</t>
  </si>
  <si>
    <t>Avg Annual Credit Per Customer</t>
  </si>
  <si>
    <t>Load Forecast (18 Months)</t>
  </si>
  <si>
    <t>E02 Allocator (Generation Level Consumption)</t>
  </si>
  <si>
    <t>(1)</t>
  </si>
  <si>
    <t>(2)</t>
  </si>
  <si>
    <t>REC Revenues Rebate Allocation - Generation Level Consumption</t>
  </si>
  <si>
    <t>2015 Rebate Amount</t>
  </si>
  <si>
    <t>18-mo Rebate Amt</t>
  </si>
  <si>
    <t>Rate Calculation</t>
  </si>
  <si>
    <t xml:space="preserve">2015 loads updated per Avista Response to Staff Data Request 24, Supplemental Attachment 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</si>
</sst>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.0_);_(* \(#,##0.0\);_(* &quot;-&quot;??_);_(@_)"/>
    <numFmt numFmtId="166" formatCode="&quot;$&quot;#,##0.00"/>
    <numFmt numFmtId="167" formatCode="_(* #,##0_);_(* \(#,##0\);_(* &quot;-&quot;??_);_(@_)"/>
    <numFmt numFmtId="168" formatCode="0.000000"/>
    <numFmt numFmtId="169" formatCode="&quot;$&quot;#,##0.00000"/>
    <numFmt numFmtId="170" formatCode="_(&quot;$&quot;* #,##0_);_(&quot;$&quot;* \(#,##0\);_(&quot;$&quot;* &quot;-&quot;??_);_(@_)"/>
    <numFmt numFmtId="171" formatCode="_(&quot;$&quot;* #,##0.00000_);_(&quot;$&quot;* \(#,##0.00000\);_(&quot;$&quot;* &quot;-&quot;??_);_(@_)"/>
  </numFmts>
  <fonts count="10" x14ac:knownFonts="1">
    <font>
      <sz val="10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6"/>
      <color theme="1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  <xf numFmtId="0" fontId="1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164" fontId="0" fillId="0" borderId="0" xfId="0" applyNumberForma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5" fontId="0" fillId="0" borderId="0" xfId="1" applyNumberFormat="1" applyFont="1"/>
    <xf numFmtId="166" fontId="0" fillId="0" borderId="0" xfId="0" applyNumberFormat="1"/>
    <xf numFmtId="164" fontId="0" fillId="0" borderId="0" xfId="0" applyNumberFormat="1"/>
    <xf numFmtId="167" fontId="0" fillId="0" borderId="0" xfId="1" applyNumberFormat="1" applyFont="1"/>
    <xf numFmtId="167" fontId="0" fillId="0" borderId="1" xfId="1" applyNumberFormat="1" applyFont="1" applyBorder="1"/>
    <xf numFmtId="166" fontId="0" fillId="0" borderId="1" xfId="0" applyNumberFormat="1" applyBorder="1"/>
    <xf numFmtId="164" fontId="0" fillId="0" borderId="1" xfId="0" applyNumberFormat="1" applyBorder="1"/>
    <xf numFmtId="0" fontId="0" fillId="0" borderId="0" xfId="0" applyFill="1" applyBorder="1"/>
    <xf numFmtId="0" fontId="0" fillId="0" borderId="2" xfId="0" applyFont="1" applyBorder="1"/>
    <xf numFmtId="165" fontId="3" fillId="0" borderId="3" xfId="1" applyNumberFormat="1" applyFont="1" applyBorder="1"/>
    <xf numFmtId="166" fontId="0" fillId="0" borderId="3" xfId="0" applyNumberFormat="1" applyFont="1" applyBorder="1"/>
    <xf numFmtId="0" fontId="0" fillId="0" borderId="3" xfId="0" applyFont="1" applyBorder="1"/>
    <xf numFmtId="164" fontId="0" fillId="0" borderId="4" xfId="0" applyNumberFormat="1" applyFont="1" applyBorder="1"/>
    <xf numFmtId="5" fontId="0" fillId="0" borderId="0" xfId="1" applyNumberFormat="1" applyFont="1"/>
    <xf numFmtId="0" fontId="4" fillId="0" borderId="2" xfId="0" applyFont="1" applyBorder="1"/>
    <xf numFmtId="0" fontId="4" fillId="0" borderId="3" xfId="0" applyFont="1" applyBorder="1"/>
    <xf numFmtId="164" fontId="4" fillId="0" borderId="4" xfId="0" applyNumberFormat="1" applyFont="1" applyBorder="1"/>
    <xf numFmtId="167" fontId="0" fillId="0" borderId="0" xfId="0" applyNumberFormat="1"/>
    <xf numFmtId="168" fontId="0" fillId="0" borderId="1" xfId="0" applyNumberFormat="1" applyBorder="1"/>
    <xf numFmtId="169" fontId="0" fillId="0" borderId="0" xfId="0" applyNumberFormat="1"/>
    <xf numFmtId="0" fontId="0" fillId="0" borderId="0" xfId="0" applyFont="1"/>
    <xf numFmtId="0" fontId="6" fillId="0" borderId="0" xfId="0" applyFont="1"/>
    <xf numFmtId="0" fontId="5" fillId="0" borderId="6" xfId="4" applyFont="1" applyFill="1" applyBorder="1" applyAlignment="1">
      <alignment horizontal="center"/>
    </xf>
    <xf numFmtId="0" fontId="5" fillId="0" borderId="0" xfId="4" applyFont="1" applyFill="1" applyBorder="1" applyAlignment="1">
      <alignment horizontal="center"/>
    </xf>
    <xf numFmtId="37" fontId="5" fillId="0" borderId="0" xfId="6" applyNumberFormat="1" applyFont="1" applyFill="1" applyBorder="1"/>
    <xf numFmtId="37" fontId="5" fillId="0" borderId="6" xfId="5" applyNumberFormat="1" applyFont="1" applyFill="1" applyBorder="1"/>
    <xf numFmtId="37" fontId="5" fillId="0" borderId="0" xfId="5" applyNumberFormat="1" applyFont="1" applyFill="1" applyBorder="1"/>
    <xf numFmtId="0" fontId="5" fillId="0" borderId="13" xfId="0" applyFont="1" applyFill="1" applyBorder="1"/>
    <xf numFmtId="0" fontId="5" fillId="0" borderId="0" xfId="0" applyFont="1" applyFill="1" applyBorder="1"/>
    <xf numFmtId="0" fontId="5" fillId="0" borderId="6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7" xfId="4" applyFont="1" applyFill="1" applyBorder="1" applyAlignment="1">
      <alignment horizontal="center"/>
    </xf>
    <xf numFmtId="10" fontId="5" fillId="0" borderId="0" xfId="3" applyNumberFormat="1" applyFont="1" applyFill="1" applyBorder="1"/>
    <xf numFmtId="10" fontId="5" fillId="0" borderId="17" xfId="3" applyNumberFormat="1" applyFont="1" applyFill="1" applyBorder="1"/>
    <xf numFmtId="170" fontId="5" fillId="0" borderId="6" xfId="2" applyNumberFormat="1" applyFont="1" applyFill="1" applyBorder="1"/>
    <xf numFmtId="170" fontId="5" fillId="0" borderId="0" xfId="2" applyNumberFormat="1" applyFont="1" applyFill="1" applyBorder="1"/>
    <xf numFmtId="170" fontId="5" fillId="0" borderId="17" xfId="2" applyNumberFormat="1" applyFont="1" applyFill="1" applyBorder="1"/>
    <xf numFmtId="37" fontId="5" fillId="0" borderId="17" xfId="5" applyNumberFormat="1" applyFont="1" applyFill="1" applyBorder="1"/>
    <xf numFmtId="37" fontId="5" fillId="0" borderId="6" xfId="6" applyNumberFormat="1" applyFont="1" applyFill="1" applyBorder="1"/>
    <xf numFmtId="37" fontId="5" fillId="0" borderId="17" xfId="6" applyNumberFormat="1" applyFont="1" applyFill="1" applyBorder="1"/>
    <xf numFmtId="44" fontId="5" fillId="0" borderId="0" xfId="2" applyFont="1" applyFill="1" applyBorder="1"/>
    <xf numFmtId="44" fontId="5" fillId="0" borderId="17" xfId="2" applyFont="1" applyFill="1" applyBorder="1"/>
    <xf numFmtId="0" fontId="5" fillId="0" borderId="17" xfId="0" applyFont="1" applyFill="1" applyBorder="1"/>
    <xf numFmtId="0" fontId="5" fillId="0" borderId="15" xfId="0" applyFont="1" applyFill="1" applyBorder="1" applyAlignment="1">
      <alignment horizontal="center"/>
    </xf>
    <xf numFmtId="0" fontId="5" fillId="0" borderId="7" xfId="0" applyFont="1" applyFill="1" applyBorder="1"/>
    <xf numFmtId="10" fontId="5" fillId="0" borderId="6" xfId="3" applyNumberFormat="1" applyFont="1" applyFill="1" applyBorder="1"/>
    <xf numFmtId="44" fontId="5" fillId="0" borderId="6" xfId="2" applyFont="1" applyFill="1" applyBorder="1"/>
    <xf numFmtId="0" fontId="5" fillId="0" borderId="0" xfId="0" applyFont="1" applyFill="1"/>
    <xf numFmtId="0" fontId="5" fillId="0" borderId="10" xfId="0" applyFont="1" applyFill="1" applyBorder="1"/>
    <xf numFmtId="0" fontId="5" fillId="0" borderId="11" xfId="0" applyFont="1" applyFill="1" applyBorder="1"/>
    <xf numFmtId="0" fontId="5" fillId="0" borderId="12" xfId="0" applyFont="1" applyFill="1" applyBorder="1"/>
    <xf numFmtId="0" fontId="5" fillId="0" borderId="1" xfId="0" applyFont="1" applyFill="1" applyBorder="1"/>
    <xf numFmtId="0" fontId="5" fillId="0" borderId="16" xfId="0" applyFont="1" applyFill="1" applyBorder="1"/>
    <xf numFmtId="0" fontId="5" fillId="0" borderId="18" xfId="0" applyFont="1" applyFill="1" applyBorder="1"/>
    <xf numFmtId="170" fontId="5" fillId="0" borderId="13" xfId="2" applyNumberFormat="1" applyFont="1" applyFill="1" applyBorder="1"/>
    <xf numFmtId="44" fontId="5" fillId="0" borderId="13" xfId="2" applyFont="1" applyFill="1" applyBorder="1"/>
    <xf numFmtId="44" fontId="5" fillId="0" borderId="1" xfId="2" applyFont="1" applyFill="1" applyBorder="1"/>
    <xf numFmtId="44" fontId="5" fillId="0" borderId="15" xfId="2" applyFont="1" applyFill="1" applyBorder="1"/>
    <xf numFmtId="44" fontId="5" fillId="0" borderId="7" xfId="2" applyFont="1" applyFill="1" applyBorder="1"/>
    <xf numFmtId="0" fontId="9" fillId="0" borderId="16" xfId="0" applyFont="1" applyFill="1" applyBorder="1" applyAlignment="1">
      <alignment horizontal="center"/>
    </xf>
    <xf numFmtId="0" fontId="5" fillId="0" borderId="13" xfId="4" applyFont="1" applyFill="1" applyBorder="1" applyAlignment="1">
      <alignment horizontal="center"/>
    </xf>
    <xf numFmtId="0" fontId="5" fillId="0" borderId="1" xfId="4" applyFont="1" applyFill="1" applyBorder="1" applyAlignment="1">
      <alignment horizontal="center"/>
    </xf>
    <xf numFmtId="0" fontId="5" fillId="0" borderId="18" xfId="4" applyFont="1" applyFill="1" applyBorder="1" applyAlignment="1">
      <alignment horizontal="center"/>
    </xf>
    <xf numFmtId="0" fontId="5" fillId="0" borderId="15" xfId="4" applyFont="1" applyFill="1" applyBorder="1" applyAlignment="1">
      <alignment horizontal="center"/>
    </xf>
    <xf numFmtId="0" fontId="5" fillId="0" borderId="7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 wrapText="1"/>
    </xf>
    <xf numFmtId="0" fontId="5" fillId="0" borderId="5" xfId="4" applyFont="1" applyFill="1" applyBorder="1" applyAlignment="1">
      <alignment horizontal="center"/>
    </xf>
    <xf numFmtId="0" fontId="5" fillId="0" borderId="9" xfId="4" applyFont="1" applyFill="1" applyBorder="1" applyAlignment="1">
      <alignment horizontal="center"/>
    </xf>
    <xf numFmtId="0" fontId="5" fillId="0" borderId="14" xfId="4" applyFont="1" applyFill="1" applyBorder="1" applyAlignment="1">
      <alignment horizontal="center"/>
    </xf>
    <xf numFmtId="0" fontId="5" fillId="0" borderId="8" xfId="4" applyFont="1" applyFill="1" applyBorder="1" applyAlignment="1">
      <alignment horizontal="center"/>
    </xf>
    <xf numFmtId="0" fontId="7" fillId="0" borderId="0" xfId="0" applyFont="1" applyFill="1" applyBorder="1"/>
    <xf numFmtId="10" fontId="5" fillId="0" borderId="17" xfId="0" applyNumberFormat="1" applyFont="1" applyFill="1" applyBorder="1"/>
    <xf numFmtId="10" fontId="5" fillId="0" borderId="13" xfId="3" applyNumberFormat="1" applyFont="1" applyFill="1" applyBorder="1"/>
    <xf numFmtId="37" fontId="5" fillId="0" borderId="13" xfId="5" applyNumberFormat="1" applyFont="1" applyFill="1" applyBorder="1"/>
    <xf numFmtId="37" fontId="5" fillId="0" borderId="13" xfId="6" applyNumberFormat="1" applyFont="1" applyFill="1" applyBorder="1"/>
    <xf numFmtId="44" fontId="5" fillId="0" borderId="18" xfId="2" applyFont="1" applyFill="1" applyBorder="1"/>
    <xf numFmtId="49" fontId="4" fillId="0" borderId="0" xfId="0" applyNumberFormat="1" applyFont="1" applyBorder="1" applyAlignment="1">
      <alignment horizontal="center"/>
    </xf>
    <xf numFmtId="5" fontId="4" fillId="0" borderId="19" xfId="0" applyNumberFormat="1" applyFont="1" applyBorder="1"/>
    <xf numFmtId="170" fontId="8" fillId="0" borderId="20" xfId="2" applyNumberFormat="1" applyFont="1" applyFill="1" applyBorder="1"/>
    <xf numFmtId="170" fontId="8" fillId="0" borderId="20" xfId="0" applyNumberFormat="1" applyFont="1" applyFill="1" applyBorder="1"/>
    <xf numFmtId="49" fontId="4" fillId="0" borderId="6" xfId="0" applyNumberFormat="1" applyFont="1" applyBorder="1" applyAlignment="1">
      <alignment horizontal="center"/>
    </xf>
    <xf numFmtId="171" fontId="5" fillId="0" borderId="0" xfId="2" applyNumberFormat="1" applyFont="1" applyFill="1" applyBorder="1"/>
    <xf numFmtId="171" fontId="5" fillId="0" borderId="17" xfId="2" applyNumberFormat="1" applyFont="1" applyFill="1" applyBorder="1"/>
    <xf numFmtId="171" fontId="5" fillId="0" borderId="13" xfId="2" applyNumberFormat="1" applyFont="1" applyFill="1" applyBorder="1"/>
    <xf numFmtId="171" fontId="5" fillId="0" borderId="6" xfId="2" applyNumberFormat="1" applyFont="1" applyFill="1" applyBorder="1"/>
    <xf numFmtId="0" fontId="8" fillId="0" borderId="2" xfId="0" applyFont="1" applyFill="1" applyBorder="1"/>
    <xf numFmtId="0" fontId="8" fillId="0" borderId="20" xfId="0" applyFont="1" applyFill="1" applyBorder="1"/>
    <xf numFmtId="171" fontId="8" fillId="0" borderId="3" xfId="0" applyNumberFormat="1" applyFont="1" applyFill="1" applyBorder="1"/>
    <xf numFmtId="171" fontId="8" fillId="0" borderId="20" xfId="0" applyNumberFormat="1" applyFont="1" applyFill="1" applyBorder="1"/>
    <xf numFmtId="171" fontId="8" fillId="0" borderId="21" xfId="0" applyNumberFormat="1" applyFont="1" applyFill="1" applyBorder="1"/>
    <xf numFmtId="171" fontId="8" fillId="0" borderId="4" xfId="0" applyNumberFormat="1" applyFont="1" applyFill="1" applyBorder="1"/>
    <xf numFmtId="164" fontId="0" fillId="3" borderId="9" xfId="0" applyNumberFormat="1" applyFill="1" applyBorder="1" applyAlignment="1">
      <alignment horizontal="center"/>
    </xf>
    <xf numFmtId="10" fontId="0" fillId="4" borderId="9" xfId="0" applyNumberFormat="1" applyFill="1" applyBorder="1" applyAlignment="1">
      <alignment horizontal="center"/>
    </xf>
    <xf numFmtId="10" fontId="0" fillId="3" borderId="9" xfId="0" applyNumberFormat="1" applyFill="1" applyBorder="1" applyAlignment="1">
      <alignment horizontal="center"/>
    </xf>
  </cellXfs>
  <cellStyles count="7">
    <cellStyle name="Comma" xfId="1" builtinId="3"/>
    <cellStyle name="Currency" xfId="2" builtinId="4"/>
    <cellStyle name="Normal" xfId="0" builtinId="0"/>
    <cellStyle name="Normal 16" xfId="5"/>
    <cellStyle name="Normal 2" xfId="4"/>
    <cellStyle name="Normal 24" xfId="6"/>
    <cellStyle name="Percent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shington%20Rate%20Cases\WA%20Rate%20Case%202014%20End%20Dec%202015\Backup\REC%20Revenue%20Projec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19">
          <cell r="N19">
            <v>70000</v>
          </cell>
        </row>
        <row r="25">
          <cell r="N25">
            <v>725000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zoomScaleNormal="100" zoomScalePageLayoutView="50" workbookViewId="0">
      <selection activeCell="D14" sqref="D14"/>
    </sheetView>
  </sheetViews>
  <sheetFormatPr defaultRowHeight="12.75" x14ac:dyDescent="0.2"/>
  <cols>
    <col min="1" max="1" width="18" customWidth="1"/>
    <col min="2" max="2" width="2.85546875" customWidth="1"/>
    <col min="3" max="3" width="10" customWidth="1"/>
    <col min="4" max="4" width="11" customWidth="1"/>
    <col min="5" max="8" width="12.85546875" customWidth="1"/>
    <col min="9" max="9" width="11.5703125" customWidth="1"/>
    <col min="10" max="10" width="15.140625" customWidth="1"/>
  </cols>
  <sheetData>
    <row r="1" spans="1:10" ht="15.75" x14ac:dyDescent="0.25">
      <c r="A1" s="9" t="s">
        <v>11</v>
      </c>
    </row>
    <row r="2" spans="1:10" ht="15.75" x14ac:dyDescent="0.25">
      <c r="A2" s="9" t="s">
        <v>12</v>
      </c>
    </row>
    <row r="3" spans="1:10" ht="15.75" x14ac:dyDescent="0.25">
      <c r="A3" s="9" t="s">
        <v>62</v>
      </c>
    </row>
    <row r="5" spans="1:10" x14ac:dyDescent="0.2">
      <c r="J5" s="1"/>
    </row>
    <row r="6" spans="1:10" x14ac:dyDescent="0.2">
      <c r="C6" s="7" t="s">
        <v>4</v>
      </c>
      <c r="D6" s="7" t="s">
        <v>4</v>
      </c>
      <c r="E6" s="7" t="s">
        <v>5</v>
      </c>
      <c r="F6" s="7" t="s">
        <v>10</v>
      </c>
      <c r="G6" s="7"/>
      <c r="H6" s="7"/>
      <c r="I6" s="7"/>
      <c r="J6" s="11" t="s">
        <v>8</v>
      </c>
    </row>
    <row r="7" spans="1:10" x14ac:dyDescent="0.2">
      <c r="C7" s="7" t="s">
        <v>1</v>
      </c>
      <c r="D7" s="7" t="s">
        <v>1</v>
      </c>
      <c r="E7" s="7" t="s">
        <v>6</v>
      </c>
      <c r="F7" s="7" t="s">
        <v>6</v>
      </c>
      <c r="G7" s="7" t="s">
        <v>8</v>
      </c>
      <c r="H7" s="7" t="s">
        <v>13</v>
      </c>
      <c r="I7" s="7" t="s">
        <v>14</v>
      </c>
      <c r="J7" s="12" t="s">
        <v>2</v>
      </c>
    </row>
    <row r="8" spans="1:10" x14ac:dyDescent="0.2">
      <c r="C8" s="8" t="s">
        <v>2</v>
      </c>
      <c r="D8" s="8" t="s">
        <v>3</v>
      </c>
      <c r="E8" s="8" t="s">
        <v>7</v>
      </c>
      <c r="F8" s="8" t="s">
        <v>7</v>
      </c>
      <c r="G8" s="8" t="s">
        <v>2</v>
      </c>
      <c r="H8" s="8" t="s">
        <v>63</v>
      </c>
      <c r="I8" s="8" t="s">
        <v>13</v>
      </c>
      <c r="J8" s="10" t="s">
        <v>15</v>
      </c>
    </row>
    <row r="10" spans="1:10" x14ac:dyDescent="0.2">
      <c r="A10" s="1" t="s">
        <v>17</v>
      </c>
      <c r="C10" s="13" t="s">
        <v>16</v>
      </c>
      <c r="D10" s="2"/>
      <c r="E10" s="2"/>
      <c r="F10" s="2"/>
      <c r="G10" s="2"/>
      <c r="H10" s="2"/>
      <c r="I10" s="2"/>
      <c r="J10" s="2">
        <f>1606948-36510-36955</f>
        <v>1533483</v>
      </c>
    </row>
    <row r="11" spans="1:10" x14ac:dyDescent="0.2">
      <c r="A11" s="1"/>
      <c r="C11" s="2"/>
      <c r="D11" s="2"/>
      <c r="E11" s="2"/>
      <c r="F11" s="2"/>
      <c r="G11" s="2"/>
      <c r="H11" s="2"/>
      <c r="I11" s="2"/>
      <c r="J11" s="2"/>
    </row>
    <row r="12" spans="1:10" x14ac:dyDescent="0.2">
      <c r="A12" s="1">
        <v>2014</v>
      </c>
      <c r="C12" s="2">
        <f>'REC Revenue'!G12*0.6524+'REC Revenue'!G24</f>
        <v>5677807.3975999998</v>
      </c>
      <c r="D12" s="2">
        <f>'REC Revenue'!G19*0.6524+'REC Revenue'!G25</f>
        <v>770668</v>
      </c>
      <c r="E12" s="2">
        <f>'REC Revenue'!G29</f>
        <v>3410297</v>
      </c>
      <c r="F12" s="2">
        <f>'REC Revenue'!G31</f>
        <v>882335</v>
      </c>
      <c r="G12" s="2">
        <f>(C12-D12)-(E12-F12)</f>
        <v>2379177.3975999998</v>
      </c>
      <c r="H12" s="108">
        <v>5.5599999999999997E-2</v>
      </c>
      <c r="I12" s="2">
        <f>(J10+G12/2)*0.0556</f>
        <v>151402.78645327999</v>
      </c>
      <c r="J12" s="2">
        <f>J10+G12+I12</f>
        <v>4064063.1840532799</v>
      </c>
    </row>
    <row r="13" spans="1:10" x14ac:dyDescent="0.2">
      <c r="A13" s="1"/>
      <c r="C13" s="2"/>
      <c r="D13" s="2"/>
      <c r="E13" s="2"/>
      <c r="F13" s="2"/>
      <c r="G13" s="2"/>
      <c r="H13" s="2"/>
      <c r="I13" s="2"/>
      <c r="J13" s="2"/>
    </row>
    <row r="14" spans="1:10" x14ac:dyDescent="0.2">
      <c r="A14" s="1">
        <v>2015</v>
      </c>
      <c r="C14" s="2">
        <f>'REC Revenue'!N12*0.6501+'REC Revenue'!N24</f>
        <v>3044586.2656</v>
      </c>
      <c r="D14" s="107">
        <f>[1]Sheet1!$N$19*0.6501+[1]Sheet1!$N$25-'REC Revenue'!N25</f>
        <v>45507</v>
      </c>
      <c r="E14" s="2">
        <v>0</v>
      </c>
      <c r="F14" s="2">
        <v>0</v>
      </c>
      <c r="G14" s="2">
        <f>(C14-D14)-(E14-F14)</f>
        <v>2999079.2656</v>
      </c>
      <c r="H14" s="109">
        <v>5.6884999999999998E-2</v>
      </c>
      <c r="I14" s="2">
        <f>(J12+G14/2)*0.056885</f>
        <v>316485.54623669881</v>
      </c>
      <c r="J14" s="2">
        <f>J12+G14+I14</f>
        <v>7379627.9958899785</v>
      </c>
    </row>
    <row r="15" spans="1:10" x14ac:dyDescent="0.2">
      <c r="C15" s="2"/>
      <c r="D15" s="2"/>
      <c r="E15" s="2"/>
      <c r="F15" s="2"/>
      <c r="G15" s="2"/>
      <c r="H15" s="2"/>
      <c r="I15" s="2"/>
      <c r="J15" s="2"/>
    </row>
    <row r="16" spans="1:10" x14ac:dyDescent="0.2">
      <c r="A16" s="4" t="s">
        <v>0</v>
      </c>
      <c r="B16" s="5"/>
      <c r="C16" s="6">
        <f>'REC Revenue'!U12*0.6501</f>
        <v>650100</v>
      </c>
      <c r="D16" s="6">
        <f>'REC Revenue'!U19/2*0.6501</f>
        <v>22753.5</v>
      </c>
      <c r="E16" s="6">
        <v>0</v>
      </c>
      <c r="F16" s="6">
        <v>0</v>
      </c>
      <c r="G16" s="6">
        <f>(C16-D16)-(E16-F16)</f>
        <v>627346.5</v>
      </c>
      <c r="H16" s="109">
        <v>5.6884999999999998E-2</v>
      </c>
      <c r="I16" s="6">
        <f>(J14+G16/2)*0.0284425</f>
        <v>218816.72068622572</v>
      </c>
      <c r="J16" s="6">
        <f>J14+G16+I16</f>
        <v>8225791.2165762046</v>
      </c>
    </row>
    <row r="18" spans="1:10" x14ac:dyDescent="0.2">
      <c r="A18" s="1" t="s">
        <v>9</v>
      </c>
      <c r="J18" s="18">
        <f>-J16</f>
        <v>-8225791.2165762046</v>
      </c>
    </row>
    <row r="19" spans="1:10" x14ac:dyDescent="0.2">
      <c r="A19" s="1"/>
      <c r="H19" t="s">
        <v>60</v>
      </c>
      <c r="J19" s="34">
        <f>1/(1-0.045011)</f>
        <v>1.0471324800599797</v>
      </c>
    </row>
    <row r="20" spans="1:10" ht="13.5" thickBot="1" x14ac:dyDescent="0.25">
      <c r="A20" s="1"/>
    </row>
    <row r="21" spans="1:10" ht="13.5" thickBot="1" x14ac:dyDescent="0.25">
      <c r="A21" s="1"/>
      <c r="H21" t="s">
        <v>61</v>
      </c>
      <c r="J21" s="93">
        <f>J18*J19</f>
        <v>-8613493.1570690386</v>
      </c>
    </row>
    <row r="22" spans="1:10" x14ac:dyDescent="0.2">
      <c r="A22" s="1"/>
    </row>
    <row r="23" spans="1:10" x14ac:dyDescent="0.2">
      <c r="I23" s="3"/>
      <c r="J23" s="19"/>
    </row>
    <row r="24" spans="1:10" x14ac:dyDescent="0.2">
      <c r="F24" s="3"/>
      <c r="G24" s="3"/>
      <c r="H24" s="3"/>
      <c r="I24" s="3"/>
    </row>
    <row r="25" spans="1:10" x14ac:dyDescent="0.2">
      <c r="F25" s="3"/>
      <c r="G25" s="3"/>
      <c r="H25" s="3"/>
      <c r="I25" s="3"/>
    </row>
    <row r="26" spans="1:10" x14ac:dyDescent="0.2">
      <c r="I26" s="3"/>
      <c r="J26" s="35"/>
    </row>
  </sheetData>
  <pageMargins left="0.7" right="0.7" top="0.75" bottom="0.75" header="0.3" footer="0.3"/>
  <pageSetup orientation="landscape" r:id="rId1"/>
  <headerFooter>
    <oddHeader>&amp;RExhibit No.__ (CRM-4)
Dockets UE-140188/UG-140189
Page 1</oddHeader>
    <oddFooter>&amp;L&amp;F&amp;RPage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zoomScaleNormal="100" zoomScalePageLayoutView="50" workbookViewId="0">
      <selection activeCell="H23" sqref="H23"/>
    </sheetView>
  </sheetViews>
  <sheetFormatPr defaultColWidth="9.140625" defaultRowHeight="12.75" x14ac:dyDescent="0.2"/>
  <cols>
    <col min="1" max="1" width="4.7109375" style="36" customWidth="1"/>
    <col min="2" max="2" width="27.7109375" style="36" customWidth="1"/>
    <col min="3" max="3" width="15.140625" style="36" customWidth="1"/>
    <col min="4" max="4" width="14.28515625" style="36" customWidth="1"/>
    <col min="5" max="5" width="14.42578125" style="36" customWidth="1"/>
    <col min="6" max="6" width="14.7109375" style="36" customWidth="1"/>
    <col min="7" max="8" width="15.5703125" style="36" customWidth="1"/>
    <col min="9" max="9" width="14.7109375" style="36" customWidth="1"/>
    <col min="10" max="10" width="15.140625" style="36" customWidth="1"/>
    <col min="11" max="11" width="3.28515625" style="36" customWidth="1"/>
    <col min="12" max="12" width="6.85546875" style="36" bestFit="1" customWidth="1"/>
    <col min="13" max="16384" width="9.140625" style="36"/>
  </cols>
  <sheetData>
    <row r="1" spans="1:11" ht="24" customHeight="1" x14ac:dyDescent="0.3">
      <c r="C1" s="37" t="s">
        <v>104</v>
      </c>
      <c r="D1" s="37"/>
    </row>
    <row r="3" spans="1:11" x14ac:dyDescent="0.2">
      <c r="A3" s="64"/>
      <c r="B3" s="65"/>
      <c r="C3" s="68"/>
      <c r="D3" s="65"/>
      <c r="E3" s="65"/>
      <c r="F3" s="65"/>
      <c r="G3" s="65"/>
      <c r="H3" s="75" t="s">
        <v>64</v>
      </c>
      <c r="I3" s="64"/>
      <c r="J3" s="66"/>
      <c r="K3" s="66"/>
    </row>
    <row r="4" spans="1:11" x14ac:dyDescent="0.2">
      <c r="A4" s="43"/>
      <c r="B4" s="44"/>
      <c r="C4" s="47" t="s">
        <v>65</v>
      </c>
      <c r="D4" s="39" t="s">
        <v>66</v>
      </c>
      <c r="E4" s="39" t="s">
        <v>67</v>
      </c>
      <c r="F4" s="39" t="s">
        <v>68</v>
      </c>
      <c r="G4" s="39" t="s">
        <v>69</v>
      </c>
      <c r="H4" s="47" t="s">
        <v>70</v>
      </c>
      <c r="I4" s="76" t="s">
        <v>71</v>
      </c>
      <c r="J4" s="38" t="s">
        <v>72</v>
      </c>
      <c r="K4" s="45"/>
    </row>
    <row r="5" spans="1:11" x14ac:dyDescent="0.2">
      <c r="A5" s="43"/>
      <c r="B5" s="77" t="s">
        <v>73</v>
      </c>
      <c r="C5" s="78" t="s">
        <v>74</v>
      </c>
      <c r="D5" s="77" t="s">
        <v>75</v>
      </c>
      <c r="E5" s="77" t="s">
        <v>76</v>
      </c>
      <c r="F5" s="77" t="s">
        <v>77</v>
      </c>
      <c r="G5" s="77" t="s">
        <v>78</v>
      </c>
      <c r="H5" s="78" t="s">
        <v>79</v>
      </c>
      <c r="I5" s="79" t="s">
        <v>80</v>
      </c>
      <c r="J5" s="80" t="s">
        <v>81</v>
      </c>
      <c r="K5" s="80"/>
    </row>
    <row r="6" spans="1:11" ht="25.5" x14ac:dyDescent="0.2">
      <c r="A6" s="81" t="s">
        <v>82</v>
      </c>
      <c r="B6" s="82" t="s">
        <v>83</v>
      </c>
      <c r="C6" s="83" t="s">
        <v>84</v>
      </c>
      <c r="D6" s="82" t="s">
        <v>85</v>
      </c>
      <c r="E6" s="82" t="s">
        <v>86</v>
      </c>
      <c r="F6" s="82" t="s">
        <v>87</v>
      </c>
      <c r="G6" s="82" t="s">
        <v>88</v>
      </c>
      <c r="H6" s="83" t="s">
        <v>89</v>
      </c>
      <c r="I6" s="84" t="s">
        <v>90</v>
      </c>
      <c r="J6" s="85" t="s">
        <v>91</v>
      </c>
      <c r="K6" s="85" t="s">
        <v>92</v>
      </c>
    </row>
    <row r="7" spans="1:11" x14ac:dyDescent="0.2">
      <c r="A7" s="46">
        <v>1</v>
      </c>
      <c r="B7" s="86" t="s">
        <v>93</v>
      </c>
      <c r="C7" s="47"/>
      <c r="D7" s="39"/>
      <c r="E7" s="39"/>
      <c r="F7" s="39"/>
      <c r="G7" s="39"/>
      <c r="H7" s="47"/>
      <c r="I7" s="76"/>
      <c r="J7" s="38"/>
      <c r="K7" s="38"/>
    </row>
    <row r="8" spans="1:11" ht="13.5" thickBot="1" x14ac:dyDescent="0.25">
      <c r="A8" s="46">
        <f>A7+1</f>
        <v>2</v>
      </c>
      <c r="B8" s="44" t="s">
        <v>94</v>
      </c>
      <c r="C8" s="87">
        <f>SUM(D8:J8)</f>
        <v>1</v>
      </c>
      <c r="D8" s="48">
        <v>0.42505368595797255</v>
      </c>
      <c r="E8" s="48">
        <v>0.10072444513162768</v>
      </c>
      <c r="F8" s="48">
        <v>0.25681535883102319</v>
      </c>
      <c r="G8" s="48">
        <v>0.10604603812367087</v>
      </c>
      <c r="H8" s="49">
        <v>8.2936028027408307E-2</v>
      </c>
      <c r="I8" s="88">
        <v>2.3789660196129943E-2</v>
      </c>
      <c r="J8" s="61">
        <v>4.6347837321674612E-3</v>
      </c>
      <c r="K8" s="96" t="s">
        <v>102</v>
      </c>
    </row>
    <row r="9" spans="1:11" ht="13.5" thickBot="1" x14ac:dyDescent="0.25">
      <c r="A9" s="46">
        <f t="shared" ref="A9:A19" si="0">A8+1</f>
        <v>3</v>
      </c>
      <c r="B9" s="44" t="s">
        <v>105</v>
      </c>
      <c r="C9" s="94">
        <f>SUM(D9:J9)</f>
        <v>-5881707.8544475939</v>
      </c>
      <c r="D9" s="51">
        <f>D10*D11</f>
        <v>-2510633.3090100004</v>
      </c>
      <c r="E9" s="51">
        <f t="shared" ref="E9:J9" si="1">E10*E11</f>
        <v>-609553.80927999993</v>
      </c>
      <c r="F9" s="51">
        <f t="shared" si="1"/>
        <v>-1508646.8050499998</v>
      </c>
      <c r="G9" s="51">
        <f t="shared" si="1"/>
        <v>-608209.46043156984</v>
      </c>
      <c r="H9" s="52">
        <f t="shared" si="1"/>
        <v>-475044.42203602259</v>
      </c>
      <c r="I9" s="70">
        <f t="shared" si="1"/>
        <v>-143278.88287999999</v>
      </c>
      <c r="J9" s="50">
        <f t="shared" si="1"/>
        <v>-26341.165759999996</v>
      </c>
      <c r="K9" s="45"/>
    </row>
    <row r="10" spans="1:11" x14ac:dyDescent="0.2">
      <c r="A10" s="46">
        <f t="shared" si="0"/>
        <v>4</v>
      </c>
      <c r="B10" s="44" t="s">
        <v>95</v>
      </c>
      <c r="C10" s="53">
        <f>SUM(D10:J10)</f>
        <v>5689806233.2782707</v>
      </c>
      <c r="D10" s="42">
        <v>2437508067</v>
      </c>
      <c r="E10" s="42">
        <v>586109432</v>
      </c>
      <c r="F10" s="42">
        <v>1436806481</v>
      </c>
      <c r="G10" s="42">
        <v>596283784.7368331</v>
      </c>
      <c r="H10" s="53">
        <v>479842850.54143697</v>
      </c>
      <c r="I10" s="89">
        <v>127927574</v>
      </c>
      <c r="J10" s="41">
        <v>25328044</v>
      </c>
      <c r="K10" s="96" t="s">
        <v>103</v>
      </c>
    </row>
    <row r="11" spans="1:11" x14ac:dyDescent="0.2">
      <c r="A11" s="46">
        <f t="shared" si="0"/>
        <v>5</v>
      </c>
      <c r="B11" s="44" t="s">
        <v>96</v>
      </c>
      <c r="C11" s="58"/>
      <c r="D11" s="97">
        <f>ROUND(D19,5)</f>
        <v>-1.0300000000000001E-3</v>
      </c>
      <c r="E11" s="97">
        <f t="shared" ref="E11:J11" si="2">ROUND(E19,5)</f>
        <v>-1.0399999999999999E-3</v>
      </c>
      <c r="F11" s="97">
        <f t="shared" si="2"/>
        <v>-1.0499999999999999E-3</v>
      </c>
      <c r="G11" s="97">
        <f t="shared" si="2"/>
        <v>-1.0200000000000001E-3</v>
      </c>
      <c r="H11" s="98">
        <f t="shared" si="2"/>
        <v>-9.8999999999999999E-4</v>
      </c>
      <c r="I11" s="99">
        <f t="shared" si="2"/>
        <v>-1.1199999999999999E-3</v>
      </c>
      <c r="J11" s="100">
        <f t="shared" si="2"/>
        <v>-1.0399999999999999E-3</v>
      </c>
      <c r="K11" s="45"/>
    </row>
    <row r="12" spans="1:11" x14ac:dyDescent="0.2">
      <c r="A12" s="46">
        <f t="shared" si="0"/>
        <v>6</v>
      </c>
      <c r="B12" s="44" t="s">
        <v>97</v>
      </c>
      <c r="C12" s="55">
        <f>SUM(D12:J12)</f>
        <v>2922458</v>
      </c>
      <c r="D12" s="40">
        <v>2494197</v>
      </c>
      <c r="E12" s="40">
        <v>369788</v>
      </c>
      <c r="F12" s="40">
        <v>24074</v>
      </c>
      <c r="G12" s="40">
        <v>241</v>
      </c>
      <c r="H12" s="55">
        <v>12</v>
      </c>
      <c r="I12" s="90">
        <v>34146</v>
      </c>
      <c r="J12" s="54"/>
      <c r="K12" s="45"/>
    </row>
    <row r="13" spans="1:11" x14ac:dyDescent="0.2">
      <c r="A13" s="46">
        <f t="shared" si="0"/>
        <v>7</v>
      </c>
      <c r="B13" s="44" t="s">
        <v>98</v>
      </c>
      <c r="C13" s="58"/>
      <c r="D13" s="56">
        <f>(D10/D12)*D11</f>
        <v>-1.006589819893938</v>
      </c>
      <c r="E13" s="56">
        <f t="shared" ref="E13:I13" si="3">(E10/E12)*E11</f>
        <v>-1.6483872091035943</v>
      </c>
      <c r="F13" s="56">
        <f t="shared" si="3"/>
        <v>-62.667060108415711</v>
      </c>
      <c r="G13" s="56">
        <f t="shared" si="3"/>
        <v>-2523.6907071849369</v>
      </c>
      <c r="H13" s="57">
        <f t="shared" si="3"/>
        <v>-39587.035169668547</v>
      </c>
      <c r="I13" s="71">
        <f t="shared" si="3"/>
        <v>-4.196066387863878</v>
      </c>
      <c r="J13" s="62"/>
      <c r="K13" s="45"/>
    </row>
    <row r="14" spans="1:11" x14ac:dyDescent="0.2">
      <c r="A14" s="59">
        <f t="shared" si="0"/>
        <v>8</v>
      </c>
      <c r="B14" s="67" t="s">
        <v>99</v>
      </c>
      <c r="C14" s="69"/>
      <c r="D14" s="72">
        <f>(D10/(D12/12))*D11</f>
        <v>-12.079077838727255</v>
      </c>
      <c r="E14" s="72">
        <f t="shared" ref="E14:I14" si="4">(E10/(E12/12))*E11</f>
        <v>-19.78064650924313</v>
      </c>
      <c r="F14" s="72">
        <f t="shared" si="4"/>
        <v>-752.00472130098854</v>
      </c>
      <c r="G14" s="72">
        <f t="shared" si="4"/>
        <v>-30284.288486219244</v>
      </c>
      <c r="H14" s="91">
        <f t="shared" si="4"/>
        <v>-475044.42203602259</v>
      </c>
      <c r="I14" s="73">
        <f t="shared" si="4"/>
        <v>-50.352796654366536</v>
      </c>
      <c r="J14" s="74"/>
      <c r="K14" s="60"/>
    </row>
    <row r="15" spans="1:11" x14ac:dyDescent="0.2">
      <c r="A15" s="46">
        <f t="shared" si="0"/>
        <v>9</v>
      </c>
      <c r="B15" s="44"/>
      <c r="C15" s="58"/>
      <c r="D15" s="56"/>
      <c r="E15" s="56"/>
      <c r="F15" s="56"/>
      <c r="G15" s="56"/>
      <c r="H15" s="57"/>
      <c r="I15" s="71"/>
      <c r="J15" s="62"/>
      <c r="K15" s="45"/>
    </row>
    <row r="16" spans="1:11" ht="13.5" thickBot="1" x14ac:dyDescent="0.25">
      <c r="A16" s="46">
        <f t="shared" si="0"/>
        <v>10</v>
      </c>
      <c r="B16" s="86" t="s">
        <v>107</v>
      </c>
      <c r="C16" s="58"/>
      <c r="D16" s="44"/>
      <c r="E16" s="44"/>
      <c r="F16" s="44"/>
      <c r="G16" s="44"/>
      <c r="H16" s="58"/>
      <c r="I16" s="43"/>
      <c r="J16" s="45"/>
      <c r="K16" s="45"/>
    </row>
    <row r="17" spans="1:11" ht="13.5" thickBot="1" x14ac:dyDescent="0.25">
      <c r="A17" s="46">
        <f t="shared" si="0"/>
        <v>11</v>
      </c>
      <c r="B17" s="44" t="s">
        <v>106</v>
      </c>
      <c r="C17" s="95">
        <f>SUM(D17:J17)</f>
        <v>-8613493.1570690386</v>
      </c>
      <c r="D17" s="51">
        <f>D8*Rebate!$J$21</f>
        <v>-3661197.0153859686</v>
      </c>
      <c r="E17" s="51">
        <f>E8*Rebate!$J$21</f>
        <v>-867589.31889085087</v>
      </c>
      <c r="F17" s="51">
        <f>F8*Rebate!$J$21</f>
        <v>-2212077.335921248</v>
      </c>
      <c r="G17" s="51">
        <f>G8*Rebate!$J$21</f>
        <v>-913426.82371252147</v>
      </c>
      <c r="H17" s="52">
        <f>H8*Rebate!$J$21</f>
        <v>-714368.9098885674</v>
      </c>
      <c r="I17" s="70">
        <f>I8*Rebate!$J$21</f>
        <v>-204912.07530836295</v>
      </c>
      <c r="J17" s="50">
        <f>J8*Rebate!$J$21</f>
        <v>-39921.67796151933</v>
      </c>
      <c r="K17" s="45"/>
    </row>
    <row r="18" spans="1:11" ht="13.5" thickBot="1" x14ac:dyDescent="0.25">
      <c r="A18" s="46">
        <f t="shared" si="0"/>
        <v>12</v>
      </c>
      <c r="B18" s="44" t="s">
        <v>100</v>
      </c>
      <c r="C18" s="53">
        <f>SUM(D18:J18)</f>
        <v>8347293891</v>
      </c>
      <c r="D18" s="42">
        <v>3563388464</v>
      </c>
      <c r="E18" s="42">
        <v>836891898</v>
      </c>
      <c r="F18" s="42">
        <v>2109870302</v>
      </c>
      <c r="G18" s="42">
        <v>895005205</v>
      </c>
      <c r="H18" s="53">
        <v>720230635</v>
      </c>
      <c r="I18" s="89">
        <v>183456283</v>
      </c>
      <c r="J18" s="41">
        <v>38451104</v>
      </c>
      <c r="K18" s="45"/>
    </row>
    <row r="19" spans="1:11" ht="13.5" thickBot="1" x14ac:dyDescent="0.25">
      <c r="A19" s="59">
        <f t="shared" si="0"/>
        <v>13</v>
      </c>
      <c r="B19" s="101" t="s">
        <v>96</v>
      </c>
      <c r="C19" s="102"/>
      <c r="D19" s="103">
        <f>D17/D18</f>
        <v>-1.027448186571322E-3</v>
      </c>
      <c r="E19" s="103">
        <f t="shared" ref="E19:J19" si="5">E17/E18</f>
        <v>-1.0366802701331098E-3</v>
      </c>
      <c r="F19" s="103">
        <f t="shared" si="5"/>
        <v>-1.048442330234405E-3</v>
      </c>
      <c r="G19" s="103">
        <f t="shared" si="5"/>
        <v>-1.0205826945023425E-3</v>
      </c>
      <c r="H19" s="104">
        <f>H17/H18</f>
        <v>-9.9186132215629439E-4</v>
      </c>
      <c r="I19" s="105">
        <f t="shared" si="5"/>
        <v>-1.1169531615788976E-3</v>
      </c>
      <c r="J19" s="106">
        <f t="shared" si="5"/>
        <v>-1.0382452987960848E-3</v>
      </c>
      <c r="K19" s="60"/>
    </row>
    <row r="20" spans="1:11" x14ac:dyDescent="0.2">
      <c r="A20" s="63"/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2" spans="1:11" x14ac:dyDescent="0.2">
      <c r="A22" s="92" t="s">
        <v>102</v>
      </c>
      <c r="B22" s="44" t="s">
        <v>101</v>
      </c>
    </row>
    <row r="23" spans="1:11" x14ac:dyDescent="0.2">
      <c r="A23" s="92" t="s">
        <v>103</v>
      </c>
      <c r="B23" s="44" t="s">
        <v>108</v>
      </c>
    </row>
  </sheetData>
  <pageMargins left="0.7" right="0.7" top="0.75" bottom="0.75" header="0.3" footer="0.3"/>
  <pageSetup paperSize="5" orientation="landscape" r:id="rId1"/>
  <headerFooter>
    <oddHeader>&amp;RExhibit No.___ (CRM-4)
Dockets UE-140188/UG-140189
Page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U35"/>
  <sheetViews>
    <sheetView workbookViewId="0">
      <selection activeCell="G33" sqref="G33"/>
    </sheetView>
  </sheetViews>
  <sheetFormatPr defaultRowHeight="12.75" x14ac:dyDescent="0.2"/>
  <cols>
    <col min="1" max="1" width="2.5703125" customWidth="1"/>
    <col min="2" max="2" width="5.85546875" customWidth="1"/>
    <col min="3" max="4" width="13.140625" customWidth="1"/>
    <col min="7" max="7" width="12.7109375" bestFit="1" customWidth="1"/>
    <col min="9" max="9" width="5.5703125" customWidth="1"/>
    <col min="10" max="10" width="13.42578125" customWidth="1"/>
    <col min="11" max="11" width="10.5703125" customWidth="1"/>
    <col min="14" max="14" width="10.42578125" customWidth="1"/>
    <col min="16" max="16" width="5.28515625" customWidth="1"/>
    <col min="17" max="17" width="13.5703125" customWidth="1"/>
    <col min="18" max="18" width="10.5703125" customWidth="1"/>
    <col min="20" max="20" width="7.42578125" customWidth="1"/>
    <col min="21" max="21" width="11.140625" customWidth="1"/>
  </cols>
  <sheetData>
    <row r="3" spans="2:21" x14ac:dyDescent="0.2">
      <c r="D3" s="1"/>
      <c r="E3" s="1" t="s">
        <v>18</v>
      </c>
      <c r="F3" s="1"/>
      <c r="G3" s="1"/>
      <c r="K3" s="1"/>
      <c r="L3" s="1" t="s">
        <v>18</v>
      </c>
      <c r="M3" s="1"/>
      <c r="N3" s="1"/>
      <c r="R3" s="1"/>
      <c r="S3" s="1" t="s">
        <v>18</v>
      </c>
      <c r="T3" s="1"/>
      <c r="U3" s="1"/>
    </row>
    <row r="4" spans="2:21" x14ac:dyDescent="0.2">
      <c r="D4" s="14" t="s">
        <v>19</v>
      </c>
      <c r="E4" s="14" t="s">
        <v>20</v>
      </c>
      <c r="F4" s="14"/>
      <c r="G4" s="14" t="s">
        <v>2</v>
      </c>
      <c r="K4" s="14" t="s">
        <v>19</v>
      </c>
      <c r="L4" s="14" t="s">
        <v>20</v>
      </c>
      <c r="M4" s="14"/>
      <c r="N4" s="14" t="s">
        <v>2</v>
      </c>
      <c r="R4" s="14" t="s">
        <v>19</v>
      </c>
      <c r="S4" s="14" t="s">
        <v>20</v>
      </c>
      <c r="T4" s="14"/>
      <c r="U4" s="14" t="s">
        <v>2</v>
      </c>
    </row>
    <row r="5" spans="2:21" x14ac:dyDescent="0.2">
      <c r="B5" s="15">
        <v>2014</v>
      </c>
      <c r="I5" s="15">
        <v>2015</v>
      </c>
      <c r="K5" s="16"/>
      <c r="L5" s="17"/>
      <c r="N5" s="18"/>
      <c r="P5" s="15" t="s">
        <v>21</v>
      </c>
      <c r="R5" s="16"/>
      <c r="S5" s="17"/>
      <c r="U5" s="18"/>
    </row>
    <row r="6" spans="2:21" x14ac:dyDescent="0.2">
      <c r="B6" t="s">
        <v>22</v>
      </c>
      <c r="D6" s="19">
        <v>1275706</v>
      </c>
      <c r="E6" s="17">
        <f>G6/D6</f>
        <v>5.3467444693369792</v>
      </c>
      <c r="G6" s="18">
        <v>6820874</v>
      </c>
      <c r="I6" t="s">
        <v>22</v>
      </c>
      <c r="K6" s="19">
        <v>151219</v>
      </c>
      <c r="L6" s="17">
        <f>N6/K6</f>
        <v>6.0485520999345317</v>
      </c>
      <c r="N6" s="18">
        <v>914656</v>
      </c>
      <c r="P6" t="s">
        <v>22</v>
      </c>
      <c r="R6" s="19">
        <v>0</v>
      </c>
      <c r="S6" s="17">
        <v>0</v>
      </c>
      <c r="U6" s="18">
        <v>0</v>
      </c>
    </row>
    <row r="7" spans="2:21" x14ac:dyDescent="0.2">
      <c r="B7" t="s">
        <v>23</v>
      </c>
      <c r="D7" s="16"/>
      <c r="E7" s="17"/>
      <c r="G7" s="18"/>
      <c r="I7" t="s">
        <v>23</v>
      </c>
      <c r="K7" s="16"/>
      <c r="L7" s="17"/>
      <c r="N7" s="18"/>
      <c r="P7" t="s">
        <v>23</v>
      </c>
      <c r="R7" s="16"/>
      <c r="S7" s="17"/>
      <c r="U7" s="18"/>
    </row>
    <row r="8" spans="2:21" x14ac:dyDescent="0.2">
      <c r="C8" t="s">
        <v>24</v>
      </c>
      <c r="D8" s="19">
        <v>138000</v>
      </c>
      <c r="E8" s="17">
        <v>4</v>
      </c>
      <c r="G8" s="18">
        <f>D8*E8</f>
        <v>552000</v>
      </c>
      <c r="J8" t="s">
        <v>24</v>
      </c>
      <c r="K8" s="19">
        <f>921000-K9</f>
        <v>921000</v>
      </c>
      <c r="L8" s="17">
        <v>4</v>
      </c>
      <c r="N8" s="18">
        <f>K8*L8</f>
        <v>3684000</v>
      </c>
      <c r="Q8" t="s">
        <v>24</v>
      </c>
      <c r="R8" s="19">
        <f>200000-R9</f>
        <v>200000</v>
      </c>
      <c r="S8" s="17">
        <v>5</v>
      </c>
      <c r="U8" s="18">
        <f>R8*S8</f>
        <v>1000000</v>
      </c>
    </row>
    <row r="9" spans="2:21" x14ac:dyDescent="0.2">
      <c r="C9" t="s">
        <v>25</v>
      </c>
      <c r="D9" s="19"/>
      <c r="E9" s="17"/>
      <c r="G9" s="18"/>
      <c r="J9" t="s">
        <v>25</v>
      </c>
      <c r="K9" s="19">
        <v>0</v>
      </c>
      <c r="L9" s="17">
        <v>25</v>
      </c>
      <c r="N9" s="18">
        <f>K9*L9</f>
        <v>0</v>
      </c>
      <c r="Q9" t="s">
        <v>25</v>
      </c>
      <c r="R9" s="19">
        <v>0</v>
      </c>
      <c r="S9" s="17">
        <v>25</v>
      </c>
      <c r="U9" s="18">
        <f>R9*S9</f>
        <v>0</v>
      </c>
    </row>
    <row r="10" spans="2:21" x14ac:dyDescent="0.2">
      <c r="C10" t="s">
        <v>26</v>
      </c>
      <c r="D10" s="19">
        <v>1081000</v>
      </c>
      <c r="E10" s="17">
        <v>1</v>
      </c>
      <c r="G10" s="18">
        <f t="shared" ref="G10:G11" si="0">D10*E10</f>
        <v>1081000</v>
      </c>
      <c r="J10" t="s">
        <v>26</v>
      </c>
      <c r="K10" s="19">
        <v>0</v>
      </c>
      <c r="L10" s="17">
        <v>0</v>
      </c>
      <c r="N10" s="18">
        <f t="shared" ref="N10:N11" si="1">K10*L10</f>
        <v>0</v>
      </c>
      <c r="Q10" t="s">
        <v>26</v>
      </c>
      <c r="R10" s="19">
        <v>0</v>
      </c>
      <c r="S10" s="17">
        <v>0</v>
      </c>
      <c r="U10" s="18">
        <f t="shared" ref="U10:U11" si="2">R10*S10</f>
        <v>0</v>
      </c>
    </row>
    <row r="11" spans="2:21" x14ac:dyDescent="0.2">
      <c r="C11" s="5" t="s">
        <v>27</v>
      </c>
      <c r="D11" s="20">
        <v>1521000</v>
      </c>
      <c r="E11" s="21">
        <v>0</v>
      </c>
      <c r="F11" s="5"/>
      <c r="G11" s="22">
        <f t="shared" si="0"/>
        <v>0</v>
      </c>
      <c r="J11" s="5" t="s">
        <v>27</v>
      </c>
      <c r="K11" s="20">
        <v>2721000</v>
      </c>
      <c r="L11" s="21">
        <v>0</v>
      </c>
      <c r="M11" s="5"/>
      <c r="N11" s="22">
        <f t="shared" si="1"/>
        <v>0</v>
      </c>
      <c r="Q11" s="5" t="s">
        <v>27</v>
      </c>
      <c r="R11" s="20">
        <v>2721000</v>
      </c>
      <c r="S11" s="21">
        <v>0</v>
      </c>
      <c r="T11" s="5"/>
      <c r="U11" s="22">
        <f t="shared" si="2"/>
        <v>0</v>
      </c>
    </row>
    <row r="12" spans="2:21" x14ac:dyDescent="0.2">
      <c r="C12" s="23" t="s">
        <v>9</v>
      </c>
      <c r="D12" s="19"/>
      <c r="E12" s="17"/>
      <c r="G12" s="18">
        <f>SUM(G6:G11)</f>
        <v>8453874</v>
      </c>
      <c r="J12" s="23" t="s">
        <v>9</v>
      </c>
      <c r="K12" s="16"/>
      <c r="N12" s="18">
        <f>SUM(N6:N11)</f>
        <v>4598656</v>
      </c>
      <c r="Q12" s="23" t="s">
        <v>9</v>
      </c>
      <c r="R12" s="16"/>
      <c r="U12" s="18">
        <f>SUM(U6:U11)</f>
        <v>1000000</v>
      </c>
    </row>
    <row r="13" spans="2:21" x14ac:dyDescent="0.2">
      <c r="D13" s="19"/>
      <c r="E13" s="17"/>
      <c r="G13" s="18"/>
    </row>
    <row r="14" spans="2:21" x14ac:dyDescent="0.2">
      <c r="B14" t="s">
        <v>3</v>
      </c>
      <c r="D14" s="19"/>
      <c r="E14" s="17"/>
      <c r="G14" s="18"/>
      <c r="I14" t="s">
        <v>3</v>
      </c>
      <c r="K14" s="19"/>
      <c r="L14" s="17"/>
      <c r="N14" s="18"/>
      <c r="P14" t="s">
        <v>3</v>
      </c>
      <c r="R14" s="19"/>
      <c r="S14" s="17"/>
      <c r="U14" s="18"/>
    </row>
    <row r="15" spans="2:21" x14ac:dyDescent="0.2">
      <c r="C15" t="s">
        <v>28</v>
      </c>
      <c r="D15" s="19"/>
      <c r="E15" s="17"/>
      <c r="G15" s="18">
        <v>25000</v>
      </c>
      <c r="J15" t="s">
        <v>28</v>
      </c>
      <c r="K15" s="19"/>
      <c r="L15" s="17"/>
      <c r="N15" s="18">
        <v>25000</v>
      </c>
      <c r="Q15" t="s">
        <v>28</v>
      </c>
      <c r="R15" s="19"/>
      <c r="S15" s="17"/>
      <c r="U15" s="18">
        <v>25000</v>
      </c>
    </row>
    <row r="16" spans="2:21" x14ac:dyDescent="0.2">
      <c r="C16" t="s">
        <v>29</v>
      </c>
      <c r="D16" s="19"/>
      <c r="E16" s="17"/>
      <c r="G16" s="18">
        <v>10000</v>
      </c>
      <c r="J16" t="s">
        <v>29</v>
      </c>
      <c r="K16" s="19"/>
      <c r="L16" s="17"/>
      <c r="N16" s="18">
        <v>10000</v>
      </c>
      <c r="Q16" t="s">
        <v>29</v>
      </c>
      <c r="R16" s="19"/>
      <c r="S16" s="17"/>
      <c r="U16" s="18">
        <v>10000</v>
      </c>
    </row>
    <row r="17" spans="3:21" x14ac:dyDescent="0.2">
      <c r="C17" t="s">
        <v>30</v>
      </c>
      <c r="D17" s="19"/>
      <c r="E17" s="17"/>
      <c r="G17" s="18">
        <v>10000</v>
      </c>
      <c r="J17" t="s">
        <v>30</v>
      </c>
      <c r="K17" s="19"/>
      <c r="L17" s="17"/>
      <c r="N17" s="18">
        <v>10000</v>
      </c>
      <c r="Q17" t="s">
        <v>30</v>
      </c>
      <c r="R17" s="19"/>
      <c r="S17" s="17"/>
      <c r="U17" s="18">
        <v>10000</v>
      </c>
    </row>
    <row r="18" spans="3:21" x14ac:dyDescent="0.2">
      <c r="C18" s="5" t="s">
        <v>27</v>
      </c>
      <c r="D18" s="20"/>
      <c r="E18" s="21"/>
      <c r="F18" s="5"/>
      <c r="G18" s="22">
        <v>25000</v>
      </c>
      <c r="J18" s="5" t="s">
        <v>27</v>
      </c>
      <c r="K18" s="20"/>
      <c r="L18" s="21"/>
      <c r="M18" s="5"/>
      <c r="N18" s="22">
        <v>25000</v>
      </c>
      <c r="Q18" s="5" t="s">
        <v>27</v>
      </c>
      <c r="R18" s="20"/>
      <c r="S18" s="21"/>
      <c r="T18" s="5"/>
      <c r="U18" s="22">
        <v>25000</v>
      </c>
    </row>
    <row r="19" spans="3:21" x14ac:dyDescent="0.2">
      <c r="C19" s="23" t="s">
        <v>9</v>
      </c>
      <c r="D19" s="19"/>
      <c r="E19" s="17"/>
      <c r="G19" s="18">
        <f>SUM(G15:G18)</f>
        <v>70000</v>
      </c>
      <c r="J19" s="23" t="s">
        <v>9</v>
      </c>
      <c r="K19" s="19"/>
      <c r="L19" s="17"/>
      <c r="N19" s="18">
        <f>SUM(N15:N18)</f>
        <v>70000</v>
      </c>
      <c r="Q19" s="23" t="s">
        <v>9</v>
      </c>
      <c r="R19" s="19"/>
      <c r="S19" s="17"/>
      <c r="U19" s="18">
        <f>SUM(U15:U18)</f>
        <v>70000</v>
      </c>
    </row>
    <row r="20" spans="3:21" x14ac:dyDescent="0.2">
      <c r="D20" s="19"/>
      <c r="E20" s="17"/>
      <c r="G20" s="18"/>
      <c r="K20" s="19"/>
      <c r="L20" s="17"/>
      <c r="N20" s="18"/>
      <c r="R20" s="19"/>
      <c r="S20" s="17"/>
      <c r="U20" s="18"/>
    </row>
    <row r="21" spans="3:21" x14ac:dyDescent="0.2">
      <c r="C21" t="s">
        <v>31</v>
      </c>
      <c r="D21" s="16"/>
      <c r="E21" s="17"/>
      <c r="G21" s="18">
        <f>G12-G19</f>
        <v>8383874</v>
      </c>
      <c r="J21" t="s">
        <v>31</v>
      </c>
      <c r="K21" s="16"/>
      <c r="L21" s="17"/>
      <c r="N21" s="18">
        <f>N12-N19</f>
        <v>4528656</v>
      </c>
      <c r="Q21" t="s">
        <v>31</v>
      </c>
      <c r="R21" s="16"/>
      <c r="S21" s="17"/>
      <c r="U21" s="18">
        <f>U12-U19/2</f>
        <v>965000</v>
      </c>
    </row>
    <row r="22" spans="3:21" x14ac:dyDescent="0.2">
      <c r="C22" t="s">
        <v>32</v>
      </c>
      <c r="D22" s="16"/>
      <c r="E22" s="17"/>
      <c r="G22" s="18">
        <f>G21*0.6524</f>
        <v>5469639.3975999998</v>
      </c>
      <c r="J22" t="s">
        <v>32</v>
      </c>
      <c r="K22" s="16"/>
      <c r="L22" s="17"/>
      <c r="N22" s="18">
        <f>N21*0.6501</f>
        <v>2944079.2656</v>
      </c>
      <c r="Q22" t="s">
        <v>32</v>
      </c>
      <c r="R22" s="16"/>
      <c r="S22" s="17"/>
      <c r="U22" s="18">
        <f>U21*0.6501</f>
        <v>627346.5</v>
      </c>
    </row>
    <row r="23" spans="3:21" x14ac:dyDescent="0.2">
      <c r="D23" s="16"/>
      <c r="E23" s="17"/>
      <c r="G23" s="18"/>
      <c r="K23" s="16"/>
      <c r="L23" s="17"/>
      <c r="N23" s="18"/>
      <c r="R23" s="16"/>
      <c r="S23" s="17"/>
      <c r="U23" s="18"/>
    </row>
    <row r="24" spans="3:21" x14ac:dyDescent="0.2">
      <c r="C24" t="s">
        <v>33</v>
      </c>
      <c r="D24" s="16"/>
      <c r="E24" s="17"/>
      <c r="G24" s="18">
        <v>162500</v>
      </c>
      <c r="J24" t="s">
        <v>33</v>
      </c>
      <c r="K24" s="16"/>
      <c r="L24" s="17"/>
      <c r="N24" s="18">
        <f>50000*1.1</f>
        <v>55000.000000000007</v>
      </c>
      <c r="Q24" t="s">
        <v>33</v>
      </c>
      <c r="R24" s="16"/>
      <c r="S24" s="17"/>
      <c r="U24" s="18">
        <v>0</v>
      </c>
    </row>
    <row r="25" spans="3:21" x14ac:dyDescent="0.2">
      <c r="C25" t="s">
        <v>34</v>
      </c>
      <c r="D25" s="16"/>
      <c r="E25" s="17"/>
      <c r="G25" s="18">
        <v>725000</v>
      </c>
      <c r="J25" t="s">
        <v>34</v>
      </c>
      <c r="K25" s="16"/>
      <c r="L25" s="17"/>
      <c r="N25" s="18">
        <v>725000</v>
      </c>
      <c r="Q25" t="s">
        <v>34</v>
      </c>
      <c r="R25" s="16"/>
      <c r="S25" s="17"/>
      <c r="U25" s="18">
        <v>0</v>
      </c>
    </row>
    <row r="26" spans="3:21" ht="13.5" thickBot="1" x14ac:dyDescent="0.25">
      <c r="D26" s="16"/>
      <c r="E26" s="17"/>
      <c r="G26" s="18"/>
      <c r="K26" s="16"/>
      <c r="L26" s="17"/>
      <c r="N26" s="18"/>
      <c r="R26" s="16"/>
      <c r="S26" s="17"/>
      <c r="U26" s="18"/>
    </row>
    <row r="27" spans="3:21" ht="13.5" thickBot="1" x14ac:dyDescent="0.25">
      <c r="C27" s="24" t="s">
        <v>35</v>
      </c>
      <c r="D27" s="25"/>
      <c r="E27" s="26"/>
      <c r="F27" s="27"/>
      <c r="G27" s="28">
        <f>G22+G24-G25</f>
        <v>4907139.3975999998</v>
      </c>
      <c r="J27" s="24" t="s">
        <v>35</v>
      </c>
      <c r="K27" s="25"/>
      <c r="L27" s="26"/>
      <c r="M27" s="27"/>
      <c r="N27" s="28">
        <f>N22+N24-N25</f>
        <v>2274079.2656</v>
      </c>
      <c r="Q27" s="24" t="s">
        <v>35</v>
      </c>
      <c r="R27" s="25"/>
      <c r="S27" s="26"/>
      <c r="T27" s="27"/>
      <c r="U27" s="28">
        <f>U22+U24-U25</f>
        <v>627346.5</v>
      </c>
    </row>
    <row r="28" spans="3:21" x14ac:dyDescent="0.2">
      <c r="D28" s="16"/>
      <c r="E28" s="17"/>
      <c r="G28" s="18"/>
    </row>
    <row r="29" spans="3:21" x14ac:dyDescent="0.2">
      <c r="C29" t="s">
        <v>36</v>
      </c>
      <c r="G29" s="29">
        <v>3410297</v>
      </c>
      <c r="J29" t="s">
        <v>36</v>
      </c>
      <c r="N29">
        <v>0</v>
      </c>
      <c r="Q29" t="s">
        <v>36</v>
      </c>
      <c r="U29">
        <v>0</v>
      </c>
    </row>
    <row r="30" spans="3:21" x14ac:dyDescent="0.2">
      <c r="G30" s="29"/>
    </row>
    <row r="31" spans="3:21" x14ac:dyDescent="0.2">
      <c r="C31" t="s">
        <v>37</v>
      </c>
      <c r="G31" s="29">
        <v>882335</v>
      </c>
      <c r="J31" t="s">
        <v>37</v>
      </c>
      <c r="N31">
        <v>0</v>
      </c>
      <c r="Q31" t="s">
        <v>37</v>
      </c>
      <c r="U31">
        <v>0</v>
      </c>
    </row>
    <row r="32" spans="3:21" x14ac:dyDescent="0.2">
      <c r="G32" s="29"/>
    </row>
    <row r="33" spans="3:21" x14ac:dyDescent="0.2">
      <c r="C33" t="s">
        <v>38</v>
      </c>
      <c r="G33" s="29">
        <f>G29-G31</f>
        <v>2527962</v>
      </c>
      <c r="J33" t="s">
        <v>38</v>
      </c>
      <c r="N33">
        <f>N29-N31</f>
        <v>0</v>
      </c>
      <c r="Q33" t="s">
        <v>38</v>
      </c>
      <c r="U33">
        <f>U29-U31</f>
        <v>0</v>
      </c>
    </row>
    <row r="34" spans="3:21" ht="13.5" thickBot="1" x14ac:dyDescent="0.25"/>
    <row r="35" spans="3:21" ht="13.5" thickBot="1" x14ac:dyDescent="0.25">
      <c r="C35" s="30" t="s">
        <v>39</v>
      </c>
      <c r="D35" s="31"/>
      <c r="E35" s="31"/>
      <c r="F35" s="31"/>
      <c r="G35" s="32">
        <f>G27-G33</f>
        <v>2379177.3975999998</v>
      </c>
      <c r="J35" s="30" t="s">
        <v>39</v>
      </c>
      <c r="K35" s="31"/>
      <c r="L35" s="31"/>
      <c r="M35" s="31"/>
      <c r="N35" s="32">
        <f>N27-N33</f>
        <v>2274079.2656</v>
      </c>
      <c r="Q35" s="30" t="s">
        <v>39</v>
      </c>
      <c r="R35" s="31"/>
      <c r="S35" s="31"/>
      <c r="T35" s="31"/>
      <c r="U35" s="32">
        <f>U27-U33</f>
        <v>627346.5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2"/>
  <sheetViews>
    <sheetView workbookViewId="0">
      <selection activeCell="B19" sqref="B19"/>
    </sheetView>
  </sheetViews>
  <sheetFormatPr defaultRowHeight="12.75" x14ac:dyDescent="0.2"/>
  <cols>
    <col min="1" max="1" width="29.42578125" bestFit="1" customWidth="1"/>
    <col min="2" max="19" width="12.5703125" bestFit="1" customWidth="1"/>
    <col min="20" max="20" width="14.28515625" bestFit="1" customWidth="1"/>
  </cols>
  <sheetData>
    <row r="4" spans="1:20" x14ac:dyDescent="0.2">
      <c r="B4" s="1" t="s">
        <v>40</v>
      </c>
      <c r="C4" s="1" t="s">
        <v>41</v>
      </c>
      <c r="D4" s="1" t="s">
        <v>42</v>
      </c>
      <c r="E4" s="1" t="s">
        <v>43</v>
      </c>
      <c r="F4" s="1" t="s">
        <v>44</v>
      </c>
      <c r="G4" s="1" t="s">
        <v>45</v>
      </c>
      <c r="H4" s="1" t="s">
        <v>46</v>
      </c>
      <c r="I4" s="1" t="s">
        <v>47</v>
      </c>
      <c r="J4" s="1" t="s">
        <v>48</v>
      </c>
      <c r="K4" s="1" t="s">
        <v>49</v>
      </c>
      <c r="L4" s="1" t="s">
        <v>50</v>
      </c>
      <c r="M4" s="1" t="s">
        <v>51</v>
      </c>
      <c r="N4" s="1" t="s">
        <v>40</v>
      </c>
      <c r="O4" s="1" t="s">
        <v>41</v>
      </c>
      <c r="P4" s="1" t="s">
        <v>42</v>
      </c>
      <c r="Q4" s="1" t="s">
        <v>43</v>
      </c>
      <c r="R4" s="1" t="s">
        <v>44</v>
      </c>
      <c r="S4" s="1" t="s">
        <v>45</v>
      </c>
      <c r="T4" s="1" t="s">
        <v>52</v>
      </c>
    </row>
    <row r="6" spans="1:20" x14ac:dyDescent="0.2">
      <c r="A6" t="s">
        <v>53</v>
      </c>
      <c r="B6" s="19">
        <v>266049616.28799999</v>
      </c>
      <c r="C6" s="19">
        <v>252299267.336</v>
      </c>
      <c r="D6" s="19">
        <v>202170745.22600001</v>
      </c>
      <c r="E6" s="19">
        <v>178857090.625</v>
      </c>
      <c r="F6" s="19">
        <v>167275945</v>
      </c>
      <c r="G6" s="19">
        <v>144723860.62</v>
      </c>
      <c r="H6" s="19">
        <v>159491587.71599999</v>
      </c>
      <c r="I6" s="19">
        <v>189714069.759</v>
      </c>
      <c r="J6" s="19">
        <v>149692513.29699999</v>
      </c>
      <c r="K6" s="19">
        <v>160942302</v>
      </c>
      <c r="L6" s="19">
        <v>210458130.27500001</v>
      </c>
      <c r="M6" s="19">
        <v>270336810.44</v>
      </c>
      <c r="N6" s="19">
        <v>266049616.28799999</v>
      </c>
      <c r="O6" s="19">
        <v>252299267.336</v>
      </c>
      <c r="P6" s="19">
        <v>202170745.22600001</v>
      </c>
      <c r="Q6" s="19">
        <v>178857090.625</v>
      </c>
      <c r="R6" s="19">
        <v>167275945</v>
      </c>
      <c r="S6" s="19">
        <v>144723860.62</v>
      </c>
      <c r="T6" s="33">
        <f>SUM(B6:S6)</f>
        <v>3563388463.6769996</v>
      </c>
    </row>
    <row r="7" spans="1:20" x14ac:dyDescent="0.2">
      <c r="A7" t="s">
        <v>54</v>
      </c>
      <c r="B7" s="19">
        <v>50283930.038000003</v>
      </c>
      <c r="C7" s="19">
        <v>51064010.263999999</v>
      </c>
      <c r="D7" s="19">
        <v>46311190.577</v>
      </c>
      <c r="E7" s="19">
        <v>44393125.975000001</v>
      </c>
      <c r="F7" s="19">
        <v>44200585.343999997</v>
      </c>
      <c r="G7" s="19">
        <v>43285702.633000001</v>
      </c>
      <c r="H7" s="19">
        <v>45158977.163999997</v>
      </c>
      <c r="I7" s="19">
        <v>47992105.505999997</v>
      </c>
      <c r="J7" s="19">
        <v>41511599.681000002</v>
      </c>
      <c r="K7" s="19">
        <v>45952256.159999996</v>
      </c>
      <c r="L7" s="19">
        <v>46086937.505999997</v>
      </c>
      <c r="M7" s="19">
        <v>51112932.772</v>
      </c>
      <c r="N7" s="19">
        <v>50283930.038000003</v>
      </c>
      <c r="O7" s="19">
        <v>51064010.263999999</v>
      </c>
      <c r="P7" s="19">
        <v>46311190.577</v>
      </c>
      <c r="Q7" s="19">
        <v>44393125.975000001</v>
      </c>
      <c r="R7" s="19">
        <v>44200585.343999997</v>
      </c>
      <c r="S7" s="19">
        <v>43285702.633000001</v>
      </c>
      <c r="T7" s="33">
        <f t="shared" ref="T7:T12" si="0">SUM(B7:S7)</f>
        <v>836891898.45099998</v>
      </c>
    </row>
    <row r="8" spans="1:20" x14ac:dyDescent="0.2">
      <c r="A8" t="s">
        <v>55</v>
      </c>
      <c r="B8" s="19">
        <v>116241442.59999999</v>
      </c>
      <c r="C8" s="19">
        <v>108730581.2</v>
      </c>
      <c r="D8" s="19">
        <v>118261422.93000001</v>
      </c>
      <c r="E8" s="19">
        <v>106567265.36</v>
      </c>
      <c r="F8" s="19">
        <v>118121292.456</v>
      </c>
      <c r="G8" s="19">
        <v>117575066.48999999</v>
      </c>
      <c r="H8" s="19">
        <v>130185623.04000001</v>
      </c>
      <c r="I8" s="19">
        <v>129513336.55</v>
      </c>
      <c r="J8" s="19">
        <v>111555781.78</v>
      </c>
      <c r="K8" s="19">
        <v>133349147.08000001</v>
      </c>
      <c r="L8" s="19">
        <v>118495184.36</v>
      </c>
      <c r="M8" s="19">
        <v>115777086.90000001</v>
      </c>
      <c r="N8" s="19">
        <v>116241442.59999999</v>
      </c>
      <c r="O8" s="19">
        <v>108730581.2</v>
      </c>
      <c r="P8" s="19">
        <v>118261422.93000001</v>
      </c>
      <c r="Q8" s="19">
        <v>106567265.36</v>
      </c>
      <c r="R8" s="19">
        <v>118121292.456</v>
      </c>
      <c r="S8" s="19">
        <v>117575066.48999999</v>
      </c>
      <c r="T8" s="33">
        <f t="shared" si="0"/>
        <v>2109870301.7819998</v>
      </c>
    </row>
    <row r="9" spans="1:20" x14ac:dyDescent="0.2">
      <c r="A9" t="s">
        <v>56</v>
      </c>
      <c r="B9" s="19">
        <v>93715023</v>
      </c>
      <c r="C9" s="19">
        <v>86037423</v>
      </c>
      <c r="D9" s="19">
        <v>90957221</v>
      </c>
      <c r="E9" s="19">
        <v>86670290</v>
      </c>
      <c r="F9" s="19">
        <v>89779844</v>
      </c>
      <c r="G9" s="19">
        <v>87627342</v>
      </c>
      <c r="H9" s="19">
        <v>93216150.777777776</v>
      </c>
      <c r="I9" s="19">
        <v>95225344.777777776</v>
      </c>
      <c r="J9" s="19">
        <v>90526779.777777776</v>
      </c>
      <c r="K9" s="19">
        <v>90883016</v>
      </c>
      <c r="L9" s="19">
        <v>86902732</v>
      </c>
      <c r="M9" s="19">
        <v>88907530</v>
      </c>
      <c r="N9" s="19">
        <v>93715023</v>
      </c>
      <c r="O9" s="19">
        <v>86037423</v>
      </c>
      <c r="P9" s="19">
        <v>90957221</v>
      </c>
      <c r="Q9" s="19">
        <v>86670290</v>
      </c>
      <c r="R9" s="19">
        <v>89779844</v>
      </c>
      <c r="S9" s="19">
        <v>87627342</v>
      </c>
      <c r="T9" s="33">
        <f t="shared" si="0"/>
        <v>1615235839.3333335</v>
      </c>
    </row>
    <row r="10" spans="1:20" x14ac:dyDescent="0.2">
      <c r="A10" t="s">
        <v>57</v>
      </c>
      <c r="B10" s="19">
        <v>3816897</v>
      </c>
      <c r="C10" s="19">
        <v>3751125</v>
      </c>
      <c r="D10" s="19">
        <v>3836233</v>
      </c>
      <c r="E10" s="19">
        <v>5577159</v>
      </c>
      <c r="F10" s="19">
        <v>14879319</v>
      </c>
      <c r="G10" s="19">
        <v>19956732</v>
      </c>
      <c r="H10" s="19">
        <v>18601045</v>
      </c>
      <c r="I10" s="19">
        <v>24368286</v>
      </c>
      <c r="J10" s="19">
        <v>21830732</v>
      </c>
      <c r="K10" s="19">
        <v>12921209</v>
      </c>
      <c r="L10" s="19">
        <v>196570</v>
      </c>
      <c r="M10" s="19">
        <v>1903511</v>
      </c>
      <c r="N10" s="19">
        <v>3816897</v>
      </c>
      <c r="O10" s="19">
        <v>3751125</v>
      </c>
      <c r="P10" s="19">
        <v>3836233</v>
      </c>
      <c r="Q10" s="19">
        <v>5577159</v>
      </c>
      <c r="R10" s="19">
        <v>14879319</v>
      </c>
      <c r="S10" s="19">
        <v>19956732</v>
      </c>
      <c r="T10" s="33">
        <f t="shared" si="0"/>
        <v>183456283</v>
      </c>
    </row>
    <row r="11" spans="1:20" x14ac:dyDescent="0.2">
      <c r="A11" t="s">
        <v>58</v>
      </c>
      <c r="B11" s="19">
        <v>2140636</v>
      </c>
      <c r="C11" s="19">
        <v>2142474</v>
      </c>
      <c r="D11" s="19">
        <v>2140908</v>
      </c>
      <c r="E11" s="19">
        <v>2141504</v>
      </c>
      <c r="F11" s="19">
        <v>2123078</v>
      </c>
      <c r="G11" s="19">
        <v>2116175</v>
      </c>
      <c r="H11" s="19">
        <v>2142522</v>
      </c>
      <c r="I11" s="19">
        <v>2143333</v>
      </c>
      <c r="J11" s="19">
        <v>2135698</v>
      </c>
      <c r="K11" s="19">
        <v>2142822</v>
      </c>
      <c r="L11" s="19">
        <v>2137455</v>
      </c>
      <c r="M11" s="19">
        <v>2139724</v>
      </c>
      <c r="N11" s="19">
        <v>2140636</v>
      </c>
      <c r="O11" s="19">
        <v>2142474</v>
      </c>
      <c r="P11" s="19">
        <v>2140908</v>
      </c>
      <c r="Q11" s="19">
        <v>2141504</v>
      </c>
      <c r="R11" s="19">
        <v>2123078</v>
      </c>
      <c r="S11" s="19">
        <v>2116175</v>
      </c>
      <c r="T11" s="33">
        <f t="shared" si="0"/>
        <v>38451104</v>
      </c>
    </row>
    <row r="12" spans="1:20" x14ac:dyDescent="0.2">
      <c r="A12" t="s">
        <v>59</v>
      </c>
      <c r="B12" s="33">
        <f>SUM(B6:B11)</f>
        <v>532247544.926</v>
      </c>
      <c r="C12" s="33">
        <f t="shared" ref="C12:M12" si="1">SUM(C6:C11)</f>
        <v>504024880.80000001</v>
      </c>
      <c r="D12" s="33">
        <f t="shared" si="1"/>
        <v>463677720.73300004</v>
      </c>
      <c r="E12" s="33">
        <f t="shared" si="1"/>
        <v>424206434.95999998</v>
      </c>
      <c r="F12" s="33">
        <f t="shared" si="1"/>
        <v>436380063.79999995</v>
      </c>
      <c r="G12" s="33">
        <f t="shared" si="1"/>
        <v>415284878.74300003</v>
      </c>
      <c r="H12" s="33">
        <f t="shared" si="1"/>
        <v>448795905.69777781</v>
      </c>
      <c r="I12" s="33">
        <f t="shared" si="1"/>
        <v>488956475.59277779</v>
      </c>
      <c r="J12" s="33">
        <f t="shared" si="1"/>
        <v>417253104.53577781</v>
      </c>
      <c r="K12" s="33">
        <f t="shared" si="1"/>
        <v>446190752.24000001</v>
      </c>
      <c r="L12" s="33">
        <f t="shared" si="1"/>
        <v>464277009.14100003</v>
      </c>
      <c r="M12" s="33">
        <f t="shared" si="1"/>
        <v>530177595.11199999</v>
      </c>
      <c r="N12" s="33">
        <f>SUM(N6:N11)</f>
        <v>532247544.926</v>
      </c>
      <c r="O12" s="33">
        <f t="shared" ref="O12:S12" si="2">SUM(O6:O11)</f>
        <v>504024880.80000001</v>
      </c>
      <c r="P12" s="33">
        <f t="shared" si="2"/>
        <v>463677720.73300004</v>
      </c>
      <c r="Q12" s="33">
        <f t="shared" si="2"/>
        <v>424206434.95999998</v>
      </c>
      <c r="R12" s="33">
        <f t="shared" si="2"/>
        <v>436380063.79999995</v>
      </c>
      <c r="S12" s="33">
        <f t="shared" si="2"/>
        <v>415284878.74300003</v>
      </c>
      <c r="T12" s="33">
        <f t="shared" si="0"/>
        <v>8347293890.2433319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Date1 xmlns="dc463f71-b30c-4ab2-9473-d307f9d35888">2014-07-22T07:00:00+00:00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140188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0D1F67B-30D6-4BF2-994D-B7B9C5DAB92C}"/>
</file>

<file path=customXml/itemProps2.xml><?xml version="1.0" encoding="utf-8"?>
<ds:datastoreItem xmlns:ds="http://schemas.openxmlformats.org/officeDocument/2006/customXml" ds:itemID="{B3EAFDB6-A23B-475D-BDED-AAD4445E4CA8}"/>
</file>

<file path=customXml/itemProps3.xml><?xml version="1.0" encoding="utf-8"?>
<ds:datastoreItem xmlns:ds="http://schemas.openxmlformats.org/officeDocument/2006/customXml" ds:itemID="{A0E703B0-616D-4D65-88F3-44933A4C2042}"/>
</file>

<file path=customXml/itemProps4.xml><?xml version="1.0" encoding="utf-8"?>
<ds:datastoreItem xmlns:ds="http://schemas.openxmlformats.org/officeDocument/2006/customXml" ds:itemID="{C9EDF748-CFCB-4D36-BD58-D65028DC6F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Rebate</vt:lpstr>
      <vt:lpstr>Generation Allocation</vt:lpstr>
      <vt:lpstr>REC Revenue</vt:lpstr>
      <vt:lpstr>Sales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Exhibit No.__(CRM-4)</dc:title>
  <dc:creator/>
  <cp:lastModifiedBy/>
  <dcterms:created xsi:type="dcterms:W3CDTF">2014-07-15T19:03:40Z</dcterms:created>
  <dcterms:modified xsi:type="dcterms:W3CDTF">2014-08-05T15:55:52Z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</Properties>
</file>