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defaultThemeVersion="124226"/>
  <mc:AlternateContent xmlns:mc="http://schemas.openxmlformats.org/markup-compatibility/2006">
    <mc:Choice Requires="x15">
      <x15ac:absPath xmlns:x15ac="http://schemas.microsoft.com/office/spreadsheetml/2010/11/ac" url="F:\ACTIVE\Cases\UG\UG_170929_2017_Cascade_GRC\1_Filings\Testimony_Direct\PC\Ramas\Exhibits\"/>
    </mc:Choice>
  </mc:AlternateContent>
  <bookViews>
    <workbookView xWindow="240" yWindow="2310" windowWidth="9165" windowHeight="1845" tabRatio="599" activeTab="6"/>
  </bookViews>
  <sheets>
    <sheet name="DMR-2" sheetId="252" r:id="rId1"/>
    <sheet name="DMR3p1" sheetId="210" r:id="rId2"/>
    <sheet name="DMR3p2" sheetId="274" r:id="rId3"/>
    <sheet name="DMR4" sheetId="211" r:id="rId4"/>
    <sheet name="DMR5_P-1_IntSync" sheetId="254" r:id="rId5"/>
    <sheet name="DMR5_P-3_PlantAds" sheetId="277" r:id="rId6"/>
    <sheet name="DMR5_P-4_RateCase" sheetId="280" r:id="rId7"/>
    <sheet name="DMR5_P-6_MAOP" sheetId="281" r:id="rId8"/>
    <sheet name="DMR-6_PC-1_Tax" sheetId="275" r:id="rId9"/>
    <sheet name="DMR-6_PC-3_MDU" sheetId="282" r:id="rId10"/>
    <sheet name="DMR-6_PC-7_Incent" sheetId="284" r:id="rId11"/>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3">'DMR4'!$A:$D</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62913"/>
</workbook>
</file>

<file path=xl/calcChain.xml><?xml version="1.0" encoding="utf-8"?>
<calcChain xmlns="http://schemas.openxmlformats.org/spreadsheetml/2006/main">
  <c r="Y24" i="211" l="1"/>
  <c r="E25" i="284"/>
  <c r="E23" i="284"/>
  <c r="E17" i="284"/>
  <c r="F24" i="280"/>
  <c r="H22" i="280"/>
  <c r="F22" i="280"/>
  <c r="F21" i="280"/>
  <c r="F18" i="280"/>
  <c r="H18" i="280"/>
  <c r="H21" i="280" s="1"/>
  <c r="H24" i="280" s="1"/>
  <c r="M24" i="211" s="1"/>
  <c r="H26" i="280" l="1"/>
  <c r="E13" i="282"/>
  <c r="E16" i="282" s="1"/>
  <c r="U24" i="211" s="1"/>
  <c r="H15" i="281" l="1"/>
  <c r="H19" i="281" s="1"/>
  <c r="H22" i="281" s="1"/>
  <c r="O20" i="211" s="1"/>
  <c r="H16" i="281"/>
  <c r="F19" i="281"/>
  <c r="F22" i="281" s="1"/>
  <c r="P18" i="211" l="1"/>
  <c r="P21" i="211"/>
  <c r="W43" i="211" l="1"/>
  <c r="W25" i="211"/>
  <c r="W14" i="211"/>
  <c r="W30" i="211" l="1"/>
  <c r="W31" i="211" s="1"/>
  <c r="W33" i="211" s="1"/>
  <c r="L29" i="252" s="1"/>
  <c r="E15" i="275" l="1"/>
  <c r="E18" i="275" s="1"/>
  <c r="S30" i="211" s="1"/>
  <c r="I85" i="277" l="1"/>
  <c r="M84" i="277"/>
  <c r="M83" i="277"/>
  <c r="M82" i="277"/>
  <c r="M81" i="277"/>
  <c r="M80" i="277"/>
  <c r="M79" i="277"/>
  <c r="M78" i="277"/>
  <c r="M77" i="277"/>
  <c r="G85" i="277"/>
  <c r="I74" i="277"/>
  <c r="G74" i="277"/>
  <c r="M73" i="277"/>
  <c r="M72" i="277"/>
  <c r="M71" i="277"/>
  <c r="M70" i="277"/>
  <c r="M69" i="277"/>
  <c r="M68" i="277"/>
  <c r="M67" i="277"/>
  <c r="M66" i="277"/>
  <c r="M65" i="277"/>
  <c r="M64" i="277"/>
  <c r="M63" i="277"/>
  <c r="M62" i="277"/>
  <c r="M61" i="277"/>
  <c r="M60" i="277"/>
  <c r="M59" i="277"/>
  <c r="M58" i="277"/>
  <c r="M57" i="277"/>
  <c r="M56" i="277"/>
  <c r="M55" i="277"/>
  <c r="M54" i="277"/>
  <c r="M53" i="277"/>
  <c r="M52" i="277"/>
  <c r="M41" i="277"/>
  <c r="M40" i="277"/>
  <c r="M39" i="277"/>
  <c r="M38" i="277"/>
  <c r="M37" i="277"/>
  <c r="M36" i="277"/>
  <c r="M35" i="277"/>
  <c r="M34" i="277"/>
  <c r="M33" i="277"/>
  <c r="M32" i="277"/>
  <c r="M31" i="277"/>
  <c r="M30" i="277"/>
  <c r="M29" i="277"/>
  <c r="M28" i="277"/>
  <c r="M27" i="277"/>
  <c r="M26" i="277"/>
  <c r="M25" i="277"/>
  <c r="M24" i="277"/>
  <c r="M23" i="277"/>
  <c r="M22" i="277"/>
  <c r="M18" i="277"/>
  <c r="M17" i="277"/>
  <c r="M16" i="277"/>
  <c r="M15" i="277"/>
  <c r="M14" i="277"/>
  <c r="M13" i="277"/>
  <c r="M12" i="277"/>
  <c r="M11" i="277"/>
  <c r="M10" i="277"/>
  <c r="I19" i="277"/>
  <c r="G19" i="277"/>
  <c r="G86" i="277" l="1"/>
  <c r="I86" i="277"/>
  <c r="M85" i="277"/>
  <c r="M74" i="277"/>
  <c r="M19" i="277"/>
  <c r="M86" i="277" l="1"/>
  <c r="I33" i="252" l="1"/>
  <c r="H33" i="252"/>
  <c r="Z43" i="211" l="1"/>
  <c r="Y43" i="211"/>
  <c r="X43" i="211"/>
  <c r="V43" i="211"/>
  <c r="U43" i="211"/>
  <c r="T43" i="211"/>
  <c r="S43" i="211"/>
  <c r="R43" i="211"/>
  <c r="Q43" i="211"/>
  <c r="M22" i="252" s="1"/>
  <c r="P43" i="211"/>
  <c r="O43" i="211"/>
  <c r="N43" i="211"/>
  <c r="M43" i="211"/>
  <c r="L43" i="211"/>
  <c r="M17" i="252" s="1"/>
  <c r="K43" i="211"/>
  <c r="J43" i="211"/>
  <c r="I43" i="211"/>
  <c r="H43" i="211"/>
  <c r="G43" i="211"/>
  <c r="F43" i="211"/>
  <c r="E43" i="211"/>
  <c r="H15" i="274"/>
  <c r="H17" i="274" s="1"/>
  <c r="H19" i="274" l="1"/>
  <c r="H20" i="274" s="1"/>
  <c r="N35" i="252" s="1"/>
  <c r="F15" i="274"/>
  <c r="F17" i="274" s="1"/>
  <c r="F35" i="274"/>
  <c r="J34" i="274"/>
  <c r="J33" i="274"/>
  <c r="J32" i="274"/>
  <c r="I23" i="254" s="1"/>
  <c r="J28" i="274"/>
  <c r="J27" i="274"/>
  <c r="J26" i="274"/>
  <c r="F29" i="274"/>
  <c r="J29" i="274" l="1"/>
  <c r="E23" i="254"/>
  <c r="G23" i="254" s="1"/>
  <c r="G24" i="254" s="1"/>
  <c r="G27" i="254" s="1"/>
  <c r="G29" i="254" s="1"/>
  <c r="J35" i="274"/>
  <c r="K17" i="210" s="1"/>
  <c r="G23" i="210"/>
  <c r="J35" i="252" s="1"/>
  <c r="I23" i="210"/>
  <c r="K23" i="210" s="1"/>
  <c r="F19" i="274"/>
  <c r="F20" i="274" s="1"/>
  <c r="E23" i="210" l="1"/>
  <c r="D35" i="252"/>
  <c r="N34" i="252"/>
  <c r="I17" i="210"/>
  <c r="D34" i="252"/>
  <c r="E17" i="210"/>
  <c r="G17" i="210" s="1"/>
  <c r="G19" i="210" s="1"/>
  <c r="G21" i="210" s="1"/>
  <c r="G25" i="210" s="1"/>
  <c r="E15" i="210"/>
  <c r="G15" i="210"/>
  <c r="N32" i="252" l="1"/>
  <c r="P32" i="252" s="1"/>
  <c r="N8" i="252"/>
  <c r="J34" i="252"/>
  <c r="F16" i="252"/>
  <c r="J17" i="252" l="1"/>
  <c r="J8" i="252"/>
  <c r="J23" i="252"/>
  <c r="J15" i="252"/>
  <c r="J16" i="252"/>
  <c r="J20" i="252"/>
  <c r="J12" i="252"/>
  <c r="J18" i="252"/>
  <c r="J25" i="252"/>
  <c r="J21" i="252"/>
  <c r="J19" i="252"/>
  <c r="J11" i="252"/>
  <c r="J13" i="252"/>
  <c r="J22" i="252"/>
  <c r="J10" i="252"/>
  <c r="E24" i="254"/>
  <c r="E27" i="254" s="1"/>
  <c r="E29" i="254" s="1"/>
  <c r="E14" i="254" s="1"/>
  <c r="G14" i="254"/>
  <c r="J33" i="252" l="1"/>
  <c r="P8" i="252"/>
  <c r="V14" i="211"/>
  <c r="F23" i="252"/>
  <c r="F22" i="252"/>
  <c r="F21" i="252"/>
  <c r="F20" i="252"/>
  <c r="F19" i="252"/>
  <c r="F18" i="252"/>
  <c r="F17" i="252"/>
  <c r="F15" i="252"/>
  <c r="F13" i="252"/>
  <c r="F12" i="252"/>
  <c r="F11" i="252"/>
  <c r="F10" i="252"/>
  <c r="A10" i="252"/>
  <c r="A11" i="252" s="1"/>
  <c r="A12" i="252" s="1"/>
  <c r="A13" i="252" s="1"/>
  <c r="A15" i="252" s="1"/>
  <c r="A16" i="252" s="1"/>
  <c r="A17" i="252" s="1"/>
  <c r="A18" i="252" s="1"/>
  <c r="A19" i="252" s="1"/>
  <c r="A20" i="252" s="1"/>
  <c r="A21" i="252" s="1"/>
  <c r="A22" i="252" s="1"/>
  <c r="A23" i="252" s="1"/>
  <c r="A25" i="252" s="1"/>
  <c r="A26" i="252" s="1"/>
  <c r="A27" i="252" s="1"/>
  <c r="A28" i="252" s="1"/>
  <c r="A29" i="252" s="1"/>
  <c r="A30" i="252" s="1"/>
  <c r="A31" i="252" s="1"/>
  <c r="F8" i="252"/>
  <c r="F33" i="252" l="1"/>
  <c r="D33" i="252"/>
  <c r="E33" i="252"/>
  <c r="AA41" i="211" l="1"/>
  <c r="AA39" i="211"/>
  <c r="AA38" i="211"/>
  <c r="AA37" i="211"/>
  <c r="AA29" i="211"/>
  <c r="AA28" i="211"/>
  <c r="AA23" i="211"/>
  <c r="AA18" i="211"/>
  <c r="AA13" i="211"/>
  <c r="AA12" i="211"/>
  <c r="AA11" i="211"/>
  <c r="Z25" i="211"/>
  <c r="Y25" i="211"/>
  <c r="X25" i="211"/>
  <c r="Z14" i="211"/>
  <c r="Y14" i="211"/>
  <c r="X14" i="211"/>
  <c r="Y30" i="211" l="1"/>
  <c r="Y31" i="211" s="1"/>
  <c r="Y33" i="211" s="1"/>
  <c r="X30" i="211"/>
  <c r="X31" i="211" s="1"/>
  <c r="X33" i="211" s="1"/>
  <c r="AA36" i="211"/>
  <c r="AA43" i="211" s="1"/>
  <c r="U25" i="211"/>
  <c r="T25" i="211"/>
  <c r="S25" i="211"/>
  <c r="R25" i="211"/>
  <c r="U14" i="211"/>
  <c r="T14" i="211"/>
  <c r="S14" i="211"/>
  <c r="R14" i="211"/>
  <c r="N29" i="252" l="1"/>
  <c r="P29" i="252" s="1"/>
  <c r="L30" i="252"/>
  <c r="L31" i="252"/>
  <c r="N31" i="252" s="1"/>
  <c r="P31" i="252" s="1"/>
  <c r="N30" i="252"/>
  <c r="P30" i="252" s="1"/>
  <c r="U30" i="211"/>
  <c r="U31" i="211" s="1"/>
  <c r="U33" i="211" s="1"/>
  <c r="L27" i="252" s="1"/>
  <c r="T30" i="211"/>
  <c r="T31" i="211" s="1"/>
  <c r="T33" i="211" s="1"/>
  <c r="L26" i="252" s="1"/>
  <c r="N26" i="252" s="1"/>
  <c r="P26" i="252" s="1"/>
  <c r="R30" i="211"/>
  <c r="R31" i="211" s="1"/>
  <c r="R33" i="211" s="1"/>
  <c r="L23" i="252" s="1"/>
  <c r="N23" i="252" s="1"/>
  <c r="P23" i="252" s="1"/>
  <c r="S31" i="211"/>
  <c r="S33" i="211" s="1"/>
  <c r="L25" i="252" s="1"/>
  <c r="N25" i="252" s="1"/>
  <c r="P25" i="252" s="1"/>
  <c r="N27" i="252" l="1"/>
  <c r="Q25" i="211"/>
  <c r="P25" i="211"/>
  <c r="O25" i="211"/>
  <c r="N25" i="211"/>
  <c r="M25" i="211"/>
  <c r="L25" i="211"/>
  <c r="K25" i="211"/>
  <c r="J25" i="211"/>
  <c r="I25" i="211"/>
  <c r="H25" i="211"/>
  <c r="G25" i="211"/>
  <c r="F25" i="211"/>
  <c r="Q14" i="211"/>
  <c r="Q30" i="211" s="1"/>
  <c r="P14" i="211"/>
  <c r="O14" i="211"/>
  <c r="N14" i="211"/>
  <c r="M14" i="211"/>
  <c r="L14" i="211"/>
  <c r="K14" i="211"/>
  <c r="J14" i="211"/>
  <c r="I14" i="211"/>
  <c r="H14" i="211"/>
  <c r="G14" i="211"/>
  <c r="F14" i="211"/>
  <c r="P27" i="252" l="1"/>
  <c r="P30" i="211"/>
  <c r="P31" i="211" s="1"/>
  <c r="P33" i="211" s="1"/>
  <c r="L21" i="252" s="1"/>
  <c r="O30" i="211"/>
  <c r="O31" i="211" s="1"/>
  <c r="O33" i="211" s="1"/>
  <c r="L20" i="252" s="1"/>
  <c r="N20" i="252" s="1"/>
  <c r="P20" i="252" s="1"/>
  <c r="N30" i="211"/>
  <c r="N31" i="211" s="1"/>
  <c r="N33" i="211" s="1"/>
  <c r="L19" i="252" s="1"/>
  <c r="N19" i="252" s="1"/>
  <c r="P19" i="252" s="1"/>
  <c r="M30" i="211"/>
  <c r="M31" i="211" s="1"/>
  <c r="M33" i="211" s="1"/>
  <c r="L18" i="252" s="1"/>
  <c r="N18" i="252" s="1"/>
  <c r="P18" i="252" s="1"/>
  <c r="L30" i="211"/>
  <c r="K30" i="211"/>
  <c r="K31" i="211" s="1"/>
  <c r="K33" i="211" s="1"/>
  <c r="L16" i="252" s="1"/>
  <c r="N16" i="252" s="1"/>
  <c r="P16" i="252" s="1"/>
  <c r="I30" i="211"/>
  <c r="I31" i="211" s="1"/>
  <c r="I33" i="211" s="1"/>
  <c r="L13" i="252" s="1"/>
  <c r="H30" i="211"/>
  <c r="H31" i="211" s="1"/>
  <c r="H33" i="211" s="1"/>
  <c r="L12" i="252" s="1"/>
  <c r="N12" i="252" s="1"/>
  <c r="P12" i="252" s="1"/>
  <c r="G30" i="211"/>
  <c r="G31" i="211" s="1"/>
  <c r="G33" i="211" s="1"/>
  <c r="L11" i="252" s="1"/>
  <c r="N11" i="252" s="1"/>
  <c r="P11" i="252" s="1"/>
  <c r="F30" i="211"/>
  <c r="F31" i="211" s="1"/>
  <c r="F33" i="211" s="1"/>
  <c r="L10" i="252" s="1"/>
  <c r="N10" i="252" s="1"/>
  <c r="Q31" i="211"/>
  <c r="Q33" i="211" s="1"/>
  <c r="L22" i="252" s="1"/>
  <c r="N22" i="252" s="1"/>
  <c r="P22" i="252" s="1"/>
  <c r="M13" i="252"/>
  <c r="M33" i="252" s="1"/>
  <c r="P10" i="252" l="1"/>
  <c r="N21" i="252"/>
  <c r="N13" i="252"/>
  <c r="P13" i="252" s="1"/>
  <c r="L31" i="211"/>
  <c r="L33" i="211" s="1"/>
  <c r="L17" i="252" s="1"/>
  <c r="N17" i="252" s="1"/>
  <c r="P17" i="252" s="1"/>
  <c r="P21" i="252" l="1"/>
  <c r="Z30" i="211"/>
  <c r="AA27" i="211" l="1"/>
  <c r="Z31" i="211"/>
  <c r="Z33" i="211" s="1"/>
  <c r="AA22" i="211" l="1"/>
  <c r="AA21" i="211"/>
  <c r="AA20" i="211"/>
  <c r="AA24" i="211"/>
  <c r="AA19" i="211"/>
  <c r="V25" i="211" l="1"/>
  <c r="V30" i="211" s="1"/>
  <c r="E25" i="211"/>
  <c r="E31" i="211" s="1"/>
  <c r="E14" i="211"/>
  <c r="V31" i="211" l="1"/>
  <c r="V33" i="211" s="1"/>
  <c r="L28" i="252" s="1"/>
  <c r="N28" i="252" s="1"/>
  <c r="P28" i="252" s="1"/>
  <c r="AA17" i="211"/>
  <c r="E33" i="211"/>
  <c r="E19" i="210" l="1"/>
  <c r="E21" i="210" s="1"/>
  <c r="E25" i="210" s="1"/>
  <c r="AA14" i="211" l="1"/>
  <c r="I22" i="254"/>
  <c r="I11" i="210" l="1"/>
  <c r="I24" i="254"/>
  <c r="I27" i="254" s="1"/>
  <c r="I29" i="254" s="1"/>
  <c r="I19" i="210" l="1"/>
  <c r="K11" i="210"/>
  <c r="K19" i="210" s="1"/>
  <c r="I14" i="254"/>
  <c r="J30" i="211"/>
  <c r="J31" i="211" s="1"/>
  <c r="J33" i="211" s="1"/>
  <c r="L15" i="252" s="1"/>
  <c r="AA25" i="211"/>
  <c r="N15" i="252" l="1"/>
  <c r="L33" i="252"/>
  <c r="AA30" i="211"/>
  <c r="AA31" i="211" s="1"/>
  <c r="AA33" i="211" s="1"/>
  <c r="I13" i="210" s="1"/>
  <c r="P15" i="252" l="1"/>
  <c r="P33" i="252" s="1"/>
  <c r="N33" i="252"/>
  <c r="I15" i="210"/>
  <c r="K13" i="210"/>
  <c r="I21" i="210"/>
  <c r="I25" i="210" s="1"/>
  <c r="K15" i="210" l="1"/>
  <c r="K21" i="210"/>
  <c r="K25" i="210" s="1"/>
</calcChain>
</file>

<file path=xl/sharedStrings.xml><?xml version="1.0" encoding="utf-8"?>
<sst xmlns="http://schemas.openxmlformats.org/spreadsheetml/2006/main" count="628" uniqueCount="420">
  <si>
    <t>Line</t>
  </si>
  <si>
    <t>Description</t>
  </si>
  <si>
    <t>Amount</t>
  </si>
  <si>
    <t>No.</t>
  </si>
  <si>
    <t>Total</t>
  </si>
  <si>
    <t>Company</t>
  </si>
  <si>
    <t xml:space="preserve"> Operating Revenues:</t>
  </si>
  <si>
    <t xml:space="preserve">  Other Operating Revenues</t>
  </si>
  <si>
    <t xml:space="preserve"> Operating Expenses: </t>
  </si>
  <si>
    <t xml:space="preserve">        Total O &amp; M Expense</t>
  </si>
  <si>
    <t xml:space="preserve">  Taxes Other Than Income</t>
  </si>
  <si>
    <t xml:space="preserve">    Total Operating Expenses</t>
  </si>
  <si>
    <t>Rate Base</t>
  </si>
  <si>
    <t>Adjustment</t>
  </si>
  <si>
    <t>A.1</t>
  </si>
  <si>
    <t>A.2</t>
  </si>
  <si>
    <t>A.3</t>
  </si>
  <si>
    <t>A.4</t>
  </si>
  <si>
    <t>A.5</t>
  </si>
  <si>
    <t>Per Company</t>
  </si>
  <si>
    <t>No</t>
  </si>
  <si>
    <t>Rate Base, as Adjusted</t>
  </si>
  <si>
    <t>Operating Income, as Adjusted</t>
  </si>
  <si>
    <t>Earned Rate of Return</t>
  </si>
  <si>
    <t>Required Operating Income</t>
  </si>
  <si>
    <t>Income (Deficiency) Sufficiency</t>
  </si>
  <si>
    <t>Revenue Conversion Factor</t>
  </si>
  <si>
    <t>Total Revenue (Deficiency) Sufficiency</t>
  </si>
  <si>
    <t>Adjusted</t>
  </si>
  <si>
    <t>(A)</t>
  </si>
  <si>
    <t>(B)</t>
  </si>
  <si>
    <t xml:space="preserve">    RATE BASE</t>
  </si>
  <si>
    <t>Change</t>
  </si>
  <si>
    <t>Washington</t>
  </si>
  <si>
    <t>Per PC</t>
  </si>
  <si>
    <t>Public Counsel</t>
  </si>
  <si>
    <t>Rate</t>
  </si>
  <si>
    <t>(a)</t>
  </si>
  <si>
    <t>(b)</t>
  </si>
  <si>
    <t>Revenue</t>
  </si>
  <si>
    <t>Interest Deduction for Income Taxes</t>
  </si>
  <si>
    <t>Increase (Reduction) in Deductible Interest</t>
  </si>
  <si>
    <t>Federal Income Tax Rate</t>
  </si>
  <si>
    <t>Interest</t>
  </si>
  <si>
    <t>Description of Adjustment</t>
  </si>
  <si>
    <t xml:space="preserve">(C) </t>
  </si>
  <si>
    <t>Exhibit No. DMR-3</t>
  </si>
  <si>
    <t>Revised Amount</t>
  </si>
  <si>
    <t>Fair Rate of Return, per Company</t>
  </si>
  <si>
    <t>Notes/Sources:</t>
  </si>
  <si>
    <t>Unadjusted</t>
  </si>
  <si>
    <t>Normalization</t>
  </si>
  <si>
    <t>Advertising</t>
  </si>
  <si>
    <t>Costs</t>
  </si>
  <si>
    <t>Plant</t>
  </si>
  <si>
    <t>Pro Forma</t>
  </si>
  <si>
    <t>Additions</t>
  </si>
  <si>
    <t>Line No.</t>
  </si>
  <si>
    <t>Adj. No.</t>
  </si>
  <si>
    <t>NOI</t>
  </si>
  <si>
    <t>Rev. Req.</t>
  </si>
  <si>
    <t>Rev. Req. Difference</t>
  </si>
  <si>
    <t>A</t>
  </si>
  <si>
    <t>B</t>
  </si>
  <si>
    <t>C</t>
  </si>
  <si>
    <t>PC Neutral in Direct</t>
  </si>
  <si>
    <t>PC Recommended</t>
  </si>
  <si>
    <t>Total Adjusted Results</t>
  </si>
  <si>
    <t>Rate of Return</t>
  </si>
  <si>
    <t>Sources:</t>
  </si>
  <si>
    <t>Gross Revenue Conversion Factor</t>
  </si>
  <si>
    <t>PC-1</t>
  </si>
  <si>
    <t>As-Filed</t>
  </si>
  <si>
    <t>Public</t>
  </si>
  <si>
    <t>Counsel</t>
  </si>
  <si>
    <t>Adjustment Detail:</t>
  </si>
  <si>
    <t>Adjusted Rate Base - Washington Jurisdictional</t>
  </si>
  <si>
    <t>Interest Deduction, per Books</t>
  </si>
  <si>
    <t>Adjustment to Income Tax Expense</t>
  </si>
  <si>
    <t>D</t>
  </si>
  <si>
    <t>E</t>
  </si>
  <si>
    <t>F</t>
  </si>
  <si>
    <t>Exhibit No. DMR-2</t>
  </si>
  <si>
    <t>Page 1 of 1</t>
  </si>
  <si>
    <t>Public Counsel Position</t>
  </si>
  <si>
    <t>Revenue Requirement</t>
  </si>
  <si>
    <t>Summary of Adjustments</t>
  </si>
  <si>
    <t>With Tax Law</t>
  </si>
  <si>
    <t>Changes</t>
  </si>
  <si>
    <t>Cascade Natural Gas - Washington Operations</t>
  </si>
  <si>
    <t>Summary of Adjustments - Public Counsel Vs. Cascade Natural Gas</t>
  </si>
  <si>
    <t>Docket UG-170929</t>
  </si>
  <si>
    <t>Cascade Natural Gas - Original Filing</t>
  </si>
  <si>
    <t>Exhibit No. DMR-4</t>
  </si>
  <si>
    <t>Test Year Ended December 31, 2016</t>
  </si>
  <si>
    <t>Col. (A):  Company Exhibit MMP-3</t>
  </si>
  <si>
    <t xml:space="preserve">  -  Revenue Conversion Factor Calculation/Rate of Return</t>
  </si>
  <si>
    <t>Revenues</t>
  </si>
  <si>
    <t>Operating Revenue Deductions:</t>
  </si>
  <si>
    <t xml:space="preserve">  Uncollectible Accounts</t>
  </si>
  <si>
    <t xml:space="preserve">  State B&amp;O Tax</t>
  </si>
  <si>
    <t xml:space="preserve">  UTC Fees</t>
  </si>
  <si>
    <t>State Taxable Income</t>
  </si>
  <si>
    <t>Cost of Capital, per Company</t>
  </si>
  <si>
    <t>Long-Term Debt</t>
  </si>
  <si>
    <t>Short-Term Debt</t>
  </si>
  <si>
    <t>Common Equity</t>
  </si>
  <si>
    <t>Capital %</t>
  </si>
  <si>
    <t>Cost</t>
  </si>
  <si>
    <t>Weighted Cost</t>
  </si>
  <si>
    <t>State Income Tax</t>
  </si>
  <si>
    <t>Federal Income Tax</t>
  </si>
  <si>
    <t>Subtotal</t>
  </si>
  <si>
    <t>Net Operating Income Conversion Factor</t>
  </si>
  <si>
    <t>A1</t>
  </si>
  <si>
    <t>A2</t>
  </si>
  <si>
    <t>A3</t>
  </si>
  <si>
    <t>B1</t>
  </si>
  <si>
    <t>B2</t>
  </si>
  <si>
    <t>B3</t>
  </si>
  <si>
    <t>B4</t>
  </si>
  <si>
    <t>A4</t>
  </si>
  <si>
    <t xml:space="preserve">    Total</t>
  </si>
  <si>
    <t xml:space="preserve">  Natural Gas Sales</t>
  </si>
  <si>
    <t xml:space="preserve">  Gas Transportation Revenue</t>
  </si>
  <si>
    <t xml:space="preserve">    Total Revenues </t>
  </si>
  <si>
    <t xml:space="preserve">  Natural Gas/Production Costs</t>
  </si>
  <si>
    <t xml:space="preserve">  Revenue taxes</t>
  </si>
  <si>
    <t xml:space="preserve">  Production</t>
  </si>
  <si>
    <t xml:space="preserve">  Distribution</t>
  </si>
  <si>
    <t xml:space="preserve">  Customer Accounts</t>
  </si>
  <si>
    <t xml:space="preserve">  Customer Service</t>
  </si>
  <si>
    <t xml:space="preserve">  Sales</t>
  </si>
  <si>
    <t xml:space="preserve">  Administrative &amp; General</t>
  </si>
  <si>
    <t xml:space="preserve">  Depreciation &amp; Amortization</t>
  </si>
  <si>
    <t xml:space="preserve">  Regulatory Debits</t>
  </si>
  <si>
    <t>Net Operating Revenues</t>
  </si>
  <si>
    <t xml:space="preserve">  Plant in Service</t>
  </si>
  <si>
    <t xml:space="preserve">  Customer Advances for Construction</t>
  </si>
  <si>
    <t xml:space="preserve">  Accumulated Deferred Income Taxes</t>
  </si>
  <si>
    <t xml:space="preserve">  Working Capital Allowance</t>
  </si>
  <si>
    <t>R-1</t>
  </si>
  <si>
    <t>Weather</t>
  </si>
  <si>
    <t>R-2</t>
  </si>
  <si>
    <t>Promotional</t>
  </si>
  <si>
    <t>R-3</t>
  </si>
  <si>
    <t>Restate</t>
  </si>
  <si>
    <t>R-4</t>
  </si>
  <si>
    <t>Low-Income</t>
  </si>
  <si>
    <t>Bill</t>
  </si>
  <si>
    <t>Assistance</t>
  </si>
  <si>
    <t>P-1</t>
  </si>
  <si>
    <t>Coordination</t>
  </si>
  <si>
    <t>Revised per PC</t>
  </si>
  <si>
    <t>P-2</t>
  </si>
  <si>
    <t xml:space="preserve">Wage </t>
  </si>
  <si>
    <t>P-3</t>
  </si>
  <si>
    <t>P-4</t>
  </si>
  <si>
    <t>Rate Case</t>
  </si>
  <si>
    <t>P-5</t>
  </si>
  <si>
    <t>Compliance</t>
  </si>
  <si>
    <t>Department</t>
  </si>
  <si>
    <t>P-6</t>
  </si>
  <si>
    <t>MAOP</t>
  </si>
  <si>
    <t>Deferral</t>
  </si>
  <si>
    <t>Amortization</t>
  </si>
  <si>
    <t>P-7</t>
  </si>
  <si>
    <t>Misc.</t>
  </si>
  <si>
    <t>Charge</t>
  </si>
  <si>
    <t>P-8</t>
  </si>
  <si>
    <t>CRM</t>
  </si>
  <si>
    <t>P-9</t>
  </si>
  <si>
    <t>Cascade Natural Gas</t>
  </si>
  <si>
    <t>Interest Coordination Adjustment</t>
  </si>
  <si>
    <t>Company Adjustment P-1</t>
  </si>
  <si>
    <t>Exhibit No. DMR-5</t>
  </si>
  <si>
    <t>Revised Tax</t>
  </si>
  <si>
    <t>The above adjustment synchronizes the tax deductible interest expense with the adjusted rate base and the per Company weighted cost of debt.  The Public Counsel amounts are based on Public Counsel recommended rate base.</t>
  </si>
  <si>
    <t>Cascade Natural Gas - 21% FIT Rate</t>
  </si>
  <si>
    <t>Weather Normalization</t>
  </si>
  <si>
    <t>Promotional Advertising Adjustment</t>
  </si>
  <si>
    <t>Restate Revenue Adjustment</t>
  </si>
  <si>
    <t>Low Income Bill Assistance</t>
  </si>
  <si>
    <t>Pro Forma Wage Adjustment</t>
  </si>
  <si>
    <t>Pro Forma Plant Additions</t>
  </si>
  <si>
    <t>Rate Case Costs</t>
  </si>
  <si>
    <t>Pro Forma Compliance Department</t>
  </si>
  <si>
    <t>CRM Adjustment</t>
  </si>
  <si>
    <t>Pro Forma Revenue</t>
  </si>
  <si>
    <t>MAOP Deferral Amortization</t>
  </si>
  <si>
    <t>Miscellaneous Charge Changes</t>
  </si>
  <si>
    <t>Unadjusted WA Allocated Data (Per Books)</t>
  </si>
  <si>
    <t>G</t>
  </si>
  <si>
    <t>H</t>
  </si>
  <si>
    <t>I</t>
  </si>
  <si>
    <t>PC Agrees</t>
  </si>
  <si>
    <t xml:space="preserve">  State &amp; Federal Income Taxes (Note 1)</t>
  </si>
  <si>
    <t>Note 1:  Federal Income Tax Impact of "Per Company" Adjustments revised to reflect 21% FIT rate.</t>
  </si>
  <si>
    <t>Page 1 of 2</t>
  </si>
  <si>
    <t>Page 2 of 2</t>
  </si>
  <si>
    <t>Revised FIT</t>
  </si>
  <si>
    <t>Per Book FIT Restated at 21% FIT Rate</t>
  </si>
  <si>
    <t xml:space="preserve">  Accumulated Depreciation</t>
  </si>
  <si>
    <t>PC-2</t>
  </si>
  <si>
    <t>PC Modified</t>
  </si>
  <si>
    <t>A.6</t>
  </si>
  <si>
    <t>A.7</t>
  </si>
  <si>
    <t>Company Adjustment P-3</t>
  </si>
  <si>
    <t>Exhibit No. DMR-6</t>
  </si>
  <si>
    <t>Project Description</t>
  </si>
  <si>
    <t xml:space="preserve">Per  </t>
  </si>
  <si>
    <t>Amount Per</t>
  </si>
  <si>
    <t>WA</t>
  </si>
  <si>
    <t>Alloc.</t>
  </si>
  <si>
    <t>Proposed</t>
  </si>
  <si>
    <t>Account</t>
  </si>
  <si>
    <t>Gas Intangible Plant:</t>
  </si>
  <si>
    <t>FP-101472 - UG-PIM Installation</t>
  </si>
  <si>
    <t>FP-101510 - UG GMS PURCHASE SOFTWARE</t>
  </si>
  <si>
    <t>FP-200663 - UG-GIS Enhancements</t>
  </si>
  <si>
    <t>FP-302571 - UG-CC&amp;B Upgrade to v2.4</t>
  </si>
  <si>
    <t>FP-302579 - Upgrade CyberSecurity Environment</t>
  </si>
  <si>
    <t>FP-302616 - UG-Taleo-Human Capital Management</t>
  </si>
  <si>
    <t>FP-311939 - UG-PCAD Upgrade to v6.5</t>
  </si>
  <si>
    <t>FP-315501 - UG-JDE Corporate Consolidation</t>
  </si>
  <si>
    <t>FP-315524 - UG-PowerPlan Lease Module</t>
  </si>
  <si>
    <t xml:space="preserve">  Total Intangible Plant</t>
  </si>
  <si>
    <t>Gas Distribution Plant:</t>
  </si>
  <si>
    <t>FP-200122 - RP; R-58, ABERDEEN</t>
  </si>
  <si>
    <t>FP-302588 - HILDEBRAND BLVD 6" HP MAIN</t>
  </si>
  <si>
    <t>FP-302648 - SOUTHRIDGE GATE STATION</t>
  </si>
  <si>
    <t>FP-302653 - BREMERTON R-64 REPLACE/RELOCATE</t>
  </si>
  <si>
    <t>FP-302665 - RICHLAND 4" IP CANAL/HWY CROSSING</t>
  </si>
  <si>
    <t>FP-306995 - OTHELLO REYNOLDS RD REINFORCEMENT</t>
  </si>
  <si>
    <t>FP-306999 - V-13 BREMERTON REPLACEMENT</t>
  </si>
  <si>
    <t>FP-307002 - V-9 ABERDEEN REPLACEMENT</t>
  </si>
  <si>
    <t xml:space="preserve">FP-309000 - 4 in Steel IP Bore Columbia Park </t>
  </si>
  <si>
    <t>FP-311354 - DEEP WELL GB - YAKIMA</t>
  </si>
  <si>
    <t>FP-311357 - DEEP WELL GB - ANACORTES</t>
  </si>
  <si>
    <t>FP-311358 - DEEP WELL GB - WALLA WALLA</t>
  </si>
  <si>
    <t>FP-312000 - 0-2 Terrace Heights</t>
  </si>
  <si>
    <t>FP-312005 - R-29 Nooksack</t>
  </si>
  <si>
    <t>FP-312007 - R-19 Kennewick</t>
  </si>
  <si>
    <t xml:space="preserve">FP-313143 - V-89; Wenatchee 8" isolation valve </t>
  </si>
  <si>
    <t>FP-313621 - FAMILY METER REPLACEMENT</t>
  </si>
  <si>
    <t>FP-314501 - Replace 844' of steel main</t>
  </si>
  <si>
    <t>FP-314643 - 2" STL MN, RE 2 REG STATIONS - BELL</t>
  </si>
  <si>
    <t>FP-314963 - MAOP RPL 8" ANACORTES - SEG. 18191</t>
  </si>
  <si>
    <t>FP-314964 - MAOP RPL 8" MARCH POINT - 11C1144-1</t>
  </si>
  <si>
    <t>FP-315143 - 2000' 6" Southridge Blvd Kennewick</t>
  </si>
  <si>
    <t>FP-315222 - DEEP WELL GB - WENATCHEE</t>
  </si>
  <si>
    <t>FP-315224 - DEEP WELL GB - SHELTON</t>
  </si>
  <si>
    <t>FP-315575 - 2" STEEL MAIN - BELLINGHAM</t>
  </si>
  <si>
    <t>FP-315607 - RF; 6" STEEL HP MAIN, KENNWICK/RICH</t>
  </si>
  <si>
    <t>FP-315671 - INSTALL MAIN WALLA WALLA</t>
  </si>
  <si>
    <t>FP-315678 - RE/REL 4" Main IN SUNNYSIDE</t>
  </si>
  <si>
    <t>FP-315709 - RP; ZILLAH 6" TRAN</t>
  </si>
  <si>
    <t>FP-315710 - YEW ST, PIPE REPLACEMENT</t>
  </si>
  <si>
    <t>FP-315712 - DEEP WELL GB 1 - BELLINGHAM</t>
  </si>
  <si>
    <t>FP-315713 - DEEP WELL GB 5 - BELLINGHAM</t>
  </si>
  <si>
    <t>FP-315714 - INSTALL 2" ST ARO BORE SHELTON</t>
  </si>
  <si>
    <t>FP-315741 - MN RPL; 8" Kitsap HP Line</t>
  </si>
  <si>
    <t>FP-315894 - 10,700 of 6" &amp; 800' 4" Reinforce Pasco</t>
  </si>
  <si>
    <t>FP-101201 - IND M&amp;R-REMOVE&amp;REPL-WA</t>
  </si>
  <si>
    <t>FP-101191 - MAIN-REINFORCE-WA</t>
  </si>
  <si>
    <t>FP-101192 - MAIN-RELO-REPL-WA</t>
  </si>
  <si>
    <t>FP-101196 - R STA-RELO-REPL-WA</t>
  </si>
  <si>
    <t>FP-101199 - STD M&amp;R-RELO-REPL-WA</t>
  </si>
  <si>
    <t>FP-101275 - SERV-RELO-REPL-WA</t>
  </si>
  <si>
    <t>FP-302369 - GB - GROUNDBED WA</t>
  </si>
  <si>
    <t xml:space="preserve">  Total Distribution Plant</t>
  </si>
  <si>
    <t>General Plant:</t>
  </si>
  <si>
    <t>FP-101285 - GP BUILDINGS - BELLINGHAM</t>
  </si>
  <si>
    <t>FP-101288 - GP TOOLS - BELLINGHAM</t>
  </si>
  <si>
    <t>FP-101359 - GP BUILDINGS - ABERDEEN</t>
  </si>
  <si>
    <t>FP-101362 - GP TOOLS - ABERDEEN</t>
  </si>
  <si>
    <t>FP-200661 - Data Center &amp; Network Equipment</t>
  </si>
  <si>
    <t>FP-200662 - Personal Computers &amp; Peripherals</t>
  </si>
  <si>
    <t>FP-311969 - Sensit Portable Methane Detectors</t>
  </si>
  <si>
    <t>FP-315865 - UG - ThoughtSpot Implementation Prj</t>
  </si>
  <si>
    <t xml:space="preserve">  Total General Plant</t>
  </si>
  <si>
    <t>Source/Notes:</t>
  </si>
  <si>
    <t>Modification of Company Adjustments</t>
  </si>
  <si>
    <t>Original Filing</t>
  </si>
  <si>
    <t>J = I - F</t>
  </si>
  <si>
    <t>Reject per PC</t>
  </si>
  <si>
    <t>PC Disagrees</t>
  </si>
  <si>
    <t>Public Counsel Recommended Adjustments</t>
  </si>
  <si>
    <t>Reflect Reduced FIT Rate on Per Book Taxes</t>
  </si>
  <si>
    <t>Public Counsel Adjustment P-1</t>
  </si>
  <si>
    <t>Washington Unadjusted Federal Income Tax, per CNG Filing</t>
  </si>
  <si>
    <t>FIT Rate Used In Original Filing</t>
  </si>
  <si>
    <t>Current FIT Rate</t>
  </si>
  <si>
    <t>Federal Income Tax Based on Unadjusted Results and Current</t>
  </si>
  <si>
    <t xml:space="preserve">  FIT Rate (Line 1 / Line 2 * Line 3)</t>
  </si>
  <si>
    <t xml:space="preserve">Reduction to Unadjusted Federal Income Tax to Reflect Current </t>
  </si>
  <si>
    <t xml:space="preserve">    FIT Rate (Line 4 - Line 1)</t>
  </si>
  <si>
    <t>Notes/References</t>
  </si>
  <si>
    <t>Col. (A):  Company Exhibit MMP-2</t>
  </si>
  <si>
    <t>The amount on line 4 for the federal income tax expense based on unadjusted results as revised</t>
  </si>
  <si>
    <t>to reflect the 21% current federal income tax rate equals the amount presented by the Company</t>
  </si>
  <si>
    <t>in the attachments provided with its original and supplemental response to Bench Request No. 1.</t>
  </si>
  <si>
    <t xml:space="preserve">Col. (B):  Company Exhibit MPP-3, revised to reflect tax impact of adjustments at 21% FIT rate and </t>
  </si>
  <si>
    <t xml:space="preserve">      unadjusted FIT expense at 21% FIT rate.  Consistent with amounts reflected in the Company's</t>
  </si>
  <si>
    <t xml:space="preserve">      original and supplemental response to Bench Request 1.</t>
  </si>
  <si>
    <t>in the attachments provided with the Company's original and revised responses to Bench Request 1.</t>
  </si>
  <si>
    <t>Revised (1)</t>
  </si>
  <si>
    <t>(1)  Per Company revised amounts reflects the current 21% federal income tax rate.  The amount can be found</t>
  </si>
  <si>
    <t>Weighted Cost of Debt, per Company</t>
  </si>
  <si>
    <t>Remove</t>
  </si>
  <si>
    <t>Accrual for</t>
  </si>
  <si>
    <t>Legal Matter</t>
  </si>
  <si>
    <t>PC-3</t>
  </si>
  <si>
    <t>Reduce</t>
  </si>
  <si>
    <t>MDU</t>
  </si>
  <si>
    <t>Rental Chgs</t>
  </si>
  <si>
    <t>PC-4</t>
  </si>
  <si>
    <t>Mkt Data</t>
  </si>
  <si>
    <t>Subs. Fees</t>
  </si>
  <si>
    <t>PC-5</t>
  </si>
  <si>
    <t xml:space="preserve">Remove </t>
  </si>
  <si>
    <t>PC-6</t>
  </si>
  <si>
    <t>Incentive</t>
  </si>
  <si>
    <t>Comp. Exp.</t>
  </si>
  <si>
    <t>Remove Accrual for Legal Matter</t>
  </si>
  <si>
    <t>Reduce MDU Rental Charges</t>
  </si>
  <si>
    <t>Reduce Market Data Subscription Fees</t>
  </si>
  <si>
    <t>Remove Foros True Boutique Charges</t>
  </si>
  <si>
    <t>Reduce Incentive Compensation Exp.</t>
  </si>
  <si>
    <t>PC-7</t>
  </si>
  <si>
    <t>Foros True</t>
  </si>
  <si>
    <t>Boutique Exp.</t>
  </si>
  <si>
    <t>Per</t>
  </si>
  <si>
    <t>2016 Actual Deferral</t>
  </si>
  <si>
    <t>Amortization Period (Years)</t>
  </si>
  <si>
    <t>Annual Amortization Expense</t>
  </si>
  <si>
    <t>Company Adjustment P-6</t>
  </si>
  <si>
    <t xml:space="preserve">  -  Revised for Actual Amounts</t>
  </si>
  <si>
    <t>2017 Actual Costs per WUTC-68 (1)</t>
  </si>
  <si>
    <t>Additional 2017 Actual Costs per WUTC-93 (2)</t>
  </si>
  <si>
    <t>Notes/Source:</t>
  </si>
  <si>
    <t xml:space="preserve">The above adjustment allows the amortization of actual costs deferred as of the date of the </t>
  </si>
  <si>
    <t>2017 Estimated Deferral, per Company</t>
  </si>
  <si>
    <t>2018 Estimated through May 31, per Company</t>
  </si>
  <si>
    <t xml:space="preserve">  responses to various data requests and excludes estimated amounts from recovery.</t>
  </si>
  <si>
    <t>Non-Qualified</t>
  </si>
  <si>
    <t>Pension Exp.</t>
  </si>
  <si>
    <t>Remove Non-Qualified Pension Exp.</t>
  </si>
  <si>
    <t>Public Counsel Adjustment P-3</t>
  </si>
  <si>
    <t>Reduction to MDU Rental Charges</t>
  </si>
  <si>
    <t>Recommend Monthly Charges from MDU Included in Rent Expense</t>
  </si>
  <si>
    <t>Recommended Annual Charges from MDU to Include in Rent Expense (Line 1 x 12)</t>
  </si>
  <si>
    <t>Test Year Charges from MDU included in Rent Expense</t>
  </si>
  <si>
    <t>Reduction to Test Year Rent Expense</t>
  </si>
  <si>
    <t>Line 1:  Monthly charges in effect for 2017 per the Company's response to Public Counsel Data</t>
  </si>
  <si>
    <t>Line 2:  Company's response to Public Counsel Data Request 86, Attachment PC-86F.</t>
  </si>
  <si>
    <t>Amounts are on a Washington Jurisdictional Basis.</t>
  </si>
  <si>
    <t>Amount With</t>
  </si>
  <si>
    <t>9.40% ROE</t>
  </si>
  <si>
    <t>(D)</t>
  </si>
  <si>
    <t>Cost of Capital, with ROE Revised to 9.40%</t>
  </si>
  <si>
    <t>Col. (D):  The purpose of this column is to present what the Public Counsel recommended revenue sufficiency would be</t>
  </si>
  <si>
    <t xml:space="preserve">      if the return on equity were revised from the 9.90% requested by the Company to 9.40%.</t>
  </si>
  <si>
    <t>Increase (Reduction) to Income Tax Expense</t>
  </si>
  <si>
    <t>2017 Estimated Rate Case Costs, per Company Filing</t>
  </si>
  <si>
    <t>2017 Actual Rate Case Costs</t>
  </si>
  <si>
    <t>Estimated Remaining Rate Case Costs, per Company</t>
  </si>
  <si>
    <t>N/A</t>
  </si>
  <si>
    <t>Amortization Period in Years, per Public Counsel</t>
  </si>
  <si>
    <t>Proposed Annual Expense</t>
  </si>
  <si>
    <t>Increase in Rate Case Expense (Line 7 - Line 8)</t>
  </si>
  <si>
    <t>Actual Rate Case Expense in Test Year (Line 1)</t>
  </si>
  <si>
    <t>Company Adjustment P-4</t>
  </si>
  <si>
    <t>The Company proposed to adjust the test year to include both the costs incurred during the</t>
  </si>
  <si>
    <t xml:space="preserve">      test year for a prior docket and estimated costs to be incurred in 2017 for the current rate</t>
  </si>
  <si>
    <t xml:space="preserve">      case.  Public Counsel recommends that the actual and projected costs for this rate case</t>
  </si>
  <si>
    <t xml:space="preserve">      be amortized over a three-year period, resulting in normalized level of rate case expense</t>
  </si>
  <si>
    <t xml:space="preserve">      to be included in the adjusted test year.</t>
  </si>
  <si>
    <t>2016 Actual Rate Case Expense (Dkt. UG-152286)</t>
  </si>
  <si>
    <t>Reduction to Test Year Incentive Compensation Expense</t>
  </si>
  <si>
    <t>Public Counsel Adjustment P-4</t>
  </si>
  <si>
    <t>Incentive Plan Expense in 2016 Test Year, per Company:</t>
  </si>
  <si>
    <t xml:space="preserve">  Cascade Direct Charge to Washington Jurisdiction</t>
  </si>
  <si>
    <t xml:space="preserve">  Cascade Allocated to Washington Jurisdiction</t>
  </si>
  <si>
    <t xml:space="preserve">  Intermountain Gas Company Allocation to Washington</t>
  </si>
  <si>
    <t xml:space="preserve">  Montana Dakota Utility Allocated to Washington</t>
  </si>
  <si>
    <t xml:space="preserve">  MDU Resources Group Allocated to Washington</t>
  </si>
  <si>
    <t>Total Incentive Plan Expense in Test Year, Washington Jurisdictional</t>
  </si>
  <si>
    <t>Public Counsel Recommended Allowable Expense:</t>
  </si>
  <si>
    <t xml:space="preserve">    Cascade Employees Based on O&amp;M Goals</t>
  </si>
  <si>
    <t xml:space="preserve">    Cascade Employees Based on Customer Service Goals</t>
  </si>
  <si>
    <t xml:space="preserve">    Cascade Employees Based on Integrity Leadership Goals</t>
  </si>
  <si>
    <t>Public Counsel Recommended Incentive Compensation Expense</t>
  </si>
  <si>
    <t>Reduction to Test Year Incentive Compensation Expense (Line 10 - Line 6)</t>
  </si>
  <si>
    <t>Page 1 of 3</t>
  </si>
  <si>
    <t>Page 2 of 3</t>
  </si>
  <si>
    <t>Page 3 of 3</t>
  </si>
  <si>
    <t>Total Amount</t>
  </si>
  <si>
    <t>Page 1 of  5</t>
  </si>
  <si>
    <t>Page 2 of 5</t>
  </si>
  <si>
    <t>Page 3 of 5</t>
  </si>
  <si>
    <t>Gas Distribution Plant (Continued):</t>
  </si>
  <si>
    <t>Page 4 of 5</t>
  </si>
  <si>
    <t>Page 5 of 5</t>
  </si>
  <si>
    <t>Col. A, B and C:  Company Exhibit MPP-5; Col. D, E and F:  Company response to Bench Request 1; Col. G and H:  Exhibit No.DMR-4.</t>
  </si>
  <si>
    <t>Fall-Out Adjustment</t>
  </si>
  <si>
    <t>Public Counsel Recommended Reduction to Company Adjustment</t>
  </si>
  <si>
    <t>Per Company amounts per Company Workpaper MPP WP-1.12, provided as Exhibit DMR-43.</t>
  </si>
  <si>
    <t>Lines 1 and 2:  Company Workpaper MPP WP-1.15 (Exhibit DMR-24).</t>
  </si>
  <si>
    <t xml:space="preserve">Lines 3 and 4:  Company response to Public Counsel Data Request PC-67 (Exhibit DMR-25).  </t>
  </si>
  <si>
    <t xml:space="preserve">      The estimated remaining rate case costs assume the case is litigated.  If the case settles, </t>
  </si>
  <si>
    <t xml:space="preserve">      Cascade estimates the remaining costs as $52,375.</t>
  </si>
  <si>
    <t xml:space="preserve">      as $3,411,603.  Of that amount, $540,000 was identified as estimated amounts.</t>
  </si>
  <si>
    <t xml:space="preserve">(1)  Response to UTC-68 (Exh. DMR-28) identified the "Actuals &amp; Estimates" for 2017 </t>
  </si>
  <si>
    <t xml:space="preserve">      for 2017 in response to WUTC-68, $368,867 had been invoiced.</t>
  </si>
  <si>
    <t xml:space="preserve">(2)  Response to UTC-93 (Exh. DMR-29) indicated that of the 2017 amounts estimated </t>
  </si>
  <si>
    <t xml:space="preserve">      Request 86, Attachment PC-86F (Exhibit DMR-32)</t>
  </si>
  <si>
    <t>Lines 1 - 5:  Company response to UTC Staff Data Request 110 (Exhibit DMR-38).</t>
  </si>
  <si>
    <t>Col. (a):  Company Workpaper MPP WP-1.17 (Exhibit DMR-26)</t>
  </si>
  <si>
    <t>Lines 7 - 9:  Company response to UTC Staff Data Request 109 (Exhibit DMR-21).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</si>
</sst>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0.00000"/>
    <numFmt numFmtId="169" formatCode="#,##0.0_);\(#,##0.0\)"/>
    <numFmt numFmtId="170" formatCode="0.0%"/>
    <numFmt numFmtId="171" formatCode="_(* #,##0.00000_);_(* \(#,##0.00000\);_(* &quot;-&quot;_);_(@_)"/>
  </numFmts>
  <fonts count="22"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0"/>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sz val="10"/>
      <color theme="1"/>
      <name val="Times New Roman"/>
      <family val="1"/>
    </font>
    <font>
      <u/>
      <sz val="10"/>
      <color theme="1"/>
      <name val="Times New Roman"/>
      <family val="1"/>
    </font>
    <font>
      <i/>
      <sz val="12"/>
      <name val="Times New Roman"/>
      <family val="1"/>
    </font>
    <font>
      <b/>
      <u/>
      <sz val="12"/>
      <name val="Times New Roman"/>
      <family val="1"/>
    </font>
    <font>
      <u val="singleAccounting"/>
      <sz val="12"/>
      <name val="Times New Roman"/>
      <family val="1"/>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
      <patternFill patternType="solid">
        <fgColor theme="0"/>
        <bgColor indexed="64"/>
      </patternFill>
    </fill>
  </fills>
  <borders count="21">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80">
    <xf numFmtId="0" fontId="0" fillId="0" borderId="0"/>
    <xf numFmtId="41" fontId="1" fillId="0" borderId="0" applyFont="0" applyFill="0" applyBorder="0" applyAlignment="0" applyProtection="0"/>
    <xf numFmtId="43" fontId="7" fillId="0" borderId="0" applyFont="0" applyFill="0" applyBorder="0" applyAlignment="0" applyProtection="0"/>
    <xf numFmtId="0" fontId="7" fillId="0" borderId="0"/>
    <xf numFmtId="41" fontId="4" fillId="0" borderId="0"/>
    <xf numFmtId="9" fontId="2" fillId="0" borderId="0" applyFont="0" applyFill="0" applyBorder="0" applyAlignment="0" applyProtection="0"/>
    <xf numFmtId="9" fontId="7" fillId="0" borderId="0" applyFont="0" applyFill="0" applyBorder="0" applyAlignment="0" applyProtection="0"/>
    <xf numFmtId="4" fontId="9" fillId="2" borderId="1" applyNumberFormat="0" applyProtection="0">
      <alignment horizontal="left" vertical="center" indent="1"/>
    </xf>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4" fontId="4"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0"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4" fillId="0" borderId="0"/>
    <xf numFmtId="0" fontId="4"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9"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9" fillId="2" borderId="1" applyNumberFormat="0" applyProtection="0">
      <alignment horizontal="left" vertical="center" indent="1"/>
    </xf>
    <xf numFmtId="9" fontId="10" fillId="0" borderId="0" applyFon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0" fillId="0" borderId="0"/>
    <xf numFmtId="43" fontId="10"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9" fontId="10" fillId="0" borderId="0" applyFont="0" applyFill="0" applyBorder="0" applyAlignment="0" applyProtection="0"/>
    <xf numFmtId="41" fontId="1" fillId="0" borderId="0" applyFont="0" applyFill="0" applyBorder="0" applyAlignment="0" applyProtection="0"/>
    <xf numFmtId="43" fontId="10" fillId="0" borderId="0" applyFont="0" applyFill="0" applyBorder="0" applyAlignment="0" applyProtection="0"/>
    <xf numFmtId="4" fontId="15" fillId="3" borderId="1" applyNumberFormat="0" applyProtection="0"/>
    <xf numFmtId="0" fontId="9" fillId="3" borderId="1" applyNumberFormat="0" applyProtection="0">
      <alignment horizontal="left" vertical="top"/>
    </xf>
    <xf numFmtId="4" fontId="9" fillId="0" borderId="1" applyNumberFormat="0" applyProtection="0">
      <alignment horizontal="right" vertical="center"/>
    </xf>
    <xf numFmtId="0" fontId="14" fillId="0" borderId="0"/>
    <xf numFmtId="9" fontId="14" fillId="0" borderId="0" applyFont="0" applyFill="0" applyBorder="0" applyAlignment="0" applyProtection="0"/>
    <xf numFmtId="4" fontId="15" fillId="4" borderId="1" applyNumberFormat="0" applyProtection="0">
      <alignment horizontal="left" vertical="center" indent="1"/>
    </xf>
    <xf numFmtId="4" fontId="15" fillId="5" borderId="1" applyNumberFormat="0" applyProtection="0">
      <alignment vertical="center"/>
    </xf>
    <xf numFmtId="0" fontId="14" fillId="0" borderId="0"/>
    <xf numFmtId="0" fontId="16" fillId="0" borderId="0"/>
    <xf numFmtId="0" fontId="16" fillId="0" borderId="0"/>
    <xf numFmtId="4" fontId="9" fillId="0" borderId="1" applyNumberFormat="0" applyProtection="0">
      <alignment horizontal="left" vertical="center"/>
    </xf>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0" fontId="1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4" fillId="0" borderId="0"/>
    <xf numFmtId="0" fontId="10" fillId="0" borderId="0"/>
    <xf numFmtId="9" fontId="1" fillId="0" borderId="0" applyFont="0" applyFill="0" applyBorder="0" applyAlignment="0" applyProtection="0"/>
    <xf numFmtId="0" fontId="1" fillId="0" borderId="0"/>
    <xf numFmtId="43"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221">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41" fontId="0" fillId="0" borderId="0" xfId="0" applyNumberFormat="1"/>
    <xf numFmtId="0" fontId="4" fillId="0" borderId="0" xfId="0" applyFont="1"/>
    <xf numFmtId="0" fontId="0" fillId="0" borderId="0" xfId="0" applyBorder="1" applyAlignment="1">
      <alignment horizontal="center"/>
    </xf>
    <xf numFmtId="0" fontId="0" fillId="0" borderId="2" xfId="0" applyBorder="1" applyAlignment="1">
      <alignment horizontal="center"/>
    </xf>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0" fontId="0" fillId="0" borderId="0" xfId="0" applyFill="1" applyBorder="1"/>
    <xf numFmtId="10" fontId="0" fillId="0" borderId="0" xfId="5" applyNumberFormat="1" applyFont="1" applyBorder="1"/>
    <xf numFmtId="41" fontId="4" fillId="0" borderId="0" xfId="4"/>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2" xfId="0" applyNumberFormat="1" applyBorder="1"/>
    <xf numFmtId="41" fontId="0" fillId="0" borderId="0" xfId="1" applyFont="1"/>
    <xf numFmtId="41" fontId="0" fillId="0" borderId="2" xfId="1" applyFont="1" applyBorder="1"/>
    <xf numFmtId="41" fontId="0" fillId="0" borderId="0" xfId="1" applyFont="1" applyBorder="1"/>
    <xf numFmtId="0" fontId="0" fillId="0" borderId="0" xfId="0" quotePrefix="1" applyAlignment="1">
      <alignment horizontal="center"/>
    </xf>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0" fontId="0" fillId="0" borderId="0" xfId="0" applyFont="1"/>
    <xf numFmtId="0" fontId="0" fillId="0" borderId="0" xfId="0" applyFont="1" applyAlignment="1">
      <alignment horizontal="center"/>
    </xf>
    <xf numFmtId="168" fontId="4" fillId="0" borderId="0" xfId="1" applyNumberFormat="1" applyFont="1" applyBorder="1" applyProtection="1"/>
    <xf numFmtId="168" fontId="0" fillId="0" borderId="2" xfId="0" applyNumberFormat="1" applyBorder="1"/>
    <xf numFmtId="0" fontId="0" fillId="0" borderId="0" xfId="0" applyFont="1" applyBorder="1" applyAlignment="1">
      <alignment horizontal="center"/>
    </xf>
    <xf numFmtId="0" fontId="0" fillId="0" borderId="0" xfId="0" quotePrefix="1" applyFont="1"/>
    <xf numFmtId="0" fontId="4" fillId="0" borderId="0" xfId="0" applyFont="1" applyAlignment="1"/>
    <xf numFmtId="167" fontId="4" fillId="0" borderId="0" xfId="15" applyNumberFormat="1" applyFont="1" applyAlignment="1"/>
    <xf numFmtId="167" fontId="4" fillId="0" borderId="0" xfId="15" applyNumberFormat="1" applyFont="1"/>
    <xf numFmtId="0" fontId="4" fillId="0" borderId="2" xfId="0" applyFont="1" applyBorder="1"/>
    <xf numFmtId="0" fontId="4" fillId="0" borderId="0" xfId="0" quotePrefix="1" applyFont="1"/>
    <xf numFmtId="167" fontId="4" fillId="0" borderId="0" xfId="15" applyNumberFormat="1" applyFont="1" applyBorder="1"/>
    <xf numFmtId="0" fontId="0" fillId="0" borderId="0" xfId="0" quotePrefix="1" applyFont="1" applyAlignment="1">
      <alignment horizontal="left"/>
    </xf>
    <xf numFmtId="9" fontId="4" fillId="0" borderId="2" xfId="5" applyNumberFormat="1" applyFont="1" applyBorder="1"/>
    <xf numFmtId="0" fontId="0" fillId="0" borderId="0" xfId="0" applyAlignment="1">
      <alignment horizontal="centerContinuous" wrapText="1"/>
    </xf>
    <xf numFmtId="5" fontId="0" fillId="0" borderId="0" xfId="0" applyNumberFormat="1" applyBorder="1"/>
    <xf numFmtId="41" fontId="4" fillId="0" borderId="0" xfId="0" applyNumberFormat="1" applyFont="1" applyBorder="1" applyProtection="1"/>
    <xf numFmtId="0" fontId="0" fillId="0" borderId="0" xfId="0" quotePrefix="1" applyFill="1" applyBorder="1" applyAlignment="1">
      <alignment horizontal="center"/>
    </xf>
    <xf numFmtId="0" fontId="0" fillId="0" borderId="0" xfId="0" quotePrefix="1" applyFont="1" applyAlignment="1">
      <alignment horizontal="center"/>
    </xf>
    <xf numFmtId="0" fontId="0" fillId="0" borderId="0" xfId="0" quotePrefix="1" applyFill="1" applyBorder="1"/>
    <xf numFmtId="41" fontId="0" fillId="0" borderId="0" xfId="1" applyFont="1" applyFill="1"/>
    <xf numFmtId="41" fontId="0" fillId="0" borderId="2" xfId="1" applyFont="1" applyBorder="1" applyAlignment="1">
      <alignment horizontal="center"/>
    </xf>
    <xf numFmtId="41" fontId="6" fillId="0" borderId="0" xfId="1" applyFont="1" applyAlignment="1">
      <alignment horizontal="center"/>
    </xf>
    <xf numFmtId="41" fontId="4" fillId="0" borderId="0" xfId="1" applyFont="1"/>
    <xf numFmtId="41" fontId="0" fillId="0" borderId="0" xfId="1" applyFont="1" applyAlignment="1">
      <alignment horizontal="center"/>
    </xf>
    <xf numFmtId="41" fontId="6" fillId="0" borderId="0" xfId="1" applyFont="1"/>
    <xf numFmtId="41" fontId="6" fillId="0" borderId="0" xfId="1" applyFont="1" applyBorder="1" applyAlignment="1">
      <alignment horizontal="center"/>
    </xf>
    <xf numFmtId="41" fontId="6" fillId="0" borderId="0" xfId="1" applyFont="1" applyFill="1" applyAlignment="1">
      <alignment horizontal="center"/>
    </xf>
    <xf numFmtId="41" fontId="6" fillId="0" borderId="2" xfId="1" applyFont="1" applyBorder="1" applyAlignment="1">
      <alignment horizontal="center"/>
    </xf>
    <xf numFmtId="41" fontId="4" fillId="0" borderId="0" xfId="1" quotePrefix="1" applyFont="1" applyAlignment="1">
      <alignment horizontal="center"/>
    </xf>
    <xf numFmtId="41" fontId="4" fillId="0" borderId="0" xfId="1" quotePrefix="1" applyFont="1" applyFill="1" applyBorder="1" applyAlignment="1">
      <alignment horizontal="center"/>
    </xf>
    <xf numFmtId="41" fontId="5" fillId="0" borderId="0" xfId="1" applyFont="1"/>
    <xf numFmtId="41" fontId="4" fillId="0" borderId="0" xfId="1" applyFont="1" applyBorder="1"/>
    <xf numFmtId="41" fontId="4" fillId="0" borderId="2" xfId="1" applyFont="1" applyBorder="1"/>
    <xf numFmtId="41" fontId="4" fillId="0" borderId="7" xfId="1" applyFont="1" applyBorder="1"/>
    <xf numFmtId="41" fontId="4" fillId="0" borderId="3" xfId="1" applyFont="1" applyBorder="1"/>
    <xf numFmtId="41" fontId="0" fillId="0" borderId="0" xfId="1" applyFont="1" applyFill="1" applyBorder="1"/>
    <xf numFmtId="169" fontId="6" fillId="0" borderId="0" xfId="1" applyNumberFormat="1" applyFont="1" applyAlignment="1">
      <alignment horizontal="center"/>
    </xf>
    <xf numFmtId="39" fontId="6" fillId="0" borderId="0" xfId="1" applyNumberFormat="1" applyFont="1" applyAlignment="1">
      <alignment horizontal="center"/>
    </xf>
    <xf numFmtId="0" fontId="17" fillId="0" borderId="0" xfId="0" applyFont="1"/>
    <xf numFmtId="0" fontId="6" fillId="0" borderId="0" xfId="0" applyFont="1" applyFill="1"/>
    <xf numFmtId="0" fontId="6" fillId="0" borderId="0" xfId="0" applyFont="1" applyFill="1" applyAlignment="1">
      <alignment horizontal="center"/>
    </xf>
    <xf numFmtId="0" fontId="17" fillId="0" borderId="0" xfId="0" applyFont="1" applyBorder="1"/>
    <xf numFmtId="0" fontId="17" fillId="0" borderId="17" xfId="0" applyFont="1" applyBorder="1"/>
    <xf numFmtId="0" fontId="6" fillId="0" borderId="0"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2" xfId="0" applyFont="1" applyFill="1" applyBorder="1"/>
    <xf numFmtId="0" fontId="6" fillId="0" borderId="11" xfId="0" applyFont="1" applyFill="1" applyBorder="1" applyAlignment="1">
      <alignment horizontal="center" wrapText="1"/>
    </xf>
    <xf numFmtId="0" fontId="6" fillId="0" borderId="2" xfId="0" applyFont="1" applyFill="1" applyBorder="1" applyAlignment="1">
      <alignment horizontal="center"/>
    </xf>
    <xf numFmtId="0" fontId="6" fillId="0" borderId="6" xfId="0" applyFont="1" applyFill="1" applyBorder="1" applyAlignment="1">
      <alignment horizontal="center" wrapText="1"/>
    </xf>
    <xf numFmtId="0" fontId="6" fillId="0" borderId="18" xfId="0" applyFont="1" applyFill="1" applyBorder="1" applyAlignment="1">
      <alignment horizontal="center" wrapText="1"/>
    </xf>
    <xf numFmtId="0" fontId="6" fillId="0" borderId="0" xfId="0" applyFont="1" applyFill="1" applyBorder="1" applyAlignment="1">
      <alignment horizontal="center" vertical="center" wrapText="1"/>
    </xf>
    <xf numFmtId="0" fontId="6" fillId="0" borderId="10" xfId="0" quotePrefix="1" applyFont="1" applyFill="1" applyBorder="1" applyAlignment="1">
      <alignment horizontal="center" wrapText="1"/>
    </xf>
    <xf numFmtId="0" fontId="6" fillId="0" borderId="0" xfId="0" applyFont="1" applyFill="1" applyBorder="1" applyAlignment="1">
      <alignment horizontal="center"/>
    </xf>
    <xf numFmtId="0" fontId="6" fillId="0" borderId="5" xfId="0" applyFont="1" applyFill="1" applyBorder="1" applyAlignment="1">
      <alignment horizontal="center" wrapText="1"/>
    </xf>
    <xf numFmtId="0" fontId="6" fillId="0" borderId="10" xfId="0" applyFont="1" applyFill="1" applyBorder="1" applyAlignment="1">
      <alignment horizontal="center" wrapText="1"/>
    </xf>
    <xf numFmtId="0" fontId="6" fillId="0" borderId="19" xfId="0" applyFont="1" applyFill="1" applyBorder="1" applyAlignment="1">
      <alignment horizontal="center" wrapText="1"/>
    </xf>
    <xf numFmtId="0" fontId="6" fillId="0" borderId="0" xfId="0" applyFont="1" applyFill="1" applyAlignment="1">
      <alignment horizontal="right"/>
    </xf>
    <xf numFmtId="166" fontId="6" fillId="0" borderId="10" xfId="1" applyNumberFormat="1" applyFont="1" applyFill="1" applyBorder="1"/>
    <xf numFmtId="166" fontId="6" fillId="0" borderId="0" xfId="1" applyNumberFormat="1" applyFont="1" applyFill="1" applyBorder="1"/>
    <xf numFmtId="166" fontId="6" fillId="0" borderId="5" xfId="1" applyNumberFormat="1" applyFont="1" applyFill="1" applyBorder="1"/>
    <xf numFmtId="166" fontId="6" fillId="0" borderId="19" xfId="1" applyNumberFormat="1" applyFont="1" applyFill="1" applyBorder="1"/>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0" xfId="0" applyNumberFormat="1" applyFont="1" applyFill="1" applyAlignment="1">
      <alignment horizontal="center"/>
    </xf>
    <xf numFmtId="2" fontId="6" fillId="0" borderId="0" xfId="0" quotePrefix="1" applyNumberFormat="1" applyFont="1" applyFill="1" applyAlignment="1">
      <alignment horizontal="center"/>
    </xf>
    <xf numFmtId="0" fontId="6" fillId="0" borderId="0" xfId="0" quotePrefix="1" applyFont="1" applyFill="1" applyAlignment="1">
      <alignment horizontal="center"/>
    </xf>
    <xf numFmtId="166" fontId="6" fillId="0" borderId="7" xfId="0" applyNumberFormat="1" applyFont="1" applyBorder="1"/>
    <xf numFmtId="166" fontId="6" fillId="0" borderId="15" xfId="0" applyNumberFormat="1" applyFont="1" applyBorder="1"/>
    <xf numFmtId="166" fontId="6" fillId="0" borderId="16" xfId="0" applyNumberFormat="1" applyFont="1" applyBorder="1"/>
    <xf numFmtId="166" fontId="6" fillId="0" borderId="20" xfId="0" applyNumberFormat="1" applyFont="1" applyBorder="1"/>
    <xf numFmtId="166" fontId="6" fillId="0" borderId="0" xfId="0" applyNumberFormat="1" applyFont="1" applyBorder="1"/>
    <xf numFmtId="0" fontId="17" fillId="0" borderId="0" xfId="0" applyFont="1" applyAlignment="1">
      <alignment horizontal="right"/>
    </xf>
    <xf numFmtId="0" fontId="18" fillId="0" borderId="0" xfId="0" applyFont="1"/>
    <xf numFmtId="165" fontId="17" fillId="0" borderId="0" xfId="5" applyNumberFormat="1" applyFont="1"/>
    <xf numFmtId="0" fontId="0" fillId="0" borderId="0" xfId="0" applyAlignment="1">
      <alignment horizontal="right"/>
    </xf>
    <xf numFmtId="0" fontId="0" fillId="0" borderId="2" xfId="0" applyFont="1" applyBorder="1" applyAlignment="1">
      <alignment horizontal="center"/>
    </xf>
    <xf numFmtId="167" fontId="0" fillId="0" borderId="2" xfId="15" applyNumberFormat="1" applyFont="1" applyBorder="1" applyAlignment="1">
      <alignment horizontal="center"/>
    </xf>
    <xf numFmtId="167" fontId="0" fillId="0" borderId="0" xfId="15" applyNumberFormat="1" applyFont="1" applyAlignment="1">
      <alignment horizontal="center"/>
    </xf>
    <xf numFmtId="41" fontId="4" fillId="0" borderId="2" xfId="1" applyFont="1" applyFill="1" applyBorder="1"/>
    <xf numFmtId="165" fontId="4" fillId="0" borderId="2" xfId="29" applyNumberFormat="1" applyFont="1" applyFill="1" applyBorder="1" applyProtection="1"/>
    <xf numFmtId="0" fontId="6" fillId="0" borderId="2" xfId="0" applyFont="1" applyFill="1" applyBorder="1" applyAlignment="1">
      <alignment horizontal="left" wrapText="1"/>
    </xf>
    <xf numFmtId="0" fontId="11" fillId="0" borderId="0" xfId="0" applyFont="1"/>
    <xf numFmtId="0" fontId="0" fillId="0" borderId="0" xfId="0" applyFont="1" applyProtection="1">
      <protection locked="0"/>
    </xf>
    <xf numFmtId="0" fontId="0" fillId="0" borderId="0" xfId="0" applyFont="1" applyAlignment="1" applyProtection="1">
      <alignment horizontal="left"/>
      <protection locked="0"/>
    </xf>
    <xf numFmtId="0" fontId="19" fillId="0" borderId="0" xfId="0" applyFont="1" applyAlignment="1"/>
    <xf numFmtId="0" fontId="11" fillId="0" borderId="0" xfId="0" applyFont="1" applyAlignment="1">
      <alignment horizontal="right"/>
    </xf>
    <xf numFmtId="9" fontId="0" fillId="0" borderId="0" xfId="5" applyFont="1"/>
    <xf numFmtId="9" fontId="0" fillId="0" borderId="0" xfId="0" applyNumberFormat="1"/>
    <xf numFmtId="170" fontId="0" fillId="0" borderId="0" xfId="5" applyNumberFormat="1" applyFont="1"/>
    <xf numFmtId="170" fontId="0" fillId="0" borderId="2" xfId="5" applyNumberFormat="1" applyFont="1" applyBorder="1"/>
    <xf numFmtId="165" fontId="0" fillId="0" borderId="0" xfId="5" applyNumberFormat="1" applyFont="1"/>
    <xf numFmtId="165" fontId="0" fillId="0" borderId="0" xfId="0" applyNumberFormat="1"/>
    <xf numFmtId="165" fontId="0" fillId="0" borderId="2" xfId="5" applyNumberFormat="1" applyFont="1" applyBorder="1"/>
    <xf numFmtId="168" fontId="0" fillId="0" borderId="0" xfId="0" applyNumberFormat="1"/>
    <xf numFmtId="171" fontId="0" fillId="0" borderId="0" xfId="1" applyNumberFormat="1" applyFont="1"/>
    <xf numFmtId="171" fontId="0" fillId="0" borderId="2" xfId="1" applyNumberFormat="1" applyFont="1" applyBorder="1"/>
    <xf numFmtId="171" fontId="0" fillId="0" borderId="7" xfId="1" applyNumberFormat="1" applyFont="1" applyBorder="1"/>
    <xf numFmtId="171" fontId="0" fillId="0" borderId="14" xfId="1" applyNumberFormat="1" applyFont="1" applyBorder="1"/>
    <xf numFmtId="165" fontId="4" fillId="0" borderId="12" xfId="0" applyNumberFormat="1" applyFont="1" applyBorder="1" applyProtection="1"/>
    <xf numFmtId="165" fontId="0" fillId="0" borderId="14" xfId="0" applyNumberFormat="1" applyBorder="1"/>
    <xf numFmtId="41" fontId="4" fillId="0" borderId="2" xfId="0" applyNumberFormat="1" applyFont="1" applyBorder="1" applyProtection="1"/>
    <xf numFmtId="0" fontId="0" fillId="0" borderId="0" xfId="0" applyBorder="1" applyAlignment="1">
      <alignment horizontal="center" vertical="center"/>
    </xf>
    <xf numFmtId="0" fontId="6" fillId="0" borderId="0" xfId="0" applyFont="1" applyFill="1" applyAlignment="1">
      <alignment horizontal="left"/>
    </xf>
    <xf numFmtId="166" fontId="6" fillId="0" borderId="11" xfId="1" applyNumberFormat="1" applyFont="1" applyFill="1" applyBorder="1"/>
    <xf numFmtId="166" fontId="6" fillId="0" borderId="2" xfId="1" applyNumberFormat="1" applyFont="1" applyFill="1" applyBorder="1"/>
    <xf numFmtId="166" fontId="6" fillId="0" borderId="6" xfId="1" applyNumberFormat="1" applyFont="1" applyFill="1" applyBorder="1"/>
    <xf numFmtId="0" fontId="6" fillId="0" borderId="15" xfId="0" applyFont="1" applyFill="1" applyBorder="1" applyAlignment="1">
      <alignment horizontal="center" wrapText="1"/>
    </xf>
    <xf numFmtId="0" fontId="6" fillId="0" borderId="7" xfId="0" applyFont="1" applyFill="1" applyBorder="1" applyAlignment="1">
      <alignment horizontal="center"/>
    </xf>
    <xf numFmtId="0" fontId="6" fillId="0" borderId="16" xfId="0" applyFont="1" applyFill="1" applyBorder="1" applyAlignment="1">
      <alignment horizontal="center" wrapText="1"/>
    </xf>
    <xf numFmtId="0" fontId="6" fillId="0" borderId="8" xfId="0" applyFont="1" applyFill="1" applyBorder="1" applyAlignment="1">
      <alignment horizontal="center" wrapText="1"/>
    </xf>
    <xf numFmtId="0" fontId="6" fillId="0" borderId="4" xfId="0" applyFont="1" applyFill="1" applyBorder="1" applyAlignment="1">
      <alignment horizontal="center" wrapText="1"/>
    </xf>
    <xf numFmtId="9" fontId="0" fillId="0" borderId="20" xfId="5" applyFont="1" applyBorder="1"/>
    <xf numFmtId="166" fontId="4" fillId="0" borderId="2" xfId="1" applyNumberFormat="1" applyFont="1" applyBorder="1"/>
    <xf numFmtId="165" fontId="17" fillId="0" borderId="0" xfId="0" applyNumberFormat="1" applyFont="1"/>
    <xf numFmtId="164" fontId="17" fillId="0" borderId="0" xfId="5" applyNumberFormat="1" applyFont="1"/>
    <xf numFmtId="0" fontId="0" fillId="0" borderId="2" xfId="0" applyFont="1" applyBorder="1"/>
    <xf numFmtId="0" fontId="0" fillId="0" borderId="0" xfId="0" applyFont="1" applyBorder="1"/>
    <xf numFmtId="0" fontId="4" fillId="0" borderId="0" xfId="79" applyFont="1" applyFill="1"/>
    <xf numFmtId="0" fontId="5" fillId="0" borderId="0" xfId="79" applyFont="1" applyFill="1"/>
    <xf numFmtId="41" fontId="4" fillId="0" borderId="0" xfId="1" applyFont="1" applyFill="1"/>
    <xf numFmtId="10" fontId="4" fillId="0" borderId="0" xfId="79" applyNumberFormat="1" applyFont="1"/>
    <xf numFmtId="0" fontId="4" fillId="0" borderId="0" xfId="79" applyFont="1"/>
    <xf numFmtId="0" fontId="0" fillId="0" borderId="0" xfId="79" applyFont="1" applyFill="1"/>
    <xf numFmtId="0" fontId="6" fillId="0" borderId="0" xfId="79" applyFont="1" applyFill="1"/>
    <xf numFmtId="0" fontId="20" fillId="0" borderId="0" xfId="0" applyFont="1"/>
    <xf numFmtId="9" fontId="4" fillId="0" borderId="0" xfId="79" applyNumberFormat="1" applyFont="1"/>
    <xf numFmtId="41" fontId="0" fillId="0" borderId="0" xfId="0" applyNumberFormat="1" applyBorder="1"/>
    <xf numFmtId="9" fontId="0" fillId="0" borderId="2" xfId="5" applyFont="1" applyBorder="1"/>
    <xf numFmtId="0" fontId="0" fillId="0" borderId="0" xfId="0" applyFont="1" applyFill="1" applyBorder="1"/>
    <xf numFmtId="0" fontId="0" fillId="0" borderId="0" xfId="0" applyFill="1"/>
    <xf numFmtId="0" fontId="0" fillId="0" borderId="0" xfId="0" quotePrefix="1" applyFill="1"/>
    <xf numFmtId="41" fontId="6" fillId="6" borderId="0" xfId="1" applyFont="1" applyFill="1" applyAlignment="1">
      <alignment horizontal="center"/>
    </xf>
    <xf numFmtId="41" fontId="0" fillId="0" borderId="3" xfId="1" applyFont="1" applyBorder="1"/>
    <xf numFmtId="0" fontId="0" fillId="0" borderId="0" xfId="0" quotePrefix="1" applyFont="1" applyBorder="1" applyAlignment="1">
      <alignment horizontal="center"/>
    </xf>
    <xf numFmtId="167" fontId="0" fillId="0" borderId="0" xfId="15" quotePrefix="1" applyNumberFormat="1" applyFont="1" applyBorder="1" applyAlignment="1">
      <alignment horizontal="center"/>
    </xf>
    <xf numFmtId="41" fontId="0" fillId="0" borderId="3" xfId="0" applyNumberFormat="1" applyBorder="1"/>
    <xf numFmtId="0" fontId="0" fillId="0" borderId="0" xfId="0" quotePrefix="1" applyFont="1" applyFill="1" applyBorder="1" applyAlignment="1">
      <alignment horizontal="center"/>
    </xf>
    <xf numFmtId="41" fontId="0" fillId="0" borderId="0" xfId="0" applyNumberFormat="1" applyFont="1"/>
    <xf numFmtId="41" fontId="0" fillId="0" borderId="2" xfId="0" applyNumberFormat="1" applyFont="1" applyBorder="1"/>
    <xf numFmtId="0" fontId="0" fillId="0" borderId="2" xfId="0" applyFill="1" applyBorder="1"/>
    <xf numFmtId="0" fontId="0" fillId="0" borderId="2" xfId="0" applyFill="1" applyBorder="1" applyAlignment="1">
      <alignment horizontal="center"/>
    </xf>
    <xf numFmtId="0" fontId="0" fillId="0" borderId="0" xfId="0" applyFill="1" applyAlignment="1">
      <alignment horizontal="center"/>
    </xf>
    <xf numFmtId="170" fontId="0" fillId="0" borderId="0" xfId="5" applyNumberFormat="1" applyFont="1" applyFill="1"/>
    <xf numFmtId="9" fontId="0" fillId="0" borderId="0" xfId="5" applyFont="1" applyFill="1"/>
    <xf numFmtId="165" fontId="0" fillId="0" borderId="0" xfId="5" applyNumberFormat="1" applyFont="1" applyFill="1"/>
    <xf numFmtId="170" fontId="0" fillId="0" borderId="2" xfId="5" applyNumberFormat="1" applyFont="1" applyFill="1" applyBorder="1"/>
    <xf numFmtId="165" fontId="0" fillId="0" borderId="2" xfId="5" applyNumberFormat="1" applyFont="1" applyFill="1" applyBorder="1"/>
    <xf numFmtId="9" fontId="0" fillId="0" borderId="0" xfId="0" applyNumberFormat="1" applyFill="1"/>
    <xf numFmtId="165" fontId="0" fillId="0" borderId="0" xfId="0" applyNumberFormat="1" applyFill="1"/>
    <xf numFmtId="165" fontId="0" fillId="0" borderId="14" xfId="0" applyNumberFormat="1" applyFill="1" applyBorder="1"/>
    <xf numFmtId="165" fontId="0" fillId="0" borderId="12" xfId="0" applyNumberFormat="1" applyFont="1" applyFill="1" applyBorder="1" applyProtection="1"/>
    <xf numFmtId="41" fontId="0" fillId="0" borderId="2" xfId="4" applyFont="1" applyFill="1" applyBorder="1"/>
    <xf numFmtId="41" fontId="0" fillId="0" borderId="2" xfId="1" applyFont="1" applyBorder="1" applyAlignment="1">
      <alignment horizontal="right"/>
    </xf>
    <xf numFmtId="41" fontId="0" fillId="0" borderId="20" xfId="1" applyFont="1" applyBorder="1"/>
    <xf numFmtId="41" fontId="4" fillId="0" borderId="7" xfId="1" applyFont="1" applyFill="1" applyBorder="1"/>
    <xf numFmtId="41" fontId="0" fillId="0" borderId="0" xfId="1" applyFont="1" applyAlignment="1">
      <alignment horizontal="right"/>
    </xf>
    <xf numFmtId="41" fontId="0" fillId="0" borderId="0" xfId="1" applyFont="1" applyProtection="1">
      <protection locked="0"/>
    </xf>
    <xf numFmtId="41" fontId="4" fillId="0" borderId="0" xfId="1" applyFont="1" applyAlignment="1"/>
    <xf numFmtId="41" fontId="0" fillId="0" borderId="0" xfId="1" applyFont="1" applyAlignment="1" applyProtection="1">
      <alignment horizontal="left"/>
      <protection locked="0"/>
    </xf>
    <xf numFmtId="41" fontId="19" fillId="0" borderId="0" xfId="1" applyFont="1" applyAlignment="1"/>
    <xf numFmtId="41" fontId="3" fillId="0" borderId="0" xfId="1" applyFont="1"/>
    <xf numFmtId="41" fontId="0" fillId="0" borderId="7" xfId="1" applyFont="1" applyBorder="1"/>
    <xf numFmtId="41" fontId="21" fillId="0" borderId="0" xfId="1" applyFont="1"/>
    <xf numFmtId="41" fontId="0" fillId="0" borderId="7" xfId="0" applyNumberFormat="1" applyBorder="1"/>
    <xf numFmtId="41" fontId="0" fillId="0" borderId="14" xfId="0" applyNumberFormat="1" applyBorder="1"/>
    <xf numFmtId="0" fontId="17" fillId="0" borderId="15" xfId="0" applyFont="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17" fillId="0" borderId="15" xfId="0" applyFont="1"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41" fontId="0" fillId="0" borderId="17" xfId="1" applyFont="1" applyBorder="1" applyAlignment="1">
      <alignment wrapText="1"/>
    </xf>
    <xf numFmtId="0" fontId="0" fillId="0" borderId="19" xfId="0" applyBorder="1" applyAlignment="1">
      <alignment wrapText="1"/>
    </xf>
    <xf numFmtId="0" fontId="0" fillId="0" borderId="18" xfId="0" applyBorder="1" applyAlignment="1">
      <alignment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cellXfs>
  <cellStyles count="80">
    <cellStyle name="Comma" xfId="1" builtinId="3"/>
    <cellStyle name="Comma [0] 2" xfId="45"/>
    <cellStyle name="Comma [0] 3" xfId="48"/>
    <cellStyle name="Comma [0] 4" xfId="46"/>
    <cellStyle name="Comma 13" xfId="20"/>
    <cellStyle name="Comma 16 8" xfId="77"/>
    <cellStyle name="Comma 2" xfId="2"/>
    <cellStyle name="Comma 2 2" xfId="65"/>
    <cellStyle name="Comma 2 2 2" xfId="10"/>
    <cellStyle name="Comma 2 3" xfId="64"/>
    <cellStyle name="Comma 2 4" xfId="33"/>
    <cellStyle name="Comma 3" xfId="44"/>
    <cellStyle name="Comma 3 2" xfId="66"/>
    <cellStyle name="Comma 3 6" xfId="75"/>
    <cellStyle name="Comma 4" xfId="11"/>
    <cellStyle name="Comma 4 2" xfId="49"/>
    <cellStyle name="Comma 5" xfId="16"/>
    <cellStyle name="Comma 5 2" xfId="62"/>
    <cellStyle name="Comma 6" xfId="28"/>
    <cellStyle name="Comma 6 2" xfId="25"/>
    <cellStyle name="Comma 7" xfId="68"/>
    <cellStyle name="Comma 8" xfId="69"/>
    <cellStyle name="Currency" xfId="15" builtinId="4"/>
    <cellStyle name="Currency 2 2 2" xfId="13"/>
    <cellStyle name="Normal" xfId="0" builtinId="0"/>
    <cellStyle name="Normal 10" xfId="71"/>
    <cellStyle name="Normal 11" xfId="70"/>
    <cellStyle name="Normal 12" xfId="8"/>
    <cellStyle name="Normal 15" xfId="72"/>
    <cellStyle name="Normal 18" xfId="32"/>
    <cellStyle name="Normal 19" xfId="19"/>
    <cellStyle name="Normal 19 2" xfId="39"/>
    <cellStyle name="Normal 2" xfId="3"/>
    <cellStyle name="Normal 2 2" xfId="9"/>
    <cellStyle name="Normal 2 2 2" xfId="67"/>
    <cellStyle name="Normal 2 2 3" xfId="31"/>
    <cellStyle name="Normal 2 3" xfId="53"/>
    <cellStyle name="Normal 2 4" xfId="63"/>
    <cellStyle name="Normal 2 5" xfId="40"/>
    <cellStyle name="Normal 2_Composite Rates" xfId="58"/>
    <cellStyle name="Normal 22" xfId="41"/>
    <cellStyle name="Normal 26 2" xfId="78"/>
    <cellStyle name="Normal 3" xfId="37"/>
    <cellStyle name="Normal 3 2" xfId="57"/>
    <cellStyle name="Normal 3_Composite Rates" xfId="59"/>
    <cellStyle name="Normal 4" xfId="42"/>
    <cellStyle name="Normal 4 3" xfId="24"/>
    <cellStyle name="Normal 43" xfId="74"/>
    <cellStyle name="Normal 5" xfId="34"/>
    <cellStyle name="Normal 5 3" xfId="18"/>
    <cellStyle name="Normal 6" xfId="43"/>
    <cellStyle name="Normal 604" xfId="79"/>
    <cellStyle name="Normal 7" xfId="22"/>
    <cellStyle name="Normal 7 2" xfId="23"/>
    <cellStyle name="Normal 7 3" xfId="38"/>
    <cellStyle name="Normal 8" xfId="61"/>
    <cellStyle name="Normal 9" xfId="27"/>
    <cellStyle name="Normal_SHEET" xfId="4"/>
    <cellStyle name="Percent" xfId="5" builtinId="5"/>
    <cellStyle name="Percent 11" xfId="21"/>
    <cellStyle name="Percent 18" xfId="73"/>
    <cellStyle name="Percent 2" xfId="6"/>
    <cellStyle name="Percent 2 2" xfId="54"/>
    <cellStyle name="Percent 2 2 2" xfId="14"/>
    <cellStyle name="Percent 3" xfId="12"/>
    <cellStyle name="Percent 3 2" xfId="47"/>
    <cellStyle name="Percent 3 3" xfId="36"/>
    <cellStyle name="Percent 3 4" xfId="76"/>
    <cellStyle name="Percent 4" xfId="17"/>
    <cellStyle name="Percent 5" xfId="26"/>
    <cellStyle name="Percent 6" xfId="29"/>
    <cellStyle name="SAPBEXaggData" xfId="56"/>
    <cellStyle name="SAPBEXaggItem" xfId="55"/>
    <cellStyle name="SAPBEXchaText" xfId="50"/>
    <cellStyle name="SAPBEXstdData" xfId="52"/>
    <cellStyle name="SAPBEXstdItem" xfId="7"/>
    <cellStyle name="SAPBEXstdItem 2" xfId="35"/>
    <cellStyle name="SAPBEXstdItem 3" xfId="30"/>
    <cellStyle name="SAPBEXstdItem_Composite Rates" xfId="60"/>
    <cellStyle name="SAPBEXstdItemX"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topLeftCell="C1" workbookViewId="0">
      <selection activeCell="U9" sqref="U9"/>
    </sheetView>
  </sheetViews>
  <sheetFormatPr defaultRowHeight="15.75" x14ac:dyDescent="0.25"/>
  <cols>
    <col min="1" max="1" width="3.75" customWidth="1"/>
    <col min="2" max="2" width="31.875" customWidth="1"/>
    <col min="3" max="3" width="5.75" customWidth="1"/>
    <col min="4" max="4" width="10.25" customWidth="1"/>
    <col min="5" max="5" width="10.875" customWidth="1"/>
    <col min="6" max="6" width="10" customWidth="1"/>
    <col min="7" max="7" width="1" customWidth="1"/>
    <col min="8" max="8" width="10" customWidth="1"/>
    <col min="9" max="9" width="11" customWidth="1"/>
    <col min="10" max="10" width="10" customWidth="1"/>
    <col min="11" max="11" width="1.125" customWidth="1"/>
    <col min="12" max="12" width="10" customWidth="1"/>
    <col min="13" max="13" width="10.5" customWidth="1"/>
    <col min="14" max="14" width="10.375" customWidth="1"/>
    <col min="15" max="15" width="0.5" customWidth="1"/>
    <col min="16" max="16" width="10.625" customWidth="1"/>
    <col min="17" max="17" width="0.875" customWidth="1"/>
    <col min="18" max="18" width="19.125" customWidth="1"/>
  </cols>
  <sheetData>
    <row r="1" spans="1:18" x14ac:dyDescent="0.25">
      <c r="A1" s="119" t="s">
        <v>89</v>
      </c>
      <c r="B1" s="75"/>
      <c r="C1" s="75"/>
      <c r="D1" s="75"/>
      <c r="E1" s="75"/>
      <c r="F1" s="75"/>
      <c r="G1" s="75"/>
      <c r="H1" s="75"/>
      <c r="I1" s="75"/>
      <c r="J1" s="75"/>
      <c r="K1" s="75"/>
      <c r="L1" s="75"/>
      <c r="M1" s="75"/>
      <c r="N1" s="75"/>
      <c r="O1" s="75"/>
      <c r="P1" s="75"/>
      <c r="Q1" s="75"/>
      <c r="R1" s="119" t="s">
        <v>91</v>
      </c>
    </row>
    <row r="2" spans="1:18" x14ac:dyDescent="0.25">
      <c r="A2" s="119" t="s">
        <v>90</v>
      </c>
      <c r="B2" s="75"/>
      <c r="C2" s="75"/>
      <c r="D2" s="75"/>
      <c r="E2" s="75"/>
      <c r="F2" s="75"/>
      <c r="G2" s="75"/>
      <c r="H2" s="75"/>
      <c r="I2" s="75"/>
      <c r="J2" s="75"/>
      <c r="K2" s="75"/>
      <c r="L2" s="75"/>
      <c r="M2" s="75"/>
      <c r="N2" s="75"/>
      <c r="O2" s="75"/>
      <c r="P2" s="75"/>
      <c r="Q2" s="75"/>
      <c r="R2" s="119" t="s">
        <v>82</v>
      </c>
    </row>
    <row r="3" spans="1:18" x14ac:dyDescent="0.25">
      <c r="A3" s="119" t="s">
        <v>94</v>
      </c>
      <c r="B3" s="75"/>
      <c r="C3" s="75"/>
      <c r="D3" s="75"/>
      <c r="E3" s="75"/>
      <c r="F3" s="75"/>
      <c r="G3" s="75"/>
      <c r="H3" s="75"/>
      <c r="I3" s="75"/>
      <c r="J3" s="75"/>
      <c r="K3" s="75"/>
      <c r="L3" s="75"/>
      <c r="M3" s="75"/>
      <c r="N3" s="75"/>
      <c r="O3" s="75"/>
      <c r="P3" s="75"/>
      <c r="Q3" s="75"/>
      <c r="R3" s="119" t="s">
        <v>83</v>
      </c>
    </row>
    <row r="4" spans="1:18" x14ac:dyDescent="0.25">
      <c r="B4" s="75"/>
      <c r="C4" s="75"/>
      <c r="D4" s="75"/>
      <c r="E4" s="75"/>
      <c r="F4" s="75"/>
      <c r="G4" s="75"/>
      <c r="H4" s="75"/>
      <c r="I4" s="75"/>
      <c r="J4" s="75"/>
      <c r="K4" s="75"/>
      <c r="L4" s="75"/>
      <c r="M4" s="75"/>
      <c r="N4" s="75"/>
      <c r="O4" s="75"/>
      <c r="P4" s="75"/>
      <c r="Q4" s="75"/>
      <c r="R4" s="75"/>
    </row>
    <row r="5" spans="1:18" ht="18.75" customHeight="1" x14ac:dyDescent="0.25">
      <c r="A5" s="76"/>
      <c r="B5" s="77"/>
      <c r="C5" s="75"/>
      <c r="D5" s="203" t="s">
        <v>92</v>
      </c>
      <c r="E5" s="204"/>
      <c r="F5" s="205"/>
      <c r="G5" s="139"/>
      <c r="H5" s="203" t="s">
        <v>178</v>
      </c>
      <c r="I5" s="204"/>
      <c r="J5" s="205"/>
      <c r="K5" s="78"/>
      <c r="L5" s="206" t="s">
        <v>35</v>
      </c>
      <c r="M5" s="207"/>
      <c r="N5" s="208"/>
      <c r="O5" s="75"/>
      <c r="P5" s="79"/>
      <c r="Q5" s="75"/>
      <c r="R5" s="80"/>
    </row>
    <row r="6" spans="1:18" ht="26.25" x14ac:dyDescent="0.25">
      <c r="A6" s="81" t="s">
        <v>57</v>
      </c>
      <c r="B6" s="82" t="s">
        <v>1</v>
      </c>
      <c r="C6" s="81" t="s">
        <v>58</v>
      </c>
      <c r="D6" s="83" t="s">
        <v>59</v>
      </c>
      <c r="E6" s="84" t="s">
        <v>12</v>
      </c>
      <c r="F6" s="85" t="s">
        <v>60</v>
      </c>
      <c r="G6" s="80"/>
      <c r="H6" s="144" t="s">
        <v>59</v>
      </c>
      <c r="I6" s="145" t="s">
        <v>12</v>
      </c>
      <c r="J6" s="146" t="s">
        <v>60</v>
      </c>
      <c r="K6" s="75"/>
      <c r="L6" s="83" t="s">
        <v>59</v>
      </c>
      <c r="M6" s="84" t="s">
        <v>12</v>
      </c>
      <c r="N6" s="85" t="s">
        <v>60</v>
      </c>
      <c r="O6" s="75"/>
      <c r="P6" s="86" t="s">
        <v>61</v>
      </c>
      <c r="Q6" s="80"/>
      <c r="R6" s="118" t="s">
        <v>84</v>
      </c>
    </row>
    <row r="7" spans="1:18" x14ac:dyDescent="0.25">
      <c r="A7" s="87"/>
      <c r="B7" s="76"/>
      <c r="C7" s="87"/>
      <c r="D7" s="88" t="s">
        <v>62</v>
      </c>
      <c r="E7" s="89" t="s">
        <v>63</v>
      </c>
      <c r="F7" s="90" t="s">
        <v>64</v>
      </c>
      <c r="G7" s="80"/>
      <c r="H7" s="147" t="s">
        <v>79</v>
      </c>
      <c r="I7" s="89" t="s">
        <v>80</v>
      </c>
      <c r="J7" s="148" t="s">
        <v>81</v>
      </c>
      <c r="K7" s="75"/>
      <c r="L7" s="91" t="s">
        <v>192</v>
      </c>
      <c r="M7" s="89" t="s">
        <v>193</v>
      </c>
      <c r="N7" s="90" t="s">
        <v>194</v>
      </c>
      <c r="O7" s="75"/>
      <c r="P7" s="92" t="s">
        <v>284</v>
      </c>
      <c r="Q7" s="80"/>
      <c r="R7" s="80"/>
    </row>
    <row r="8" spans="1:18" x14ac:dyDescent="0.25">
      <c r="A8" s="77">
        <v>1</v>
      </c>
      <c r="B8" s="140" t="s">
        <v>191</v>
      </c>
      <c r="C8" s="93"/>
      <c r="D8" s="94">
        <v>16604662</v>
      </c>
      <c r="E8" s="95">
        <v>280062051</v>
      </c>
      <c r="F8" s="96">
        <f>-(D8-(E8*$D$34))/$D$35</f>
        <v>7524917.2503936151</v>
      </c>
      <c r="G8" s="95"/>
      <c r="H8" s="94">
        <v>16604662</v>
      </c>
      <c r="I8" s="95">
        <v>280062051</v>
      </c>
      <c r="J8" s="96">
        <f>-(H8-(I8*$J$34))/$J$35</f>
        <v>6191387.6110833548</v>
      </c>
      <c r="K8" s="75"/>
      <c r="L8" s="94">
        <v>16604662</v>
      </c>
      <c r="M8" s="95">
        <v>280062051</v>
      </c>
      <c r="N8" s="96">
        <f>-(L8-(M8*$N$34))/$N$35</f>
        <v>6191387.6110833548</v>
      </c>
      <c r="O8" s="75"/>
      <c r="P8" s="97">
        <f>N8-J8</f>
        <v>0</v>
      </c>
      <c r="Q8" s="95"/>
      <c r="R8" s="95"/>
    </row>
    <row r="9" spans="1:18" x14ac:dyDescent="0.25">
      <c r="A9" s="77"/>
      <c r="B9" s="87"/>
      <c r="C9" s="75"/>
      <c r="D9" s="98"/>
      <c r="E9" s="87"/>
      <c r="F9" s="99"/>
      <c r="G9" s="87"/>
      <c r="H9" s="98"/>
      <c r="I9" s="87"/>
      <c r="J9" s="99"/>
      <c r="K9" s="78"/>
      <c r="L9" s="98"/>
      <c r="M9" s="87"/>
      <c r="N9" s="99"/>
      <c r="O9" s="75"/>
      <c r="P9" s="100"/>
      <c r="Q9" s="87"/>
      <c r="R9" s="87"/>
    </row>
    <row r="10" spans="1:18" ht="15.75" customHeight="1" x14ac:dyDescent="0.25">
      <c r="A10" s="77">
        <f>A8+1</f>
        <v>2</v>
      </c>
      <c r="B10" s="76" t="s">
        <v>179</v>
      </c>
      <c r="C10" s="101" t="s">
        <v>141</v>
      </c>
      <c r="D10" s="94">
        <v>3077609</v>
      </c>
      <c r="E10" s="95">
        <v>0</v>
      </c>
      <c r="F10" s="96">
        <f>-(D10-(E10*$D$34))/$D$35</f>
        <v>-4954324.0380198499</v>
      </c>
      <c r="G10" s="95"/>
      <c r="H10" s="94">
        <v>3740479</v>
      </c>
      <c r="I10" s="95">
        <v>0</v>
      </c>
      <c r="J10" s="96">
        <f>-(H10-(I10*$J$34))/$J$35</f>
        <v>-4954324.5270719361</v>
      </c>
      <c r="K10" s="75"/>
      <c r="L10" s="94">
        <f>'DMR4'!F33</f>
        <v>3740478.5700000003</v>
      </c>
      <c r="M10" s="95">
        <v>0</v>
      </c>
      <c r="N10" s="96">
        <f>-(L10-(M10*$N$34))/$N$35</f>
        <v>-4954323.9575300282</v>
      </c>
      <c r="O10" s="75"/>
      <c r="P10" s="97">
        <f t="shared" ref="P10:P13" si="0">N10-J10</f>
        <v>0.56954190786927938</v>
      </c>
      <c r="Q10" s="95"/>
      <c r="R10" s="95" t="s">
        <v>65</v>
      </c>
    </row>
    <row r="11" spans="1:18" x14ac:dyDescent="0.25">
      <c r="A11" s="77">
        <f t="shared" ref="A11:A13" si="1">A10+1</f>
        <v>3</v>
      </c>
      <c r="B11" s="76" t="s">
        <v>180</v>
      </c>
      <c r="C11" s="101" t="s">
        <v>143</v>
      </c>
      <c r="D11" s="94">
        <v>35566</v>
      </c>
      <c r="E11" s="95">
        <v>0</v>
      </c>
      <c r="F11" s="96">
        <f>-(D11-(E11*$D$34))/$D$35</f>
        <v>-57254.020486752539</v>
      </c>
      <c r="G11" s="95"/>
      <c r="H11" s="94">
        <v>43226</v>
      </c>
      <c r="I11" s="95">
        <v>0</v>
      </c>
      <c r="J11" s="96">
        <f>-(H11-(I11*$J$34))/$J$35</f>
        <v>-57253.531434666926</v>
      </c>
      <c r="K11" s="75"/>
      <c r="L11" s="94">
        <f>'DMR4'!G33</f>
        <v>43226.43</v>
      </c>
      <c r="M11" s="95">
        <v>0</v>
      </c>
      <c r="N11" s="96">
        <f>-(L11-(M11*$N$34))/$N$35</f>
        <v>-57254.10097657497</v>
      </c>
      <c r="O11" s="75"/>
      <c r="P11" s="97">
        <f t="shared" si="0"/>
        <v>-0.56954190804390237</v>
      </c>
      <c r="Q11" s="95"/>
      <c r="R11" s="95" t="s">
        <v>195</v>
      </c>
    </row>
    <row r="12" spans="1:18" x14ac:dyDescent="0.25">
      <c r="A12" s="77">
        <f t="shared" si="1"/>
        <v>4</v>
      </c>
      <c r="B12" s="76" t="s">
        <v>181</v>
      </c>
      <c r="C12" s="101" t="s">
        <v>145</v>
      </c>
      <c r="D12" s="94">
        <v>-1501021</v>
      </c>
      <c r="E12" s="95">
        <v>0</v>
      </c>
      <c r="F12" s="96">
        <f>-(D12-(E12*$D$34))/$D$35</f>
        <v>2416338.2748986608</v>
      </c>
      <c r="G12" s="95"/>
      <c r="H12" s="94">
        <v>-1824318</v>
      </c>
      <c r="I12" s="95">
        <v>0</v>
      </c>
      <c r="J12" s="96">
        <f>-(H12-(I12*$J$34))/$J$35</f>
        <v>2416338.4990475341</v>
      </c>
      <c r="K12" s="75"/>
      <c r="L12" s="94">
        <f>'DMR4'!H33</f>
        <v>-1824317.7699999996</v>
      </c>
      <c r="M12" s="95">
        <v>0</v>
      </c>
      <c r="N12" s="96">
        <f>-(L12-(M12*$N$34))/$N$35</f>
        <v>2416338.1944088382</v>
      </c>
      <c r="O12" s="75"/>
      <c r="P12" s="97">
        <f t="shared" si="0"/>
        <v>-0.30463869590312243</v>
      </c>
      <c r="Q12" s="95"/>
      <c r="R12" s="95" t="s">
        <v>65</v>
      </c>
    </row>
    <row r="13" spans="1:18" x14ac:dyDescent="0.25">
      <c r="A13" s="77">
        <f t="shared" si="1"/>
        <v>5</v>
      </c>
      <c r="B13" s="76" t="s">
        <v>182</v>
      </c>
      <c r="C13" s="101" t="s">
        <v>147</v>
      </c>
      <c r="D13" s="94">
        <v>346667</v>
      </c>
      <c r="E13" s="95">
        <v>0</v>
      </c>
      <c r="F13" s="96">
        <f>-(D13-(E13*$D$34))/$D$35</f>
        <v>-558063.30540631618</v>
      </c>
      <c r="G13" s="95"/>
      <c r="H13" s="94">
        <v>421333</v>
      </c>
      <c r="I13" s="95">
        <v>0</v>
      </c>
      <c r="J13" s="96">
        <f>-(H13-(I13*$J$34))/$J$35</f>
        <v>-558062.32730214496</v>
      </c>
      <c r="K13" s="75"/>
      <c r="L13" s="94">
        <f>'DMR4'!I33</f>
        <v>421333.07</v>
      </c>
      <c r="M13" s="95">
        <f>'DMR4'!I43</f>
        <v>0</v>
      </c>
      <c r="N13" s="96">
        <f>-(L13-(M13*$N$34))/$N$35</f>
        <v>-558062.42001826956</v>
      </c>
      <c r="O13" s="75"/>
      <c r="P13" s="97">
        <f t="shared" si="0"/>
        <v>-9.2716124607250094E-2</v>
      </c>
      <c r="Q13" s="95"/>
      <c r="R13" s="95" t="s">
        <v>65</v>
      </c>
    </row>
    <row r="14" spans="1:18" ht="12.75" customHeight="1" x14ac:dyDescent="0.25">
      <c r="B14" s="76"/>
      <c r="C14" s="101"/>
      <c r="D14" s="94"/>
      <c r="E14" s="95"/>
      <c r="F14" s="96"/>
      <c r="G14" s="95"/>
      <c r="H14" s="94"/>
      <c r="I14" s="95"/>
      <c r="J14" s="96"/>
      <c r="K14" s="75"/>
      <c r="L14" s="94"/>
      <c r="M14" s="95"/>
      <c r="N14" s="96"/>
      <c r="O14" s="75"/>
      <c r="P14" s="97"/>
      <c r="Q14" s="95"/>
    </row>
    <row r="15" spans="1:18" x14ac:dyDescent="0.25">
      <c r="A15" s="77">
        <f>A13+1</f>
        <v>6</v>
      </c>
      <c r="B15" s="76" t="s">
        <v>173</v>
      </c>
      <c r="C15" s="101" t="s">
        <v>151</v>
      </c>
      <c r="D15" s="94">
        <v>-274827</v>
      </c>
      <c r="E15" s="95">
        <v>0</v>
      </c>
      <c r="F15" s="96">
        <f t="shared" ref="F15:F23" si="2">-(D15-(E15*$D$34))/$D$35</f>
        <v>442415.52854728501</v>
      </c>
      <c r="G15" s="95"/>
      <c r="H15" s="94">
        <v>-164896</v>
      </c>
      <c r="I15" s="95">
        <v>0</v>
      </c>
      <c r="J15" s="96">
        <f t="shared" ref="J15:J23" si="3">-(H15-(I15*$J$34))/$J$35</f>
        <v>218407.40108848465</v>
      </c>
      <c r="K15" s="75"/>
      <c r="L15" s="94">
        <f>'DMR4'!J33</f>
        <v>-263991</v>
      </c>
      <c r="M15" s="95">
        <v>0</v>
      </c>
      <c r="N15" s="96">
        <f t="shared" ref="N15:N23" si="4">-(L15-(M15*$N$34))/$N$35</f>
        <v>349660.32057023916</v>
      </c>
      <c r="O15" s="75"/>
      <c r="P15" s="97">
        <f t="shared" ref="P15:P23" si="5">N15-J15</f>
        <v>131252.91948175451</v>
      </c>
      <c r="Q15" s="95"/>
      <c r="R15" s="95" t="s">
        <v>405</v>
      </c>
    </row>
    <row r="16" spans="1:18" x14ac:dyDescent="0.25">
      <c r="A16" s="77">
        <f>A15+1</f>
        <v>7</v>
      </c>
      <c r="B16" s="76" t="s">
        <v>183</v>
      </c>
      <c r="C16" s="77" t="s">
        <v>154</v>
      </c>
      <c r="D16" s="94">
        <v>-934593</v>
      </c>
      <c r="E16" s="95">
        <v>0</v>
      </c>
      <c r="F16" s="96">
        <f t="shared" si="2"/>
        <v>1504504.4921772343</v>
      </c>
      <c r="G16" s="95"/>
      <c r="H16" s="94">
        <v>-1135890</v>
      </c>
      <c r="I16" s="95">
        <v>0</v>
      </c>
      <c r="J16" s="96">
        <f t="shared" si="3"/>
        <v>1504504.5533087451</v>
      </c>
      <c r="K16" s="75"/>
      <c r="L16" s="94">
        <f>'DMR4'!K33</f>
        <v>-296298.19</v>
      </c>
      <c r="M16" s="95">
        <v>0</v>
      </c>
      <c r="N16" s="96">
        <f t="shared" si="4"/>
        <v>392451.71274695586</v>
      </c>
      <c r="O16" s="75"/>
      <c r="P16" s="97">
        <f t="shared" si="5"/>
        <v>-1112052.8405617892</v>
      </c>
      <c r="Q16" s="95"/>
      <c r="R16" s="95" t="s">
        <v>204</v>
      </c>
    </row>
    <row r="17" spans="1:18" x14ac:dyDescent="0.25">
      <c r="A17" s="77">
        <f>A16+1</f>
        <v>8</v>
      </c>
      <c r="B17" s="76" t="s">
        <v>184</v>
      </c>
      <c r="C17" s="101" t="s">
        <v>156</v>
      </c>
      <c r="D17" s="94">
        <v>-280075</v>
      </c>
      <c r="E17" s="95">
        <v>17820193</v>
      </c>
      <c r="F17" s="96">
        <f t="shared" si="2"/>
        <v>2630493.1412449088</v>
      </c>
      <c r="G17" s="95"/>
      <c r="H17" s="94">
        <v>-340398</v>
      </c>
      <c r="I17" s="95">
        <v>17820193</v>
      </c>
      <c r="J17" s="96">
        <f t="shared" si="3"/>
        <v>2244228.582359992</v>
      </c>
      <c r="K17" s="75"/>
      <c r="L17" s="94">
        <f>'DMR4'!L33</f>
        <v>0</v>
      </c>
      <c r="M17" s="95">
        <f>'DMR4'!L43</f>
        <v>0</v>
      </c>
      <c r="N17" s="96">
        <f t="shared" si="4"/>
        <v>0</v>
      </c>
      <c r="O17" s="75"/>
      <c r="P17" s="97">
        <f t="shared" si="5"/>
        <v>-2244228.582359992</v>
      </c>
      <c r="Q17" s="95"/>
      <c r="R17" s="95" t="s">
        <v>286</v>
      </c>
    </row>
    <row r="18" spans="1:18" x14ac:dyDescent="0.25">
      <c r="A18" s="77">
        <f t="shared" ref="A18:A23" si="6">A17+1</f>
        <v>9</v>
      </c>
      <c r="B18" s="76" t="s">
        <v>185</v>
      </c>
      <c r="C18" s="101" t="s">
        <v>157</v>
      </c>
      <c r="D18" s="94">
        <v>-194033</v>
      </c>
      <c r="E18" s="95">
        <v>0</v>
      </c>
      <c r="F18" s="96">
        <f t="shared" si="2"/>
        <v>312353.63428853551</v>
      </c>
      <c r="G18" s="95"/>
      <c r="H18" s="94">
        <v>-235824</v>
      </c>
      <c r="I18" s="95">
        <v>0</v>
      </c>
      <c r="J18" s="96">
        <f t="shared" si="3"/>
        <v>312352.67656153458</v>
      </c>
      <c r="K18" s="75"/>
      <c r="L18" s="94">
        <f>'DMR4'!M33</f>
        <v>-40332.39666666666</v>
      </c>
      <c r="M18" s="95">
        <v>0</v>
      </c>
      <c r="N18" s="96">
        <f t="shared" si="4"/>
        <v>53420.90733332844</v>
      </c>
      <c r="O18" s="75"/>
      <c r="P18" s="97">
        <f t="shared" si="5"/>
        <v>-258931.76922820613</v>
      </c>
      <c r="Q18" s="95"/>
      <c r="R18" s="95" t="s">
        <v>204</v>
      </c>
    </row>
    <row r="19" spans="1:18" x14ac:dyDescent="0.25">
      <c r="A19" s="77">
        <f t="shared" si="6"/>
        <v>10</v>
      </c>
      <c r="B19" s="76" t="s">
        <v>186</v>
      </c>
      <c r="C19" s="101" t="s">
        <v>159</v>
      </c>
      <c r="D19" s="94">
        <v>-181736</v>
      </c>
      <c r="E19" s="95">
        <v>0</v>
      </c>
      <c r="F19" s="96">
        <f t="shared" si="2"/>
        <v>292557.96736153797</v>
      </c>
      <c r="G19" s="95"/>
      <c r="H19" s="94">
        <v>-220879</v>
      </c>
      <c r="I19" s="95">
        <v>0</v>
      </c>
      <c r="J19" s="96">
        <f t="shared" si="3"/>
        <v>292557.7839670059</v>
      </c>
      <c r="K19" s="75"/>
      <c r="L19" s="94">
        <f>'DMR4'!N33</f>
        <v>-220879.26</v>
      </c>
      <c r="M19" s="95">
        <v>0</v>
      </c>
      <c r="N19" s="96">
        <f t="shared" si="4"/>
        <v>292558.12834118283</v>
      </c>
      <c r="O19" s="75"/>
      <c r="P19" s="97">
        <f t="shared" si="5"/>
        <v>0.34437417692970484</v>
      </c>
      <c r="Q19" s="95"/>
      <c r="R19" s="95" t="s">
        <v>65</v>
      </c>
    </row>
    <row r="20" spans="1:18" x14ac:dyDescent="0.25">
      <c r="A20" s="77">
        <f t="shared" si="6"/>
        <v>11</v>
      </c>
      <c r="B20" s="76" t="s">
        <v>189</v>
      </c>
      <c r="C20" s="101" t="s">
        <v>162</v>
      </c>
      <c r="D20" s="94">
        <v>-623406</v>
      </c>
      <c r="E20" s="95">
        <v>0</v>
      </c>
      <c r="F20" s="96">
        <f t="shared" si="2"/>
        <v>1003556.764763101</v>
      </c>
      <c r="G20" s="95"/>
      <c r="H20" s="94">
        <v>-757679</v>
      </c>
      <c r="I20" s="95">
        <v>0</v>
      </c>
      <c r="J20" s="96">
        <f t="shared" si="3"/>
        <v>1003558.0077704854</v>
      </c>
      <c r="K20" s="75"/>
      <c r="L20" s="94">
        <f>'DMR4'!O33</f>
        <v>-431365.83299999998</v>
      </c>
      <c r="M20" s="95">
        <v>0</v>
      </c>
      <c r="N20" s="96">
        <f t="shared" si="4"/>
        <v>571350.97579019074</v>
      </c>
      <c r="O20" s="75"/>
      <c r="P20" s="97">
        <f t="shared" si="5"/>
        <v>-432207.03198029462</v>
      </c>
      <c r="Q20" s="95"/>
      <c r="R20" s="95" t="s">
        <v>204</v>
      </c>
    </row>
    <row r="21" spans="1:18" x14ac:dyDescent="0.25">
      <c r="A21" s="77">
        <f t="shared" si="6"/>
        <v>12</v>
      </c>
      <c r="B21" s="76" t="s">
        <v>190</v>
      </c>
      <c r="C21" s="101" t="s">
        <v>166</v>
      </c>
      <c r="D21" s="94">
        <v>-63142</v>
      </c>
      <c r="E21" s="95">
        <v>0</v>
      </c>
      <c r="F21" s="96">
        <f t="shared" si="2"/>
        <v>101645.76735012452</v>
      </c>
      <c r="G21" s="95"/>
      <c r="H21" s="94">
        <v>-76741</v>
      </c>
      <c r="I21" s="95">
        <v>0</v>
      </c>
      <c r="J21" s="96">
        <f t="shared" si="3"/>
        <v>101644.68736010214</v>
      </c>
      <c r="K21" s="75"/>
      <c r="L21" s="94">
        <f>'DMR4'!P33</f>
        <v>-112356.17</v>
      </c>
      <c r="M21" s="95">
        <v>0</v>
      </c>
      <c r="N21" s="96">
        <f t="shared" si="4"/>
        <v>148817.55219020453</v>
      </c>
      <c r="O21" s="75"/>
      <c r="P21" s="97">
        <f t="shared" si="5"/>
        <v>47172.864830102393</v>
      </c>
      <c r="Q21" s="95"/>
      <c r="R21" s="95" t="s">
        <v>204</v>
      </c>
    </row>
    <row r="22" spans="1:18" x14ac:dyDescent="0.25">
      <c r="A22" s="77">
        <f t="shared" si="6"/>
        <v>13</v>
      </c>
      <c r="B22" s="76" t="s">
        <v>187</v>
      </c>
      <c r="C22" s="101" t="s">
        <v>169</v>
      </c>
      <c r="D22" s="94">
        <v>-50707</v>
      </c>
      <c r="E22" s="95">
        <v>2978481</v>
      </c>
      <c r="F22" s="96">
        <f t="shared" si="2"/>
        <v>445932.91186179314</v>
      </c>
      <c r="G22" s="95"/>
      <c r="H22" s="94">
        <v>-61629</v>
      </c>
      <c r="I22" s="95">
        <v>2978481</v>
      </c>
      <c r="J22" s="96">
        <f t="shared" si="3"/>
        <v>381373.19067959767</v>
      </c>
      <c r="K22" s="75"/>
      <c r="L22" s="94">
        <f>'DMR4'!Q33</f>
        <v>-61628.69</v>
      </c>
      <c r="M22" s="95">
        <f>'DMR4'!Q43</f>
        <v>2978482</v>
      </c>
      <c r="N22" s="96">
        <f t="shared" si="4"/>
        <v>381372.88071634813</v>
      </c>
      <c r="O22" s="75"/>
      <c r="P22" s="97">
        <f t="shared" si="5"/>
        <v>-0.30996324954321608</v>
      </c>
      <c r="Q22" s="95"/>
      <c r="R22" s="95" t="s">
        <v>65</v>
      </c>
    </row>
    <row r="23" spans="1:18" x14ac:dyDescent="0.25">
      <c r="A23" s="77">
        <f t="shared" si="6"/>
        <v>14</v>
      </c>
      <c r="B23" s="76" t="s">
        <v>188</v>
      </c>
      <c r="C23" s="101" t="s">
        <v>171</v>
      </c>
      <c r="D23" s="94">
        <v>3242702</v>
      </c>
      <c r="E23" s="95">
        <v>0</v>
      </c>
      <c r="F23" s="96">
        <f t="shared" si="2"/>
        <v>-5220090.1630892828</v>
      </c>
      <c r="G23" s="95"/>
      <c r="H23" s="94">
        <v>3941131</v>
      </c>
      <c r="I23" s="95">
        <v>0</v>
      </c>
      <c r="J23" s="96">
        <f t="shared" si="3"/>
        <v>-5220091.3245879868</v>
      </c>
      <c r="K23" s="75"/>
      <c r="L23" s="94">
        <f>'DMR4'!R33</f>
        <v>3941130.67</v>
      </c>
      <c r="M23" s="95">
        <v>0</v>
      </c>
      <c r="N23" s="96">
        <f t="shared" si="4"/>
        <v>-5220090.8874976849</v>
      </c>
      <c r="O23" s="75"/>
      <c r="P23" s="97">
        <f t="shared" si="5"/>
        <v>0.4370903018862009</v>
      </c>
      <c r="Q23" s="95"/>
      <c r="R23" s="95" t="s">
        <v>65</v>
      </c>
    </row>
    <row r="24" spans="1:18" x14ac:dyDescent="0.25">
      <c r="B24" s="76"/>
      <c r="C24" s="101"/>
      <c r="D24" s="94"/>
      <c r="E24" s="95"/>
      <c r="F24" s="96"/>
      <c r="G24" s="95"/>
      <c r="H24" s="94"/>
      <c r="I24" s="95"/>
      <c r="J24" s="96"/>
      <c r="K24" s="75"/>
      <c r="L24" s="94"/>
      <c r="M24" s="95"/>
      <c r="N24" s="96"/>
      <c r="O24" s="75"/>
      <c r="P24" s="97"/>
      <c r="Q24" s="95"/>
      <c r="R24" s="95"/>
    </row>
    <row r="25" spans="1:18" x14ac:dyDescent="0.25">
      <c r="A25" s="77">
        <f>A23+1</f>
        <v>15</v>
      </c>
      <c r="B25" s="76" t="s">
        <v>201</v>
      </c>
      <c r="C25" s="101" t="s">
        <v>71</v>
      </c>
      <c r="D25" s="94"/>
      <c r="E25" s="95"/>
      <c r="F25" s="96"/>
      <c r="G25" s="95"/>
      <c r="H25" s="94">
        <v>1661750</v>
      </c>
      <c r="I25" s="95">
        <v>0</v>
      </c>
      <c r="J25" s="96">
        <f>-(H25-(I25*$J$34))/$J$35</f>
        <v>-2201014.5713588526</v>
      </c>
      <c r="K25" s="75"/>
      <c r="L25" s="94">
        <f>'DMR4'!S33</f>
        <v>1661750</v>
      </c>
      <c r="M25" s="95">
        <v>0</v>
      </c>
      <c r="N25" s="96">
        <f t="shared" ref="N25:N32" si="7">-(L25-(M25*$N$34))/$N$35</f>
        <v>-2201014.5713588526</v>
      </c>
      <c r="O25" s="75"/>
      <c r="P25" s="97">
        <f t="shared" ref="P25:P32" si="8">N25-J25</f>
        <v>0</v>
      </c>
      <c r="Q25" s="95"/>
      <c r="R25" s="95" t="s">
        <v>66</v>
      </c>
    </row>
    <row r="26" spans="1:18" x14ac:dyDescent="0.25">
      <c r="A26" s="77">
        <f t="shared" ref="A26:A31" si="9">A25+1</f>
        <v>16</v>
      </c>
      <c r="B26" s="76" t="s">
        <v>324</v>
      </c>
      <c r="C26" s="102" t="s">
        <v>203</v>
      </c>
      <c r="D26" s="94"/>
      <c r="E26" s="95"/>
      <c r="F26" s="96"/>
      <c r="G26" s="95"/>
      <c r="H26" s="94"/>
      <c r="I26" s="95"/>
      <c r="J26" s="96"/>
      <c r="K26" s="75"/>
      <c r="L26" s="94">
        <f>'DMR4'!T33</f>
        <v>166497.24</v>
      </c>
      <c r="M26" s="95">
        <v>0</v>
      </c>
      <c r="N26" s="96">
        <f t="shared" si="7"/>
        <v>-220528.26919273779</v>
      </c>
      <c r="O26" s="75"/>
      <c r="P26" s="97">
        <f t="shared" si="8"/>
        <v>-220528.26919273779</v>
      </c>
      <c r="Q26" s="95"/>
      <c r="R26" s="95" t="s">
        <v>66</v>
      </c>
    </row>
    <row r="27" spans="1:18" x14ac:dyDescent="0.25">
      <c r="A27" s="77">
        <f t="shared" si="9"/>
        <v>17</v>
      </c>
      <c r="B27" s="76" t="s">
        <v>325</v>
      </c>
      <c r="C27" s="102" t="s">
        <v>312</v>
      </c>
      <c r="D27" s="94"/>
      <c r="E27" s="95"/>
      <c r="F27" s="96"/>
      <c r="G27" s="95"/>
      <c r="H27" s="94"/>
      <c r="I27" s="95"/>
      <c r="J27" s="96"/>
      <c r="K27" s="75"/>
      <c r="L27" s="94">
        <f>'DMR4'!U33</f>
        <v>114561.06</v>
      </c>
      <c r="M27" s="95"/>
      <c r="N27" s="96">
        <f t="shared" si="7"/>
        <v>-151737.96441722027</v>
      </c>
      <c r="O27" s="75"/>
      <c r="P27" s="97">
        <f t="shared" si="8"/>
        <v>-151737.96441722027</v>
      </c>
      <c r="Q27" s="95"/>
      <c r="R27" s="95" t="s">
        <v>66</v>
      </c>
    </row>
    <row r="28" spans="1:18" ht="14.25" customHeight="1" x14ac:dyDescent="0.25">
      <c r="A28" s="77">
        <f t="shared" si="9"/>
        <v>18</v>
      </c>
      <c r="B28" s="76" t="s">
        <v>326</v>
      </c>
      <c r="C28" s="102" t="s">
        <v>316</v>
      </c>
      <c r="D28" s="94"/>
      <c r="E28" s="95"/>
      <c r="F28" s="96"/>
      <c r="G28" s="95"/>
      <c r="H28" s="94"/>
      <c r="I28" s="95"/>
      <c r="J28" s="96"/>
      <c r="K28" s="75"/>
      <c r="L28" s="94">
        <f>'DMR4'!V33</f>
        <v>41870</v>
      </c>
      <c r="M28" s="95"/>
      <c r="N28" s="96">
        <f t="shared" si="7"/>
        <v>-55457.487650245319</v>
      </c>
      <c r="O28" s="75"/>
      <c r="P28" s="97">
        <f t="shared" si="8"/>
        <v>-55457.487650245319</v>
      </c>
      <c r="Q28" s="95"/>
      <c r="R28" s="95" t="s">
        <v>66</v>
      </c>
    </row>
    <row r="29" spans="1:18" x14ac:dyDescent="0.25">
      <c r="A29" s="77">
        <f t="shared" si="9"/>
        <v>19</v>
      </c>
      <c r="B29" s="76" t="s">
        <v>327</v>
      </c>
      <c r="C29" s="102" t="s">
        <v>319</v>
      </c>
      <c r="D29" s="94"/>
      <c r="E29" s="95"/>
      <c r="F29" s="96"/>
      <c r="G29" s="95"/>
      <c r="H29" s="94"/>
      <c r="I29" s="95"/>
      <c r="J29" s="96"/>
      <c r="K29" s="75"/>
      <c r="L29" s="94">
        <f>'DMR4'!W33</f>
        <v>41617.199999999997</v>
      </c>
      <c r="M29" s="95"/>
      <c r="N29" s="96">
        <f t="shared" si="7"/>
        <v>-55122.649988960817</v>
      </c>
      <c r="O29" s="75"/>
      <c r="P29" s="97">
        <f t="shared" si="8"/>
        <v>-55122.649988960817</v>
      </c>
      <c r="Q29" s="95"/>
      <c r="R29" s="95" t="s">
        <v>66</v>
      </c>
    </row>
    <row r="30" spans="1:18" ht="17.25" customHeight="1" x14ac:dyDescent="0.25">
      <c r="A30" s="77">
        <f t="shared" si="9"/>
        <v>20</v>
      </c>
      <c r="B30" s="76" t="s">
        <v>347</v>
      </c>
      <c r="C30" s="102" t="s">
        <v>321</v>
      </c>
      <c r="D30" s="94"/>
      <c r="E30" s="95"/>
      <c r="F30" s="96"/>
      <c r="G30" s="95"/>
      <c r="H30" s="94"/>
      <c r="I30" s="95"/>
      <c r="J30" s="96"/>
      <c r="K30" s="75"/>
      <c r="L30" s="94">
        <f>'DMR4'!X33</f>
        <v>100731.32</v>
      </c>
      <c r="M30" s="95"/>
      <c r="N30" s="96">
        <f t="shared" si="7"/>
        <v>-133420.25160957512</v>
      </c>
      <c r="O30" s="75"/>
      <c r="P30" s="97">
        <f t="shared" si="8"/>
        <v>-133420.25160957512</v>
      </c>
      <c r="Q30" s="95"/>
      <c r="R30" s="95" t="s">
        <v>66</v>
      </c>
    </row>
    <row r="31" spans="1:18" x14ac:dyDescent="0.25">
      <c r="A31" s="77">
        <f t="shared" si="9"/>
        <v>21</v>
      </c>
      <c r="B31" s="76" t="s">
        <v>328</v>
      </c>
      <c r="C31" s="77" t="s">
        <v>329</v>
      </c>
      <c r="D31" s="94"/>
      <c r="E31" s="95"/>
      <c r="F31" s="96"/>
      <c r="G31" s="95"/>
      <c r="H31" s="94"/>
      <c r="I31" s="95"/>
      <c r="J31" s="96"/>
      <c r="K31" s="75"/>
      <c r="L31" s="94">
        <f>'DMR4'!Y33</f>
        <v>1096719.8700000001</v>
      </c>
      <c r="M31" s="95"/>
      <c r="N31" s="96">
        <f t="shared" si="7"/>
        <v>-1452623.0868474722</v>
      </c>
      <c r="O31" s="75"/>
      <c r="P31" s="97">
        <f t="shared" si="8"/>
        <v>-1452623.0868474722</v>
      </c>
      <c r="Q31" s="95"/>
      <c r="R31" s="95" t="s">
        <v>66</v>
      </c>
    </row>
    <row r="32" spans="1:18" x14ac:dyDescent="0.25">
      <c r="A32" s="77"/>
      <c r="B32" s="76"/>
      <c r="C32" s="103"/>
      <c r="D32" s="94"/>
      <c r="E32" s="95"/>
      <c r="F32" s="96"/>
      <c r="G32" s="95"/>
      <c r="H32" s="141"/>
      <c r="I32" s="142"/>
      <c r="J32" s="143"/>
      <c r="K32" s="75"/>
      <c r="L32" s="94"/>
      <c r="M32" s="95"/>
      <c r="N32" s="143">
        <f t="shared" si="7"/>
        <v>0</v>
      </c>
      <c r="O32" s="75"/>
      <c r="P32" s="97">
        <f t="shared" si="8"/>
        <v>0</v>
      </c>
      <c r="Q32" s="95"/>
      <c r="R32" s="95"/>
    </row>
    <row r="33" spans="1:18" x14ac:dyDescent="0.25">
      <c r="A33" s="77"/>
      <c r="B33" s="104" t="s">
        <v>67</v>
      </c>
      <c r="C33" s="104"/>
      <c r="D33" s="105">
        <f>SUM(D8:D32)</f>
        <v>19203666</v>
      </c>
      <c r="E33" s="104">
        <f>SUM(E8:E32)</f>
        <v>300860725</v>
      </c>
      <c r="F33" s="106">
        <f>SUM(F8:F32)</f>
        <v>5884984.2058845945</v>
      </c>
      <c r="G33" s="108"/>
      <c r="H33" s="105">
        <f>SUM(H8:H32)</f>
        <v>21594327</v>
      </c>
      <c r="I33" s="104">
        <f>SUM(I8:I32)</f>
        <v>300860725</v>
      </c>
      <c r="J33" s="106">
        <f>SUM(J8:J32)</f>
        <v>1675606.7114712507</v>
      </c>
      <c r="K33" s="75"/>
      <c r="L33" s="105">
        <f>SUM(L8:L32)-1</f>
        <v>24723407.120333321</v>
      </c>
      <c r="M33" s="104">
        <f>SUM(M8:M32)+1</f>
        <v>283040534</v>
      </c>
      <c r="N33" s="106">
        <f>SUM(N8:N32)+1</f>
        <v>-4262276.3639069796</v>
      </c>
      <c r="O33" s="75"/>
      <c r="P33" s="107">
        <f>SUM(P8:P32)</f>
        <v>-5937884.075378228</v>
      </c>
      <c r="Q33" s="108"/>
      <c r="R33" s="108"/>
    </row>
    <row r="34" spans="1:18" x14ac:dyDescent="0.25">
      <c r="A34" s="77"/>
      <c r="B34" s="75"/>
      <c r="C34" s="109" t="s">
        <v>68</v>
      </c>
      <c r="D34" s="111">
        <f>DMR3p2!J29</f>
        <v>7.5980000000000006E-2</v>
      </c>
      <c r="E34" s="75"/>
      <c r="F34" s="75"/>
      <c r="G34" s="75"/>
      <c r="H34" s="75"/>
      <c r="I34" s="75"/>
      <c r="J34" s="151">
        <f>D34</f>
        <v>7.5980000000000006E-2</v>
      </c>
      <c r="K34" s="75"/>
      <c r="L34" s="75"/>
      <c r="M34" s="75"/>
      <c r="N34" s="151">
        <f>DMR3p2!J29</f>
        <v>7.5980000000000006E-2</v>
      </c>
      <c r="O34" s="75"/>
      <c r="P34" s="78"/>
      <c r="Q34" s="78"/>
      <c r="R34" s="78"/>
    </row>
    <row r="35" spans="1:18" x14ac:dyDescent="0.25">
      <c r="A35" s="77"/>
      <c r="B35" s="75"/>
      <c r="C35" s="109" t="s">
        <v>70</v>
      </c>
      <c r="D35" s="152">
        <f>DMR3p2!F20</f>
        <v>0.62119655000000007</v>
      </c>
      <c r="E35" s="75"/>
      <c r="F35" s="75"/>
      <c r="G35" s="75"/>
      <c r="H35" s="75"/>
      <c r="I35" s="75"/>
      <c r="J35" s="152">
        <f>DMR3p1!G23</f>
        <v>0.75499273</v>
      </c>
      <c r="K35" s="75"/>
      <c r="L35" s="75"/>
      <c r="M35" s="75"/>
      <c r="N35" s="152">
        <f>DMR3p2!H20</f>
        <v>0.75499273</v>
      </c>
      <c r="O35" s="75"/>
      <c r="P35" s="78"/>
      <c r="Q35" s="78"/>
      <c r="R35" s="78"/>
    </row>
    <row r="36" spans="1:18" x14ac:dyDescent="0.25">
      <c r="A36" s="77"/>
      <c r="B36" s="110" t="s">
        <v>69</v>
      </c>
      <c r="C36" s="75"/>
      <c r="D36" s="75"/>
      <c r="E36" s="75"/>
      <c r="F36" s="75"/>
      <c r="G36" s="75"/>
      <c r="H36" s="75"/>
      <c r="I36" s="75"/>
      <c r="J36" s="75"/>
      <c r="K36" s="75"/>
      <c r="L36" s="75"/>
      <c r="M36" s="75"/>
      <c r="N36" s="75"/>
      <c r="O36" s="75"/>
      <c r="P36" s="78"/>
      <c r="Q36" s="78"/>
      <c r="R36" s="78"/>
    </row>
    <row r="37" spans="1:18" x14ac:dyDescent="0.25">
      <c r="A37" s="77"/>
      <c r="B37" s="75" t="s">
        <v>404</v>
      </c>
      <c r="C37" s="75"/>
      <c r="D37" s="75"/>
      <c r="E37" s="75"/>
      <c r="F37" s="75"/>
      <c r="G37" s="75"/>
      <c r="H37" s="75"/>
      <c r="I37" s="75"/>
      <c r="J37" s="75"/>
      <c r="K37" s="75"/>
      <c r="L37" s="75"/>
      <c r="M37" s="75"/>
      <c r="N37" s="75"/>
      <c r="O37" s="75"/>
      <c r="P37" s="78"/>
      <c r="Q37" s="78"/>
      <c r="R37" s="78"/>
    </row>
  </sheetData>
  <mergeCells count="3">
    <mergeCell ref="D5:F5"/>
    <mergeCell ref="L5:N5"/>
    <mergeCell ref="H5:J5"/>
  </mergeCells>
  <pageMargins left="0.7" right="0.7" top="0.75" bottom="0.75" header="0.3" footer="0.3"/>
  <pageSetup scale="68"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workbookViewId="0">
      <selection sqref="A1:E1"/>
    </sheetView>
  </sheetViews>
  <sheetFormatPr defaultRowHeight="15.75" x14ac:dyDescent="0.25"/>
  <cols>
    <col min="1" max="1" width="4.625" customWidth="1"/>
    <col min="2" max="2" width="1.125" customWidth="1"/>
    <col min="3" max="3" width="58.75" customWidth="1"/>
    <col min="4" max="4" width="9.875" customWidth="1"/>
    <col min="5" max="5" width="13" customWidth="1"/>
  </cols>
  <sheetData>
    <row r="1" spans="1:5" x14ac:dyDescent="0.25">
      <c r="A1" s="119" t="s">
        <v>172</v>
      </c>
      <c r="E1" s="123" t="s">
        <v>91</v>
      </c>
    </row>
    <row r="2" spans="1:5" x14ac:dyDescent="0.25">
      <c r="A2" t="s">
        <v>287</v>
      </c>
      <c r="E2" s="112" t="s">
        <v>208</v>
      </c>
    </row>
    <row r="3" spans="1:5" x14ac:dyDescent="0.25">
      <c r="A3" t="s">
        <v>349</v>
      </c>
    </row>
    <row r="4" spans="1:5" x14ac:dyDescent="0.25">
      <c r="A4" s="36" t="s">
        <v>94</v>
      </c>
      <c r="E4" s="112" t="s">
        <v>395</v>
      </c>
    </row>
    <row r="5" spans="1:5" x14ac:dyDescent="0.25">
      <c r="A5" s="120"/>
      <c r="B5" s="42"/>
    </row>
    <row r="6" spans="1:5" x14ac:dyDescent="0.25">
      <c r="A6" s="121" t="s">
        <v>348</v>
      </c>
      <c r="B6" s="42"/>
      <c r="C6" s="122"/>
      <c r="D6" s="42"/>
      <c r="E6" s="42"/>
    </row>
    <row r="7" spans="1:5" x14ac:dyDescent="0.25">
      <c r="B7" s="6"/>
      <c r="C7" s="6"/>
      <c r="D7" s="6"/>
      <c r="E7" s="6"/>
    </row>
    <row r="8" spans="1:5" x14ac:dyDescent="0.25">
      <c r="A8" t="s">
        <v>0</v>
      </c>
    </row>
    <row r="9" spans="1:5" x14ac:dyDescent="0.25">
      <c r="A9" s="2" t="s">
        <v>3</v>
      </c>
      <c r="C9" s="2" t="s">
        <v>1</v>
      </c>
      <c r="E9" s="8" t="s">
        <v>2</v>
      </c>
    </row>
    <row r="11" spans="1:5" x14ac:dyDescent="0.25">
      <c r="A11">
        <v>1</v>
      </c>
      <c r="C11" t="s">
        <v>350</v>
      </c>
      <c r="E11" s="21">
        <v>63105</v>
      </c>
    </row>
    <row r="12" spans="1:5" x14ac:dyDescent="0.25">
      <c r="E12" s="22"/>
    </row>
    <row r="13" spans="1:5" x14ac:dyDescent="0.25">
      <c r="A13">
        <v>2</v>
      </c>
      <c r="C13" t="s">
        <v>351</v>
      </c>
      <c r="E13" s="5">
        <f>E11*12</f>
        <v>757260</v>
      </c>
    </row>
    <row r="14" spans="1:5" x14ac:dyDescent="0.25">
      <c r="A14">
        <v>3</v>
      </c>
      <c r="C14" t="s">
        <v>352</v>
      </c>
      <c r="E14" s="19">
        <v>902274</v>
      </c>
    </row>
    <row r="15" spans="1:5" x14ac:dyDescent="0.25">
      <c r="E15" s="5"/>
    </row>
    <row r="16" spans="1:5" ht="16.5" thickBot="1" x14ac:dyDescent="0.3">
      <c r="A16">
        <v>4</v>
      </c>
      <c r="C16" t="s">
        <v>353</v>
      </c>
      <c r="E16" s="173">
        <f>E13-E14</f>
        <v>-145014</v>
      </c>
    </row>
    <row r="17" spans="3:5" ht="16.5" thickTop="1" x14ac:dyDescent="0.25">
      <c r="E17" s="5"/>
    </row>
    <row r="18" spans="3:5" x14ac:dyDescent="0.25">
      <c r="E18" s="5"/>
    </row>
    <row r="24" spans="3:5" x14ac:dyDescent="0.25">
      <c r="C24" s="3" t="s">
        <v>340</v>
      </c>
    </row>
    <row r="25" spans="3:5" x14ac:dyDescent="0.25">
      <c r="C25" t="s">
        <v>356</v>
      </c>
    </row>
    <row r="26" spans="3:5" x14ac:dyDescent="0.25">
      <c r="C26" s="9" t="s">
        <v>354</v>
      </c>
    </row>
    <row r="27" spans="3:5" x14ac:dyDescent="0.25">
      <c r="C27" t="s">
        <v>416</v>
      </c>
    </row>
    <row r="28" spans="3:5" x14ac:dyDescent="0.25">
      <c r="C28" s="9" t="s">
        <v>355</v>
      </c>
    </row>
  </sheetData>
  <pageMargins left="0.7" right="0.7" top="0.75" bottom="0.75" header="0.3" footer="0.3"/>
  <pageSetup scale="97"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workbookViewId="0">
      <selection activeCell="E3" sqref="E3"/>
    </sheetView>
  </sheetViews>
  <sheetFormatPr defaultRowHeight="15.75" x14ac:dyDescent="0.25"/>
  <cols>
    <col min="1" max="1" width="4.625" style="20" customWidth="1"/>
    <col min="2" max="2" width="1.125" style="20" customWidth="1"/>
    <col min="3" max="3" width="58.75" style="20" customWidth="1"/>
    <col min="4" max="4" width="9.875" style="20" customWidth="1"/>
    <col min="5" max="5" width="13" style="20" customWidth="1"/>
    <col min="6" max="16384" width="9" style="20"/>
  </cols>
  <sheetData>
    <row r="1" spans="1:5" x14ac:dyDescent="0.25">
      <c r="A1" s="119" t="s">
        <v>172</v>
      </c>
      <c r="B1"/>
      <c r="C1"/>
      <c r="D1"/>
      <c r="E1" s="123" t="s">
        <v>91</v>
      </c>
    </row>
    <row r="2" spans="1:5" x14ac:dyDescent="0.25">
      <c r="A2" s="20" t="s">
        <v>287</v>
      </c>
      <c r="E2" s="193" t="s">
        <v>208</v>
      </c>
    </row>
    <row r="3" spans="1:5" x14ac:dyDescent="0.25">
      <c r="A3" s="20" t="s">
        <v>379</v>
      </c>
    </row>
    <row r="4" spans="1:5" x14ac:dyDescent="0.25">
      <c r="A4" s="20" t="s">
        <v>94</v>
      </c>
      <c r="E4" s="193" t="s">
        <v>396</v>
      </c>
    </row>
    <row r="5" spans="1:5" x14ac:dyDescent="0.25">
      <c r="A5" s="194"/>
      <c r="B5" s="195"/>
    </row>
    <row r="6" spans="1:5" x14ac:dyDescent="0.25">
      <c r="A6" s="196" t="s">
        <v>380</v>
      </c>
      <c r="B6" s="195"/>
      <c r="C6" s="197"/>
      <c r="D6" s="195"/>
      <c r="E6" s="195"/>
    </row>
    <row r="7" spans="1:5" x14ac:dyDescent="0.25">
      <c r="B7" s="59"/>
      <c r="C7" s="59"/>
      <c r="D7" s="59"/>
      <c r="E7" s="59"/>
    </row>
    <row r="8" spans="1:5" x14ac:dyDescent="0.25">
      <c r="A8" s="20" t="s">
        <v>0</v>
      </c>
    </row>
    <row r="9" spans="1:5" x14ac:dyDescent="0.25">
      <c r="A9" s="21" t="s">
        <v>3</v>
      </c>
      <c r="C9" s="21" t="s">
        <v>1</v>
      </c>
      <c r="E9" s="57" t="s">
        <v>2</v>
      </c>
    </row>
    <row r="11" spans="1:5" x14ac:dyDescent="0.25">
      <c r="C11" s="198" t="s">
        <v>381</v>
      </c>
    </row>
    <row r="12" spans="1:5" x14ac:dyDescent="0.25">
      <c r="A12" s="20">
        <v>1</v>
      </c>
      <c r="C12" s="20" t="s">
        <v>382</v>
      </c>
      <c r="E12" s="20">
        <v>196587</v>
      </c>
    </row>
    <row r="13" spans="1:5" x14ac:dyDescent="0.25">
      <c r="A13" s="20">
        <v>2</v>
      </c>
      <c r="C13" s="20" t="s">
        <v>383</v>
      </c>
      <c r="E13" s="20">
        <v>432549</v>
      </c>
    </row>
    <row r="14" spans="1:5" x14ac:dyDescent="0.25">
      <c r="A14" s="20">
        <v>3</v>
      </c>
      <c r="C14" s="20" t="s">
        <v>384</v>
      </c>
      <c r="E14" s="20">
        <v>46716</v>
      </c>
    </row>
    <row r="15" spans="1:5" x14ac:dyDescent="0.25">
      <c r="A15" s="20">
        <v>4</v>
      </c>
      <c r="C15" s="20" t="s">
        <v>385</v>
      </c>
      <c r="E15" s="20">
        <v>512889</v>
      </c>
    </row>
    <row r="16" spans="1:5" x14ac:dyDescent="0.25">
      <c r="A16" s="20">
        <v>5</v>
      </c>
      <c r="C16" s="20" t="s">
        <v>386</v>
      </c>
      <c r="E16" s="21">
        <v>577189</v>
      </c>
    </row>
    <row r="17" spans="1:5" x14ac:dyDescent="0.25">
      <c r="A17" s="20">
        <v>6</v>
      </c>
      <c r="C17" s="20" t="s">
        <v>387</v>
      </c>
      <c r="E17" s="21">
        <f>SUM(E12:E16)</f>
        <v>1765930</v>
      </c>
    </row>
    <row r="19" spans="1:5" x14ac:dyDescent="0.25">
      <c r="C19" s="198" t="s">
        <v>388</v>
      </c>
    </row>
    <row r="20" spans="1:5" x14ac:dyDescent="0.25">
      <c r="A20" s="20">
        <v>7</v>
      </c>
      <c r="C20" s="20" t="s">
        <v>389</v>
      </c>
      <c r="E20" s="20">
        <v>174419</v>
      </c>
    </row>
    <row r="21" spans="1:5" x14ac:dyDescent="0.25">
      <c r="A21" s="20">
        <v>8</v>
      </c>
      <c r="C21" s="20" t="s">
        <v>390</v>
      </c>
      <c r="E21" s="20">
        <v>174419</v>
      </c>
    </row>
    <row r="22" spans="1:5" x14ac:dyDescent="0.25">
      <c r="A22" s="20">
        <v>9</v>
      </c>
      <c r="C22" s="20" t="s">
        <v>391</v>
      </c>
      <c r="E22" s="21">
        <v>28839</v>
      </c>
    </row>
    <row r="23" spans="1:5" x14ac:dyDescent="0.25">
      <c r="A23" s="20">
        <v>10</v>
      </c>
      <c r="C23" s="20" t="s">
        <v>392</v>
      </c>
      <c r="E23" s="199">
        <f>SUM(E20:E22)</f>
        <v>377677</v>
      </c>
    </row>
    <row r="25" spans="1:5" ht="16.5" thickBot="1" x14ac:dyDescent="0.3">
      <c r="A25" s="20">
        <v>11</v>
      </c>
      <c r="C25" s="20" t="s">
        <v>393</v>
      </c>
      <c r="E25" s="170">
        <f>E23-E17</f>
        <v>-1388253</v>
      </c>
    </row>
    <row r="26" spans="1:5" ht="16.5" thickTop="1" x14ac:dyDescent="0.25"/>
    <row r="31" spans="1:5" ht="18" x14ac:dyDescent="0.4">
      <c r="C31" s="200" t="s">
        <v>281</v>
      </c>
    </row>
    <row r="32" spans="1:5" x14ac:dyDescent="0.25">
      <c r="C32" s="20" t="s">
        <v>417</v>
      </c>
    </row>
    <row r="33" spans="3:3" x14ac:dyDescent="0.25">
      <c r="C33" s="20" t="s">
        <v>419</v>
      </c>
    </row>
  </sheetData>
  <pageMargins left="0.7" right="0.7" top="0.75" bottom="0.75" header="0.3" footer="0.3"/>
  <pageSetup scale="97"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activeCell="I11" sqref="I11"/>
    </sheetView>
  </sheetViews>
  <sheetFormatPr defaultRowHeight="15.75" x14ac:dyDescent="0.25"/>
  <cols>
    <col min="1" max="1" width="3.625" customWidth="1"/>
    <col min="2" max="2" width="2.25" customWidth="1"/>
    <col min="3" max="3" width="32.25" customWidth="1"/>
    <col min="4" max="4" width="2" customWidth="1"/>
    <col min="5" max="5" width="16.25" customWidth="1"/>
    <col min="6" max="6" width="1.875" customWidth="1"/>
    <col min="7" max="7" width="14.75" customWidth="1"/>
    <col min="8" max="8" width="1.5" customWidth="1"/>
    <col min="9" max="9" width="15" customWidth="1"/>
    <col min="10" max="10" width="1.25" customWidth="1"/>
    <col min="11" max="11" width="15" customWidth="1"/>
  </cols>
  <sheetData>
    <row r="1" spans="1:11" x14ac:dyDescent="0.25">
      <c r="A1" s="119" t="s">
        <v>89</v>
      </c>
      <c r="K1" s="123" t="s">
        <v>91</v>
      </c>
    </row>
    <row r="2" spans="1:11" x14ac:dyDescent="0.25">
      <c r="A2" t="s">
        <v>85</v>
      </c>
      <c r="K2" s="112" t="s">
        <v>46</v>
      </c>
    </row>
    <row r="3" spans="1:11" x14ac:dyDescent="0.25">
      <c r="A3" s="119" t="s">
        <v>94</v>
      </c>
      <c r="K3" s="123"/>
    </row>
    <row r="4" spans="1:11" x14ac:dyDescent="0.25">
      <c r="K4" s="112" t="s">
        <v>198</v>
      </c>
    </row>
    <row r="6" spans="1:11" x14ac:dyDescent="0.25">
      <c r="G6" s="1" t="s">
        <v>5</v>
      </c>
    </row>
    <row r="7" spans="1:11" x14ac:dyDescent="0.25">
      <c r="A7" s="6"/>
      <c r="B7" s="6"/>
      <c r="C7" s="6"/>
      <c r="D7" s="6"/>
      <c r="E7" s="11" t="s">
        <v>19</v>
      </c>
      <c r="F7" s="6"/>
      <c r="G7" t="s">
        <v>47</v>
      </c>
      <c r="I7" s="37"/>
      <c r="J7" s="6"/>
      <c r="K7" s="1" t="s">
        <v>35</v>
      </c>
    </row>
    <row r="8" spans="1:11" x14ac:dyDescent="0.25">
      <c r="A8" s="11" t="s">
        <v>0</v>
      </c>
      <c r="B8" s="6"/>
      <c r="C8" s="6"/>
      <c r="D8" s="6"/>
      <c r="E8" s="1" t="s">
        <v>28</v>
      </c>
      <c r="F8" s="11"/>
      <c r="G8" s="1" t="s">
        <v>87</v>
      </c>
      <c r="I8" s="37" t="s">
        <v>35</v>
      </c>
      <c r="J8" s="6"/>
      <c r="K8" s="37" t="s">
        <v>357</v>
      </c>
    </row>
    <row r="9" spans="1:11" x14ac:dyDescent="0.25">
      <c r="A9" s="15" t="s">
        <v>20</v>
      </c>
      <c r="B9" s="6"/>
      <c r="C9" s="24" t="s">
        <v>1</v>
      </c>
      <c r="D9" s="6"/>
      <c r="E9" s="25" t="s">
        <v>2</v>
      </c>
      <c r="F9" s="16"/>
      <c r="G9" s="8" t="s">
        <v>88</v>
      </c>
      <c r="I9" s="25" t="s">
        <v>2</v>
      </c>
      <c r="J9" s="6"/>
      <c r="K9" s="113" t="s">
        <v>358</v>
      </c>
    </row>
    <row r="10" spans="1:11" x14ac:dyDescent="0.25">
      <c r="A10" s="6"/>
      <c r="B10" s="6"/>
      <c r="C10" s="6"/>
      <c r="D10" s="6"/>
      <c r="E10" s="23" t="s">
        <v>29</v>
      </c>
      <c r="F10" s="1"/>
      <c r="G10" s="53" t="s">
        <v>30</v>
      </c>
      <c r="H10" s="1"/>
      <c r="I10" s="54" t="s">
        <v>45</v>
      </c>
      <c r="J10" s="6"/>
      <c r="K10" s="174" t="s">
        <v>359</v>
      </c>
    </row>
    <row r="11" spans="1:11" x14ac:dyDescent="0.25">
      <c r="A11" s="6">
        <v>1</v>
      </c>
      <c r="B11" s="6"/>
      <c r="C11" s="26" t="s">
        <v>21</v>
      </c>
      <c r="D11" s="6"/>
      <c r="E11" s="5">
        <v>300860726</v>
      </c>
      <c r="F11" s="5"/>
      <c r="G11" s="5">
        <v>300860726</v>
      </c>
      <c r="I11" s="27">
        <f>'DMR4'!AA43</f>
        <v>283040534</v>
      </c>
      <c r="J11" s="6"/>
      <c r="K11" s="175">
        <f>I11</f>
        <v>283040534</v>
      </c>
    </row>
    <row r="12" spans="1:11" x14ac:dyDescent="0.25">
      <c r="A12" s="6"/>
      <c r="B12" s="6"/>
      <c r="C12" s="6"/>
      <c r="D12" s="6"/>
      <c r="I12" s="28"/>
      <c r="J12" s="6"/>
      <c r="K12" s="6"/>
    </row>
    <row r="13" spans="1:11" x14ac:dyDescent="0.25">
      <c r="A13" s="6">
        <v>2</v>
      </c>
      <c r="B13" s="6"/>
      <c r="C13" s="26" t="s">
        <v>22</v>
      </c>
      <c r="D13" s="6"/>
      <c r="E13" s="19">
        <v>19203666</v>
      </c>
      <c r="F13" s="5"/>
      <c r="G13" s="19">
        <v>21594325</v>
      </c>
      <c r="I13" s="138">
        <f>'DMR4'!AA33</f>
        <v>24723407.120333344</v>
      </c>
      <c r="J13" s="6"/>
      <c r="K13" s="176">
        <f>I13</f>
        <v>24723407.120333344</v>
      </c>
    </row>
    <row r="14" spans="1:11" x14ac:dyDescent="0.25">
      <c r="A14" s="6"/>
      <c r="B14" s="6"/>
      <c r="C14" s="6"/>
      <c r="D14" s="6"/>
      <c r="I14" s="29"/>
      <c r="J14" s="6"/>
      <c r="K14" s="6"/>
    </row>
    <row r="15" spans="1:11" x14ac:dyDescent="0.25">
      <c r="A15" s="6">
        <v>3</v>
      </c>
      <c r="B15" s="6"/>
      <c r="C15" s="26" t="s">
        <v>23</v>
      </c>
      <c r="D15" s="6"/>
      <c r="E15" s="30">
        <f>E13/E11</f>
        <v>6.3829088812343018E-2</v>
      </c>
      <c r="F15" s="30"/>
      <c r="G15" s="30">
        <f>G13/G11</f>
        <v>7.1775154195433274E-2</v>
      </c>
      <c r="I15" s="30">
        <f>I13/I11</f>
        <v>8.7349351596168703E-2</v>
      </c>
      <c r="J15" s="6"/>
      <c r="K15" s="30">
        <f>K13/K11</f>
        <v>8.7349351596168703E-2</v>
      </c>
    </row>
    <row r="16" spans="1:11" x14ac:dyDescent="0.25">
      <c r="A16" s="6"/>
      <c r="B16" s="6"/>
      <c r="C16" s="6"/>
      <c r="D16" s="6"/>
      <c r="I16" s="30"/>
      <c r="J16" s="6"/>
      <c r="K16" s="6"/>
    </row>
    <row r="17" spans="1:11" x14ac:dyDescent="0.25">
      <c r="A17" s="6">
        <v>4</v>
      </c>
      <c r="B17" s="6"/>
      <c r="C17" s="48" t="s">
        <v>48</v>
      </c>
      <c r="D17" s="6"/>
      <c r="E17" s="136">
        <f>DMR3p2!J29</f>
        <v>7.5980000000000006E-2</v>
      </c>
      <c r="F17" s="31"/>
      <c r="G17" s="136">
        <f>E17</f>
        <v>7.5980000000000006E-2</v>
      </c>
      <c r="H17" s="129"/>
      <c r="I17" s="136">
        <f>DMR3p2!J29</f>
        <v>7.5980000000000006E-2</v>
      </c>
      <c r="J17" s="6"/>
      <c r="K17" s="188">
        <f>DMR3p2!J35</f>
        <v>7.3480000000000004E-2</v>
      </c>
    </row>
    <row r="18" spans="1:11" x14ac:dyDescent="0.25">
      <c r="A18" s="6"/>
      <c r="B18" s="6"/>
      <c r="C18" s="6"/>
      <c r="D18" s="6"/>
      <c r="I18" s="6"/>
      <c r="J18" s="6"/>
      <c r="K18" s="6"/>
    </row>
    <row r="19" spans="1:11" x14ac:dyDescent="0.25">
      <c r="A19" s="6">
        <v>5</v>
      </c>
      <c r="B19" s="6"/>
      <c r="C19" s="26" t="s">
        <v>24</v>
      </c>
      <c r="D19" s="6"/>
      <c r="E19" s="32">
        <f>E11*E17</f>
        <v>22859397.961480003</v>
      </c>
      <c r="F19" s="32"/>
      <c r="G19" s="32">
        <f>G11*G17</f>
        <v>22859397.961480003</v>
      </c>
      <c r="I19" s="32">
        <f>ROUND(I11*I17,0)</f>
        <v>21505420</v>
      </c>
      <c r="J19" s="6"/>
      <c r="K19" s="32">
        <f>ROUND(K11*K17,0)</f>
        <v>20797818</v>
      </c>
    </row>
    <row r="20" spans="1:11" x14ac:dyDescent="0.25">
      <c r="A20" s="6"/>
      <c r="B20" s="6"/>
      <c r="C20" s="6"/>
      <c r="D20" s="6"/>
      <c r="I20" s="32"/>
      <c r="J20" s="6"/>
      <c r="K20" s="32"/>
    </row>
    <row r="21" spans="1:11" x14ac:dyDescent="0.25">
      <c r="A21" s="6">
        <v>6</v>
      </c>
      <c r="B21" s="6"/>
      <c r="C21" s="26" t="s">
        <v>25</v>
      </c>
      <c r="D21" s="6"/>
      <c r="E21" s="32">
        <f>E13-E19</f>
        <v>-3655731.9614800029</v>
      </c>
      <c r="F21" s="32"/>
      <c r="G21" s="32">
        <f>G13-G19</f>
        <v>-1265072.9614800029</v>
      </c>
      <c r="I21" s="32">
        <f>I13-I19</f>
        <v>3217987.1203333437</v>
      </c>
      <c r="J21" s="6"/>
      <c r="K21" s="32">
        <f>K13-K19</f>
        <v>3925589.1203333437</v>
      </c>
    </row>
    <row r="22" spans="1:11" x14ac:dyDescent="0.25">
      <c r="A22" s="6"/>
      <c r="B22" s="6"/>
      <c r="C22" s="6"/>
      <c r="D22" s="6"/>
      <c r="E22" s="6"/>
      <c r="F22" s="6"/>
      <c r="G22" s="6"/>
      <c r="I22" s="6"/>
      <c r="J22" s="6"/>
      <c r="K22" s="6"/>
    </row>
    <row r="23" spans="1:11" x14ac:dyDescent="0.25">
      <c r="A23" s="6">
        <v>7</v>
      </c>
      <c r="B23" s="6"/>
      <c r="C23" s="26" t="s">
        <v>26</v>
      </c>
      <c r="D23" s="6"/>
      <c r="E23" s="39">
        <f>DMR3p2!F20</f>
        <v>0.62119655000000007</v>
      </c>
      <c r="F23" s="38"/>
      <c r="G23" s="39">
        <f>DMR3p2!H20</f>
        <v>0.75499273</v>
      </c>
      <c r="I23" s="39">
        <f>DMR3p2!H20</f>
        <v>0.75499273</v>
      </c>
      <c r="J23" s="6"/>
      <c r="K23" s="39">
        <f>I23</f>
        <v>0.75499273</v>
      </c>
    </row>
    <row r="24" spans="1:11" x14ac:dyDescent="0.25">
      <c r="A24" s="6"/>
      <c r="B24" s="6"/>
      <c r="C24" s="6"/>
      <c r="D24" s="6"/>
      <c r="E24" s="6"/>
      <c r="F24" s="6"/>
      <c r="G24" s="6"/>
      <c r="I24" s="6"/>
      <c r="J24" s="6"/>
      <c r="K24" s="6"/>
    </row>
    <row r="25" spans="1:11" ht="16.5" thickBot="1" x14ac:dyDescent="0.3">
      <c r="A25" s="6">
        <v>8</v>
      </c>
      <c r="B25" s="6"/>
      <c r="C25" s="26" t="s">
        <v>27</v>
      </c>
      <c r="D25" s="6"/>
      <c r="E25" s="33">
        <f>E21/E23</f>
        <v>-5884984.3281969326</v>
      </c>
      <c r="F25" s="34"/>
      <c r="G25" s="33">
        <f>G21/G23+1</f>
        <v>-1675608.461140113</v>
      </c>
      <c r="I25" s="33">
        <f>I21/I23</f>
        <v>4262275.6385128954</v>
      </c>
      <c r="J25" s="6"/>
      <c r="K25" s="33">
        <f>K21/K23</f>
        <v>5199505.8552859761</v>
      </c>
    </row>
    <row r="26" spans="1:11" ht="16.5" thickTop="1" x14ac:dyDescent="0.25">
      <c r="A26" s="6"/>
      <c r="B26" s="6"/>
      <c r="C26" s="6"/>
      <c r="D26" s="35"/>
      <c r="E26" s="6"/>
      <c r="F26" s="6"/>
      <c r="I26" s="6"/>
      <c r="J26" s="6"/>
      <c r="K26" s="6"/>
    </row>
    <row r="27" spans="1:11" x14ac:dyDescent="0.25">
      <c r="A27" s="4"/>
      <c r="B27" s="4"/>
      <c r="C27" s="18" t="s">
        <v>49</v>
      </c>
      <c r="D27" s="4"/>
      <c r="E27" s="4"/>
      <c r="F27" s="4"/>
      <c r="G27" s="4"/>
      <c r="H27" s="4"/>
      <c r="I27" s="51"/>
    </row>
    <row r="28" spans="1:11" x14ac:dyDescent="0.25">
      <c r="A28" s="4"/>
      <c r="B28" s="4"/>
      <c r="C28" s="4" t="s">
        <v>95</v>
      </c>
      <c r="D28" s="4"/>
      <c r="E28" s="4"/>
      <c r="F28" s="4"/>
      <c r="G28" s="4"/>
      <c r="H28" s="4"/>
      <c r="I28" s="52"/>
    </row>
    <row r="29" spans="1:11" x14ac:dyDescent="0.25">
      <c r="A29" s="4"/>
      <c r="B29" s="4"/>
      <c r="C29" s="4" t="s">
        <v>302</v>
      </c>
      <c r="D29" s="4"/>
      <c r="E29" s="4"/>
      <c r="F29" s="4"/>
      <c r="G29" s="4"/>
      <c r="H29" s="4"/>
      <c r="I29" s="4"/>
    </row>
    <row r="30" spans="1:11" x14ac:dyDescent="0.25">
      <c r="A30" s="4"/>
      <c r="B30" s="4"/>
      <c r="C30" s="12" t="s">
        <v>303</v>
      </c>
      <c r="D30" s="4"/>
      <c r="E30" s="7"/>
      <c r="F30" s="7"/>
      <c r="G30" s="4"/>
      <c r="H30" s="4"/>
      <c r="I30" s="34"/>
    </row>
    <row r="31" spans="1:11" x14ac:dyDescent="0.25">
      <c r="C31" s="166" t="s">
        <v>304</v>
      </c>
      <c r="D31" s="4"/>
      <c r="E31" s="10"/>
      <c r="F31" s="7"/>
      <c r="G31" s="10"/>
    </row>
    <row r="32" spans="1:11" x14ac:dyDescent="0.25">
      <c r="C32" s="166" t="s">
        <v>361</v>
      </c>
      <c r="D32" s="4"/>
      <c r="E32" s="10"/>
      <c r="F32" s="7"/>
      <c r="G32" s="10"/>
    </row>
    <row r="33" spans="3:11" x14ac:dyDescent="0.25">
      <c r="C33" s="166" t="s">
        <v>362</v>
      </c>
      <c r="D33" s="4"/>
      <c r="E33" s="13"/>
      <c r="F33" s="13"/>
      <c r="G33" s="13"/>
      <c r="H33" s="4"/>
      <c r="I33" s="4"/>
      <c r="J33" s="4"/>
      <c r="K33" s="4"/>
    </row>
    <row r="34" spans="3:11" x14ac:dyDescent="0.25">
      <c r="C34" s="12"/>
      <c r="D34" s="4"/>
      <c r="E34" s="13"/>
      <c r="F34" s="13"/>
      <c r="G34" s="13"/>
      <c r="H34" s="4"/>
      <c r="I34" s="4"/>
      <c r="J34" s="4"/>
      <c r="K34" s="4"/>
    </row>
    <row r="35" spans="3:11" x14ac:dyDescent="0.25">
      <c r="C35" s="55"/>
      <c r="D35" s="4"/>
      <c r="E35" s="13"/>
      <c r="F35" s="13"/>
      <c r="G35" s="13"/>
      <c r="H35" s="4"/>
      <c r="I35" s="4"/>
      <c r="J35" s="4"/>
      <c r="K35" s="4"/>
    </row>
    <row r="36" spans="3:11" x14ac:dyDescent="0.25">
      <c r="C36" s="4"/>
      <c r="D36" s="4"/>
      <c r="E36" s="13"/>
      <c r="F36" s="13"/>
      <c r="G36" s="13"/>
      <c r="H36" s="4"/>
      <c r="I36" s="4"/>
      <c r="J36" s="4"/>
      <c r="K36" s="4"/>
    </row>
    <row r="37" spans="3:11" x14ac:dyDescent="0.25">
      <c r="C37" s="4"/>
      <c r="D37" s="4"/>
      <c r="E37" s="4"/>
      <c r="F37" s="4"/>
      <c r="G37" s="4"/>
      <c r="H37" s="4"/>
      <c r="I37" s="4"/>
      <c r="J37" s="4"/>
      <c r="K37" s="4"/>
    </row>
  </sheetData>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opLeftCell="A22" workbookViewId="0">
      <selection activeCell="C24" sqref="C24"/>
    </sheetView>
  </sheetViews>
  <sheetFormatPr defaultRowHeight="15.75" x14ac:dyDescent="0.25"/>
  <cols>
    <col min="1" max="1" width="3.625" customWidth="1"/>
    <col min="2" max="2" width="2.25" customWidth="1"/>
    <col min="3" max="3" width="33" customWidth="1"/>
    <col min="4" max="4" width="4.875" customWidth="1"/>
    <col min="5" max="5" width="0.75" customWidth="1"/>
    <col min="6" max="6" width="16.25" customWidth="1"/>
    <col min="7" max="7" width="1.875" customWidth="1"/>
    <col min="8" max="8" width="14.75" customWidth="1"/>
    <col min="9" max="9" width="2.125" customWidth="1"/>
    <col min="10" max="10" width="15" customWidth="1"/>
  </cols>
  <sheetData>
    <row r="1" spans="1:10" x14ac:dyDescent="0.25">
      <c r="A1" s="119" t="s">
        <v>89</v>
      </c>
      <c r="J1" s="123" t="s">
        <v>91</v>
      </c>
    </row>
    <row r="2" spans="1:10" x14ac:dyDescent="0.25">
      <c r="A2" t="s">
        <v>85</v>
      </c>
      <c r="J2" s="112" t="s">
        <v>46</v>
      </c>
    </row>
    <row r="3" spans="1:10" x14ac:dyDescent="0.25">
      <c r="A3" t="s">
        <v>96</v>
      </c>
      <c r="J3" s="123"/>
    </row>
    <row r="4" spans="1:10" x14ac:dyDescent="0.25">
      <c r="A4" s="119" t="s">
        <v>94</v>
      </c>
      <c r="J4" s="112" t="s">
        <v>199</v>
      </c>
    </row>
    <row r="7" spans="1:10" x14ac:dyDescent="0.25">
      <c r="A7" t="s">
        <v>0</v>
      </c>
      <c r="F7" s="1" t="s">
        <v>19</v>
      </c>
      <c r="H7" s="1" t="s">
        <v>19</v>
      </c>
    </row>
    <row r="8" spans="1:10" x14ac:dyDescent="0.25">
      <c r="A8" s="2" t="s">
        <v>3</v>
      </c>
      <c r="C8" s="2" t="s">
        <v>1</v>
      </c>
      <c r="F8" s="8" t="s">
        <v>283</v>
      </c>
      <c r="G8" s="1"/>
      <c r="H8" s="8" t="s">
        <v>306</v>
      </c>
    </row>
    <row r="10" spans="1:10" x14ac:dyDescent="0.25">
      <c r="A10">
        <v>1</v>
      </c>
      <c r="C10" t="s">
        <v>97</v>
      </c>
      <c r="F10" s="132">
        <v>1</v>
      </c>
      <c r="G10" s="132"/>
      <c r="H10" s="132">
        <v>1</v>
      </c>
    </row>
    <row r="11" spans="1:10" x14ac:dyDescent="0.25">
      <c r="C11" s="3" t="s">
        <v>98</v>
      </c>
      <c r="F11" s="132"/>
      <c r="G11" s="132"/>
      <c r="H11" s="132"/>
    </row>
    <row r="12" spans="1:10" x14ac:dyDescent="0.25">
      <c r="A12">
        <v>2</v>
      </c>
      <c r="C12" t="s">
        <v>99</v>
      </c>
      <c r="F12" s="132">
        <v>3.7929999999999999E-3</v>
      </c>
      <c r="G12" s="132"/>
      <c r="H12" s="132">
        <v>3.7929999999999999E-3</v>
      </c>
    </row>
    <row r="13" spans="1:10" x14ac:dyDescent="0.25">
      <c r="A13">
        <v>3</v>
      </c>
      <c r="C13" t="s">
        <v>100</v>
      </c>
      <c r="F13" s="132">
        <v>3.8519999999999999E-2</v>
      </c>
      <c r="G13" s="132"/>
      <c r="H13" s="132">
        <v>3.8519999999999999E-2</v>
      </c>
    </row>
    <row r="14" spans="1:10" x14ac:dyDescent="0.25">
      <c r="A14">
        <v>4</v>
      </c>
      <c r="C14" t="s">
        <v>101</v>
      </c>
      <c r="F14" s="133">
        <v>2E-3</v>
      </c>
      <c r="G14" s="132"/>
      <c r="H14" s="133">
        <v>2E-3</v>
      </c>
    </row>
    <row r="15" spans="1:10" x14ac:dyDescent="0.25">
      <c r="A15">
        <v>5</v>
      </c>
      <c r="C15" t="s">
        <v>102</v>
      </c>
      <c r="F15" s="132">
        <f>F10-F12-F13-F14</f>
        <v>0.95568699999999995</v>
      </c>
      <c r="G15" s="132"/>
      <c r="H15" s="132">
        <f>H10-H12-H13-H14</f>
        <v>0.95568699999999995</v>
      </c>
    </row>
    <row r="16" spans="1:10" x14ac:dyDescent="0.25">
      <c r="A16">
        <v>6</v>
      </c>
      <c r="C16" t="s">
        <v>110</v>
      </c>
      <c r="F16" s="133">
        <v>0</v>
      </c>
      <c r="G16" s="132"/>
      <c r="H16" s="133">
        <v>0</v>
      </c>
    </row>
    <row r="17" spans="1:10" x14ac:dyDescent="0.25">
      <c r="A17">
        <v>7</v>
      </c>
      <c r="C17" t="s">
        <v>112</v>
      </c>
      <c r="F17" s="132">
        <f>SUM(F15:F16)</f>
        <v>0.95568699999999995</v>
      </c>
      <c r="G17" s="132"/>
      <c r="H17" s="132">
        <f>SUM(H15:H16)</f>
        <v>0.95568699999999995</v>
      </c>
    </row>
    <row r="18" spans="1:10" x14ac:dyDescent="0.25">
      <c r="A18">
        <v>8</v>
      </c>
      <c r="C18" t="s">
        <v>42</v>
      </c>
      <c r="F18" s="133">
        <v>0.35</v>
      </c>
      <c r="G18" s="132"/>
      <c r="H18" s="133">
        <v>0.21</v>
      </c>
    </row>
    <row r="19" spans="1:10" x14ac:dyDescent="0.25">
      <c r="A19">
        <v>9</v>
      </c>
      <c r="C19" t="s">
        <v>111</v>
      </c>
      <c r="F19" s="134">
        <f>F17*F18</f>
        <v>0.33449044999999994</v>
      </c>
      <c r="G19" s="132"/>
      <c r="H19" s="134">
        <f>H17*H18</f>
        <v>0.20069426999999998</v>
      </c>
    </row>
    <row r="20" spans="1:10" ht="16.5" thickBot="1" x14ac:dyDescent="0.3">
      <c r="A20">
        <v>10</v>
      </c>
      <c r="C20" t="s">
        <v>113</v>
      </c>
      <c r="F20" s="135">
        <f>F17-F19</f>
        <v>0.62119655000000007</v>
      </c>
      <c r="G20" s="132"/>
      <c r="H20" s="135">
        <f>H17-H19</f>
        <v>0.75499273</v>
      </c>
    </row>
    <row r="21" spans="1:10" ht="16.5" thickTop="1" x14ac:dyDescent="0.25">
      <c r="F21" s="131"/>
    </row>
    <row r="22" spans="1:10" x14ac:dyDescent="0.25">
      <c r="C22" t="s">
        <v>42</v>
      </c>
      <c r="F22" s="131"/>
      <c r="J22" s="149">
        <v>0.21</v>
      </c>
    </row>
    <row r="25" spans="1:10" x14ac:dyDescent="0.25">
      <c r="C25" s="2" t="s">
        <v>103</v>
      </c>
      <c r="F25" s="8" t="s">
        <v>107</v>
      </c>
      <c r="G25" s="1"/>
      <c r="H25" s="8" t="s">
        <v>108</v>
      </c>
      <c r="I25" s="1"/>
      <c r="J25" s="8" t="s">
        <v>109</v>
      </c>
    </row>
    <row r="26" spans="1:10" x14ac:dyDescent="0.25">
      <c r="A26" t="s">
        <v>114</v>
      </c>
      <c r="C26" t="s">
        <v>104</v>
      </c>
      <c r="F26" s="126">
        <v>0.5</v>
      </c>
      <c r="G26" s="124"/>
      <c r="H26" s="128">
        <v>5.2949999999999997E-2</v>
      </c>
      <c r="I26" s="128"/>
      <c r="J26" s="128">
        <f>ROUND(F26*H26,5)</f>
        <v>2.648E-2</v>
      </c>
    </row>
    <row r="27" spans="1:10" x14ac:dyDescent="0.25">
      <c r="A27" t="s">
        <v>115</v>
      </c>
      <c r="C27" t="s">
        <v>105</v>
      </c>
      <c r="F27" s="126">
        <v>0</v>
      </c>
      <c r="G27" s="124"/>
      <c r="H27" s="128">
        <v>0</v>
      </c>
      <c r="I27" s="128"/>
      <c r="J27" s="128">
        <f t="shared" ref="J27:J28" si="0">ROUND(F27*H27,5)</f>
        <v>0</v>
      </c>
    </row>
    <row r="28" spans="1:10" x14ac:dyDescent="0.25">
      <c r="A28" t="s">
        <v>116</v>
      </c>
      <c r="C28" t="s">
        <v>106</v>
      </c>
      <c r="F28" s="127">
        <v>0.5</v>
      </c>
      <c r="G28" s="124"/>
      <c r="H28" s="128">
        <v>9.9000000000000005E-2</v>
      </c>
      <c r="I28" s="128"/>
      <c r="J28" s="130">
        <f t="shared" si="0"/>
        <v>4.9500000000000002E-2</v>
      </c>
    </row>
    <row r="29" spans="1:10" ht="16.5" thickBot="1" x14ac:dyDescent="0.3">
      <c r="A29" t="s">
        <v>121</v>
      </c>
      <c r="C29" t="s">
        <v>122</v>
      </c>
      <c r="F29" s="125">
        <f>SUM(F26:F28)</f>
        <v>1</v>
      </c>
      <c r="H29" s="129"/>
      <c r="I29" s="129"/>
      <c r="J29" s="137">
        <f>SUM(J26:J28)</f>
        <v>7.5980000000000006E-2</v>
      </c>
    </row>
    <row r="30" spans="1:10" ht="16.5" thickTop="1" x14ac:dyDescent="0.25"/>
    <row r="31" spans="1:10" x14ac:dyDescent="0.25">
      <c r="C31" s="177" t="s">
        <v>360</v>
      </c>
      <c r="D31" s="167"/>
      <c r="E31" s="167"/>
      <c r="F31" s="178" t="s">
        <v>107</v>
      </c>
      <c r="G31" s="179"/>
      <c r="H31" s="178" t="s">
        <v>108</v>
      </c>
      <c r="I31" s="179"/>
      <c r="J31" s="178" t="s">
        <v>109</v>
      </c>
    </row>
    <row r="32" spans="1:10" x14ac:dyDescent="0.25">
      <c r="A32" t="s">
        <v>117</v>
      </c>
      <c r="C32" s="167" t="s">
        <v>104</v>
      </c>
      <c r="D32" s="167"/>
      <c r="E32" s="167"/>
      <c r="F32" s="180">
        <v>0.5</v>
      </c>
      <c r="G32" s="181"/>
      <c r="H32" s="182">
        <v>5.2949999999999997E-2</v>
      </c>
      <c r="I32" s="182"/>
      <c r="J32" s="182">
        <f>ROUND(F32*H32,5)</f>
        <v>2.648E-2</v>
      </c>
    </row>
    <row r="33" spans="1:10" x14ac:dyDescent="0.25">
      <c r="A33" t="s">
        <v>118</v>
      </c>
      <c r="C33" s="167" t="s">
        <v>105</v>
      </c>
      <c r="D33" s="167"/>
      <c r="E33" s="167"/>
      <c r="F33" s="180">
        <v>0</v>
      </c>
      <c r="G33" s="181"/>
      <c r="H33" s="182">
        <v>0</v>
      </c>
      <c r="I33" s="182"/>
      <c r="J33" s="182">
        <f t="shared" ref="J33:J34" si="1">ROUND(F33*H33,5)</f>
        <v>0</v>
      </c>
    </row>
    <row r="34" spans="1:10" x14ac:dyDescent="0.25">
      <c r="A34" t="s">
        <v>119</v>
      </c>
      <c r="C34" s="167" t="s">
        <v>106</v>
      </c>
      <c r="D34" s="167"/>
      <c r="E34" s="167"/>
      <c r="F34" s="183">
        <v>0.5</v>
      </c>
      <c r="G34" s="181"/>
      <c r="H34" s="182">
        <v>9.4E-2</v>
      </c>
      <c r="I34" s="182"/>
      <c r="J34" s="184">
        <f t="shared" si="1"/>
        <v>4.7E-2</v>
      </c>
    </row>
    <row r="35" spans="1:10" ht="16.5" thickBot="1" x14ac:dyDescent="0.3">
      <c r="A35" t="s">
        <v>120</v>
      </c>
      <c r="C35" s="167" t="s">
        <v>122</v>
      </c>
      <c r="D35" s="167"/>
      <c r="E35" s="167"/>
      <c r="F35" s="185">
        <f>SUM(F32:F34)</f>
        <v>1</v>
      </c>
      <c r="G35" s="167"/>
      <c r="H35" s="186"/>
      <c r="I35" s="186"/>
      <c r="J35" s="187">
        <f>SUM(J32:J34)</f>
        <v>7.3480000000000004E-2</v>
      </c>
    </row>
    <row r="36" spans="1:10" ht="16.5" thickTop="1" x14ac:dyDescent="0.25"/>
    <row r="38" spans="1:10" x14ac:dyDescent="0.25">
      <c r="C38" s="168" t="s">
        <v>307</v>
      </c>
    </row>
    <row r="39" spans="1:10" x14ac:dyDescent="0.25">
      <c r="C39" s="167" t="s">
        <v>305</v>
      </c>
    </row>
  </sheetData>
  <pageMargins left="0.7" right="0.7" top="0.75" bottom="0.75" header="0.3" footer="0.3"/>
  <pageSetup scale="8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view="pageBreakPreview" topLeftCell="B1" zoomScale="60" zoomScaleNormal="100" workbookViewId="0">
      <pane xSplit="3" ySplit="9" topLeftCell="P10" activePane="bottomRight" state="frozen"/>
      <selection activeCell="B1" sqref="B1"/>
      <selection pane="topRight" activeCell="E1" sqref="E1"/>
      <selection pane="bottomLeft" activeCell="B10" sqref="B10"/>
      <selection pane="bottomRight" activeCell="P14" sqref="P14"/>
    </sheetView>
  </sheetViews>
  <sheetFormatPr defaultRowHeight="15.75" x14ac:dyDescent="0.25"/>
  <cols>
    <col min="1" max="1" width="4.25" style="20" customWidth="1"/>
    <col min="2" max="2" width="0.75" style="20" customWidth="1"/>
    <col min="3" max="3" width="34" style="20" customWidth="1"/>
    <col min="4" max="4" width="1.875" style="20" customWidth="1"/>
    <col min="5" max="5" width="15.625" style="20" customWidth="1"/>
    <col min="6" max="6" width="15.5" style="20" customWidth="1"/>
    <col min="7" max="7" width="13.125" style="20" customWidth="1"/>
    <col min="8" max="8" width="12.875" style="20" customWidth="1"/>
    <col min="9" max="9" width="11.875" style="20" customWidth="1"/>
    <col min="10" max="10" width="12.5" style="20" customWidth="1"/>
    <col min="11" max="11" width="12" style="20" customWidth="1"/>
    <col min="12" max="12" width="14.625" style="20" customWidth="1"/>
    <col min="13" max="13" width="13.125" style="20" customWidth="1"/>
    <col min="14" max="15" width="12.125" style="20" customWidth="1"/>
    <col min="16" max="16" width="12.625" style="20" customWidth="1"/>
    <col min="17" max="17" width="12.375" style="20" customWidth="1"/>
    <col min="18" max="18" width="14.375" style="20" customWidth="1"/>
    <col min="19" max="19" width="12.75" style="20" customWidth="1"/>
    <col min="20" max="23" width="11.625" style="20" customWidth="1"/>
    <col min="24" max="24" width="14" style="20" customWidth="1"/>
    <col min="25" max="25" width="12.75" style="20" customWidth="1"/>
    <col min="26" max="26" width="12.375" style="20" customWidth="1"/>
    <col min="27" max="27" width="15.625" style="20" customWidth="1"/>
    <col min="28" max="16384" width="9" style="20"/>
  </cols>
  <sheetData>
    <row r="1" spans="1:27" x14ac:dyDescent="0.25">
      <c r="A1" s="119" t="s">
        <v>89</v>
      </c>
      <c r="P1" s="123" t="s">
        <v>91</v>
      </c>
      <c r="AA1" s="123" t="s">
        <v>91</v>
      </c>
    </row>
    <row r="2" spans="1:27" x14ac:dyDescent="0.25">
      <c r="A2" s="20" t="s">
        <v>86</v>
      </c>
      <c r="P2" s="112" t="s">
        <v>93</v>
      </c>
      <c r="AA2" s="112" t="s">
        <v>93</v>
      </c>
    </row>
    <row r="3" spans="1:27" x14ac:dyDescent="0.25">
      <c r="A3" s="119" t="s">
        <v>94</v>
      </c>
      <c r="P3" s="112" t="s">
        <v>198</v>
      </c>
      <c r="AA3" s="112" t="s">
        <v>199</v>
      </c>
    </row>
    <row r="4" spans="1:27" x14ac:dyDescent="0.25">
      <c r="A4" s="59"/>
    </row>
    <row r="5" spans="1:27" x14ac:dyDescent="0.25">
      <c r="F5" s="73" t="s">
        <v>141</v>
      </c>
      <c r="G5" s="73" t="s">
        <v>143</v>
      </c>
      <c r="H5" s="73" t="s">
        <v>145</v>
      </c>
      <c r="I5" s="73" t="s">
        <v>147</v>
      </c>
      <c r="J5" s="73" t="s">
        <v>151</v>
      </c>
      <c r="K5" s="73" t="s">
        <v>154</v>
      </c>
      <c r="L5" s="73" t="s">
        <v>156</v>
      </c>
      <c r="M5" s="73" t="s">
        <v>157</v>
      </c>
      <c r="N5" s="73" t="s">
        <v>159</v>
      </c>
      <c r="O5" s="73" t="s">
        <v>162</v>
      </c>
      <c r="P5" s="73" t="s">
        <v>166</v>
      </c>
      <c r="Q5" s="73" t="s">
        <v>169</v>
      </c>
      <c r="R5" s="73" t="s">
        <v>171</v>
      </c>
      <c r="S5" s="73" t="s">
        <v>71</v>
      </c>
      <c r="T5" s="73" t="s">
        <v>203</v>
      </c>
      <c r="U5" s="74" t="s">
        <v>312</v>
      </c>
      <c r="V5" s="74" t="s">
        <v>316</v>
      </c>
      <c r="W5" s="74" t="s">
        <v>319</v>
      </c>
      <c r="X5" s="74" t="s">
        <v>321</v>
      </c>
      <c r="Y5" s="74" t="s">
        <v>329</v>
      </c>
      <c r="Z5" s="74"/>
    </row>
    <row r="6" spans="1:27" x14ac:dyDescent="0.25">
      <c r="B6" s="59"/>
      <c r="C6" s="59"/>
      <c r="D6" s="59"/>
      <c r="E6" s="60" t="s">
        <v>19</v>
      </c>
      <c r="F6" s="58" t="s">
        <v>142</v>
      </c>
      <c r="G6" s="58" t="s">
        <v>144</v>
      </c>
      <c r="H6" s="58" t="s">
        <v>146</v>
      </c>
      <c r="I6" s="58" t="s">
        <v>148</v>
      </c>
      <c r="J6" s="58" t="s">
        <v>43</v>
      </c>
      <c r="K6" s="58" t="s">
        <v>55</v>
      </c>
      <c r="L6" s="58" t="s">
        <v>55</v>
      </c>
      <c r="N6" s="58" t="s">
        <v>55</v>
      </c>
      <c r="O6" s="58" t="s">
        <v>163</v>
      </c>
      <c r="P6" s="58" t="s">
        <v>167</v>
      </c>
      <c r="Q6" s="61"/>
      <c r="R6" s="58"/>
      <c r="S6" s="58"/>
      <c r="T6" s="58" t="s">
        <v>309</v>
      </c>
      <c r="U6" s="58" t="s">
        <v>313</v>
      </c>
      <c r="V6" s="58" t="s">
        <v>313</v>
      </c>
      <c r="W6" s="58" t="s">
        <v>309</v>
      </c>
      <c r="X6" s="58" t="s">
        <v>320</v>
      </c>
      <c r="Y6" s="58" t="s">
        <v>313</v>
      </c>
      <c r="Z6" s="58"/>
      <c r="AA6" s="62" t="s">
        <v>34</v>
      </c>
    </row>
    <row r="7" spans="1:27" x14ac:dyDescent="0.25">
      <c r="A7" s="59"/>
      <c r="B7" s="59"/>
      <c r="C7" s="59"/>
      <c r="D7" s="59"/>
      <c r="E7" s="60" t="s">
        <v>33</v>
      </c>
      <c r="F7" s="58" t="s">
        <v>51</v>
      </c>
      <c r="G7" s="58" t="s">
        <v>52</v>
      </c>
      <c r="H7" s="58" t="s">
        <v>39</v>
      </c>
      <c r="I7" s="58" t="s">
        <v>149</v>
      </c>
      <c r="J7" s="58" t="s">
        <v>152</v>
      </c>
      <c r="K7" s="58" t="s">
        <v>155</v>
      </c>
      <c r="L7" s="63" t="s">
        <v>54</v>
      </c>
      <c r="M7" s="58" t="s">
        <v>158</v>
      </c>
      <c r="N7" s="58" t="s">
        <v>160</v>
      </c>
      <c r="O7" s="58" t="s">
        <v>164</v>
      </c>
      <c r="P7" s="58" t="s">
        <v>168</v>
      </c>
      <c r="Q7" s="58" t="s">
        <v>170</v>
      </c>
      <c r="R7" s="58" t="s">
        <v>55</v>
      </c>
      <c r="S7" s="58" t="s">
        <v>200</v>
      </c>
      <c r="T7" s="58" t="s">
        <v>310</v>
      </c>
      <c r="U7" s="58" t="s">
        <v>314</v>
      </c>
      <c r="V7" s="58" t="s">
        <v>317</v>
      </c>
      <c r="W7" s="58" t="s">
        <v>330</v>
      </c>
      <c r="X7" s="58" t="s">
        <v>345</v>
      </c>
      <c r="Y7" s="58" t="s">
        <v>322</v>
      </c>
      <c r="Z7" s="58"/>
      <c r="AA7" s="62" t="s">
        <v>33</v>
      </c>
    </row>
    <row r="8" spans="1:27" x14ac:dyDescent="0.25">
      <c r="A8" s="69" t="s">
        <v>0</v>
      </c>
      <c r="B8" s="59"/>
      <c r="C8" s="59"/>
      <c r="D8" s="59"/>
      <c r="E8" s="57" t="s">
        <v>50</v>
      </c>
      <c r="F8" s="64" t="s">
        <v>13</v>
      </c>
      <c r="G8" s="64" t="s">
        <v>13</v>
      </c>
      <c r="H8" s="64" t="s">
        <v>13</v>
      </c>
      <c r="I8" s="64" t="s">
        <v>150</v>
      </c>
      <c r="J8" s="64" t="s">
        <v>13</v>
      </c>
      <c r="K8" s="64" t="s">
        <v>13</v>
      </c>
      <c r="L8" s="64" t="s">
        <v>56</v>
      </c>
      <c r="M8" s="64" t="s">
        <v>53</v>
      </c>
      <c r="N8" s="64" t="s">
        <v>161</v>
      </c>
      <c r="O8" s="64" t="s">
        <v>165</v>
      </c>
      <c r="P8" s="64" t="s">
        <v>32</v>
      </c>
      <c r="Q8" s="64" t="s">
        <v>13</v>
      </c>
      <c r="R8" s="64" t="s">
        <v>39</v>
      </c>
      <c r="S8" s="64" t="s">
        <v>36</v>
      </c>
      <c r="T8" s="64" t="s">
        <v>311</v>
      </c>
      <c r="U8" s="64" t="s">
        <v>315</v>
      </c>
      <c r="V8" s="64" t="s">
        <v>318</v>
      </c>
      <c r="W8" s="64" t="s">
        <v>331</v>
      </c>
      <c r="X8" s="64" t="s">
        <v>346</v>
      </c>
      <c r="Y8" s="64" t="s">
        <v>323</v>
      </c>
      <c r="Z8" s="64"/>
      <c r="AA8" s="64" t="s">
        <v>28</v>
      </c>
    </row>
    <row r="9" spans="1:27" x14ac:dyDescent="0.25">
      <c r="A9" s="59"/>
      <c r="B9" s="59"/>
      <c r="C9" s="59"/>
      <c r="D9" s="59"/>
      <c r="E9" s="65"/>
      <c r="F9" s="58" t="s">
        <v>19</v>
      </c>
      <c r="G9" s="58" t="s">
        <v>19</v>
      </c>
      <c r="H9" s="58" t="s">
        <v>19</v>
      </c>
      <c r="I9" s="58" t="s">
        <v>19</v>
      </c>
      <c r="J9" s="58" t="s">
        <v>153</v>
      </c>
      <c r="K9" s="58" t="s">
        <v>153</v>
      </c>
      <c r="L9" s="169" t="s">
        <v>285</v>
      </c>
      <c r="M9" s="63" t="s">
        <v>153</v>
      </c>
      <c r="N9" s="58" t="s">
        <v>19</v>
      </c>
      <c r="O9" s="63" t="s">
        <v>153</v>
      </c>
      <c r="P9" s="169" t="s">
        <v>153</v>
      </c>
      <c r="Q9" s="58" t="s">
        <v>19</v>
      </c>
      <c r="R9" s="58" t="s">
        <v>19</v>
      </c>
      <c r="S9" s="58" t="s">
        <v>34</v>
      </c>
      <c r="T9" s="58" t="s">
        <v>34</v>
      </c>
      <c r="U9" s="58" t="s">
        <v>34</v>
      </c>
      <c r="V9" s="58" t="s">
        <v>34</v>
      </c>
      <c r="W9" s="58" t="s">
        <v>34</v>
      </c>
      <c r="X9" s="58" t="s">
        <v>34</v>
      </c>
      <c r="Y9" s="58" t="s">
        <v>34</v>
      </c>
      <c r="Z9" s="58" t="s">
        <v>34</v>
      </c>
      <c r="AA9" s="66"/>
    </row>
    <row r="10" spans="1:27" x14ac:dyDescent="0.25">
      <c r="A10" s="59">
        <v>1</v>
      </c>
      <c r="B10" s="59"/>
      <c r="C10" s="67" t="s">
        <v>6</v>
      </c>
      <c r="D10" s="59"/>
      <c r="E10" s="59"/>
      <c r="F10" s="59"/>
      <c r="G10" s="59"/>
      <c r="H10" s="59"/>
      <c r="I10" s="59"/>
      <c r="J10" s="59"/>
      <c r="K10" s="59"/>
      <c r="M10" s="56"/>
      <c r="T10" s="60"/>
      <c r="AA10" s="59"/>
    </row>
    <row r="11" spans="1:27" x14ac:dyDescent="0.25">
      <c r="A11" s="59">
        <v>2</v>
      </c>
      <c r="B11" s="59"/>
      <c r="C11" s="20" t="s">
        <v>123</v>
      </c>
      <c r="D11" s="59"/>
      <c r="E11" s="59">
        <v>182902833</v>
      </c>
      <c r="F11" s="59">
        <v>15472032</v>
      </c>
      <c r="G11" s="68"/>
      <c r="H11" s="68">
        <v>-8383168</v>
      </c>
      <c r="I11" s="68"/>
      <c r="J11" s="68"/>
      <c r="K11" s="68"/>
      <c r="M11" s="56"/>
      <c r="R11" s="20">
        <v>3286574</v>
      </c>
      <c r="AA11" s="59">
        <f>SUM(E11:Z11)</f>
        <v>193278271</v>
      </c>
    </row>
    <row r="12" spans="1:27" x14ac:dyDescent="0.25">
      <c r="A12" s="59">
        <v>3</v>
      </c>
      <c r="B12" s="59"/>
      <c r="C12" s="20" t="s">
        <v>124</v>
      </c>
      <c r="D12" s="59"/>
      <c r="E12" s="59">
        <v>21216454</v>
      </c>
      <c r="F12" s="59"/>
      <c r="G12" s="68"/>
      <c r="H12" s="68">
        <v>-346009</v>
      </c>
      <c r="I12" s="68"/>
      <c r="J12" s="68"/>
      <c r="K12" s="68"/>
      <c r="L12" s="20">
        <v>0</v>
      </c>
      <c r="M12" s="56"/>
      <c r="R12" s="20">
        <v>1933517</v>
      </c>
      <c r="AA12" s="59">
        <f>SUM(E12:Z12)</f>
        <v>22803962</v>
      </c>
    </row>
    <row r="13" spans="1:27" x14ac:dyDescent="0.25">
      <c r="A13" s="59">
        <v>4</v>
      </c>
      <c r="B13" s="59"/>
      <c r="C13" s="59" t="s">
        <v>7</v>
      </c>
      <c r="D13" s="59"/>
      <c r="E13" s="69">
        <v>1011375</v>
      </c>
      <c r="F13" s="69"/>
      <c r="G13" s="68"/>
      <c r="H13" s="68"/>
      <c r="I13" s="68"/>
      <c r="J13" s="68"/>
      <c r="K13" s="68"/>
      <c r="M13" s="56"/>
      <c r="P13" s="20">
        <v>-148817</v>
      </c>
      <c r="AA13" s="59">
        <f>SUM(E13:Z13)</f>
        <v>862558</v>
      </c>
    </row>
    <row r="14" spans="1:27" x14ac:dyDescent="0.25">
      <c r="A14" s="59">
        <v>5</v>
      </c>
      <c r="B14" s="59"/>
      <c r="C14" s="20" t="s">
        <v>125</v>
      </c>
      <c r="D14" s="59"/>
      <c r="E14" s="70">
        <f t="shared" ref="E14:AA14" si="0">SUM(E11:E13)</f>
        <v>205130662</v>
      </c>
      <c r="F14" s="70">
        <f t="shared" si="0"/>
        <v>15472032</v>
      </c>
      <c r="G14" s="70">
        <f t="shared" si="0"/>
        <v>0</v>
      </c>
      <c r="H14" s="70">
        <f t="shared" si="0"/>
        <v>-8729177</v>
      </c>
      <c r="I14" s="70">
        <f t="shared" si="0"/>
        <v>0</v>
      </c>
      <c r="J14" s="70">
        <f t="shared" si="0"/>
        <v>0</v>
      </c>
      <c r="K14" s="70">
        <f t="shared" si="0"/>
        <v>0</v>
      </c>
      <c r="L14" s="70">
        <f t="shared" si="0"/>
        <v>0</v>
      </c>
      <c r="M14" s="192">
        <f t="shared" si="0"/>
        <v>0</v>
      </c>
      <c r="N14" s="70">
        <f t="shared" si="0"/>
        <v>0</v>
      </c>
      <c r="O14" s="70">
        <f t="shared" si="0"/>
        <v>0</v>
      </c>
      <c r="P14" s="70">
        <f t="shared" si="0"/>
        <v>-148817</v>
      </c>
      <c r="Q14" s="70">
        <f t="shared" si="0"/>
        <v>0</v>
      </c>
      <c r="R14" s="70">
        <f t="shared" si="0"/>
        <v>5220091</v>
      </c>
      <c r="S14" s="70">
        <f t="shared" si="0"/>
        <v>0</v>
      </c>
      <c r="T14" s="70">
        <f t="shared" si="0"/>
        <v>0</v>
      </c>
      <c r="U14" s="70">
        <f t="shared" si="0"/>
        <v>0</v>
      </c>
      <c r="V14" s="70">
        <f t="shared" si="0"/>
        <v>0</v>
      </c>
      <c r="W14" s="70">
        <f t="shared" ref="W14" si="1">SUM(W11:W13)</f>
        <v>0</v>
      </c>
      <c r="X14" s="70">
        <f t="shared" si="0"/>
        <v>0</v>
      </c>
      <c r="Y14" s="70">
        <f t="shared" si="0"/>
        <v>0</v>
      </c>
      <c r="Z14" s="70">
        <f t="shared" si="0"/>
        <v>0</v>
      </c>
      <c r="AA14" s="70">
        <f t="shared" si="0"/>
        <v>216944791</v>
      </c>
    </row>
    <row r="15" spans="1:27" x14ac:dyDescent="0.25">
      <c r="A15" s="59"/>
      <c r="B15" s="59"/>
      <c r="C15" s="59"/>
      <c r="D15" s="59"/>
      <c r="E15" s="59"/>
      <c r="F15" s="59"/>
      <c r="G15" s="68"/>
      <c r="H15" s="68"/>
      <c r="I15" s="68"/>
      <c r="J15" s="68"/>
      <c r="K15" s="68"/>
      <c r="M15" s="56"/>
      <c r="AA15" s="59"/>
    </row>
    <row r="16" spans="1:27" x14ac:dyDescent="0.25">
      <c r="A16" s="59"/>
      <c r="B16" s="59"/>
      <c r="C16" s="67" t="s">
        <v>8</v>
      </c>
      <c r="D16" s="59"/>
      <c r="E16" s="59"/>
      <c r="F16" s="59"/>
      <c r="G16" s="68"/>
      <c r="H16" s="68"/>
      <c r="I16" s="68"/>
      <c r="J16" s="68"/>
      <c r="K16" s="68"/>
      <c r="M16" s="56"/>
      <c r="AA16" s="59"/>
    </row>
    <row r="17" spans="1:27" x14ac:dyDescent="0.25">
      <c r="A17" s="59">
        <v>6</v>
      </c>
      <c r="B17" s="59"/>
      <c r="C17" s="20" t="s">
        <v>126</v>
      </c>
      <c r="D17" s="59"/>
      <c r="E17" s="59">
        <v>103593865</v>
      </c>
      <c r="F17" s="59">
        <v>10051636</v>
      </c>
      <c r="G17" s="68"/>
      <c r="H17" s="68">
        <v>-6033098</v>
      </c>
      <c r="I17" s="68"/>
      <c r="J17" s="68"/>
      <c r="K17" s="68"/>
      <c r="M17" s="56"/>
      <c r="V17" s="14"/>
      <c r="AA17" s="59">
        <f t="shared" ref="AA17:AA24" si="2">SUM(E17:Z17)</f>
        <v>107612403</v>
      </c>
    </row>
    <row r="18" spans="1:27" x14ac:dyDescent="0.25">
      <c r="A18" s="59">
        <v>7</v>
      </c>
      <c r="B18" s="59"/>
      <c r="C18" s="20" t="s">
        <v>127</v>
      </c>
      <c r="D18" s="59"/>
      <c r="E18" s="20">
        <v>16946341</v>
      </c>
      <c r="F18" s="20">
        <v>626927</v>
      </c>
      <c r="G18" s="68"/>
      <c r="H18" s="68">
        <v>-353706</v>
      </c>
      <c r="I18" s="68"/>
      <c r="J18" s="68"/>
      <c r="K18" s="68"/>
      <c r="L18" s="20">
        <v>0</v>
      </c>
      <c r="M18" s="56"/>
      <c r="P18" s="20">
        <f>ROUND(P13*(DMR3p2!H13+DMR3p2!H14),0)</f>
        <v>-6030</v>
      </c>
      <c r="R18" s="20">
        <v>211518</v>
      </c>
      <c r="V18" s="14"/>
      <c r="AA18" s="59">
        <f t="shared" si="2"/>
        <v>17425050</v>
      </c>
    </row>
    <row r="19" spans="1:27" x14ac:dyDescent="0.25">
      <c r="A19" s="59">
        <v>8</v>
      </c>
      <c r="B19" s="59"/>
      <c r="C19" s="20" t="s">
        <v>128</v>
      </c>
      <c r="D19" s="59"/>
      <c r="E19" s="59">
        <v>518989</v>
      </c>
      <c r="F19" s="59"/>
      <c r="G19" s="68"/>
      <c r="H19" s="68"/>
      <c r="I19" s="68"/>
      <c r="J19" s="68"/>
      <c r="K19" s="68">
        <v>0</v>
      </c>
      <c r="L19" s="68"/>
      <c r="M19" s="56"/>
      <c r="V19" s="14">
        <v>-53000</v>
      </c>
      <c r="AA19" s="59">
        <f t="shared" si="2"/>
        <v>465989</v>
      </c>
    </row>
    <row r="20" spans="1:27" x14ac:dyDescent="0.25">
      <c r="A20" s="59">
        <v>9</v>
      </c>
      <c r="B20" s="59"/>
      <c r="C20" s="20" t="s">
        <v>129</v>
      </c>
      <c r="D20" s="59"/>
      <c r="E20" s="59">
        <v>16326277</v>
      </c>
      <c r="F20" s="59"/>
      <c r="G20" s="68"/>
      <c r="H20" s="68"/>
      <c r="I20" s="68"/>
      <c r="J20" s="68"/>
      <c r="K20" s="68">
        <v>329270</v>
      </c>
      <c r="L20" s="68"/>
      <c r="M20" s="56"/>
      <c r="N20" s="20">
        <v>183762</v>
      </c>
      <c r="O20" s="56">
        <f>'DMR5_P-6_MAOP'!H22</f>
        <v>546032.69999999995</v>
      </c>
      <c r="V20" s="14"/>
      <c r="AA20" s="59">
        <f t="shared" si="2"/>
        <v>17385341.699999999</v>
      </c>
    </row>
    <row r="21" spans="1:27" x14ac:dyDescent="0.25">
      <c r="A21" s="59">
        <v>10</v>
      </c>
      <c r="B21" s="59"/>
      <c r="C21" s="20" t="s">
        <v>130</v>
      </c>
      <c r="D21" s="59"/>
      <c r="E21" s="59">
        <v>6383108</v>
      </c>
      <c r="F21" s="59">
        <v>58686</v>
      </c>
      <c r="G21" s="68"/>
      <c r="H21" s="68">
        <v>-33110</v>
      </c>
      <c r="I21" s="68"/>
      <c r="J21" s="68"/>
      <c r="K21" s="68">
        <v>18036</v>
      </c>
      <c r="L21" s="68">
        <v>0</v>
      </c>
      <c r="M21" s="56"/>
      <c r="P21" s="20">
        <f>ROUND(P13*DMR3p2!H12,0)</f>
        <v>-564</v>
      </c>
      <c r="R21" s="20">
        <v>19800</v>
      </c>
      <c r="V21" s="14"/>
      <c r="AA21" s="59">
        <f t="shared" si="2"/>
        <v>6445956</v>
      </c>
    </row>
    <row r="22" spans="1:27" x14ac:dyDescent="0.25">
      <c r="A22" s="59">
        <v>11</v>
      </c>
      <c r="B22" s="59"/>
      <c r="C22" s="20" t="s">
        <v>131</v>
      </c>
      <c r="D22" s="59"/>
      <c r="E22" s="59">
        <v>824096</v>
      </c>
      <c r="F22" s="59"/>
      <c r="G22" s="68"/>
      <c r="H22" s="68"/>
      <c r="I22" s="68">
        <v>-533333</v>
      </c>
      <c r="J22" s="68"/>
      <c r="K22" s="68"/>
      <c r="L22" s="68"/>
      <c r="M22" s="56"/>
      <c r="V22" s="14"/>
      <c r="AA22" s="59">
        <f t="shared" si="2"/>
        <v>290763</v>
      </c>
    </row>
    <row r="23" spans="1:27" x14ac:dyDescent="0.25">
      <c r="A23" s="59">
        <v>12</v>
      </c>
      <c r="B23" s="59"/>
      <c r="C23" s="20" t="s">
        <v>132</v>
      </c>
      <c r="D23" s="59"/>
      <c r="E23" s="59">
        <v>4917</v>
      </c>
      <c r="F23" s="59"/>
      <c r="G23" s="68">
        <v>-4917</v>
      </c>
      <c r="H23" s="68"/>
      <c r="I23" s="68"/>
      <c r="J23" s="68"/>
      <c r="K23" s="68"/>
      <c r="L23" s="68"/>
      <c r="M23" s="56"/>
      <c r="V23" s="14"/>
      <c r="AA23" s="59">
        <f t="shared" si="2"/>
        <v>0</v>
      </c>
    </row>
    <row r="24" spans="1:27" x14ac:dyDescent="0.25">
      <c r="A24" s="59">
        <v>13</v>
      </c>
      <c r="B24" s="59"/>
      <c r="C24" s="20" t="s">
        <v>133</v>
      </c>
      <c r="D24" s="59"/>
      <c r="E24" s="69">
        <v>16459958</v>
      </c>
      <c r="F24" s="69"/>
      <c r="G24" s="69">
        <v>-49800</v>
      </c>
      <c r="H24" s="69"/>
      <c r="I24" s="69"/>
      <c r="J24" s="69"/>
      <c r="K24" s="69">
        <v>1102</v>
      </c>
      <c r="L24" s="69"/>
      <c r="M24" s="116">
        <f>'DMR5_P-4_RateCase'!H24</f>
        <v>51053.666666666657</v>
      </c>
      <c r="N24" s="69">
        <v>82693</v>
      </c>
      <c r="O24" s="69"/>
      <c r="P24" s="69"/>
      <c r="Q24" s="69"/>
      <c r="R24" s="69"/>
      <c r="S24" s="69"/>
      <c r="T24" s="69">
        <v>-210756</v>
      </c>
      <c r="U24" s="116">
        <f>'DMR-6_PC-3_MDU'!E16</f>
        <v>-145014</v>
      </c>
      <c r="V24" s="189"/>
      <c r="W24" s="69">
        <v>-52680</v>
      </c>
      <c r="X24" s="69">
        <v>-127508</v>
      </c>
      <c r="Y24" s="116">
        <f>'DMR-6_PC-7_Incent'!E25</f>
        <v>-1388253</v>
      </c>
      <c r="Z24" s="69"/>
      <c r="AA24" s="69">
        <f t="shared" si="2"/>
        <v>14620795.666666666</v>
      </c>
    </row>
    <row r="25" spans="1:27" x14ac:dyDescent="0.25">
      <c r="A25" s="59">
        <v>14</v>
      </c>
      <c r="B25" s="59"/>
      <c r="C25" s="59" t="s">
        <v>9</v>
      </c>
      <c r="D25" s="59"/>
      <c r="E25" s="59">
        <f t="shared" ref="E25:AA25" si="3">SUM(E17:E24)</f>
        <v>161057551</v>
      </c>
      <c r="F25" s="59">
        <f t="shared" si="3"/>
        <v>10737249</v>
      </c>
      <c r="G25" s="59">
        <f t="shared" si="3"/>
        <v>-54717</v>
      </c>
      <c r="H25" s="59">
        <f t="shared" si="3"/>
        <v>-6419914</v>
      </c>
      <c r="I25" s="59">
        <f t="shared" si="3"/>
        <v>-533333</v>
      </c>
      <c r="J25" s="59">
        <f t="shared" si="3"/>
        <v>0</v>
      </c>
      <c r="K25" s="59">
        <f t="shared" si="3"/>
        <v>348408</v>
      </c>
      <c r="L25" s="59">
        <f t="shared" si="3"/>
        <v>0</v>
      </c>
      <c r="M25" s="59">
        <f t="shared" si="3"/>
        <v>51053.666666666657</v>
      </c>
      <c r="N25" s="59">
        <f t="shared" si="3"/>
        <v>266455</v>
      </c>
      <c r="O25" s="59">
        <f t="shared" si="3"/>
        <v>546032.69999999995</v>
      </c>
      <c r="P25" s="59">
        <f t="shared" si="3"/>
        <v>-6594</v>
      </c>
      <c r="Q25" s="59">
        <f t="shared" si="3"/>
        <v>0</v>
      </c>
      <c r="R25" s="59">
        <f t="shared" si="3"/>
        <v>231318</v>
      </c>
      <c r="S25" s="59">
        <f t="shared" si="3"/>
        <v>0</v>
      </c>
      <c r="T25" s="59">
        <f t="shared" si="3"/>
        <v>-210756</v>
      </c>
      <c r="U25" s="59">
        <f t="shared" si="3"/>
        <v>-145014</v>
      </c>
      <c r="V25" s="59">
        <f t="shared" si="3"/>
        <v>-53000</v>
      </c>
      <c r="W25" s="59">
        <f t="shared" ref="W25" si="4">SUM(W17:W24)</f>
        <v>-52680</v>
      </c>
      <c r="X25" s="59">
        <f t="shared" si="3"/>
        <v>-127508</v>
      </c>
      <c r="Y25" s="59">
        <f t="shared" si="3"/>
        <v>-1388253</v>
      </c>
      <c r="Z25" s="59">
        <f t="shared" si="3"/>
        <v>0</v>
      </c>
      <c r="AA25" s="59">
        <f t="shared" si="3"/>
        <v>164246298.36666664</v>
      </c>
    </row>
    <row r="26" spans="1:27" x14ac:dyDescent="0.25">
      <c r="A26" s="59"/>
      <c r="B26" s="59"/>
      <c r="C26" s="59"/>
      <c r="D26" s="59"/>
      <c r="E26" s="59"/>
      <c r="F26" s="59"/>
      <c r="G26" s="68"/>
      <c r="H26" s="68"/>
      <c r="I26" s="68"/>
      <c r="J26" s="68"/>
      <c r="K26" s="68"/>
      <c r="AA26" s="59"/>
    </row>
    <row r="27" spans="1:27" x14ac:dyDescent="0.25">
      <c r="A27" s="59">
        <v>15</v>
      </c>
      <c r="B27" s="59"/>
      <c r="C27" s="20" t="s">
        <v>134</v>
      </c>
      <c r="D27" s="59"/>
      <c r="E27" s="59">
        <v>19218442</v>
      </c>
      <c r="F27" s="59"/>
      <c r="G27" s="68"/>
      <c r="H27" s="68"/>
      <c r="I27" s="68"/>
      <c r="J27" s="68"/>
      <c r="K27" s="68"/>
      <c r="L27" s="20">
        <v>0</v>
      </c>
      <c r="Q27" s="20">
        <v>78011</v>
      </c>
      <c r="AA27" s="59">
        <f>SUM(E27:Z27)</f>
        <v>19296453</v>
      </c>
    </row>
    <row r="28" spans="1:27" x14ac:dyDescent="0.25">
      <c r="A28" s="59">
        <v>16</v>
      </c>
      <c r="B28" s="59"/>
      <c r="C28" s="20" t="s">
        <v>135</v>
      </c>
      <c r="D28" s="59"/>
      <c r="E28" s="59">
        <v>0</v>
      </c>
      <c r="F28" s="59"/>
      <c r="G28" s="68"/>
      <c r="H28" s="68"/>
      <c r="I28" s="68"/>
      <c r="J28" s="68"/>
      <c r="K28" s="68"/>
      <c r="AA28" s="59">
        <f>SUM(E28:Z28)</f>
        <v>0</v>
      </c>
    </row>
    <row r="29" spans="1:27" x14ac:dyDescent="0.25">
      <c r="A29" s="59">
        <v>17</v>
      </c>
      <c r="B29" s="59"/>
      <c r="C29" s="59" t="s">
        <v>10</v>
      </c>
      <c r="D29" s="59"/>
      <c r="E29" s="59">
        <v>4095634</v>
      </c>
      <c r="F29" s="59"/>
      <c r="G29" s="68"/>
      <c r="H29" s="68"/>
      <c r="I29" s="68"/>
      <c r="J29" s="68"/>
      <c r="K29" s="68">
        <v>26653</v>
      </c>
      <c r="L29" s="20">
        <v>0</v>
      </c>
      <c r="N29" s="20">
        <v>13139</v>
      </c>
      <c r="AA29" s="59">
        <f>SUM(E29:Z29)</f>
        <v>4135426</v>
      </c>
    </row>
    <row r="30" spans="1:27" x14ac:dyDescent="0.25">
      <c r="A30" s="59">
        <v>18</v>
      </c>
      <c r="B30" s="59"/>
      <c r="C30" s="20" t="s">
        <v>196</v>
      </c>
      <c r="D30" s="59"/>
      <c r="E30" s="69">
        <v>4154374</v>
      </c>
      <c r="F30" s="69">
        <f>(F14-F25-F27-F28-F29)*DMR3p2!$J$22</f>
        <v>994304.42999999993</v>
      </c>
      <c r="G30" s="69">
        <f>(G14-G25-G27-G28-G29)*DMR3p2!$J$22</f>
        <v>11490.57</v>
      </c>
      <c r="H30" s="69">
        <f>(H14-H25-H27-H28-H29)*DMR3p2!$J$22</f>
        <v>-484945.23</v>
      </c>
      <c r="I30" s="69">
        <f>(I14-I25-I27-I28-I29)*DMR3p2!$J$22</f>
        <v>111999.93</v>
      </c>
      <c r="J30" s="116">
        <f>'DMR5_P-1_IntSync'!I29</f>
        <v>263991</v>
      </c>
      <c r="K30" s="69">
        <f>(K14-K25-K27-K28-K29)*DMR3p2!$J$22</f>
        <v>-78762.81</v>
      </c>
      <c r="L30" s="69">
        <f>(L14-L25-L27-L28-L29)*DMR3p2!$J$22</f>
        <v>0</v>
      </c>
      <c r="M30" s="69">
        <f>(M14-M25-M27-M28-M29)*DMR3p2!$J$22</f>
        <v>-10721.269999999997</v>
      </c>
      <c r="N30" s="69">
        <f>(N14-N25-N27-N28-N29)*DMR3p2!$J$22</f>
        <v>-58714.74</v>
      </c>
      <c r="O30" s="69">
        <f>(O14-O25-O27-O28-O29)*DMR3p2!$J$22</f>
        <v>-114666.86699999998</v>
      </c>
      <c r="P30" s="69">
        <f>(P14-P25-P27-P28-P29)*DMR3p2!$J$22</f>
        <v>-29866.829999999998</v>
      </c>
      <c r="Q30" s="69">
        <f>(Q14-Q25-Q27-Q28-Q29)*DMR3p2!$J$22</f>
        <v>-16382.31</v>
      </c>
      <c r="R30" s="69">
        <f>(R14-R25-R27-R28-R29)*DMR3p2!$J$22</f>
        <v>1047642.33</v>
      </c>
      <c r="S30" s="150">
        <f>'DMR-6_PC-1_Tax'!E18</f>
        <v>-1661750</v>
      </c>
      <c r="T30" s="69">
        <f>(T14-T25-T27-T28-T29)*DMR3p2!$J$22</f>
        <v>44258.759999999995</v>
      </c>
      <c r="U30" s="69">
        <f>(U14-U25-U27-U28-U29)*DMR3p2!$J$22</f>
        <v>30452.94</v>
      </c>
      <c r="V30" s="69">
        <f>(V14-V25-V27-V28-V29)*DMR3p2!$J$22</f>
        <v>11130</v>
      </c>
      <c r="W30" s="69">
        <f>(W14-W25-W27-W28-W29)*DMR3p2!$J$22</f>
        <v>11062.8</v>
      </c>
      <c r="X30" s="69">
        <f>(X14-X25-X27-X28-X29)*DMR3p2!$J$22</f>
        <v>26776.68</v>
      </c>
      <c r="Y30" s="69">
        <f>(Y14-Y25-Y27-Y28-Y29)*DMR3p2!$J$22</f>
        <v>291533.13</v>
      </c>
      <c r="Z30" s="69">
        <f>(Z14-Z25-Z27-Z28-Z29)*DMR3p2!$J$22</f>
        <v>0</v>
      </c>
      <c r="AA30" s="69">
        <f>SUM(E30:Z30)</f>
        <v>4543206.5130000003</v>
      </c>
    </row>
    <row r="31" spans="1:27" x14ac:dyDescent="0.25">
      <c r="A31" s="59">
        <v>19</v>
      </c>
      <c r="B31" s="59"/>
      <c r="C31" s="59" t="s">
        <v>11</v>
      </c>
      <c r="D31" s="59"/>
      <c r="E31" s="69">
        <f t="shared" ref="E31:AA31" si="5">SUM(E25:E30)</f>
        <v>188526001</v>
      </c>
      <c r="F31" s="69">
        <f t="shared" si="5"/>
        <v>11731553.43</v>
      </c>
      <c r="G31" s="69">
        <f t="shared" si="5"/>
        <v>-43226.43</v>
      </c>
      <c r="H31" s="69">
        <f t="shared" si="5"/>
        <v>-6904859.2300000004</v>
      </c>
      <c r="I31" s="69">
        <f t="shared" si="5"/>
        <v>-421333.07</v>
      </c>
      <c r="J31" s="69">
        <f t="shared" si="5"/>
        <v>263991</v>
      </c>
      <c r="K31" s="69">
        <f t="shared" si="5"/>
        <v>296298.19</v>
      </c>
      <c r="L31" s="69">
        <f t="shared" si="5"/>
        <v>0</v>
      </c>
      <c r="M31" s="69">
        <f t="shared" si="5"/>
        <v>40332.39666666666</v>
      </c>
      <c r="N31" s="69">
        <f t="shared" si="5"/>
        <v>220879.26</v>
      </c>
      <c r="O31" s="69">
        <f t="shared" si="5"/>
        <v>431365.83299999998</v>
      </c>
      <c r="P31" s="69">
        <f t="shared" si="5"/>
        <v>-36460.83</v>
      </c>
      <c r="Q31" s="69">
        <f t="shared" si="5"/>
        <v>61628.69</v>
      </c>
      <c r="R31" s="69">
        <f t="shared" si="5"/>
        <v>1278960.33</v>
      </c>
      <c r="S31" s="69">
        <f t="shared" si="5"/>
        <v>-1661750</v>
      </c>
      <c r="T31" s="69">
        <f t="shared" si="5"/>
        <v>-166497.24</v>
      </c>
      <c r="U31" s="69">
        <f t="shared" si="5"/>
        <v>-114561.06</v>
      </c>
      <c r="V31" s="69">
        <f t="shared" si="5"/>
        <v>-41870</v>
      </c>
      <c r="W31" s="69">
        <f t="shared" ref="W31" si="6">SUM(W25:W30)</f>
        <v>-41617.199999999997</v>
      </c>
      <c r="X31" s="69">
        <f t="shared" si="5"/>
        <v>-100731.32</v>
      </c>
      <c r="Y31" s="69">
        <f t="shared" si="5"/>
        <v>-1096719.8700000001</v>
      </c>
      <c r="Z31" s="69">
        <f t="shared" si="5"/>
        <v>0</v>
      </c>
      <c r="AA31" s="69">
        <f t="shared" si="5"/>
        <v>192221383.87966666</v>
      </c>
    </row>
    <row r="32" spans="1:27"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spans="1:27" ht="16.5" thickBot="1" x14ac:dyDescent="0.3">
      <c r="A33" s="59">
        <v>20</v>
      </c>
      <c r="B33" s="59"/>
      <c r="C33" s="67" t="s">
        <v>136</v>
      </c>
      <c r="D33" s="59"/>
      <c r="E33" s="71">
        <f t="shared" ref="E33:AA33" si="7">E14-E31</f>
        <v>16604661</v>
      </c>
      <c r="F33" s="71">
        <f t="shared" si="7"/>
        <v>3740478.5700000003</v>
      </c>
      <c r="G33" s="71">
        <f t="shared" si="7"/>
        <v>43226.43</v>
      </c>
      <c r="H33" s="71">
        <f t="shared" si="7"/>
        <v>-1824317.7699999996</v>
      </c>
      <c r="I33" s="71">
        <f t="shared" si="7"/>
        <v>421333.07</v>
      </c>
      <c r="J33" s="71">
        <f t="shared" si="7"/>
        <v>-263991</v>
      </c>
      <c r="K33" s="71">
        <f t="shared" si="7"/>
        <v>-296298.19</v>
      </c>
      <c r="L33" s="71">
        <f t="shared" si="7"/>
        <v>0</v>
      </c>
      <c r="M33" s="71">
        <f t="shared" si="7"/>
        <v>-40332.39666666666</v>
      </c>
      <c r="N33" s="71">
        <f t="shared" si="7"/>
        <v>-220879.26</v>
      </c>
      <c r="O33" s="71">
        <f t="shared" si="7"/>
        <v>-431365.83299999998</v>
      </c>
      <c r="P33" s="71">
        <f t="shared" si="7"/>
        <v>-112356.17</v>
      </c>
      <c r="Q33" s="71">
        <f t="shared" si="7"/>
        <v>-61628.69</v>
      </c>
      <c r="R33" s="71">
        <f t="shared" si="7"/>
        <v>3941130.67</v>
      </c>
      <c r="S33" s="71">
        <f t="shared" si="7"/>
        <v>1661750</v>
      </c>
      <c r="T33" s="71">
        <f t="shared" si="7"/>
        <v>166497.24</v>
      </c>
      <c r="U33" s="71">
        <f t="shared" si="7"/>
        <v>114561.06</v>
      </c>
      <c r="V33" s="71">
        <f t="shared" si="7"/>
        <v>41870</v>
      </c>
      <c r="W33" s="71">
        <f t="shared" ref="W33" si="8">W14-W31</f>
        <v>41617.199999999997</v>
      </c>
      <c r="X33" s="71">
        <f t="shared" si="7"/>
        <v>100731.32</v>
      </c>
      <c r="Y33" s="71">
        <f t="shared" si="7"/>
        <v>1096719.8700000001</v>
      </c>
      <c r="Z33" s="71">
        <f t="shared" si="7"/>
        <v>0</v>
      </c>
      <c r="AA33" s="71">
        <f t="shared" si="7"/>
        <v>24723407.120333344</v>
      </c>
    </row>
    <row r="34" spans="1:27" ht="16.5" thickTop="1" x14ac:dyDescent="0.25">
      <c r="A34" s="59"/>
      <c r="B34" s="59"/>
      <c r="C34" s="59"/>
      <c r="D34" s="59"/>
      <c r="E34" s="59"/>
      <c r="F34" s="59"/>
      <c r="G34" s="68"/>
      <c r="H34" s="68"/>
      <c r="I34" s="68"/>
      <c r="J34" s="68"/>
      <c r="K34" s="68"/>
      <c r="AA34" s="59"/>
    </row>
    <row r="35" spans="1:27" x14ac:dyDescent="0.25">
      <c r="A35" s="59"/>
      <c r="B35" s="59"/>
      <c r="C35" s="67" t="s">
        <v>12</v>
      </c>
      <c r="D35" s="59"/>
      <c r="E35" s="59"/>
      <c r="F35" s="59"/>
      <c r="G35" s="68"/>
      <c r="H35" s="68"/>
      <c r="I35" s="68"/>
      <c r="J35" s="68"/>
      <c r="K35" s="68"/>
      <c r="AA35" s="59"/>
    </row>
    <row r="36" spans="1:27" x14ac:dyDescent="0.25">
      <c r="A36" s="59">
        <v>21</v>
      </c>
      <c r="B36" s="59"/>
      <c r="C36" s="20" t="s">
        <v>137</v>
      </c>
      <c r="D36" s="59"/>
      <c r="E36" s="59">
        <v>677314165</v>
      </c>
      <c r="F36" s="59"/>
      <c r="G36" s="68"/>
      <c r="H36" s="68"/>
      <c r="I36" s="68"/>
      <c r="J36" s="68"/>
      <c r="K36" s="68"/>
      <c r="L36" s="20">
        <v>0</v>
      </c>
      <c r="Q36" s="20">
        <v>3023678</v>
      </c>
      <c r="AA36" s="59">
        <f>SUM(E36:Z36)</f>
        <v>680337843</v>
      </c>
    </row>
    <row r="37" spans="1:27" x14ac:dyDescent="0.25">
      <c r="A37" s="59">
        <v>22</v>
      </c>
      <c r="B37" s="59"/>
      <c r="C37" s="20" t="s">
        <v>202</v>
      </c>
      <c r="D37" s="59"/>
      <c r="E37" s="59">
        <v>-345424355</v>
      </c>
      <c r="F37" s="59"/>
      <c r="G37" s="68"/>
      <c r="H37" s="68"/>
      <c r="I37" s="68"/>
      <c r="J37" s="68"/>
      <c r="K37" s="68"/>
      <c r="L37" s="20">
        <v>0</v>
      </c>
      <c r="Q37" s="20">
        <v>-39005</v>
      </c>
      <c r="AA37" s="59">
        <f>SUM(E37:Z37)</f>
        <v>-345463360</v>
      </c>
    </row>
    <row r="38" spans="1:27" x14ac:dyDescent="0.25">
      <c r="A38" s="59">
        <v>23</v>
      </c>
      <c r="B38" s="59"/>
      <c r="C38" s="20" t="s">
        <v>138</v>
      </c>
      <c r="D38" s="59"/>
      <c r="E38" s="59">
        <v>-3771590</v>
      </c>
      <c r="F38" s="59"/>
      <c r="G38" s="68"/>
      <c r="H38" s="68"/>
      <c r="I38" s="68"/>
      <c r="J38" s="68"/>
      <c r="K38" s="68"/>
      <c r="AA38" s="59">
        <f>SUM(E38:Z38)</f>
        <v>-3771590</v>
      </c>
    </row>
    <row r="39" spans="1:27" x14ac:dyDescent="0.25">
      <c r="A39" s="59">
        <v>24</v>
      </c>
      <c r="B39" s="59"/>
      <c r="C39" s="20" t="s">
        <v>139</v>
      </c>
      <c r="D39" s="59"/>
      <c r="E39" s="59">
        <v>-73667038</v>
      </c>
      <c r="F39" s="59"/>
      <c r="G39" s="68"/>
      <c r="H39" s="68"/>
      <c r="I39" s="68"/>
      <c r="J39" s="68"/>
      <c r="K39" s="68"/>
      <c r="L39" s="20">
        <v>0</v>
      </c>
      <c r="Q39" s="20">
        <v>-6191</v>
      </c>
      <c r="AA39" s="59">
        <f>SUM(E39:Z39)</f>
        <v>-73673229</v>
      </c>
    </row>
    <row r="40" spans="1:27" x14ac:dyDescent="0.25">
      <c r="A40" s="59">
        <v>25</v>
      </c>
      <c r="B40" s="59"/>
      <c r="D40" s="59"/>
      <c r="E40" s="59"/>
      <c r="F40" s="59"/>
      <c r="G40" s="68"/>
      <c r="H40" s="68"/>
      <c r="I40" s="68"/>
      <c r="J40" s="68"/>
      <c r="K40" s="68"/>
      <c r="AA40" s="59"/>
    </row>
    <row r="41" spans="1:27" x14ac:dyDescent="0.25">
      <c r="A41" s="59">
        <v>26</v>
      </c>
      <c r="B41" s="59"/>
      <c r="C41" s="20" t="s">
        <v>140</v>
      </c>
      <c r="D41" s="59"/>
      <c r="E41" s="69">
        <v>25610870</v>
      </c>
      <c r="F41" s="69"/>
      <c r="G41" s="69"/>
      <c r="H41" s="69"/>
      <c r="I41" s="69"/>
      <c r="J41" s="69"/>
      <c r="K41" s="69"/>
      <c r="L41" s="21"/>
      <c r="M41" s="21"/>
      <c r="N41" s="21"/>
      <c r="O41" s="21"/>
      <c r="P41" s="21"/>
      <c r="Q41" s="21"/>
      <c r="R41" s="21"/>
      <c r="S41" s="21"/>
      <c r="T41" s="21"/>
      <c r="U41" s="21"/>
      <c r="V41" s="21"/>
      <c r="W41" s="21"/>
      <c r="X41" s="21"/>
      <c r="Y41" s="21"/>
      <c r="Z41" s="21"/>
      <c r="AA41" s="69">
        <f>SUM(E41:Z41)</f>
        <v>25610870</v>
      </c>
    </row>
    <row r="42" spans="1:27" x14ac:dyDescent="0.2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ht="16.5" thickBot="1" x14ac:dyDescent="0.3">
      <c r="A43" s="59">
        <v>27</v>
      </c>
      <c r="B43" s="59"/>
      <c r="C43" s="67" t="s">
        <v>31</v>
      </c>
      <c r="D43" s="59"/>
      <c r="E43" s="71">
        <f>SUM(E36:E42)</f>
        <v>280062052</v>
      </c>
      <c r="F43" s="71">
        <f t="shared" ref="F43:AA43" si="9">SUM(F36:F42)</f>
        <v>0</v>
      </c>
      <c r="G43" s="71">
        <f t="shared" si="9"/>
        <v>0</v>
      </c>
      <c r="H43" s="71">
        <f t="shared" si="9"/>
        <v>0</v>
      </c>
      <c r="I43" s="71">
        <f t="shared" si="9"/>
        <v>0</v>
      </c>
      <c r="J43" s="71">
        <f t="shared" si="9"/>
        <v>0</v>
      </c>
      <c r="K43" s="71">
        <f t="shared" si="9"/>
        <v>0</v>
      </c>
      <c r="L43" s="71">
        <f t="shared" si="9"/>
        <v>0</v>
      </c>
      <c r="M43" s="71">
        <f t="shared" si="9"/>
        <v>0</v>
      </c>
      <c r="N43" s="71">
        <f t="shared" si="9"/>
        <v>0</v>
      </c>
      <c r="O43" s="71">
        <f t="shared" si="9"/>
        <v>0</v>
      </c>
      <c r="P43" s="71">
        <f t="shared" si="9"/>
        <v>0</v>
      </c>
      <c r="Q43" s="71">
        <f t="shared" si="9"/>
        <v>2978482</v>
      </c>
      <c r="R43" s="71">
        <f t="shared" si="9"/>
        <v>0</v>
      </c>
      <c r="S43" s="71">
        <f t="shared" si="9"/>
        <v>0</v>
      </c>
      <c r="T43" s="71">
        <f t="shared" si="9"/>
        <v>0</v>
      </c>
      <c r="U43" s="71">
        <f t="shared" si="9"/>
        <v>0</v>
      </c>
      <c r="V43" s="71">
        <f t="shared" si="9"/>
        <v>0</v>
      </c>
      <c r="W43" s="71">
        <f t="shared" ref="W43" si="10">SUM(W36:W42)</f>
        <v>0</v>
      </c>
      <c r="X43" s="71">
        <f t="shared" si="9"/>
        <v>0</v>
      </c>
      <c r="Y43" s="71">
        <f t="shared" si="9"/>
        <v>0</v>
      </c>
      <c r="Z43" s="71">
        <f t="shared" si="9"/>
        <v>0</v>
      </c>
      <c r="AA43" s="71">
        <f t="shared" si="9"/>
        <v>283040534</v>
      </c>
    </row>
    <row r="44" spans="1:27" ht="16.5" thickTop="1" x14ac:dyDescent="0.25">
      <c r="A44" s="59"/>
      <c r="B44" s="59"/>
      <c r="C44" s="59"/>
      <c r="D44" s="59"/>
      <c r="E44" s="59"/>
      <c r="F44" s="59"/>
      <c r="G44" s="68"/>
      <c r="H44" s="68"/>
      <c r="I44" s="68"/>
      <c r="J44" s="68"/>
      <c r="K44" s="68"/>
      <c r="L44" s="59"/>
      <c r="M44" s="59"/>
      <c r="N44" s="59"/>
      <c r="O44" s="59"/>
      <c r="P44" s="59"/>
    </row>
    <row r="45" spans="1:27" x14ac:dyDescent="0.25">
      <c r="C45" s="209" t="s">
        <v>197</v>
      </c>
      <c r="E45" s="18" t="s">
        <v>49</v>
      </c>
      <c r="F45" s="22"/>
      <c r="G45" s="22"/>
      <c r="H45" s="22"/>
      <c r="I45" s="22"/>
      <c r="J45" s="22"/>
      <c r="K45" s="22"/>
    </row>
    <row r="46" spans="1:27" x14ac:dyDescent="0.25">
      <c r="C46" s="210"/>
      <c r="E46" s="4" t="s">
        <v>298</v>
      </c>
    </row>
    <row r="47" spans="1:27" x14ac:dyDescent="0.25">
      <c r="C47" s="211"/>
    </row>
    <row r="48" spans="1:27" x14ac:dyDescent="0.25">
      <c r="C48" s="72"/>
    </row>
  </sheetData>
  <mergeCells count="1">
    <mergeCell ref="C45:C47"/>
  </mergeCells>
  <pageMargins left="0.7" right="0.7" top="0.75" bottom="0.75" header="0.3" footer="0.3"/>
  <pageSetup scale="54" fitToWidth="2"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opLeftCell="A32" workbookViewId="0">
      <selection activeCell="E52" sqref="E52"/>
    </sheetView>
  </sheetViews>
  <sheetFormatPr defaultRowHeight="15.75" x14ac:dyDescent="0.25"/>
  <cols>
    <col min="1" max="1" width="4.625" customWidth="1"/>
    <col min="2" max="2" width="1.125" customWidth="1"/>
    <col min="3" max="3" width="31.5" customWidth="1"/>
    <col min="4" max="4" width="9.875" customWidth="1"/>
    <col min="5" max="5" width="13" customWidth="1"/>
    <col min="6" max="6" width="0.625" customWidth="1"/>
    <col min="7" max="7" width="12.5" customWidth="1"/>
    <col min="8" max="8" width="1" customWidth="1"/>
    <col min="9" max="9" width="13.25" bestFit="1" customWidth="1"/>
    <col min="10" max="10" width="1.375" customWidth="1"/>
  </cols>
  <sheetData>
    <row r="1" spans="1:10" x14ac:dyDescent="0.25">
      <c r="A1" s="119" t="s">
        <v>172</v>
      </c>
      <c r="I1" s="123" t="s">
        <v>91</v>
      </c>
    </row>
    <row r="2" spans="1:10" x14ac:dyDescent="0.25">
      <c r="A2" t="s">
        <v>282</v>
      </c>
      <c r="I2" s="112" t="s">
        <v>175</v>
      </c>
    </row>
    <row r="3" spans="1:10" x14ac:dyDescent="0.25">
      <c r="A3" t="s">
        <v>173</v>
      </c>
      <c r="I3" s="123" t="s">
        <v>398</v>
      </c>
    </row>
    <row r="4" spans="1:10" x14ac:dyDescent="0.25">
      <c r="A4" s="36" t="s">
        <v>94</v>
      </c>
      <c r="I4" s="112"/>
    </row>
    <row r="5" spans="1:10" x14ac:dyDescent="0.25">
      <c r="A5" s="120"/>
      <c r="B5" s="42"/>
      <c r="I5" s="43"/>
      <c r="J5" s="42"/>
    </row>
    <row r="6" spans="1:10" x14ac:dyDescent="0.25">
      <c r="A6" s="121" t="s">
        <v>174</v>
      </c>
      <c r="B6" s="42"/>
      <c r="C6" s="122"/>
      <c r="D6" s="42"/>
      <c r="E6" s="42"/>
      <c r="F6" s="42"/>
      <c r="G6" s="42"/>
      <c r="H6" s="42"/>
      <c r="I6" s="43"/>
      <c r="J6" s="42"/>
    </row>
    <row r="7" spans="1:10" x14ac:dyDescent="0.25">
      <c r="B7" s="6"/>
      <c r="C7" s="6"/>
      <c r="D7" s="6"/>
      <c r="E7" s="6"/>
      <c r="F7" s="6"/>
      <c r="G7" s="6"/>
      <c r="H7" s="6"/>
      <c r="I7" s="44"/>
      <c r="J7" s="6"/>
    </row>
    <row r="8" spans="1:10" x14ac:dyDescent="0.25">
      <c r="B8" s="6"/>
      <c r="C8" s="6"/>
      <c r="D8" s="6"/>
      <c r="E8" s="6"/>
      <c r="F8" s="6"/>
      <c r="H8" s="37"/>
      <c r="I8" s="44"/>
      <c r="J8" s="6"/>
    </row>
    <row r="9" spans="1:10" x14ac:dyDescent="0.25">
      <c r="A9" t="s">
        <v>0</v>
      </c>
      <c r="B9" s="6"/>
      <c r="C9" s="6"/>
      <c r="D9" s="6"/>
      <c r="E9" s="37" t="s">
        <v>4</v>
      </c>
      <c r="F9" s="11"/>
      <c r="G9" s="37" t="s">
        <v>4</v>
      </c>
      <c r="H9" s="37"/>
      <c r="I9" s="115" t="s">
        <v>73</v>
      </c>
      <c r="J9" s="6"/>
    </row>
    <row r="10" spans="1:10" x14ac:dyDescent="0.25">
      <c r="A10" s="2" t="s">
        <v>3</v>
      </c>
      <c r="B10" s="6"/>
      <c r="C10" s="45" t="s">
        <v>1</v>
      </c>
      <c r="D10" s="17"/>
      <c r="E10" s="113" t="s">
        <v>5</v>
      </c>
      <c r="F10" s="16"/>
      <c r="G10" s="113" t="s">
        <v>5</v>
      </c>
      <c r="H10" s="40"/>
      <c r="I10" s="114" t="s">
        <v>74</v>
      </c>
      <c r="J10" s="11"/>
    </row>
    <row r="11" spans="1:10" x14ac:dyDescent="0.25">
      <c r="B11" s="6"/>
      <c r="C11" s="6"/>
      <c r="D11" s="6"/>
      <c r="E11" s="37" t="s">
        <v>72</v>
      </c>
      <c r="F11" s="11"/>
      <c r="G11" s="37" t="s">
        <v>176</v>
      </c>
      <c r="H11" s="11"/>
      <c r="I11" s="44"/>
      <c r="J11" s="6"/>
    </row>
    <row r="12" spans="1:10" x14ac:dyDescent="0.25">
      <c r="B12" s="6"/>
      <c r="G12" s="54" t="s">
        <v>36</v>
      </c>
    </row>
    <row r="13" spans="1:10" x14ac:dyDescent="0.25">
      <c r="B13" s="6"/>
    </row>
    <row r="14" spans="1:10" x14ac:dyDescent="0.25">
      <c r="A14">
        <v>1</v>
      </c>
      <c r="B14" s="6"/>
      <c r="C14" t="s">
        <v>78</v>
      </c>
      <c r="E14" s="5">
        <f>E29</f>
        <v>274827</v>
      </c>
      <c r="G14" s="5">
        <f>G29</f>
        <v>164896</v>
      </c>
      <c r="I14" s="5">
        <f>I29</f>
        <v>263991</v>
      </c>
    </row>
    <row r="15" spans="1:10" x14ac:dyDescent="0.25">
      <c r="B15" s="6"/>
    </row>
    <row r="16" spans="1:10" x14ac:dyDescent="0.25">
      <c r="B16" s="6"/>
    </row>
    <row r="17" spans="1:10" x14ac:dyDescent="0.25">
      <c r="B17" s="6"/>
    </row>
    <row r="18" spans="1:10" x14ac:dyDescent="0.25">
      <c r="B18" s="6"/>
    </row>
    <row r="19" spans="1:10" x14ac:dyDescent="0.25">
      <c r="B19" s="6"/>
    </row>
    <row r="20" spans="1:10" x14ac:dyDescent="0.25">
      <c r="B20" s="6"/>
      <c r="C20" s="6"/>
      <c r="D20" s="6"/>
      <c r="E20" s="6"/>
      <c r="F20" s="6"/>
      <c r="G20" s="6"/>
      <c r="H20" s="6"/>
      <c r="I20" s="47"/>
      <c r="J20" s="6"/>
    </row>
    <row r="21" spans="1:10" x14ac:dyDescent="0.25">
      <c r="B21" s="6"/>
      <c r="C21" s="3" t="s">
        <v>75</v>
      </c>
      <c r="D21" s="3"/>
      <c r="E21" s="3"/>
      <c r="F21" s="3"/>
      <c r="G21" s="3"/>
      <c r="H21" s="3"/>
      <c r="I21" s="47"/>
      <c r="J21" s="6"/>
    </row>
    <row r="22" spans="1:10" x14ac:dyDescent="0.25">
      <c r="A22" t="s">
        <v>14</v>
      </c>
      <c r="B22" s="6"/>
      <c r="C22" s="36" t="s">
        <v>76</v>
      </c>
      <c r="D22" s="36"/>
      <c r="E22" s="59">
        <v>300860726</v>
      </c>
      <c r="F22" s="36"/>
      <c r="G22" s="59">
        <v>300860726</v>
      </c>
      <c r="H22" s="36"/>
      <c r="I22" s="59">
        <f>'DMR4'!AA43</f>
        <v>283040534</v>
      </c>
      <c r="J22" s="6"/>
    </row>
    <row r="23" spans="1:10" x14ac:dyDescent="0.25">
      <c r="A23" t="s">
        <v>15</v>
      </c>
      <c r="B23" s="6"/>
      <c r="C23" s="36" t="s">
        <v>308</v>
      </c>
      <c r="D23" s="36"/>
      <c r="E23" s="117">
        <f>DMR3p2!J26</f>
        <v>2.648E-2</v>
      </c>
      <c r="F23" s="36"/>
      <c r="G23" s="117">
        <f>E23</f>
        <v>2.648E-2</v>
      </c>
      <c r="H23" s="36"/>
      <c r="I23" s="117">
        <f>DMR3p2!J32</f>
        <v>2.648E-2</v>
      </c>
      <c r="J23" s="6"/>
    </row>
    <row r="24" spans="1:10" x14ac:dyDescent="0.25">
      <c r="A24" t="s">
        <v>16</v>
      </c>
      <c r="B24" s="6"/>
      <c r="C24" s="6" t="s">
        <v>40</v>
      </c>
      <c r="D24" s="6"/>
      <c r="E24" s="59">
        <f>ROUND(E22*E23,0)</f>
        <v>7966792</v>
      </c>
      <c r="F24" s="6"/>
      <c r="G24" s="59">
        <f>ROUND(G22*G23,0)</f>
        <v>7966792</v>
      </c>
      <c r="H24" s="6"/>
      <c r="I24" s="59">
        <f>ROUND(I22*I23,0)</f>
        <v>7494913</v>
      </c>
      <c r="J24" s="6"/>
    </row>
    <row r="25" spans="1:10" x14ac:dyDescent="0.25">
      <c r="B25" s="6"/>
      <c r="C25" s="6"/>
      <c r="D25" s="6"/>
      <c r="E25" s="44"/>
      <c r="F25" s="6"/>
      <c r="G25" s="44"/>
      <c r="H25" s="6"/>
      <c r="I25" s="44"/>
      <c r="J25" s="6"/>
    </row>
    <row r="26" spans="1:10" x14ac:dyDescent="0.25">
      <c r="A26" t="s">
        <v>17</v>
      </c>
      <c r="B26" s="6"/>
      <c r="C26" s="36" t="s">
        <v>77</v>
      </c>
      <c r="D26" s="36"/>
      <c r="E26" s="116">
        <v>8752012</v>
      </c>
      <c r="F26" s="36"/>
      <c r="G26" s="116">
        <v>8752012</v>
      </c>
      <c r="H26" s="36"/>
      <c r="I26" s="116">
        <v>8752012</v>
      </c>
      <c r="J26" s="6"/>
    </row>
    <row r="27" spans="1:10" x14ac:dyDescent="0.25">
      <c r="A27" t="s">
        <v>18</v>
      </c>
      <c r="B27" s="6"/>
      <c r="C27" s="6" t="s">
        <v>41</v>
      </c>
      <c r="D27" s="6"/>
      <c r="E27" s="59">
        <f>E24-E26</f>
        <v>-785220</v>
      </c>
      <c r="F27" s="6"/>
      <c r="G27" s="59">
        <f>G24-G26</f>
        <v>-785220</v>
      </c>
      <c r="H27" s="6"/>
      <c r="I27" s="59">
        <f>I24-I26</f>
        <v>-1257099</v>
      </c>
      <c r="J27" s="6"/>
    </row>
    <row r="28" spans="1:10" x14ac:dyDescent="0.25">
      <c r="A28" t="s">
        <v>205</v>
      </c>
      <c r="B28" s="6"/>
      <c r="C28" s="36" t="s">
        <v>42</v>
      </c>
      <c r="D28" s="36"/>
      <c r="E28" s="49">
        <v>0.35</v>
      </c>
      <c r="F28" s="36"/>
      <c r="G28" s="49">
        <v>0.21</v>
      </c>
      <c r="H28" s="36"/>
      <c r="I28" s="49">
        <v>0.21</v>
      </c>
      <c r="J28" s="6"/>
    </row>
    <row r="29" spans="1:10" ht="16.5" thickBot="1" x14ac:dyDescent="0.3">
      <c r="A29" t="s">
        <v>206</v>
      </c>
      <c r="B29" s="6"/>
      <c r="C29" s="36" t="s">
        <v>363</v>
      </c>
      <c r="D29" s="6"/>
      <c r="E29" s="71">
        <f>ROUND(-E27*E28,0)</f>
        <v>274827</v>
      </c>
      <c r="F29" s="6"/>
      <c r="G29" s="71">
        <f>ROUND(-G27*G28,0)</f>
        <v>164896</v>
      </c>
      <c r="H29" s="6"/>
      <c r="I29" s="71">
        <f>ROUND(-I27*I28,0)</f>
        <v>263991</v>
      </c>
      <c r="J29" s="6"/>
    </row>
    <row r="30" spans="1:10" ht="16.5" thickTop="1" x14ac:dyDescent="0.25">
      <c r="B30" s="6"/>
      <c r="C30" s="6"/>
      <c r="D30" s="6"/>
      <c r="E30" s="6"/>
      <c r="F30" s="6"/>
      <c r="G30" s="6"/>
      <c r="H30" s="6"/>
      <c r="I30" s="44"/>
      <c r="J30" s="6"/>
    </row>
    <row r="31" spans="1:10" x14ac:dyDescent="0.25">
      <c r="B31" s="6"/>
      <c r="C31" s="41"/>
      <c r="D31" s="6"/>
      <c r="E31" s="6"/>
      <c r="F31" s="6"/>
      <c r="G31" s="6"/>
      <c r="H31" s="6"/>
      <c r="I31" s="44"/>
      <c r="J31" s="6"/>
    </row>
    <row r="32" spans="1:10" x14ac:dyDescent="0.25">
      <c r="B32" s="6"/>
      <c r="C32" s="41" t="s">
        <v>407</v>
      </c>
      <c r="D32" s="46"/>
      <c r="E32" s="46"/>
      <c r="F32" s="46"/>
      <c r="G32" s="46"/>
      <c r="H32" s="46"/>
      <c r="I32" s="47"/>
      <c r="J32" s="17"/>
    </row>
    <row r="33" spans="3:10" x14ac:dyDescent="0.25">
      <c r="C33" s="36"/>
    </row>
    <row r="35" spans="3:10" x14ac:dyDescent="0.25">
      <c r="C35" t="s">
        <v>44</v>
      </c>
    </row>
    <row r="37" spans="3:10" x14ac:dyDescent="0.25">
      <c r="C37" s="212" t="s">
        <v>177</v>
      </c>
      <c r="D37" s="213"/>
      <c r="E37" s="213"/>
      <c r="F37" s="213"/>
      <c r="G37" s="213"/>
      <c r="H37" s="213"/>
      <c r="I37" s="214"/>
      <c r="J37" s="50"/>
    </row>
    <row r="38" spans="3:10" x14ac:dyDescent="0.25">
      <c r="C38" s="215"/>
      <c r="D38" s="216"/>
      <c r="E38" s="216"/>
      <c r="F38" s="216"/>
      <c r="G38" s="216"/>
      <c r="H38" s="216"/>
      <c r="I38" s="217"/>
    </row>
    <row r="39" spans="3:10" x14ac:dyDescent="0.25">
      <c r="C39" s="215"/>
      <c r="D39" s="216"/>
      <c r="E39" s="216"/>
      <c r="F39" s="216"/>
      <c r="G39" s="216"/>
      <c r="H39" s="216"/>
      <c r="I39" s="217"/>
    </row>
    <row r="40" spans="3:10" ht="24.75" customHeight="1" x14ac:dyDescent="0.25">
      <c r="C40" s="218"/>
      <c r="D40" s="219"/>
      <c r="E40" s="219"/>
      <c r="F40" s="219"/>
      <c r="G40" s="219"/>
      <c r="H40" s="219"/>
      <c r="I40" s="220"/>
    </row>
  </sheetData>
  <mergeCells count="1">
    <mergeCell ref="C37:I40"/>
  </mergeCells>
  <pageMargins left="0.7" right="0.7" top="0.75" bottom="0.75" header="0.3" footer="0.3"/>
  <pageSetup scale="95"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63" zoomScaleNormal="100" workbookViewId="0">
      <selection activeCell="C84" sqref="C84"/>
    </sheetView>
  </sheetViews>
  <sheetFormatPr defaultRowHeight="15.75" x14ac:dyDescent="0.25"/>
  <cols>
    <col min="1" max="1" width="4.375" customWidth="1"/>
    <col min="2" max="2" width="1.25" customWidth="1"/>
    <col min="3" max="3" width="44.75" customWidth="1"/>
    <col min="4" max="4" width="1.25" customWidth="1"/>
    <col min="5" max="5" width="7.875" customWidth="1"/>
    <col min="6" max="6" width="1.625" customWidth="1"/>
    <col min="7" max="7" width="15.5" customWidth="1"/>
    <col min="8" max="8" width="1.25" customWidth="1"/>
    <col min="9" max="9" width="9.625" customWidth="1"/>
    <col min="10" max="10" width="1.25" customWidth="1"/>
    <col min="11" max="11" width="10.25" customWidth="1"/>
    <col min="12" max="12" width="0.75" customWidth="1"/>
    <col min="14" max="14" width="1" customWidth="1"/>
  </cols>
  <sheetData>
    <row r="1" spans="1:13" x14ac:dyDescent="0.25">
      <c r="A1" s="119" t="s">
        <v>172</v>
      </c>
      <c r="M1" s="123" t="s">
        <v>91</v>
      </c>
    </row>
    <row r="2" spans="1:13" x14ac:dyDescent="0.25">
      <c r="A2" t="s">
        <v>184</v>
      </c>
      <c r="M2" s="112" t="s">
        <v>175</v>
      </c>
    </row>
    <row r="3" spans="1:13" x14ac:dyDescent="0.25">
      <c r="A3" s="36" t="s">
        <v>94</v>
      </c>
      <c r="K3" s="123"/>
      <c r="M3" s="112" t="s">
        <v>399</v>
      </c>
    </row>
    <row r="4" spans="1:13" x14ac:dyDescent="0.25">
      <c r="A4" s="120"/>
      <c r="K4" s="112"/>
    </row>
    <row r="5" spans="1:13" x14ac:dyDescent="0.25">
      <c r="A5" s="121" t="s">
        <v>207</v>
      </c>
      <c r="B5" s="42"/>
      <c r="K5" s="43"/>
    </row>
    <row r="6" spans="1:13" x14ac:dyDescent="0.25">
      <c r="B6" s="6"/>
      <c r="C6" s="6"/>
      <c r="D6" s="6"/>
      <c r="E6" s="6"/>
      <c r="F6" s="6"/>
      <c r="G6" s="37" t="s">
        <v>2</v>
      </c>
      <c r="H6" s="6"/>
      <c r="I6" s="1" t="s">
        <v>211</v>
      </c>
      <c r="J6" s="37"/>
      <c r="K6" s="44"/>
      <c r="M6" s="1" t="s">
        <v>214</v>
      </c>
    </row>
    <row r="7" spans="1:13" x14ac:dyDescent="0.25">
      <c r="A7" t="s">
        <v>0</v>
      </c>
      <c r="B7" s="6"/>
      <c r="C7" s="6"/>
      <c r="D7" s="6"/>
      <c r="E7" s="6"/>
      <c r="F7" s="6"/>
      <c r="G7" s="37" t="s">
        <v>210</v>
      </c>
      <c r="H7" s="11"/>
      <c r="I7" s="37" t="s">
        <v>73</v>
      </c>
      <c r="J7" s="37"/>
      <c r="K7" s="115" t="s">
        <v>212</v>
      </c>
      <c r="M7" s="1" t="s">
        <v>2</v>
      </c>
    </row>
    <row r="8" spans="1:13" x14ac:dyDescent="0.25">
      <c r="A8" s="2" t="s">
        <v>3</v>
      </c>
      <c r="B8" s="6"/>
      <c r="C8" s="153" t="s">
        <v>209</v>
      </c>
      <c r="D8" s="154"/>
      <c r="E8" s="113" t="s">
        <v>215</v>
      </c>
      <c r="F8" s="17"/>
      <c r="G8" s="113" t="s">
        <v>5</v>
      </c>
      <c r="H8" s="16"/>
      <c r="I8" s="113" t="s">
        <v>74</v>
      </c>
      <c r="J8" s="40"/>
      <c r="K8" s="114" t="s">
        <v>213</v>
      </c>
      <c r="L8" s="4"/>
      <c r="M8" s="8" t="s">
        <v>34</v>
      </c>
    </row>
    <row r="9" spans="1:13" x14ac:dyDescent="0.25">
      <c r="C9" s="162" t="s">
        <v>216</v>
      </c>
    </row>
    <row r="10" spans="1:13" x14ac:dyDescent="0.25">
      <c r="A10">
        <v>1</v>
      </c>
      <c r="C10" s="155" t="s">
        <v>217</v>
      </c>
      <c r="E10" s="157">
        <v>303</v>
      </c>
      <c r="G10" s="20">
        <v>225308</v>
      </c>
      <c r="I10">
        <v>0</v>
      </c>
      <c r="K10" s="158">
        <v>0.77239999999999998</v>
      </c>
      <c r="M10">
        <f>ROUND(I10*K10,0)</f>
        <v>0</v>
      </c>
    </row>
    <row r="11" spans="1:13" x14ac:dyDescent="0.25">
      <c r="A11">
        <v>2</v>
      </c>
      <c r="C11" s="155" t="s">
        <v>218</v>
      </c>
      <c r="E11" s="157">
        <v>303</v>
      </c>
      <c r="G11" s="20">
        <v>2245</v>
      </c>
      <c r="I11">
        <v>0</v>
      </c>
      <c r="K11" s="158">
        <v>0.77239999999999998</v>
      </c>
      <c r="M11">
        <f t="shared" ref="M11:M18" si="0">ROUND(I11*K11,0)</f>
        <v>0</v>
      </c>
    </row>
    <row r="12" spans="1:13" x14ac:dyDescent="0.25">
      <c r="A12">
        <v>3</v>
      </c>
      <c r="C12" s="155" t="s">
        <v>219</v>
      </c>
      <c r="E12" s="157">
        <v>303</v>
      </c>
      <c r="G12" s="20">
        <v>287058</v>
      </c>
      <c r="I12">
        <v>0</v>
      </c>
      <c r="K12" s="158">
        <v>0.77239999999999998</v>
      </c>
      <c r="M12">
        <f t="shared" si="0"/>
        <v>0</v>
      </c>
    </row>
    <row r="13" spans="1:13" x14ac:dyDescent="0.25">
      <c r="A13">
        <v>4</v>
      </c>
      <c r="C13" s="155" t="s">
        <v>220</v>
      </c>
      <c r="E13" s="157">
        <v>303</v>
      </c>
      <c r="G13" s="20">
        <v>276670</v>
      </c>
      <c r="I13">
        <v>0</v>
      </c>
      <c r="K13" s="158">
        <v>0.77239999999999998</v>
      </c>
      <c r="M13">
        <f t="shared" si="0"/>
        <v>0</v>
      </c>
    </row>
    <row r="14" spans="1:13" x14ac:dyDescent="0.25">
      <c r="A14">
        <v>5</v>
      </c>
      <c r="C14" s="155" t="s">
        <v>221</v>
      </c>
      <c r="E14" s="157">
        <v>303</v>
      </c>
      <c r="G14" s="20">
        <v>21674</v>
      </c>
      <c r="I14">
        <v>0</v>
      </c>
      <c r="K14" s="158">
        <v>0.77239999999999998</v>
      </c>
      <c r="M14">
        <f t="shared" si="0"/>
        <v>0</v>
      </c>
    </row>
    <row r="15" spans="1:13" x14ac:dyDescent="0.25">
      <c r="A15">
        <v>6</v>
      </c>
      <c r="C15" s="155" t="s">
        <v>222</v>
      </c>
      <c r="E15" s="157">
        <v>303</v>
      </c>
      <c r="G15" s="20">
        <v>31170</v>
      </c>
      <c r="I15">
        <v>0</v>
      </c>
      <c r="K15" s="158">
        <v>0.77239999999999998</v>
      </c>
      <c r="M15">
        <f t="shared" si="0"/>
        <v>0</v>
      </c>
    </row>
    <row r="16" spans="1:13" x14ac:dyDescent="0.25">
      <c r="A16">
        <v>7</v>
      </c>
      <c r="C16" s="155" t="s">
        <v>223</v>
      </c>
      <c r="E16" s="157">
        <v>303</v>
      </c>
      <c r="G16" s="20">
        <v>159738</v>
      </c>
      <c r="I16">
        <v>0</v>
      </c>
      <c r="K16" s="158">
        <v>0.77239999999999998</v>
      </c>
      <c r="M16">
        <f t="shared" si="0"/>
        <v>0</v>
      </c>
    </row>
    <row r="17" spans="1:13" x14ac:dyDescent="0.25">
      <c r="A17">
        <v>8</v>
      </c>
      <c r="C17" s="155" t="s">
        <v>224</v>
      </c>
      <c r="E17" s="157">
        <v>303</v>
      </c>
      <c r="G17" s="20">
        <v>132223</v>
      </c>
      <c r="I17">
        <v>0</v>
      </c>
      <c r="K17" s="158">
        <v>0.77239999999999998</v>
      </c>
      <c r="M17">
        <f t="shared" si="0"/>
        <v>0</v>
      </c>
    </row>
    <row r="18" spans="1:13" x14ac:dyDescent="0.25">
      <c r="A18">
        <v>9</v>
      </c>
      <c r="C18" s="155" t="s">
        <v>225</v>
      </c>
      <c r="E18" s="157">
        <v>303</v>
      </c>
      <c r="G18" s="21">
        <v>26445</v>
      </c>
      <c r="I18" s="2">
        <v>0</v>
      </c>
      <c r="K18" s="158">
        <v>0.77239999999999998</v>
      </c>
      <c r="M18" s="2">
        <f t="shared" si="0"/>
        <v>0</v>
      </c>
    </row>
    <row r="19" spans="1:13" x14ac:dyDescent="0.25">
      <c r="C19" s="156" t="s">
        <v>226</v>
      </c>
      <c r="G19" s="201">
        <f>SUM(G10:G18)</f>
        <v>1162531</v>
      </c>
      <c r="I19" s="5">
        <f>SUM(I10:I18)</f>
        <v>0</v>
      </c>
      <c r="M19" s="5">
        <f>SUM(M10:M18)</f>
        <v>0</v>
      </c>
    </row>
    <row r="20" spans="1:13" x14ac:dyDescent="0.25">
      <c r="C20" s="156"/>
      <c r="G20" s="164"/>
      <c r="I20" s="5"/>
      <c r="M20" s="5"/>
    </row>
    <row r="21" spans="1:13" x14ac:dyDescent="0.25">
      <c r="C21" s="162" t="s">
        <v>227</v>
      </c>
    </row>
    <row r="22" spans="1:13" x14ac:dyDescent="0.25">
      <c r="A22">
        <v>10</v>
      </c>
      <c r="C22" s="160" t="s">
        <v>264</v>
      </c>
      <c r="E22" s="157">
        <v>376</v>
      </c>
      <c r="G22" s="68">
        <v>179391</v>
      </c>
      <c r="I22">
        <v>0</v>
      </c>
      <c r="K22" s="163">
        <v>1</v>
      </c>
      <c r="M22">
        <f t="shared" ref="M22:M41" si="1">ROUND(I22*K22,0)</f>
        <v>0</v>
      </c>
    </row>
    <row r="23" spans="1:13" x14ac:dyDescent="0.25">
      <c r="A23">
        <v>11</v>
      </c>
      <c r="C23" s="160" t="s">
        <v>265</v>
      </c>
      <c r="E23" s="157">
        <v>376</v>
      </c>
      <c r="G23" s="68">
        <v>1473785</v>
      </c>
      <c r="I23">
        <v>0</v>
      </c>
      <c r="K23" s="163">
        <v>1</v>
      </c>
      <c r="M23">
        <f t="shared" si="1"/>
        <v>0</v>
      </c>
    </row>
    <row r="24" spans="1:13" x14ac:dyDescent="0.25">
      <c r="A24">
        <v>12</v>
      </c>
      <c r="C24" s="160" t="s">
        <v>266</v>
      </c>
      <c r="E24" s="157">
        <v>378</v>
      </c>
      <c r="G24" s="68">
        <v>313977</v>
      </c>
      <c r="I24">
        <v>0</v>
      </c>
      <c r="K24" s="163">
        <v>1</v>
      </c>
      <c r="M24">
        <f t="shared" si="1"/>
        <v>0</v>
      </c>
    </row>
    <row r="25" spans="1:13" x14ac:dyDescent="0.25">
      <c r="A25">
        <v>13</v>
      </c>
      <c r="C25" s="160" t="s">
        <v>267</v>
      </c>
      <c r="E25" s="157">
        <v>385</v>
      </c>
      <c r="G25" s="68">
        <v>868262</v>
      </c>
      <c r="I25">
        <v>0</v>
      </c>
      <c r="K25" s="163">
        <v>1</v>
      </c>
      <c r="M25">
        <f t="shared" si="1"/>
        <v>0</v>
      </c>
    </row>
    <row r="26" spans="1:13" x14ac:dyDescent="0.25">
      <c r="A26">
        <v>14</v>
      </c>
      <c r="C26" s="160" t="s">
        <v>263</v>
      </c>
      <c r="E26" s="157">
        <v>385</v>
      </c>
      <c r="G26" s="68">
        <v>179842</v>
      </c>
      <c r="I26">
        <v>0</v>
      </c>
      <c r="K26" s="163">
        <v>1</v>
      </c>
      <c r="M26">
        <f t="shared" si="1"/>
        <v>0</v>
      </c>
    </row>
    <row r="27" spans="1:13" x14ac:dyDescent="0.25">
      <c r="A27">
        <v>15</v>
      </c>
      <c r="C27" s="160" t="s">
        <v>268</v>
      </c>
      <c r="E27" s="157">
        <v>380</v>
      </c>
      <c r="G27" s="68">
        <v>777867</v>
      </c>
      <c r="I27">
        <v>0</v>
      </c>
      <c r="K27" s="163">
        <v>1</v>
      </c>
      <c r="M27">
        <f t="shared" si="1"/>
        <v>0</v>
      </c>
    </row>
    <row r="28" spans="1:13" x14ac:dyDescent="0.25">
      <c r="A28">
        <v>16</v>
      </c>
      <c r="C28" s="155" t="s">
        <v>228</v>
      </c>
      <c r="E28" s="157">
        <v>378</v>
      </c>
      <c r="G28" s="68">
        <v>97803</v>
      </c>
      <c r="I28">
        <v>0</v>
      </c>
      <c r="K28" s="163">
        <v>1</v>
      </c>
      <c r="M28">
        <f t="shared" si="1"/>
        <v>0</v>
      </c>
    </row>
    <row r="29" spans="1:13" x14ac:dyDescent="0.25">
      <c r="A29">
        <v>17</v>
      </c>
      <c r="C29" s="160" t="s">
        <v>269</v>
      </c>
      <c r="E29" s="157">
        <v>376</v>
      </c>
      <c r="G29" s="68">
        <v>245801</v>
      </c>
      <c r="I29">
        <v>0</v>
      </c>
      <c r="K29" s="163">
        <v>1</v>
      </c>
      <c r="M29">
        <f t="shared" si="1"/>
        <v>0</v>
      </c>
    </row>
    <row r="30" spans="1:13" x14ac:dyDescent="0.25">
      <c r="A30">
        <v>18</v>
      </c>
      <c r="C30" s="155" t="s">
        <v>229</v>
      </c>
      <c r="E30" s="157">
        <v>376</v>
      </c>
      <c r="G30" s="68">
        <v>1524374</v>
      </c>
      <c r="I30">
        <v>0</v>
      </c>
      <c r="K30" s="163">
        <v>1</v>
      </c>
      <c r="M30">
        <f t="shared" si="1"/>
        <v>0</v>
      </c>
    </row>
    <row r="31" spans="1:13" x14ac:dyDescent="0.25">
      <c r="A31">
        <v>19</v>
      </c>
      <c r="C31" s="155" t="s">
        <v>230</v>
      </c>
      <c r="E31" s="157">
        <v>378</v>
      </c>
      <c r="G31" s="68">
        <v>225398</v>
      </c>
      <c r="I31">
        <v>0</v>
      </c>
      <c r="K31" s="163">
        <v>1</v>
      </c>
      <c r="M31">
        <f t="shared" si="1"/>
        <v>0</v>
      </c>
    </row>
    <row r="32" spans="1:13" x14ac:dyDescent="0.25">
      <c r="A32">
        <v>20</v>
      </c>
      <c r="C32" s="161" t="s">
        <v>231</v>
      </c>
      <c r="E32" s="157">
        <v>376</v>
      </c>
      <c r="G32" s="68">
        <v>233140</v>
      </c>
      <c r="I32">
        <v>0</v>
      </c>
      <c r="K32" s="163">
        <v>1</v>
      </c>
      <c r="M32">
        <f t="shared" si="1"/>
        <v>0</v>
      </c>
    </row>
    <row r="33" spans="1:13" x14ac:dyDescent="0.25">
      <c r="A33">
        <v>21</v>
      </c>
      <c r="C33" s="161" t="s">
        <v>232</v>
      </c>
      <c r="E33" s="157">
        <v>376</v>
      </c>
      <c r="G33" s="68">
        <v>76260</v>
      </c>
      <c r="I33">
        <v>0</v>
      </c>
      <c r="K33" s="163">
        <v>1</v>
      </c>
      <c r="M33">
        <f t="shared" si="1"/>
        <v>0</v>
      </c>
    </row>
    <row r="34" spans="1:13" x14ac:dyDescent="0.25">
      <c r="A34">
        <v>22</v>
      </c>
      <c r="C34" s="161" t="s">
        <v>233</v>
      </c>
      <c r="E34" s="157">
        <v>376</v>
      </c>
      <c r="G34" s="68">
        <v>75903</v>
      </c>
      <c r="I34">
        <v>0</v>
      </c>
      <c r="K34" s="163">
        <v>1</v>
      </c>
      <c r="M34">
        <f t="shared" si="1"/>
        <v>0</v>
      </c>
    </row>
    <row r="35" spans="1:13" x14ac:dyDescent="0.25">
      <c r="A35">
        <v>23</v>
      </c>
      <c r="C35" s="155" t="s">
        <v>234</v>
      </c>
      <c r="E35" s="157">
        <v>376</v>
      </c>
      <c r="G35" s="68">
        <v>152137</v>
      </c>
      <c r="I35">
        <v>0</v>
      </c>
      <c r="K35" s="163">
        <v>1</v>
      </c>
      <c r="M35">
        <f t="shared" si="1"/>
        <v>0</v>
      </c>
    </row>
    <row r="36" spans="1:13" x14ac:dyDescent="0.25">
      <c r="A36">
        <v>24</v>
      </c>
      <c r="C36" s="155" t="s">
        <v>235</v>
      </c>
      <c r="E36" s="157">
        <v>376</v>
      </c>
      <c r="G36" s="68">
        <v>2157</v>
      </c>
      <c r="I36">
        <v>0</v>
      </c>
      <c r="K36" s="163">
        <v>1</v>
      </c>
      <c r="M36">
        <f t="shared" si="1"/>
        <v>0</v>
      </c>
    </row>
    <row r="37" spans="1:13" x14ac:dyDescent="0.25">
      <c r="A37">
        <v>25</v>
      </c>
      <c r="C37" s="155" t="s">
        <v>236</v>
      </c>
      <c r="E37" s="157">
        <v>376</v>
      </c>
      <c r="G37" s="68">
        <v>122953</v>
      </c>
      <c r="I37">
        <v>0</v>
      </c>
      <c r="K37" s="163">
        <v>1</v>
      </c>
      <c r="M37">
        <f t="shared" si="1"/>
        <v>0</v>
      </c>
    </row>
    <row r="38" spans="1:13" x14ac:dyDescent="0.25">
      <c r="A38">
        <v>26</v>
      </c>
      <c r="C38" s="155" t="s">
        <v>237</v>
      </c>
      <c r="E38" s="157">
        <v>376</v>
      </c>
      <c r="G38" s="68">
        <v>222</v>
      </c>
      <c r="I38">
        <v>0</v>
      </c>
      <c r="K38" s="163">
        <v>1</v>
      </c>
      <c r="M38">
        <f t="shared" si="1"/>
        <v>0</v>
      </c>
    </row>
    <row r="39" spans="1:13" x14ac:dyDescent="0.25">
      <c r="A39">
        <v>27</v>
      </c>
      <c r="C39" s="155" t="s">
        <v>238</v>
      </c>
      <c r="E39" s="157">
        <v>376</v>
      </c>
      <c r="G39" s="68">
        <v>12700</v>
      </c>
      <c r="I39">
        <v>0</v>
      </c>
      <c r="K39" s="163">
        <v>1</v>
      </c>
      <c r="M39">
        <f t="shared" si="1"/>
        <v>0</v>
      </c>
    </row>
    <row r="40" spans="1:13" x14ac:dyDescent="0.25">
      <c r="A40">
        <v>28</v>
      </c>
      <c r="C40" s="155" t="s">
        <v>239</v>
      </c>
      <c r="E40" s="157">
        <v>376</v>
      </c>
      <c r="G40" s="68">
        <v>2515</v>
      </c>
      <c r="I40">
        <v>0</v>
      </c>
      <c r="K40" s="163">
        <v>1</v>
      </c>
      <c r="M40">
        <f t="shared" si="1"/>
        <v>0</v>
      </c>
    </row>
    <row r="41" spans="1:13" x14ac:dyDescent="0.25">
      <c r="A41">
        <v>29</v>
      </c>
      <c r="C41" s="155" t="s">
        <v>240</v>
      </c>
      <c r="E41" s="157">
        <v>378</v>
      </c>
      <c r="G41" s="68">
        <v>13857</v>
      </c>
      <c r="I41">
        <v>0</v>
      </c>
      <c r="K41" s="163">
        <v>1</v>
      </c>
      <c r="M41">
        <f t="shared" si="1"/>
        <v>0</v>
      </c>
    </row>
    <row r="43" spans="1:13" x14ac:dyDescent="0.25">
      <c r="A43" s="119" t="s">
        <v>172</v>
      </c>
      <c r="M43" s="123" t="s">
        <v>91</v>
      </c>
    </row>
    <row r="44" spans="1:13" x14ac:dyDescent="0.25">
      <c r="A44" t="s">
        <v>184</v>
      </c>
      <c r="M44" s="112" t="s">
        <v>175</v>
      </c>
    </row>
    <row r="45" spans="1:13" x14ac:dyDescent="0.25">
      <c r="A45" s="36" t="s">
        <v>94</v>
      </c>
      <c r="K45" s="123"/>
      <c r="M45" s="112" t="s">
        <v>400</v>
      </c>
    </row>
    <row r="46" spans="1:13" x14ac:dyDescent="0.25">
      <c r="A46" s="120"/>
      <c r="K46" s="112"/>
    </row>
    <row r="47" spans="1:13" x14ac:dyDescent="0.25">
      <c r="A47" s="121" t="s">
        <v>207</v>
      </c>
      <c r="B47" s="42"/>
      <c r="K47" s="43"/>
    </row>
    <row r="48" spans="1:13" x14ac:dyDescent="0.25">
      <c r="B48" s="6"/>
      <c r="C48" s="6"/>
      <c r="D48" s="6"/>
      <c r="E48" s="6"/>
      <c r="F48" s="6"/>
      <c r="G48" s="37" t="s">
        <v>2</v>
      </c>
      <c r="H48" s="6"/>
      <c r="I48" s="1" t="s">
        <v>211</v>
      </c>
      <c r="J48" s="37"/>
      <c r="K48" s="44"/>
      <c r="M48" s="1" t="s">
        <v>214</v>
      </c>
    </row>
    <row r="49" spans="1:13" x14ac:dyDescent="0.25">
      <c r="A49" t="s">
        <v>0</v>
      </c>
      <c r="B49" s="6"/>
      <c r="C49" s="6"/>
      <c r="D49" s="6"/>
      <c r="E49" s="6"/>
      <c r="F49" s="6"/>
      <c r="G49" s="37" t="s">
        <v>210</v>
      </c>
      <c r="H49" s="11"/>
      <c r="I49" s="37" t="s">
        <v>73</v>
      </c>
      <c r="J49" s="37"/>
      <c r="K49" s="115" t="s">
        <v>212</v>
      </c>
      <c r="M49" s="1" t="s">
        <v>2</v>
      </c>
    </row>
    <row r="50" spans="1:13" x14ac:dyDescent="0.25">
      <c r="A50" s="2" t="s">
        <v>3</v>
      </c>
      <c r="B50" s="6"/>
      <c r="C50" s="153" t="s">
        <v>209</v>
      </c>
      <c r="D50" s="154"/>
      <c r="E50" s="113" t="s">
        <v>215</v>
      </c>
      <c r="F50" s="17"/>
      <c r="G50" s="113" t="s">
        <v>5</v>
      </c>
      <c r="H50" s="16"/>
      <c r="I50" s="113" t="s">
        <v>74</v>
      </c>
      <c r="J50" s="40"/>
      <c r="K50" s="114" t="s">
        <v>213</v>
      </c>
      <c r="L50" s="4"/>
      <c r="M50" s="8" t="s">
        <v>34</v>
      </c>
    </row>
    <row r="51" spans="1:13" x14ac:dyDescent="0.25">
      <c r="C51" s="162" t="s">
        <v>401</v>
      </c>
    </row>
    <row r="52" spans="1:13" x14ac:dyDescent="0.25">
      <c r="A52">
        <v>30</v>
      </c>
      <c r="C52" s="155" t="s">
        <v>241</v>
      </c>
      <c r="E52" s="157">
        <v>378</v>
      </c>
      <c r="G52" s="68">
        <v>7416</v>
      </c>
      <c r="I52">
        <v>0</v>
      </c>
      <c r="K52" s="163">
        <v>1</v>
      </c>
      <c r="M52">
        <f t="shared" ref="M52:M73" si="2">ROUND(I52*K52,0)</f>
        <v>0</v>
      </c>
    </row>
    <row r="53" spans="1:13" x14ac:dyDescent="0.25">
      <c r="A53">
        <v>31</v>
      </c>
      <c r="C53" s="155" t="s">
        <v>242</v>
      </c>
      <c r="E53" s="157"/>
      <c r="G53" s="68">
        <v>56271</v>
      </c>
      <c r="I53">
        <v>0</v>
      </c>
      <c r="K53" s="163">
        <v>1</v>
      </c>
      <c r="M53">
        <f t="shared" si="2"/>
        <v>0</v>
      </c>
    </row>
    <row r="54" spans="1:13" x14ac:dyDescent="0.25">
      <c r="A54">
        <v>32</v>
      </c>
      <c r="C54" s="155" t="s">
        <v>243</v>
      </c>
      <c r="E54" s="157">
        <v>376</v>
      </c>
      <c r="G54" s="68">
        <v>55289</v>
      </c>
      <c r="I54">
        <v>0</v>
      </c>
      <c r="K54" s="163">
        <v>1</v>
      </c>
      <c r="M54">
        <f t="shared" si="2"/>
        <v>0</v>
      </c>
    </row>
    <row r="55" spans="1:13" x14ac:dyDescent="0.25">
      <c r="A55">
        <v>33</v>
      </c>
      <c r="C55" s="155" t="s">
        <v>244</v>
      </c>
      <c r="E55" s="157">
        <v>381</v>
      </c>
      <c r="G55" s="68">
        <v>1092370</v>
      </c>
      <c r="I55">
        <v>0</v>
      </c>
      <c r="K55" s="158">
        <v>0.77239999999999998</v>
      </c>
      <c r="M55">
        <f t="shared" si="2"/>
        <v>0</v>
      </c>
    </row>
    <row r="56" spans="1:13" x14ac:dyDescent="0.25">
      <c r="A56">
        <v>34</v>
      </c>
      <c r="C56" s="155" t="s">
        <v>245</v>
      </c>
      <c r="E56" s="157">
        <v>376</v>
      </c>
      <c r="G56" s="68">
        <v>111318</v>
      </c>
      <c r="I56">
        <v>0</v>
      </c>
      <c r="K56" s="163">
        <v>1</v>
      </c>
      <c r="M56">
        <f t="shared" si="2"/>
        <v>0</v>
      </c>
    </row>
    <row r="57" spans="1:13" x14ac:dyDescent="0.25">
      <c r="A57">
        <v>35</v>
      </c>
      <c r="C57" s="161" t="s">
        <v>246</v>
      </c>
      <c r="E57" s="157">
        <v>376</v>
      </c>
      <c r="G57" s="68">
        <v>110067</v>
      </c>
      <c r="I57">
        <v>0</v>
      </c>
      <c r="K57" s="163">
        <v>1</v>
      </c>
      <c r="M57">
        <f t="shared" si="2"/>
        <v>0</v>
      </c>
    </row>
    <row r="58" spans="1:13" x14ac:dyDescent="0.25">
      <c r="A58">
        <v>36</v>
      </c>
      <c r="C58" s="161" t="s">
        <v>247</v>
      </c>
      <c r="E58" s="157">
        <v>376</v>
      </c>
      <c r="G58" s="68">
        <v>197834</v>
      </c>
      <c r="I58">
        <v>0</v>
      </c>
      <c r="K58" s="163">
        <v>1</v>
      </c>
      <c r="M58">
        <f t="shared" si="2"/>
        <v>0</v>
      </c>
    </row>
    <row r="59" spans="1:13" x14ac:dyDescent="0.25">
      <c r="A59">
        <v>37</v>
      </c>
      <c r="C59" s="161" t="s">
        <v>248</v>
      </c>
      <c r="E59" s="157">
        <v>376</v>
      </c>
      <c r="G59" s="68">
        <v>1042032</v>
      </c>
      <c r="I59">
        <v>0</v>
      </c>
      <c r="K59" s="163">
        <v>1</v>
      </c>
      <c r="M59">
        <f t="shared" si="2"/>
        <v>0</v>
      </c>
    </row>
    <row r="60" spans="1:13" x14ac:dyDescent="0.25">
      <c r="A60">
        <v>38</v>
      </c>
      <c r="C60" s="155" t="s">
        <v>249</v>
      </c>
      <c r="E60" s="157">
        <v>376</v>
      </c>
      <c r="G60" s="68">
        <v>238942</v>
      </c>
      <c r="I60">
        <v>0</v>
      </c>
      <c r="K60" s="163">
        <v>1</v>
      </c>
      <c r="M60">
        <f t="shared" si="2"/>
        <v>0</v>
      </c>
    </row>
    <row r="61" spans="1:13" x14ac:dyDescent="0.25">
      <c r="A61">
        <v>39</v>
      </c>
      <c r="C61" s="155" t="s">
        <v>250</v>
      </c>
      <c r="E61" s="157">
        <v>376</v>
      </c>
      <c r="G61" s="68">
        <v>89991</v>
      </c>
      <c r="I61">
        <v>0</v>
      </c>
      <c r="K61" s="163">
        <v>1</v>
      </c>
      <c r="M61">
        <f t="shared" si="2"/>
        <v>0</v>
      </c>
    </row>
    <row r="62" spans="1:13" x14ac:dyDescent="0.25">
      <c r="A62">
        <v>40</v>
      </c>
      <c r="C62" s="155" t="s">
        <v>251</v>
      </c>
      <c r="E62" s="157">
        <v>376</v>
      </c>
      <c r="G62" s="68">
        <v>89991</v>
      </c>
      <c r="I62">
        <v>0</v>
      </c>
      <c r="K62" s="163">
        <v>1</v>
      </c>
      <c r="M62">
        <f t="shared" si="2"/>
        <v>0</v>
      </c>
    </row>
    <row r="63" spans="1:13" x14ac:dyDescent="0.25">
      <c r="A63">
        <v>41</v>
      </c>
      <c r="C63" s="155" t="s">
        <v>252</v>
      </c>
      <c r="E63" s="157">
        <v>376</v>
      </c>
      <c r="G63" s="68">
        <v>14019</v>
      </c>
      <c r="I63">
        <v>0</v>
      </c>
      <c r="K63" s="163">
        <v>1</v>
      </c>
      <c r="M63">
        <f t="shared" si="2"/>
        <v>0</v>
      </c>
    </row>
    <row r="64" spans="1:13" x14ac:dyDescent="0.25">
      <c r="A64">
        <v>42</v>
      </c>
      <c r="C64" s="161" t="s">
        <v>253</v>
      </c>
      <c r="E64" s="157">
        <v>376</v>
      </c>
      <c r="G64" s="68">
        <v>4929288</v>
      </c>
      <c r="I64">
        <v>0</v>
      </c>
      <c r="K64" s="163">
        <v>1</v>
      </c>
      <c r="M64">
        <f t="shared" si="2"/>
        <v>0</v>
      </c>
    </row>
    <row r="65" spans="1:13" x14ac:dyDescent="0.25">
      <c r="A65">
        <v>43</v>
      </c>
      <c r="C65" s="155" t="s">
        <v>254</v>
      </c>
      <c r="E65" s="157">
        <v>376</v>
      </c>
      <c r="G65" s="68">
        <v>114604</v>
      </c>
      <c r="I65">
        <v>0</v>
      </c>
      <c r="K65" s="163">
        <v>1</v>
      </c>
      <c r="M65">
        <f t="shared" si="2"/>
        <v>0</v>
      </c>
    </row>
    <row r="66" spans="1:13" x14ac:dyDescent="0.25">
      <c r="A66">
        <v>44</v>
      </c>
      <c r="C66" s="155" t="s">
        <v>255</v>
      </c>
      <c r="E66" s="157">
        <v>376</v>
      </c>
      <c r="G66" s="68">
        <v>66220</v>
      </c>
      <c r="I66">
        <v>0</v>
      </c>
      <c r="K66" s="163">
        <v>1</v>
      </c>
      <c r="M66">
        <f t="shared" si="2"/>
        <v>0</v>
      </c>
    </row>
    <row r="67" spans="1:13" x14ac:dyDescent="0.25">
      <c r="A67">
        <v>45</v>
      </c>
      <c r="C67" s="155" t="s">
        <v>256</v>
      </c>
      <c r="E67" s="157">
        <v>367</v>
      </c>
      <c r="G67" s="68">
        <v>386080</v>
      </c>
      <c r="I67">
        <v>0</v>
      </c>
      <c r="K67" s="163">
        <v>1</v>
      </c>
      <c r="M67">
        <f t="shared" si="2"/>
        <v>0</v>
      </c>
    </row>
    <row r="68" spans="1:13" x14ac:dyDescent="0.25">
      <c r="A68">
        <v>46</v>
      </c>
      <c r="C68" s="155" t="s">
        <v>257</v>
      </c>
      <c r="E68" s="157">
        <v>376</v>
      </c>
      <c r="G68" s="68">
        <v>311072</v>
      </c>
      <c r="I68">
        <v>0</v>
      </c>
      <c r="K68" s="163">
        <v>1</v>
      </c>
      <c r="M68">
        <f t="shared" si="2"/>
        <v>0</v>
      </c>
    </row>
    <row r="69" spans="1:13" x14ac:dyDescent="0.25">
      <c r="A69">
        <v>47</v>
      </c>
      <c r="C69" s="155" t="s">
        <v>258</v>
      </c>
      <c r="E69" s="157">
        <v>376</v>
      </c>
      <c r="G69" s="68">
        <v>93586</v>
      </c>
      <c r="I69">
        <v>0</v>
      </c>
      <c r="K69" s="163">
        <v>1</v>
      </c>
      <c r="M69">
        <f t="shared" si="2"/>
        <v>0</v>
      </c>
    </row>
    <row r="70" spans="1:13" x14ac:dyDescent="0.25">
      <c r="A70">
        <v>48</v>
      </c>
      <c r="C70" s="155" t="s">
        <v>259</v>
      </c>
      <c r="E70" s="157">
        <v>376</v>
      </c>
      <c r="G70" s="68">
        <v>111120</v>
      </c>
      <c r="I70">
        <v>0</v>
      </c>
      <c r="K70" s="163">
        <v>1</v>
      </c>
      <c r="M70">
        <f t="shared" si="2"/>
        <v>0</v>
      </c>
    </row>
    <row r="71" spans="1:13" x14ac:dyDescent="0.25">
      <c r="A71">
        <v>49</v>
      </c>
      <c r="C71" s="155" t="s">
        <v>260</v>
      </c>
      <c r="E71" s="157">
        <v>376</v>
      </c>
      <c r="G71" s="68">
        <v>170964</v>
      </c>
      <c r="I71">
        <v>0</v>
      </c>
      <c r="K71" s="163">
        <v>1</v>
      </c>
      <c r="M71">
        <f t="shared" si="2"/>
        <v>0</v>
      </c>
    </row>
    <row r="72" spans="1:13" x14ac:dyDescent="0.25">
      <c r="A72">
        <v>50</v>
      </c>
      <c r="C72" s="155" t="s">
        <v>261</v>
      </c>
      <c r="E72" s="157">
        <v>376</v>
      </c>
      <c r="G72" s="68">
        <v>-139899</v>
      </c>
      <c r="I72">
        <v>0</v>
      </c>
      <c r="K72" s="163">
        <v>1</v>
      </c>
      <c r="M72">
        <f t="shared" si="2"/>
        <v>0</v>
      </c>
    </row>
    <row r="73" spans="1:13" x14ac:dyDescent="0.25">
      <c r="A73">
        <v>51</v>
      </c>
      <c r="C73" s="155" t="s">
        <v>262</v>
      </c>
      <c r="E73" s="157">
        <v>376</v>
      </c>
      <c r="G73" s="69">
        <v>718929</v>
      </c>
      <c r="I73" s="2">
        <v>0</v>
      </c>
      <c r="K73" s="163">
        <v>1</v>
      </c>
      <c r="M73" s="2">
        <f t="shared" si="2"/>
        <v>0</v>
      </c>
    </row>
    <row r="74" spans="1:13" x14ac:dyDescent="0.25">
      <c r="C74" s="156" t="s">
        <v>270</v>
      </c>
      <c r="G74" s="201">
        <f>SUM(G22:G73)</f>
        <v>16445848</v>
      </c>
      <c r="I74" s="164">
        <f>SUM(I22:I73)</f>
        <v>0</v>
      </c>
      <c r="M74" s="164">
        <f>SUM(M22:M73)</f>
        <v>0</v>
      </c>
    </row>
    <row r="75" spans="1:13" x14ac:dyDescent="0.25">
      <c r="C75" s="156"/>
      <c r="G75" s="164"/>
      <c r="I75" s="164"/>
      <c r="M75" s="164"/>
    </row>
    <row r="76" spans="1:13" x14ac:dyDescent="0.25">
      <c r="C76" s="162" t="s">
        <v>271</v>
      </c>
      <c r="G76" s="4"/>
    </row>
    <row r="77" spans="1:13" x14ac:dyDescent="0.25">
      <c r="A77">
        <v>52</v>
      </c>
      <c r="C77" s="159" t="s">
        <v>272</v>
      </c>
      <c r="E77" s="157">
        <v>390</v>
      </c>
      <c r="G77" s="68">
        <v>76459</v>
      </c>
      <c r="I77">
        <v>0</v>
      </c>
      <c r="K77" s="163">
        <v>1</v>
      </c>
      <c r="M77">
        <f t="shared" ref="M77:M84" si="3">ROUND(I77*K77,0)</f>
        <v>0</v>
      </c>
    </row>
    <row r="78" spans="1:13" x14ac:dyDescent="0.25">
      <c r="A78">
        <v>53</v>
      </c>
      <c r="C78" s="159" t="s">
        <v>273</v>
      </c>
      <c r="E78" s="157">
        <v>394</v>
      </c>
      <c r="G78" s="68">
        <v>9462</v>
      </c>
      <c r="I78">
        <v>0</v>
      </c>
      <c r="K78" s="163">
        <v>1</v>
      </c>
      <c r="M78">
        <f t="shared" si="3"/>
        <v>0</v>
      </c>
    </row>
    <row r="79" spans="1:13" x14ac:dyDescent="0.25">
      <c r="A79">
        <v>54</v>
      </c>
      <c r="C79" s="159" t="s">
        <v>274</v>
      </c>
      <c r="E79" s="157">
        <v>392</v>
      </c>
      <c r="G79" s="68">
        <v>2201</v>
      </c>
      <c r="I79">
        <v>0</v>
      </c>
      <c r="K79" s="163">
        <v>1</v>
      </c>
      <c r="M79">
        <f t="shared" si="3"/>
        <v>0</v>
      </c>
    </row>
    <row r="80" spans="1:13" x14ac:dyDescent="0.25">
      <c r="A80">
        <v>55</v>
      </c>
      <c r="C80" s="159" t="s">
        <v>275</v>
      </c>
      <c r="E80" s="157">
        <v>394</v>
      </c>
      <c r="G80" s="68">
        <v>5780</v>
      </c>
      <c r="I80">
        <v>0</v>
      </c>
      <c r="K80" s="163">
        <v>1</v>
      </c>
      <c r="M80">
        <f t="shared" si="3"/>
        <v>0</v>
      </c>
    </row>
    <row r="81" spans="1:13" x14ac:dyDescent="0.25">
      <c r="A81">
        <v>56</v>
      </c>
      <c r="C81" s="159" t="s">
        <v>276</v>
      </c>
      <c r="E81" s="157">
        <v>391</v>
      </c>
      <c r="G81" s="68">
        <v>62472</v>
      </c>
      <c r="I81">
        <v>0</v>
      </c>
      <c r="K81" s="158">
        <v>0.77239999999999998</v>
      </c>
      <c r="M81">
        <f t="shared" si="3"/>
        <v>0</v>
      </c>
    </row>
    <row r="82" spans="1:13" x14ac:dyDescent="0.25">
      <c r="A82">
        <v>57</v>
      </c>
      <c r="C82" s="159" t="s">
        <v>277</v>
      </c>
      <c r="E82" s="157">
        <v>391</v>
      </c>
      <c r="G82" s="68">
        <v>143096</v>
      </c>
      <c r="I82">
        <v>0</v>
      </c>
      <c r="K82" s="158">
        <v>0.77239999999999998</v>
      </c>
      <c r="M82">
        <f t="shared" si="3"/>
        <v>0</v>
      </c>
    </row>
    <row r="83" spans="1:13" x14ac:dyDescent="0.25">
      <c r="A83">
        <v>58</v>
      </c>
      <c r="C83" s="159" t="s">
        <v>278</v>
      </c>
      <c r="E83" s="157">
        <v>394</v>
      </c>
      <c r="G83" s="68">
        <v>765838</v>
      </c>
      <c r="I83">
        <v>0</v>
      </c>
      <c r="K83" s="158">
        <v>0.77239999999999998</v>
      </c>
      <c r="M83">
        <f t="shared" si="3"/>
        <v>0</v>
      </c>
    </row>
    <row r="84" spans="1:13" x14ac:dyDescent="0.25">
      <c r="A84">
        <v>59</v>
      </c>
      <c r="C84" s="159" t="s">
        <v>279</v>
      </c>
      <c r="E84" s="157">
        <v>303</v>
      </c>
      <c r="G84" s="69">
        <v>172112</v>
      </c>
      <c r="I84" s="2">
        <v>0</v>
      </c>
      <c r="K84" s="158">
        <v>0.77239999999999998</v>
      </c>
      <c r="M84" s="2">
        <f t="shared" si="3"/>
        <v>0</v>
      </c>
    </row>
    <row r="85" spans="1:13" x14ac:dyDescent="0.25">
      <c r="C85" s="156" t="s">
        <v>280</v>
      </c>
      <c r="G85" s="201">
        <f>SUM(G77:G84)</f>
        <v>1237420</v>
      </c>
      <c r="I85" s="164">
        <f>SUM(I77:I84)</f>
        <v>0</v>
      </c>
      <c r="M85" s="164">
        <f>SUM(M77:M84)</f>
        <v>0</v>
      </c>
    </row>
    <row r="86" spans="1:13" ht="16.5" thickBot="1" x14ac:dyDescent="0.3">
      <c r="C86" s="156" t="s">
        <v>397</v>
      </c>
      <c r="G86" s="202">
        <f>G85+G74+G19</f>
        <v>18845799</v>
      </c>
      <c r="I86" s="202">
        <f>I85+I74+I19</f>
        <v>0</v>
      </c>
      <c r="M86" s="202">
        <f>M85+M74+M19</f>
        <v>0</v>
      </c>
    </row>
    <row r="87" spans="1:13" ht="16.5" thickTop="1" x14ac:dyDescent="0.25">
      <c r="C87" s="3"/>
    </row>
  </sheetData>
  <pageMargins left="0.7" right="0.7" top="0.75" bottom="0.75" header="0.3" footer="0.3"/>
  <pageSetup scale="78" fitToHeight="2" orientation="portrait" horizontalDpi="0" verticalDpi="0"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topLeftCell="A11" workbookViewId="0">
      <selection activeCell="F27" sqref="F27"/>
    </sheetView>
  </sheetViews>
  <sheetFormatPr defaultRowHeight="15.75" x14ac:dyDescent="0.25"/>
  <cols>
    <col min="1" max="1" width="4.625" customWidth="1"/>
    <col min="2" max="2" width="1.125" customWidth="1"/>
    <col min="3" max="3" width="37.625" customWidth="1"/>
    <col min="4" max="4" width="9.875" customWidth="1"/>
    <col min="5" max="5" width="0.625" customWidth="1"/>
    <col min="6" max="6" width="12.5" customWidth="1"/>
    <col min="7" max="7" width="1" customWidth="1"/>
    <col min="8" max="8" width="13.25" bestFit="1" customWidth="1"/>
  </cols>
  <sheetData>
    <row r="1" spans="1:8" x14ac:dyDescent="0.25">
      <c r="A1" s="119" t="s">
        <v>172</v>
      </c>
      <c r="H1" s="123" t="s">
        <v>91</v>
      </c>
    </row>
    <row r="2" spans="1:8" x14ac:dyDescent="0.25">
      <c r="A2" t="s">
        <v>185</v>
      </c>
      <c r="H2" s="112" t="s">
        <v>175</v>
      </c>
    </row>
    <row r="3" spans="1:8" x14ac:dyDescent="0.25">
      <c r="H3" s="123" t="s">
        <v>402</v>
      </c>
    </row>
    <row r="4" spans="1:8" x14ac:dyDescent="0.25">
      <c r="A4" s="36" t="s">
        <v>94</v>
      </c>
      <c r="H4" s="112"/>
    </row>
    <row r="5" spans="1:8" x14ac:dyDescent="0.25">
      <c r="A5" s="120"/>
      <c r="B5" s="42"/>
      <c r="H5" s="43"/>
    </row>
    <row r="6" spans="1:8" x14ac:dyDescent="0.25">
      <c r="A6" s="121" t="s">
        <v>372</v>
      </c>
      <c r="B6" s="42"/>
      <c r="C6" s="122"/>
      <c r="D6" s="42"/>
      <c r="E6" s="42"/>
      <c r="F6" s="42"/>
      <c r="G6" s="42"/>
      <c r="H6" s="43"/>
    </row>
    <row r="7" spans="1:8" x14ac:dyDescent="0.25">
      <c r="B7" s="6"/>
      <c r="C7" s="6"/>
      <c r="D7" s="6"/>
      <c r="E7" s="6"/>
      <c r="F7" s="6"/>
      <c r="G7" s="6"/>
      <c r="H7" s="44"/>
    </row>
    <row r="8" spans="1:8" x14ac:dyDescent="0.25">
      <c r="B8" s="6"/>
      <c r="C8" s="6"/>
      <c r="D8" s="6"/>
      <c r="E8" s="6"/>
      <c r="G8" s="37"/>
      <c r="H8" s="44"/>
    </row>
    <row r="9" spans="1:8" x14ac:dyDescent="0.25">
      <c r="A9" t="s">
        <v>0</v>
      </c>
      <c r="B9" s="6"/>
      <c r="C9" s="6"/>
      <c r="D9" s="6"/>
      <c r="E9" s="11"/>
      <c r="F9" s="37" t="s">
        <v>332</v>
      </c>
      <c r="G9" s="37"/>
      <c r="H9" s="115" t="s">
        <v>73</v>
      </c>
    </row>
    <row r="10" spans="1:8" x14ac:dyDescent="0.25">
      <c r="A10" s="2" t="s">
        <v>3</v>
      </c>
      <c r="B10" s="6"/>
      <c r="C10" s="45" t="s">
        <v>1</v>
      </c>
      <c r="D10" s="17"/>
      <c r="E10" s="16"/>
      <c r="F10" s="113" t="s">
        <v>5</v>
      </c>
      <c r="G10" s="40"/>
      <c r="H10" s="114" t="s">
        <v>74</v>
      </c>
    </row>
    <row r="11" spans="1:8" x14ac:dyDescent="0.25">
      <c r="A11" s="4"/>
      <c r="B11" s="6"/>
      <c r="C11" s="17"/>
      <c r="D11" s="17"/>
      <c r="E11" s="16"/>
      <c r="F11" s="171" t="s">
        <v>37</v>
      </c>
      <c r="G11" s="40"/>
      <c r="H11" s="172" t="s">
        <v>38</v>
      </c>
    </row>
    <row r="13" spans="1:8" x14ac:dyDescent="0.25">
      <c r="A13">
        <v>1</v>
      </c>
      <c r="C13" s="9" t="s">
        <v>378</v>
      </c>
      <c r="F13" s="20">
        <v>109633</v>
      </c>
      <c r="G13" s="20"/>
      <c r="H13" s="20"/>
    </row>
    <row r="14" spans="1:8" x14ac:dyDescent="0.25">
      <c r="A14">
        <v>2</v>
      </c>
      <c r="C14" s="9" t="s">
        <v>364</v>
      </c>
      <c r="F14" s="20">
        <v>298512</v>
      </c>
      <c r="G14" s="20"/>
    </row>
    <row r="15" spans="1:8" x14ac:dyDescent="0.25">
      <c r="A15">
        <v>3</v>
      </c>
      <c r="C15" s="9" t="s">
        <v>365</v>
      </c>
      <c r="F15" s="20"/>
      <c r="G15" s="20"/>
      <c r="H15" s="20">
        <v>351060</v>
      </c>
    </row>
    <row r="16" spans="1:8" x14ac:dyDescent="0.25">
      <c r="A16">
        <v>4</v>
      </c>
      <c r="C16" s="9" t="s">
        <v>366</v>
      </c>
      <c r="F16" s="21"/>
      <c r="G16" s="20"/>
      <c r="H16" s="21">
        <v>131000</v>
      </c>
    </row>
    <row r="17" spans="1:8" x14ac:dyDescent="0.25">
      <c r="F17" s="20"/>
      <c r="G17" s="20"/>
      <c r="H17" s="20"/>
    </row>
    <row r="18" spans="1:8" x14ac:dyDescent="0.25">
      <c r="A18">
        <v>5</v>
      </c>
      <c r="C18" t="s">
        <v>4</v>
      </c>
      <c r="F18" s="20">
        <f>SUM(F13:F16)</f>
        <v>408145</v>
      </c>
      <c r="G18" s="20"/>
      <c r="H18" s="20">
        <f>SUM(H13:H16)</f>
        <v>482060</v>
      </c>
    </row>
    <row r="19" spans="1:8" x14ac:dyDescent="0.25">
      <c r="A19">
        <v>6</v>
      </c>
      <c r="C19" t="s">
        <v>368</v>
      </c>
      <c r="F19" s="190" t="s">
        <v>367</v>
      </c>
      <c r="G19" s="20"/>
      <c r="H19" s="21">
        <v>3</v>
      </c>
    </row>
    <row r="20" spans="1:8" x14ac:dyDescent="0.25">
      <c r="F20" s="20"/>
      <c r="G20" s="20"/>
      <c r="H20" s="20"/>
    </row>
    <row r="21" spans="1:8" x14ac:dyDescent="0.25">
      <c r="A21">
        <v>7</v>
      </c>
      <c r="C21" t="s">
        <v>369</v>
      </c>
      <c r="F21" s="22">
        <f>F18</f>
        <v>408145</v>
      </c>
      <c r="G21" s="22"/>
      <c r="H21" s="22">
        <f>H18/H19</f>
        <v>160686.66666666666</v>
      </c>
    </row>
    <row r="22" spans="1:8" x14ac:dyDescent="0.25">
      <c r="A22">
        <v>8</v>
      </c>
      <c r="C22" t="s">
        <v>371</v>
      </c>
      <c r="F22" s="21">
        <f>F13</f>
        <v>109633</v>
      </c>
      <c r="G22" s="20"/>
      <c r="H22" s="21">
        <f>F13</f>
        <v>109633</v>
      </c>
    </row>
    <row r="23" spans="1:8" x14ac:dyDescent="0.25">
      <c r="F23" s="20"/>
      <c r="G23" s="20"/>
      <c r="H23" s="20"/>
    </row>
    <row r="24" spans="1:8" ht="16.5" thickBot="1" x14ac:dyDescent="0.3">
      <c r="A24">
        <v>9</v>
      </c>
      <c r="C24" t="s">
        <v>370</v>
      </c>
      <c r="F24" s="170">
        <f>F21-F22</f>
        <v>298512</v>
      </c>
      <c r="G24" s="20"/>
      <c r="H24" s="170">
        <f>H21-H22</f>
        <v>51053.666666666657</v>
      </c>
    </row>
    <row r="25" spans="1:8" ht="16.5" thickTop="1" x14ac:dyDescent="0.25">
      <c r="F25" s="22"/>
      <c r="G25" s="20"/>
      <c r="H25" s="22"/>
    </row>
    <row r="26" spans="1:8" x14ac:dyDescent="0.25">
      <c r="A26">
        <v>10</v>
      </c>
      <c r="C26" t="s">
        <v>406</v>
      </c>
      <c r="F26" s="22"/>
      <c r="G26" s="20"/>
      <c r="H26" s="191">
        <f>H24-F24</f>
        <v>-247458.33333333334</v>
      </c>
    </row>
    <row r="29" spans="1:8" x14ac:dyDescent="0.25">
      <c r="C29" s="3" t="s">
        <v>340</v>
      </c>
    </row>
    <row r="30" spans="1:8" x14ac:dyDescent="0.25">
      <c r="C30" t="s">
        <v>373</v>
      </c>
    </row>
    <row r="31" spans="1:8" x14ac:dyDescent="0.25">
      <c r="C31" t="s">
        <v>374</v>
      </c>
    </row>
    <row r="32" spans="1:8" x14ac:dyDescent="0.25">
      <c r="C32" t="s">
        <v>375</v>
      </c>
    </row>
    <row r="33" spans="3:3" x14ac:dyDescent="0.25">
      <c r="C33" t="s">
        <v>376</v>
      </c>
    </row>
    <row r="34" spans="3:3" x14ac:dyDescent="0.25">
      <c r="C34" t="s">
        <v>377</v>
      </c>
    </row>
    <row r="36" spans="3:3" x14ac:dyDescent="0.25">
      <c r="C36" t="s">
        <v>408</v>
      </c>
    </row>
    <row r="37" spans="3:3" x14ac:dyDescent="0.25">
      <c r="C37" t="s">
        <v>409</v>
      </c>
    </row>
    <row r="38" spans="3:3" x14ac:dyDescent="0.25">
      <c r="C38" t="s">
        <v>410</v>
      </c>
    </row>
    <row r="39" spans="3:3" x14ac:dyDescent="0.25">
      <c r="C39" t="s">
        <v>411</v>
      </c>
    </row>
  </sheetData>
  <pageMargins left="0.7" right="0.7" top="0.75" bottom="0.75" header="0.3" footer="0.3"/>
  <pageSetup scale="94"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opLeftCell="A22" workbookViewId="0">
      <selection activeCell="F29" sqref="F29"/>
    </sheetView>
  </sheetViews>
  <sheetFormatPr defaultRowHeight="15.75" x14ac:dyDescent="0.25"/>
  <cols>
    <col min="1" max="1" width="4.625" customWidth="1"/>
    <col min="2" max="2" width="1.125" customWidth="1"/>
    <col min="3" max="3" width="37.625" customWidth="1"/>
    <col min="4" max="4" width="9.875" customWidth="1"/>
    <col min="5" max="5" width="0.625" customWidth="1"/>
    <col min="6" max="6" width="12.5" customWidth="1"/>
    <col min="7" max="7" width="1" customWidth="1"/>
    <col min="8" max="8" width="13.25" bestFit="1" customWidth="1"/>
  </cols>
  <sheetData>
    <row r="1" spans="1:8" x14ac:dyDescent="0.25">
      <c r="A1" s="119" t="s">
        <v>172</v>
      </c>
      <c r="H1" s="123" t="s">
        <v>91</v>
      </c>
    </row>
    <row r="2" spans="1:8" x14ac:dyDescent="0.25">
      <c r="A2" t="s">
        <v>189</v>
      </c>
      <c r="H2" s="112" t="s">
        <v>175</v>
      </c>
    </row>
    <row r="3" spans="1:8" x14ac:dyDescent="0.25">
      <c r="A3" t="s">
        <v>337</v>
      </c>
      <c r="H3" s="123" t="s">
        <v>403</v>
      </c>
    </row>
    <row r="4" spans="1:8" x14ac:dyDescent="0.25">
      <c r="A4" s="36" t="s">
        <v>94</v>
      </c>
      <c r="H4" s="112"/>
    </row>
    <row r="5" spans="1:8" x14ac:dyDescent="0.25">
      <c r="A5" s="120"/>
      <c r="B5" s="42"/>
      <c r="H5" s="43"/>
    </row>
    <row r="6" spans="1:8" x14ac:dyDescent="0.25">
      <c r="A6" s="121" t="s">
        <v>336</v>
      </c>
      <c r="B6" s="42"/>
      <c r="C6" s="122"/>
      <c r="D6" s="42"/>
      <c r="E6" s="42"/>
      <c r="F6" s="42"/>
      <c r="G6" s="42"/>
      <c r="H6" s="43"/>
    </row>
    <row r="7" spans="1:8" x14ac:dyDescent="0.25">
      <c r="B7" s="6"/>
      <c r="C7" s="6"/>
      <c r="D7" s="6"/>
      <c r="E7" s="6"/>
      <c r="F7" s="6"/>
      <c r="G7" s="6"/>
      <c r="H7" s="44"/>
    </row>
    <row r="8" spans="1:8" x14ac:dyDescent="0.25">
      <c r="B8" s="6"/>
      <c r="C8" s="6"/>
      <c r="D8" s="6"/>
      <c r="E8" s="6"/>
      <c r="G8" s="37"/>
      <c r="H8" s="44"/>
    </row>
    <row r="9" spans="1:8" x14ac:dyDescent="0.25">
      <c r="A9" t="s">
        <v>0</v>
      </c>
      <c r="B9" s="6"/>
      <c r="C9" s="6"/>
      <c r="D9" s="6"/>
      <c r="E9" s="11"/>
      <c r="F9" s="37" t="s">
        <v>332</v>
      </c>
      <c r="G9" s="37"/>
      <c r="H9" s="115" t="s">
        <v>73</v>
      </c>
    </row>
    <row r="10" spans="1:8" x14ac:dyDescent="0.25">
      <c r="A10" s="2" t="s">
        <v>3</v>
      </c>
      <c r="B10" s="6"/>
      <c r="C10" s="45" t="s">
        <v>1</v>
      </c>
      <c r="D10" s="17"/>
      <c r="E10" s="16"/>
      <c r="F10" s="113" t="s">
        <v>5</v>
      </c>
      <c r="G10" s="40"/>
      <c r="H10" s="114" t="s">
        <v>74</v>
      </c>
    </row>
    <row r="11" spans="1:8" x14ac:dyDescent="0.25">
      <c r="A11" s="4"/>
      <c r="B11" s="6"/>
      <c r="C11" s="17"/>
      <c r="D11" s="17"/>
      <c r="E11" s="16"/>
      <c r="F11" s="171" t="s">
        <v>37</v>
      </c>
      <c r="G11" s="40"/>
      <c r="H11" s="172" t="s">
        <v>38</v>
      </c>
    </row>
    <row r="13" spans="1:8" x14ac:dyDescent="0.25">
      <c r="A13">
        <v>1</v>
      </c>
      <c r="C13" s="9" t="s">
        <v>333</v>
      </c>
      <c r="F13" s="20">
        <v>2219857</v>
      </c>
      <c r="G13" s="20"/>
      <c r="H13" s="20">
        <v>2219857</v>
      </c>
    </row>
    <row r="14" spans="1:8" x14ac:dyDescent="0.25">
      <c r="A14">
        <v>2</v>
      </c>
      <c r="C14" s="9" t="s">
        <v>342</v>
      </c>
      <c r="F14" s="20">
        <v>5000000</v>
      </c>
      <c r="G14" s="20"/>
    </row>
    <row r="15" spans="1:8" x14ac:dyDescent="0.25">
      <c r="A15">
        <v>3</v>
      </c>
      <c r="C15" s="9" t="s">
        <v>338</v>
      </c>
      <c r="F15" s="20"/>
      <c r="G15" s="20"/>
      <c r="H15" s="20">
        <f>3411603-400000-40000-100000</f>
        <v>2871603</v>
      </c>
    </row>
    <row r="16" spans="1:8" x14ac:dyDescent="0.25">
      <c r="A16">
        <v>4</v>
      </c>
      <c r="C16" s="9" t="s">
        <v>339</v>
      </c>
      <c r="F16" s="20"/>
      <c r="G16" s="20"/>
      <c r="H16" s="20">
        <f>344222+24645</f>
        <v>368867</v>
      </c>
    </row>
    <row r="17" spans="1:8" x14ac:dyDescent="0.25">
      <c r="A17">
        <v>5</v>
      </c>
      <c r="C17" s="9" t="s">
        <v>343</v>
      </c>
      <c r="F17" s="21">
        <v>2371011</v>
      </c>
      <c r="G17" s="20"/>
      <c r="H17" s="21"/>
    </row>
    <row r="18" spans="1:8" x14ac:dyDescent="0.25">
      <c r="F18" s="20"/>
      <c r="G18" s="20"/>
      <c r="H18" s="20"/>
    </row>
    <row r="19" spans="1:8" x14ac:dyDescent="0.25">
      <c r="A19">
        <v>6</v>
      </c>
      <c r="C19" t="s">
        <v>4</v>
      </c>
      <c r="F19" s="20">
        <f>SUM(F13:F17)</f>
        <v>9590868</v>
      </c>
      <c r="G19" s="20"/>
      <c r="H19" s="20">
        <f>SUM(H13:H17)</f>
        <v>5460327</v>
      </c>
    </row>
    <row r="20" spans="1:8" x14ac:dyDescent="0.25">
      <c r="A20">
        <v>7</v>
      </c>
      <c r="C20" t="s">
        <v>334</v>
      </c>
      <c r="F20" s="21">
        <v>10</v>
      </c>
      <c r="G20" s="20"/>
      <c r="H20" s="21">
        <v>10</v>
      </c>
    </row>
    <row r="21" spans="1:8" x14ac:dyDescent="0.25">
      <c r="F21" s="20"/>
      <c r="G21" s="20"/>
      <c r="H21" s="20"/>
    </row>
    <row r="22" spans="1:8" ht="16.5" thickBot="1" x14ac:dyDescent="0.3">
      <c r="A22">
        <v>8</v>
      </c>
      <c r="C22" t="s">
        <v>335</v>
      </c>
      <c r="F22" s="170">
        <f>F19/F20</f>
        <v>959086.8</v>
      </c>
      <c r="G22" s="20"/>
      <c r="H22" s="170">
        <f>H19/H20</f>
        <v>546032.69999999995</v>
      </c>
    </row>
    <row r="23" spans="1:8" ht="16.5" thickTop="1" x14ac:dyDescent="0.25">
      <c r="F23" s="20"/>
      <c r="G23" s="20"/>
      <c r="H23" s="20"/>
    </row>
    <row r="24" spans="1:8" x14ac:dyDescent="0.25">
      <c r="F24" s="20"/>
      <c r="G24" s="20"/>
      <c r="H24" s="20"/>
    </row>
    <row r="25" spans="1:8" x14ac:dyDescent="0.25">
      <c r="C25" s="3" t="s">
        <v>340</v>
      </c>
      <c r="F25" s="20"/>
      <c r="G25" s="20"/>
      <c r="H25" s="20"/>
    </row>
    <row r="26" spans="1:8" x14ac:dyDescent="0.25">
      <c r="C26" t="s">
        <v>341</v>
      </c>
    </row>
    <row r="27" spans="1:8" x14ac:dyDescent="0.25">
      <c r="C27" t="s">
        <v>344</v>
      </c>
    </row>
    <row r="29" spans="1:8" x14ac:dyDescent="0.25">
      <c r="C29" t="s">
        <v>418</v>
      </c>
    </row>
    <row r="30" spans="1:8" x14ac:dyDescent="0.25">
      <c r="C30" s="9" t="s">
        <v>413</v>
      </c>
    </row>
    <row r="31" spans="1:8" x14ac:dyDescent="0.25">
      <c r="C31" t="s">
        <v>412</v>
      </c>
    </row>
    <row r="32" spans="1:8" x14ac:dyDescent="0.25">
      <c r="C32" s="9" t="s">
        <v>415</v>
      </c>
    </row>
    <row r="33" spans="3:3" x14ac:dyDescent="0.25">
      <c r="C33" t="s">
        <v>414</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sqref="A1:E1"/>
    </sheetView>
  </sheetViews>
  <sheetFormatPr defaultRowHeight="15.75" x14ac:dyDescent="0.25"/>
  <cols>
    <col min="1" max="1" width="4.625" customWidth="1"/>
    <col min="2" max="2" width="1.125" customWidth="1"/>
    <col min="3" max="3" width="53.625" customWidth="1"/>
    <col min="4" max="4" width="9.875" customWidth="1"/>
    <col min="5" max="5" width="13" customWidth="1"/>
    <col min="6" max="6" width="0.625" customWidth="1"/>
    <col min="7" max="7" width="12.5" customWidth="1"/>
    <col min="8" max="8" width="1" customWidth="1"/>
    <col min="9" max="9" width="13.25" bestFit="1" customWidth="1"/>
  </cols>
  <sheetData>
    <row r="1" spans="1:9" x14ac:dyDescent="0.25">
      <c r="A1" s="119" t="s">
        <v>172</v>
      </c>
      <c r="E1" s="123" t="s">
        <v>91</v>
      </c>
    </row>
    <row r="2" spans="1:9" x14ac:dyDescent="0.25">
      <c r="A2" t="s">
        <v>287</v>
      </c>
      <c r="E2" s="112" t="s">
        <v>208</v>
      </c>
    </row>
    <row r="3" spans="1:9" x14ac:dyDescent="0.25">
      <c r="A3" t="s">
        <v>288</v>
      </c>
      <c r="I3" s="123"/>
    </row>
    <row r="4" spans="1:9" x14ac:dyDescent="0.25">
      <c r="A4" s="36" t="s">
        <v>94</v>
      </c>
      <c r="E4" s="112" t="s">
        <v>394</v>
      </c>
      <c r="I4" s="112"/>
    </row>
    <row r="5" spans="1:9" x14ac:dyDescent="0.25">
      <c r="A5" s="120"/>
      <c r="B5" s="42"/>
      <c r="I5" s="43"/>
    </row>
    <row r="6" spans="1:9" x14ac:dyDescent="0.25">
      <c r="A6" s="121" t="s">
        <v>289</v>
      </c>
      <c r="B6" s="42"/>
      <c r="C6" s="122"/>
      <c r="D6" s="42"/>
      <c r="E6" s="42"/>
      <c r="F6" s="42"/>
      <c r="G6" s="42"/>
      <c r="H6" s="42"/>
      <c r="I6" s="43"/>
    </row>
    <row r="7" spans="1:9" x14ac:dyDescent="0.25">
      <c r="B7" s="6"/>
      <c r="C7" s="6"/>
      <c r="D7" s="6"/>
      <c r="E7" s="6"/>
      <c r="F7" s="6"/>
      <c r="G7" s="6"/>
      <c r="H7" s="6"/>
      <c r="I7" s="44"/>
    </row>
    <row r="8" spans="1:9" x14ac:dyDescent="0.25">
      <c r="A8" t="s">
        <v>0</v>
      </c>
    </row>
    <row r="9" spans="1:9" x14ac:dyDescent="0.25">
      <c r="A9" t="s">
        <v>3</v>
      </c>
      <c r="C9" s="2" t="s">
        <v>1</v>
      </c>
      <c r="E9" s="8" t="s">
        <v>2</v>
      </c>
    </row>
    <row r="11" spans="1:9" x14ac:dyDescent="0.25">
      <c r="A11">
        <v>1</v>
      </c>
      <c r="C11" t="s">
        <v>290</v>
      </c>
      <c r="E11" s="68">
        <v>4154374</v>
      </c>
    </row>
    <row r="12" spans="1:9" x14ac:dyDescent="0.25">
      <c r="A12">
        <v>2</v>
      </c>
      <c r="C12" t="s">
        <v>291</v>
      </c>
      <c r="E12" s="124">
        <v>0.35</v>
      </c>
    </row>
    <row r="13" spans="1:9" x14ac:dyDescent="0.25">
      <c r="A13">
        <v>3</v>
      </c>
      <c r="C13" t="s">
        <v>292</v>
      </c>
      <c r="E13" s="165">
        <v>0.21</v>
      </c>
    </row>
    <row r="14" spans="1:9" x14ac:dyDescent="0.25">
      <c r="A14">
        <v>4</v>
      </c>
      <c r="C14" t="s">
        <v>293</v>
      </c>
    </row>
    <row r="15" spans="1:9" x14ac:dyDescent="0.25">
      <c r="C15" t="s">
        <v>294</v>
      </c>
      <c r="E15" s="69">
        <f>ROUND(E11/E12*E13,0)</f>
        <v>2492624</v>
      </c>
    </row>
    <row r="16" spans="1:9" x14ac:dyDescent="0.25">
      <c r="E16" s="68"/>
    </row>
    <row r="17" spans="1:5" x14ac:dyDescent="0.25">
      <c r="A17">
        <v>5</v>
      </c>
      <c r="C17" t="s">
        <v>295</v>
      </c>
      <c r="E17" s="68"/>
    </row>
    <row r="18" spans="1:5" ht="16.5" thickBot="1" x14ac:dyDescent="0.3">
      <c r="C18" t="s">
        <v>296</v>
      </c>
      <c r="E18" s="71">
        <f>E15-E11</f>
        <v>-1661750</v>
      </c>
    </row>
    <row r="19" spans="1:5" ht="16.5" thickTop="1" x14ac:dyDescent="0.25">
      <c r="E19" s="68"/>
    </row>
    <row r="22" spans="1:5" x14ac:dyDescent="0.25">
      <c r="C22" s="3" t="s">
        <v>297</v>
      </c>
    </row>
    <row r="23" spans="1:5" x14ac:dyDescent="0.25">
      <c r="C23" s="4" t="s">
        <v>298</v>
      </c>
    </row>
    <row r="24" spans="1:5" x14ac:dyDescent="0.25">
      <c r="C24" t="s">
        <v>299</v>
      </c>
    </row>
    <row r="25" spans="1:5" x14ac:dyDescent="0.25">
      <c r="C25" t="s">
        <v>300</v>
      </c>
    </row>
    <row r="26" spans="1:5" x14ac:dyDescent="0.25">
      <c r="C26" t="s">
        <v>301</v>
      </c>
    </row>
  </sheetData>
  <pageMargins left="0.7" right="0.7" top="0.75" bottom="0.75" header="0.3" footer="0.3"/>
  <pageSetup scale="8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SignificantOrder xmlns="dc463f71-b30c-4ab2-9473-d307f9d35888">false</SignificantOrder>
    <Date1 xmlns="dc463f71-b30c-4ab2-9473-d307f9d35888">2018-02-15T08:00:00+00:00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DelegatedOrder xmlns="dc463f71-b30c-4ab2-9473-d307f9d35888">false</DelegatedOrder>
  </documentManagement>
</p:properties>
</file>

<file path=customXml/itemProps1.xml><?xml version="1.0" encoding="utf-8"?>
<ds:datastoreItem xmlns:ds="http://schemas.openxmlformats.org/officeDocument/2006/customXml" ds:itemID="{868ACA01-9485-4012-B826-8A43C1AA5FF4}"/>
</file>

<file path=customXml/itemProps2.xml><?xml version="1.0" encoding="utf-8"?>
<ds:datastoreItem xmlns:ds="http://schemas.openxmlformats.org/officeDocument/2006/customXml" ds:itemID="{D1B8AF38-E3B2-46DB-B137-93C6137E1E17}"/>
</file>

<file path=customXml/itemProps3.xml><?xml version="1.0" encoding="utf-8"?>
<ds:datastoreItem xmlns:ds="http://schemas.openxmlformats.org/officeDocument/2006/customXml" ds:itemID="{EF57D31E-2D56-4ECE-9D75-76F59F441425}"/>
</file>

<file path=customXml/itemProps4.xml><?xml version="1.0" encoding="utf-8"?>
<ds:datastoreItem xmlns:ds="http://schemas.openxmlformats.org/officeDocument/2006/customXml" ds:itemID="{7F548FCB-9AE7-4C29-B4BC-58FEBA4522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DMR-2</vt:lpstr>
      <vt:lpstr>DMR3p1</vt:lpstr>
      <vt:lpstr>DMR3p2</vt:lpstr>
      <vt:lpstr>DMR4</vt:lpstr>
      <vt:lpstr>DMR5_P-1_IntSync</vt:lpstr>
      <vt:lpstr>DMR5_P-3_PlantAds</vt:lpstr>
      <vt:lpstr>DMR5_P-4_RateCase</vt:lpstr>
      <vt:lpstr>DMR5_P-6_MAOP</vt:lpstr>
      <vt:lpstr>DMR-6_PC-1_Tax</vt:lpstr>
      <vt:lpstr>DMR-6_PC-3_MDU</vt:lpstr>
      <vt:lpstr>DMR-6_PC-7_Incent</vt:lpstr>
      <vt:lpstr>'DMR4'!Print_Titles</vt:lpstr>
    </vt:vector>
  </TitlesOfParts>
  <Company>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Mak, Chanda (ATG)</cp:lastModifiedBy>
  <cp:lastPrinted>2018-02-13T19:57:09Z</cp:lastPrinted>
  <dcterms:created xsi:type="dcterms:W3CDTF">1998-04-03T16:01:20Z</dcterms:created>
  <dcterms:modified xsi:type="dcterms:W3CDTF">2018-02-14T21:39:20Z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0x0101006E56B4D1795A2E4DB2F0B01679ED314A008206095F44BB694BA20BDD0C7793D36E</vt:lpwstr>
  </property>
  <property fmtid="{D5CDD505-2E9C-101B-9397-08002B2CF9AE}" pid="3" name="_docset_NoMedatataSyncRequired">
    <vt:lpwstr>False</vt:lpwstr>
  </property>
  <property fmtid="{D5CDD505-2E9C-101B-9397-08002B2CF9AE}" pid="4" name="IsEFSEC">
    <vt:bool>false</vt:bool>
  </property>
</Properties>
</file>