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2021-2022 GRC\Wetherbee\"/>
    </mc:Choice>
  </mc:AlternateContent>
  <xr:revisionPtr revIDLastSave="0" documentId="13_ncr:1_{2490D6BF-D022-4C8F-8A0C-AC505A43742C}" xr6:coauthVersionLast="46" xr6:coauthVersionMax="46" xr10:uidLastSave="{00000000-0000-0000-0000-000000000000}"/>
  <bookViews>
    <workbookView xWindow="28680" yWindow="435" windowWidth="25440" windowHeight="15390" firstSheet="6" activeTab="6" xr2:uid="{00000000-000D-0000-FFFF-FFFF00000000}"/>
  </bookViews>
  <sheets>
    <sheet name="Confidential" sheetId="38" r:id="rId1"/>
    <sheet name="4C Power Cost summary" sheetId="1" r:id="rId2"/>
    <sheet name="8C Summary by resource" sheetId="6" r:id="rId3"/>
    <sheet name="9C Aurora total" sheetId="5" r:id="rId4"/>
    <sheet name="10C Not in Aurora" sheetId="10" r:id="rId5"/>
    <sheet name="14 EIM GHG" sheetId="47" r:id="rId6"/>
    <sheet name="28 FERC 557 Costs" sheetId="46" r:id="rId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Aurora'!$A$1:$Q$41</definedName>
    <definedName name="_xlnm.Print_Area" localSheetId="5">'14 EIM GHG'!$A$1:$G$15</definedName>
    <definedName name="_xlnm.Print_Area" localSheetId="6">'28 FERC 557 Costs'!$A$1:$D$31</definedName>
    <definedName name="_xlnm.Print_Area" localSheetId="1">'4C Power Cost summary'!$A$1:$Q$22</definedName>
    <definedName name="_xlnm.Print_Area" localSheetId="2">'8C Summary by resource'!$A$1:$Q$90</definedName>
    <definedName name="_xlnm.Print_Area" localSheetId="3">'9C Aurora total'!$A$1:$AF$118</definedName>
    <definedName name="Print_Area_Reset">OFFSET(Full_Print,0,0,Last_Row)</definedName>
    <definedName name="_xlnm.Print_Titles" localSheetId="6">'28 FERC 557 Costs'!$4:$5</definedName>
    <definedName name="_xlnm.Print_Titles" localSheetId="2">'8C Summary by resource'!$1:$8</definedName>
    <definedName name="_xlnm.Print_Titles" localSheetId="3">'9C Aurora total'!$A:$C,'9C Aurora total'!$1:$5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0" l="1"/>
  <c r="N22" i="10"/>
  <c r="M22" i="10"/>
  <c r="L22" i="10"/>
  <c r="K22" i="10"/>
  <c r="J22" i="10"/>
  <c r="I22" i="10"/>
  <c r="H22" i="10"/>
  <c r="G22" i="10"/>
  <c r="F22" i="10"/>
  <c r="E22" i="10"/>
  <c r="D22" i="10"/>
  <c r="C22" i="10"/>
  <c r="J23" i="10" l="1"/>
  <c r="H23" i="10"/>
  <c r="L23" i="10"/>
  <c r="E23" i="10"/>
  <c r="I23" i="10"/>
  <c r="N23" i="10"/>
  <c r="M23" i="10"/>
  <c r="G23" i="10"/>
  <c r="K23" i="10"/>
  <c r="F23" i="10"/>
  <c r="C23" i="10"/>
  <c r="D23" i="10"/>
  <c r="E11" i="47" l="1"/>
  <c r="D11" i="47"/>
  <c r="C11" i="47"/>
  <c r="B11" i="47"/>
  <c r="F11" i="47" s="1"/>
  <c r="F13" i="47" s="1"/>
  <c r="F10" i="47"/>
  <c r="F9" i="47"/>
  <c r="N8" i="10" l="1"/>
  <c r="M8" i="10"/>
  <c r="L8" i="10"/>
  <c r="D8" i="10"/>
  <c r="K8" i="10"/>
  <c r="C8" i="10"/>
  <c r="J8" i="10"/>
  <c r="I8" i="10"/>
  <c r="H8" i="10"/>
  <c r="F8" i="10"/>
  <c r="E8" i="10"/>
  <c r="G8" i="10"/>
  <c r="C23" i="46"/>
  <c r="P108" i="5" l="1"/>
  <c r="P109" i="5"/>
  <c r="P110" i="5"/>
  <c r="P111" i="5"/>
  <c r="D10" i="46" l="1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D57" i="6" l="1"/>
  <c r="H57" i="6"/>
  <c r="D58" i="6"/>
  <c r="H58" i="6"/>
  <c r="O72" i="6"/>
  <c r="P72" i="6"/>
  <c r="G72" i="6"/>
  <c r="H72" i="6"/>
  <c r="C72" i="6"/>
  <c r="K72" i="6" l="1"/>
  <c r="L57" i="6"/>
  <c r="L58" i="6"/>
  <c r="Q72" i="6"/>
  <c r="I72" i="6"/>
  <c r="H47" i="6" l="1"/>
  <c r="C47" i="6"/>
  <c r="D47" i="6"/>
  <c r="P44" i="5"/>
  <c r="AD44" i="5"/>
  <c r="G47" i="6" s="1"/>
  <c r="P100" i="5"/>
  <c r="O47" i="6" s="1"/>
  <c r="AD100" i="5"/>
  <c r="P47" i="6" s="1"/>
  <c r="AF44" i="5" l="1"/>
  <c r="AF100" i="5"/>
  <c r="K47" i="6"/>
  <c r="Q47" i="6"/>
  <c r="L47" i="6"/>
  <c r="I47" i="6"/>
  <c r="E47" i="6"/>
  <c r="O8" i="10"/>
  <c r="D72" i="6" s="1"/>
  <c r="L72" i="6" l="1"/>
  <c r="E72" i="6"/>
  <c r="M72" i="6" s="1"/>
  <c r="M47" i="6"/>
  <c r="Q8" i="10"/>
  <c r="B26" i="46" l="1"/>
  <c r="B25" i="46"/>
  <c r="B27" i="46" l="1"/>
  <c r="K24" i="10"/>
  <c r="L24" i="10"/>
  <c r="I24" i="10"/>
  <c r="J24" i="10"/>
  <c r="D24" i="10"/>
  <c r="E24" i="10"/>
  <c r="M24" i="10"/>
  <c r="H24" i="10"/>
  <c r="F24" i="10"/>
  <c r="N24" i="10"/>
  <c r="C24" i="10"/>
  <c r="G24" i="10"/>
  <c r="AD108" i="5"/>
  <c r="AD109" i="5"/>
  <c r="P52" i="5"/>
  <c r="AD52" i="5"/>
  <c r="P53" i="5"/>
  <c r="AD53" i="5"/>
  <c r="D58" i="5"/>
  <c r="E58" i="5"/>
  <c r="F58" i="5"/>
  <c r="G58" i="5"/>
  <c r="H58" i="5"/>
  <c r="I58" i="5"/>
  <c r="J58" i="5"/>
  <c r="K58" i="5"/>
  <c r="L58" i="5"/>
  <c r="M58" i="5"/>
  <c r="N58" i="5"/>
  <c r="O58" i="5"/>
  <c r="D59" i="5"/>
  <c r="E59" i="5"/>
  <c r="F59" i="5"/>
  <c r="G59" i="5"/>
  <c r="H59" i="5"/>
  <c r="I59" i="5"/>
  <c r="J59" i="5"/>
  <c r="K59" i="5"/>
  <c r="L59" i="5"/>
  <c r="M59" i="5"/>
  <c r="N59" i="5"/>
  <c r="O59" i="5"/>
  <c r="AF52" i="5" l="1"/>
  <c r="AF109" i="5"/>
  <c r="AF108" i="5"/>
  <c r="AF53" i="5"/>
  <c r="P21" i="10" l="1"/>
  <c r="Q75" i="6" l="1"/>
  <c r="O30" i="6"/>
  <c r="P30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H73" i="6"/>
  <c r="H70" i="6"/>
  <c r="H69" i="6"/>
  <c r="H68" i="6"/>
  <c r="H67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2" i="6"/>
  <c r="H11" i="6"/>
  <c r="H10" i="6"/>
  <c r="H9" i="6"/>
  <c r="G30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D10" i="6"/>
  <c r="D11" i="6"/>
  <c r="D12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8" i="6"/>
  <c r="D49" i="6"/>
  <c r="D50" i="6"/>
  <c r="D51" i="6"/>
  <c r="D52" i="6"/>
  <c r="D53" i="6"/>
  <c r="D54" i="6"/>
  <c r="D55" i="6"/>
  <c r="D56" i="6"/>
  <c r="D68" i="6"/>
  <c r="D73" i="6"/>
  <c r="D9" i="6"/>
  <c r="C30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K71" i="6" l="1"/>
  <c r="K85" i="6" s="1"/>
  <c r="K63" i="6"/>
  <c r="K84" i="6" s="1"/>
  <c r="K70" i="6"/>
  <c r="K62" i="6"/>
  <c r="K69" i="6"/>
  <c r="K61" i="6"/>
  <c r="L9" i="6"/>
  <c r="L25" i="6"/>
  <c r="L33" i="6"/>
  <c r="L41" i="6"/>
  <c r="L50" i="6"/>
  <c r="L10" i="6"/>
  <c r="L18" i="6"/>
  <c r="L26" i="6"/>
  <c r="L34" i="6"/>
  <c r="L42" i="6"/>
  <c r="L51" i="6"/>
  <c r="L11" i="6"/>
  <c r="L19" i="6"/>
  <c r="L27" i="6"/>
  <c r="L35" i="6"/>
  <c r="L43" i="6"/>
  <c r="L52" i="6"/>
  <c r="L12" i="6"/>
  <c r="L20" i="6"/>
  <c r="L28" i="6"/>
  <c r="L36" i="6"/>
  <c r="L44" i="6"/>
  <c r="L53" i="6"/>
  <c r="L73" i="6"/>
  <c r="L45" i="6"/>
  <c r="L54" i="6"/>
  <c r="L22" i="6"/>
  <c r="L30" i="6"/>
  <c r="L38" i="6"/>
  <c r="L46" i="6"/>
  <c r="L55" i="6"/>
  <c r="L23" i="6"/>
  <c r="L31" i="6"/>
  <c r="L24" i="6"/>
  <c r="L32" i="6"/>
  <c r="L40" i="6"/>
  <c r="L49" i="6"/>
  <c r="L68" i="6"/>
  <c r="L39" i="6"/>
  <c r="L21" i="6"/>
  <c r="L29" i="6"/>
  <c r="L48" i="6"/>
  <c r="L37" i="6"/>
  <c r="L56" i="6"/>
  <c r="Q30" i="6"/>
  <c r="Q69" i="6"/>
  <c r="Q67" i="6"/>
  <c r="Q65" i="6"/>
  <c r="Q61" i="6"/>
  <c r="Q71" i="6"/>
  <c r="Q63" i="6"/>
  <c r="Q59" i="6"/>
  <c r="Q70" i="6"/>
  <c r="Q68" i="6"/>
  <c r="Q66" i="6"/>
  <c r="Q64" i="6"/>
  <c r="Q62" i="6"/>
  <c r="Q60" i="6"/>
  <c r="K64" i="6"/>
  <c r="K30" i="6"/>
  <c r="K65" i="6"/>
  <c r="K66" i="6"/>
  <c r="K59" i="6"/>
  <c r="K67" i="6"/>
  <c r="K60" i="6"/>
  <c r="K68" i="6"/>
  <c r="N30" i="10"/>
  <c r="N32" i="10"/>
  <c r="N34" i="10"/>
  <c r="N15" i="10"/>
  <c r="N16" i="10"/>
  <c r="K83" i="6" l="1"/>
  <c r="L82" i="6"/>
  <c r="L78" i="6"/>
  <c r="D13" i="10"/>
  <c r="E13" i="10"/>
  <c r="F13" i="10"/>
  <c r="G13" i="10"/>
  <c r="H13" i="10"/>
  <c r="I13" i="10"/>
  <c r="J13" i="10"/>
  <c r="K13" i="10"/>
  <c r="L13" i="10"/>
  <c r="M13" i="10"/>
  <c r="N13" i="10"/>
  <c r="D26" i="46"/>
  <c r="C25" i="46"/>
  <c r="C27" i="46" l="1"/>
  <c r="D27" i="46" s="1"/>
  <c r="D25" i="46"/>
  <c r="N21" i="10" l="1"/>
  <c r="M21" i="10"/>
  <c r="L21" i="10"/>
  <c r="K21" i="10"/>
  <c r="J21" i="10"/>
  <c r="I21" i="10"/>
  <c r="H21" i="10"/>
  <c r="G21" i="10"/>
  <c r="F21" i="10"/>
  <c r="E21" i="10"/>
  <c r="D21" i="10"/>
  <c r="C21" i="10"/>
  <c r="P17" i="10" l="1"/>
  <c r="P15" i="1" l="1"/>
  <c r="H63" i="6"/>
  <c r="N9" i="1" l="1"/>
  <c r="N12" i="1"/>
  <c r="N13" i="1"/>
  <c r="O22" i="10"/>
  <c r="O23" i="10"/>
  <c r="P64" i="5"/>
  <c r="O10" i="6" s="1"/>
  <c r="AD64" i="5"/>
  <c r="P10" i="6" s="1"/>
  <c r="P65" i="5"/>
  <c r="AD65" i="5"/>
  <c r="P11" i="6" s="1"/>
  <c r="P66" i="5"/>
  <c r="O12" i="6" s="1"/>
  <c r="AD66" i="5"/>
  <c r="P12" i="6" s="1"/>
  <c r="P67" i="5"/>
  <c r="O16" i="6" s="1"/>
  <c r="AD67" i="5"/>
  <c r="P16" i="6" s="1"/>
  <c r="P68" i="5"/>
  <c r="O13" i="6" s="1"/>
  <c r="AD68" i="5"/>
  <c r="P13" i="6" s="1"/>
  <c r="P69" i="5"/>
  <c r="O14" i="6" s="1"/>
  <c r="AD69" i="5"/>
  <c r="P70" i="5"/>
  <c r="O15" i="6" s="1"/>
  <c r="AD70" i="5"/>
  <c r="P15" i="6" s="1"/>
  <c r="P71" i="5"/>
  <c r="O17" i="6" s="1"/>
  <c r="AD71" i="5"/>
  <c r="P17" i="6" s="1"/>
  <c r="P72" i="5"/>
  <c r="O18" i="6" s="1"/>
  <c r="AD72" i="5"/>
  <c r="P73" i="5"/>
  <c r="O19" i="6" s="1"/>
  <c r="AD73" i="5"/>
  <c r="P74" i="5"/>
  <c r="O20" i="6" s="1"/>
  <c r="AD74" i="5"/>
  <c r="P75" i="5"/>
  <c r="O21" i="6" s="1"/>
  <c r="AD75" i="5"/>
  <c r="P21" i="6" s="1"/>
  <c r="P76" i="5"/>
  <c r="O22" i="6" s="1"/>
  <c r="AD76" i="5"/>
  <c r="P77" i="5"/>
  <c r="O23" i="6" s="1"/>
  <c r="AD77" i="5"/>
  <c r="P78" i="5"/>
  <c r="O24" i="6" s="1"/>
  <c r="AD78" i="5"/>
  <c r="P24" i="6" s="1"/>
  <c r="P79" i="5"/>
  <c r="AD79" i="5"/>
  <c r="P25" i="6" s="1"/>
  <c r="P80" i="5"/>
  <c r="AD80" i="5"/>
  <c r="P81" i="5"/>
  <c r="O27" i="6" s="1"/>
  <c r="AD81" i="5"/>
  <c r="P82" i="5"/>
  <c r="AD82" i="5"/>
  <c r="P83" i="5"/>
  <c r="O29" i="6" s="1"/>
  <c r="AD83" i="5"/>
  <c r="P84" i="5"/>
  <c r="O31" i="6" s="1"/>
  <c r="AD84" i="5"/>
  <c r="P31" i="6" s="1"/>
  <c r="P85" i="5"/>
  <c r="O32" i="6" s="1"/>
  <c r="AD85" i="5"/>
  <c r="P86" i="5"/>
  <c r="O33" i="6" s="1"/>
  <c r="AD86" i="5"/>
  <c r="P87" i="5"/>
  <c r="AD87" i="5"/>
  <c r="P34" i="6" s="1"/>
  <c r="P88" i="5"/>
  <c r="O35" i="6" s="1"/>
  <c r="AD88" i="5"/>
  <c r="P35" i="6" s="1"/>
  <c r="P89" i="5"/>
  <c r="O36" i="6" s="1"/>
  <c r="AD89" i="5"/>
  <c r="P90" i="5"/>
  <c r="AD90" i="5"/>
  <c r="P37" i="6" s="1"/>
  <c r="P91" i="5"/>
  <c r="O38" i="6" s="1"/>
  <c r="AD91" i="5"/>
  <c r="P38" i="6" s="1"/>
  <c r="P92" i="5"/>
  <c r="O39" i="6" s="1"/>
  <c r="AD92" i="5"/>
  <c r="P39" i="6" s="1"/>
  <c r="P93" i="5"/>
  <c r="O40" i="6" s="1"/>
  <c r="AD93" i="5"/>
  <c r="P94" i="5"/>
  <c r="O41" i="6" s="1"/>
  <c r="AD94" i="5"/>
  <c r="P41" i="6" s="1"/>
  <c r="P95" i="5"/>
  <c r="O42" i="6" s="1"/>
  <c r="AD95" i="5"/>
  <c r="P42" i="6" s="1"/>
  <c r="P96" i="5"/>
  <c r="AD96" i="5"/>
  <c r="P43" i="6" s="1"/>
  <c r="P97" i="5"/>
  <c r="O44" i="6" s="1"/>
  <c r="AD97" i="5"/>
  <c r="P98" i="5"/>
  <c r="O45" i="6" s="1"/>
  <c r="AD98" i="5"/>
  <c r="P99" i="5"/>
  <c r="O46" i="6" s="1"/>
  <c r="AD99" i="5"/>
  <c r="P101" i="5"/>
  <c r="O48" i="6" s="1"/>
  <c r="AD101" i="5"/>
  <c r="P48" i="6" s="1"/>
  <c r="P102" i="5"/>
  <c r="AD102" i="5"/>
  <c r="P103" i="5"/>
  <c r="O50" i="6" s="1"/>
  <c r="AD103" i="5"/>
  <c r="P50" i="6" s="1"/>
  <c r="P104" i="5"/>
  <c r="O51" i="6" s="1"/>
  <c r="AD104" i="5"/>
  <c r="P51" i="6" s="1"/>
  <c r="P105" i="5"/>
  <c r="O52" i="6" s="1"/>
  <c r="AD105" i="5"/>
  <c r="P52" i="6" s="1"/>
  <c r="P106" i="5"/>
  <c r="O53" i="6" s="1"/>
  <c r="AD106" i="5"/>
  <c r="P107" i="5"/>
  <c r="AD107" i="5"/>
  <c r="AD110" i="5"/>
  <c r="P57" i="6" s="1"/>
  <c r="AD111" i="5"/>
  <c r="P112" i="5"/>
  <c r="AD112" i="5"/>
  <c r="P113" i="5"/>
  <c r="AD113" i="5"/>
  <c r="P63" i="5"/>
  <c r="O9" i="6" s="1"/>
  <c r="AD63" i="5"/>
  <c r="P9" i="6" s="1"/>
  <c r="E114" i="5"/>
  <c r="F114" i="5"/>
  <c r="G114" i="5"/>
  <c r="H114" i="5"/>
  <c r="I114" i="5"/>
  <c r="J114" i="5"/>
  <c r="K114" i="5"/>
  <c r="L114" i="5"/>
  <c r="M114" i="5"/>
  <c r="N114" i="5"/>
  <c r="O114" i="5"/>
  <c r="N19" i="1" s="1"/>
  <c r="P8" i="5"/>
  <c r="C10" i="6" s="1"/>
  <c r="AD8" i="5"/>
  <c r="G10" i="6" s="1"/>
  <c r="P9" i="5"/>
  <c r="C11" i="6" s="1"/>
  <c r="AD9" i="5"/>
  <c r="G11" i="6" s="1"/>
  <c r="P10" i="5"/>
  <c r="C12" i="6" s="1"/>
  <c r="AD10" i="5"/>
  <c r="G12" i="6" s="1"/>
  <c r="P11" i="5"/>
  <c r="C16" i="6" s="1"/>
  <c r="AD11" i="5"/>
  <c r="G16" i="6" s="1"/>
  <c r="P12" i="5"/>
  <c r="C13" i="6" s="1"/>
  <c r="AD12" i="5"/>
  <c r="G13" i="6" s="1"/>
  <c r="P13" i="5"/>
  <c r="C14" i="6" s="1"/>
  <c r="AD13" i="5"/>
  <c r="G14" i="6" s="1"/>
  <c r="P14" i="5"/>
  <c r="C15" i="6" s="1"/>
  <c r="AD14" i="5"/>
  <c r="G15" i="6" s="1"/>
  <c r="P15" i="5"/>
  <c r="C17" i="6" s="1"/>
  <c r="AD15" i="5"/>
  <c r="P16" i="5"/>
  <c r="C18" i="6" s="1"/>
  <c r="AD16" i="5"/>
  <c r="P17" i="5"/>
  <c r="C19" i="6" s="1"/>
  <c r="AD17" i="5"/>
  <c r="G19" i="6" s="1"/>
  <c r="P18" i="5"/>
  <c r="C20" i="6" s="1"/>
  <c r="AD18" i="5"/>
  <c r="G20" i="6" s="1"/>
  <c r="P19" i="5"/>
  <c r="C21" i="6" s="1"/>
  <c r="AD19" i="5"/>
  <c r="G21" i="6" s="1"/>
  <c r="P20" i="5"/>
  <c r="C22" i="6" s="1"/>
  <c r="AD20" i="5"/>
  <c r="G22" i="6" s="1"/>
  <c r="P21" i="5"/>
  <c r="C23" i="6" s="1"/>
  <c r="AD21" i="5"/>
  <c r="G23" i="6" s="1"/>
  <c r="P22" i="5"/>
  <c r="C24" i="6" s="1"/>
  <c r="AD22" i="5"/>
  <c r="G24" i="6" s="1"/>
  <c r="P23" i="5"/>
  <c r="C25" i="6" s="1"/>
  <c r="AD23" i="5"/>
  <c r="G25" i="6" s="1"/>
  <c r="P24" i="5"/>
  <c r="C26" i="6" s="1"/>
  <c r="AD24" i="5"/>
  <c r="G26" i="6" s="1"/>
  <c r="P25" i="5"/>
  <c r="C27" i="6" s="1"/>
  <c r="AD25" i="5"/>
  <c r="G27" i="6" s="1"/>
  <c r="P26" i="5"/>
  <c r="C28" i="6" s="1"/>
  <c r="AD26" i="5"/>
  <c r="G28" i="6" s="1"/>
  <c r="P27" i="5"/>
  <c r="C29" i="6" s="1"/>
  <c r="AD27" i="5"/>
  <c r="P28" i="5"/>
  <c r="C31" i="6" s="1"/>
  <c r="AD28" i="5"/>
  <c r="P29" i="5"/>
  <c r="C32" i="6" s="1"/>
  <c r="AD29" i="5"/>
  <c r="G32" i="6" s="1"/>
  <c r="P30" i="5"/>
  <c r="C33" i="6" s="1"/>
  <c r="AD30" i="5"/>
  <c r="G33" i="6" s="1"/>
  <c r="P31" i="5"/>
  <c r="C34" i="6" s="1"/>
  <c r="AD31" i="5"/>
  <c r="G34" i="6" s="1"/>
  <c r="P32" i="5"/>
  <c r="C35" i="6" s="1"/>
  <c r="AD32" i="5"/>
  <c r="G35" i="6" s="1"/>
  <c r="P33" i="5"/>
  <c r="C36" i="6" s="1"/>
  <c r="AD33" i="5"/>
  <c r="G36" i="6" s="1"/>
  <c r="P34" i="5"/>
  <c r="C37" i="6" s="1"/>
  <c r="AD34" i="5"/>
  <c r="G37" i="6" s="1"/>
  <c r="P35" i="5"/>
  <c r="C38" i="6" s="1"/>
  <c r="AD35" i="5"/>
  <c r="G38" i="6" s="1"/>
  <c r="P36" i="5"/>
  <c r="C39" i="6" s="1"/>
  <c r="E39" i="6" s="1"/>
  <c r="AD36" i="5"/>
  <c r="G39" i="6" s="1"/>
  <c r="I39" i="6" s="1"/>
  <c r="P37" i="5"/>
  <c r="C40" i="6" s="1"/>
  <c r="E40" i="6" s="1"/>
  <c r="AD37" i="5"/>
  <c r="G40" i="6" s="1"/>
  <c r="P38" i="5"/>
  <c r="C41" i="6" s="1"/>
  <c r="AD38" i="5"/>
  <c r="G41" i="6" s="1"/>
  <c r="P39" i="5"/>
  <c r="C42" i="6" s="1"/>
  <c r="AD39" i="5"/>
  <c r="G42" i="6" s="1"/>
  <c r="P40" i="5"/>
  <c r="C43" i="6" s="1"/>
  <c r="AD40" i="5"/>
  <c r="G43" i="6" s="1"/>
  <c r="P41" i="5"/>
  <c r="C44" i="6" s="1"/>
  <c r="AD41" i="5"/>
  <c r="G44" i="6" s="1"/>
  <c r="P42" i="5"/>
  <c r="C45" i="6" s="1"/>
  <c r="AD42" i="5"/>
  <c r="G45" i="6" s="1"/>
  <c r="P43" i="5"/>
  <c r="C46" i="6" s="1"/>
  <c r="AD43" i="5"/>
  <c r="G46" i="6" s="1"/>
  <c r="P45" i="5"/>
  <c r="AD45" i="5"/>
  <c r="G48" i="6" s="1"/>
  <c r="P46" i="5"/>
  <c r="C49" i="6" s="1"/>
  <c r="AD46" i="5"/>
  <c r="G49" i="6" s="1"/>
  <c r="P47" i="5"/>
  <c r="C50" i="6" s="1"/>
  <c r="AD47" i="5"/>
  <c r="G50" i="6" s="1"/>
  <c r="P48" i="5"/>
  <c r="C51" i="6" s="1"/>
  <c r="AD48" i="5"/>
  <c r="G51" i="6" s="1"/>
  <c r="P49" i="5"/>
  <c r="C52" i="6" s="1"/>
  <c r="AD49" i="5"/>
  <c r="G52" i="6" s="1"/>
  <c r="P50" i="5"/>
  <c r="C53" i="6" s="1"/>
  <c r="AD50" i="5"/>
  <c r="P51" i="5"/>
  <c r="C54" i="6" s="1"/>
  <c r="AD51" i="5"/>
  <c r="G54" i="6" s="1"/>
  <c r="P54" i="5"/>
  <c r="AD54" i="5"/>
  <c r="G57" i="6" s="1"/>
  <c r="I57" i="6" s="1"/>
  <c r="P55" i="5"/>
  <c r="AD55" i="5"/>
  <c r="P56" i="5"/>
  <c r="C73" i="6" s="1"/>
  <c r="AD56" i="5"/>
  <c r="G73" i="6" s="1"/>
  <c r="P57" i="5"/>
  <c r="AD7" i="5"/>
  <c r="P7" i="5"/>
  <c r="C9" i="6" s="1"/>
  <c r="E3" i="5"/>
  <c r="F3" i="5"/>
  <c r="G3" i="5"/>
  <c r="H3" i="5"/>
  <c r="I3" i="5"/>
  <c r="J3" i="5"/>
  <c r="K3" i="5"/>
  <c r="L3" i="5"/>
  <c r="M3" i="5"/>
  <c r="N3" i="5"/>
  <c r="O3" i="5"/>
  <c r="D3" i="5"/>
  <c r="C56" i="6" l="1"/>
  <c r="C58" i="6"/>
  <c r="E58" i="6" s="1"/>
  <c r="C48" i="6"/>
  <c r="AF45" i="5"/>
  <c r="P56" i="6"/>
  <c r="P58" i="6"/>
  <c r="O56" i="6"/>
  <c r="O58" i="6"/>
  <c r="C55" i="6"/>
  <c r="C57" i="6"/>
  <c r="G56" i="6"/>
  <c r="G58" i="6"/>
  <c r="O55" i="6"/>
  <c r="O57" i="6"/>
  <c r="Q57" i="6" s="1"/>
  <c r="C80" i="6"/>
  <c r="M39" i="6"/>
  <c r="Q22" i="10"/>
  <c r="D69" i="6"/>
  <c r="L69" i="6" s="1"/>
  <c r="Q23" i="10"/>
  <c r="D70" i="6"/>
  <c r="L70" i="6" s="1"/>
  <c r="AF67" i="5"/>
  <c r="AF86" i="5"/>
  <c r="AF99" i="5"/>
  <c r="AF83" i="5"/>
  <c r="AF70" i="5"/>
  <c r="AF113" i="5"/>
  <c r="AF112" i="5"/>
  <c r="O73" i="6"/>
  <c r="AF82" i="5"/>
  <c r="O28" i="6"/>
  <c r="AF80" i="5"/>
  <c r="O26" i="6"/>
  <c r="AF96" i="5"/>
  <c r="O43" i="6"/>
  <c r="Q43" i="6" s="1"/>
  <c r="AF63" i="5"/>
  <c r="AF65" i="5"/>
  <c r="O11" i="6"/>
  <c r="Q11" i="6" s="1"/>
  <c r="AF87" i="5"/>
  <c r="O34" i="6"/>
  <c r="Q34" i="6" s="1"/>
  <c r="AF103" i="5"/>
  <c r="AF102" i="5"/>
  <c r="O49" i="6"/>
  <c r="AF91" i="5"/>
  <c r="AF90" i="5"/>
  <c r="O37" i="6"/>
  <c r="Q37" i="6" s="1"/>
  <c r="AF107" i="5"/>
  <c r="O54" i="6"/>
  <c r="AF101" i="5"/>
  <c r="AF79" i="5"/>
  <c r="O25" i="6"/>
  <c r="Q25" i="6" s="1"/>
  <c r="AF78" i="5"/>
  <c r="Q39" i="6"/>
  <c r="AF92" i="5"/>
  <c r="Q51" i="6"/>
  <c r="Q48" i="6"/>
  <c r="AF111" i="5"/>
  <c r="P45" i="6"/>
  <c r="P40" i="6"/>
  <c r="P54" i="6"/>
  <c r="P49" i="6"/>
  <c r="AF95" i="5"/>
  <c r="Q42" i="6"/>
  <c r="Q52" i="6"/>
  <c r="AF104" i="5"/>
  <c r="P73" i="6"/>
  <c r="AF98" i="5"/>
  <c r="AF94" i="5"/>
  <c r="P46" i="6"/>
  <c r="AF97" i="5"/>
  <c r="P44" i="6"/>
  <c r="Q41" i="6"/>
  <c r="AF110" i="5"/>
  <c r="P55" i="6"/>
  <c r="AF106" i="5"/>
  <c r="P53" i="6"/>
  <c r="AF105" i="5"/>
  <c r="Q50" i="6"/>
  <c r="Q35" i="6"/>
  <c r="Q38" i="6"/>
  <c r="AF89" i="5"/>
  <c r="P36" i="6"/>
  <c r="AF88" i="5"/>
  <c r="AF84" i="5"/>
  <c r="Q31" i="6"/>
  <c r="P33" i="6"/>
  <c r="P32" i="6"/>
  <c r="Q17" i="6"/>
  <c r="Q10" i="6"/>
  <c r="P20" i="6"/>
  <c r="AF66" i="5"/>
  <c r="Q9" i="6"/>
  <c r="AF72" i="5"/>
  <c r="P18" i="6"/>
  <c r="AF71" i="5"/>
  <c r="Q16" i="6"/>
  <c r="AF64" i="5"/>
  <c r="Q12" i="6"/>
  <c r="P29" i="6"/>
  <c r="AF81" i="5"/>
  <c r="P27" i="6"/>
  <c r="AF76" i="5"/>
  <c r="P22" i="6"/>
  <c r="P14" i="6"/>
  <c r="AF68" i="5"/>
  <c r="P23" i="6"/>
  <c r="P28" i="6"/>
  <c r="AF75" i="5"/>
  <c r="AF74" i="5"/>
  <c r="Q15" i="6"/>
  <c r="Q24" i="6"/>
  <c r="P26" i="6"/>
  <c r="Q21" i="6"/>
  <c r="AF73" i="5"/>
  <c r="P19" i="6"/>
  <c r="Q13" i="6"/>
  <c r="K45" i="6"/>
  <c r="AF55" i="5"/>
  <c r="AF49" i="5"/>
  <c r="AF40" i="5"/>
  <c r="AF41" i="5"/>
  <c r="K49" i="6"/>
  <c r="K40" i="6"/>
  <c r="I40" i="6"/>
  <c r="K73" i="6"/>
  <c r="G55" i="6"/>
  <c r="P13" i="1"/>
  <c r="G53" i="6"/>
  <c r="K44" i="6"/>
  <c r="AF51" i="5"/>
  <c r="AF38" i="5"/>
  <c r="K51" i="6"/>
  <c r="K42" i="6"/>
  <c r="AF50" i="5"/>
  <c r="K46" i="6"/>
  <c r="AF56" i="5"/>
  <c r="AF54" i="5"/>
  <c r="AF48" i="5"/>
  <c r="AF46" i="5"/>
  <c r="AF43" i="5"/>
  <c r="AF39" i="5"/>
  <c r="AF37" i="5"/>
  <c r="K54" i="6"/>
  <c r="K48" i="6"/>
  <c r="AF47" i="5"/>
  <c r="K52" i="6"/>
  <c r="K43" i="6"/>
  <c r="K50" i="6"/>
  <c r="K41" i="6"/>
  <c r="AF42" i="5"/>
  <c r="AF10" i="5"/>
  <c r="AF9" i="5"/>
  <c r="K27" i="6"/>
  <c r="G9" i="6"/>
  <c r="AF35" i="5"/>
  <c r="AF31" i="5"/>
  <c r="AF29" i="5"/>
  <c r="AF27" i="5"/>
  <c r="AF23" i="5"/>
  <c r="AF21" i="5"/>
  <c r="AF19" i="5"/>
  <c r="AF15" i="5"/>
  <c r="AF13" i="5"/>
  <c r="AF11" i="5"/>
  <c r="AF34" i="5"/>
  <c r="AF22" i="5"/>
  <c r="K36" i="6"/>
  <c r="K32" i="6"/>
  <c r="K39" i="6"/>
  <c r="K28" i="6"/>
  <c r="K20" i="6"/>
  <c r="G18" i="6"/>
  <c r="K10" i="6"/>
  <c r="AF33" i="5"/>
  <c r="K25" i="6"/>
  <c r="K37" i="6"/>
  <c r="K26" i="6"/>
  <c r="K12" i="6"/>
  <c r="AF18" i="5"/>
  <c r="K34" i="6"/>
  <c r="P12" i="1"/>
  <c r="G29" i="6"/>
  <c r="AF25" i="5"/>
  <c r="K33" i="6"/>
  <c r="P9" i="1"/>
  <c r="G31" i="6"/>
  <c r="K22" i="6"/>
  <c r="K13" i="6"/>
  <c r="AF30" i="5"/>
  <c r="AF17" i="5"/>
  <c r="K23" i="6"/>
  <c r="K35" i="6"/>
  <c r="K24" i="6"/>
  <c r="K15" i="6"/>
  <c r="AF36" i="5"/>
  <c r="AF32" i="5"/>
  <c r="AF28" i="5"/>
  <c r="AF24" i="5"/>
  <c r="AF20" i="5"/>
  <c r="AF16" i="5"/>
  <c r="AF12" i="5"/>
  <c r="AF8" i="5"/>
  <c r="K38" i="6"/>
  <c r="K21" i="6"/>
  <c r="K19" i="6"/>
  <c r="G17" i="6"/>
  <c r="K14" i="6"/>
  <c r="K16" i="6"/>
  <c r="K11" i="6"/>
  <c r="AF26" i="5"/>
  <c r="AF14" i="5"/>
  <c r="AF93" i="5"/>
  <c r="AF85" i="5"/>
  <c r="AF77" i="5"/>
  <c r="AF69" i="5"/>
  <c r="AF7" i="5"/>
  <c r="Q56" i="6" l="1"/>
  <c r="K56" i="6"/>
  <c r="C74" i="6"/>
  <c r="Q58" i="6"/>
  <c r="K58" i="6"/>
  <c r="I58" i="6"/>
  <c r="M58" i="6" s="1"/>
  <c r="K57" i="6"/>
  <c r="E57" i="6"/>
  <c r="M57" i="6" s="1"/>
  <c r="L80" i="6"/>
  <c r="Q49" i="6"/>
  <c r="Q40" i="6"/>
  <c r="Q45" i="6"/>
  <c r="Q73" i="6"/>
  <c r="Q54" i="6"/>
  <c r="Q53" i="6"/>
  <c r="Q44" i="6"/>
  <c r="Q55" i="6"/>
  <c r="Q46" i="6"/>
  <c r="Q36" i="6"/>
  <c r="Q32" i="6"/>
  <c r="Q33" i="6"/>
  <c r="Q28" i="6"/>
  <c r="Q18" i="6"/>
  <c r="Q27" i="6"/>
  <c r="Q14" i="6"/>
  <c r="Q29" i="6"/>
  <c r="Q19" i="6"/>
  <c r="Q23" i="6"/>
  <c r="Q26" i="6"/>
  <c r="Q22" i="6"/>
  <c r="Q20" i="6"/>
  <c r="K55" i="6"/>
  <c r="K53" i="6"/>
  <c r="M40" i="6"/>
  <c r="K17" i="6"/>
  <c r="K76" i="6" s="1"/>
  <c r="K9" i="6"/>
  <c r="K79" i="6" s="1"/>
  <c r="K31" i="6"/>
  <c r="K78" i="6" s="1"/>
  <c r="K29" i="6"/>
  <c r="K80" i="6" s="1"/>
  <c r="K18" i="6"/>
  <c r="K77" i="6" s="1"/>
  <c r="K82" i="6" l="1"/>
  <c r="E73" i="6" l="1"/>
  <c r="I73" i="6"/>
  <c r="AD57" i="5"/>
  <c r="M73" i="6" l="1"/>
  <c r="AF57" i="5"/>
  <c r="K81" i="6" l="1"/>
  <c r="K86" i="6" s="1"/>
  <c r="P13" i="10"/>
  <c r="H59" i="6" l="1"/>
  <c r="N19" i="10" l="1"/>
  <c r="N33" i="10" s="1"/>
  <c r="N11" i="1" s="1"/>
  <c r="I69" i="6" l="1"/>
  <c r="I70" i="6"/>
  <c r="E70" i="6" l="1"/>
  <c r="M70" i="6" s="1"/>
  <c r="S114" i="5"/>
  <c r="T114" i="5"/>
  <c r="U114" i="5"/>
  <c r="V114" i="5"/>
  <c r="W114" i="5"/>
  <c r="X114" i="5"/>
  <c r="Y114" i="5"/>
  <c r="Z114" i="5"/>
  <c r="AA114" i="5"/>
  <c r="AB114" i="5"/>
  <c r="AC114" i="5"/>
  <c r="R114" i="5"/>
  <c r="AD114" i="5" l="1"/>
  <c r="P19" i="1" l="1"/>
  <c r="P18" i="10" l="1"/>
  <c r="AC58" i="5"/>
  <c r="AB58" i="5"/>
  <c r="AA58" i="5"/>
  <c r="Z58" i="5"/>
  <c r="Y58" i="5"/>
  <c r="X58" i="5"/>
  <c r="W58" i="5"/>
  <c r="V58" i="5"/>
  <c r="U58" i="5"/>
  <c r="T58" i="5"/>
  <c r="S58" i="5"/>
  <c r="R58" i="5"/>
  <c r="P14" i="10"/>
  <c r="P16" i="10"/>
  <c r="P15" i="10"/>
  <c r="H61" i="6" l="1"/>
  <c r="H62" i="6"/>
  <c r="P14" i="1"/>
  <c r="H60" i="6"/>
  <c r="H64" i="6"/>
  <c r="AD58" i="5"/>
  <c r="P20" i="10" l="1"/>
  <c r="P12" i="10"/>
  <c r="P8" i="1" l="1"/>
  <c r="H66" i="6"/>
  <c r="H16" i="6"/>
  <c r="P24" i="10" l="1"/>
  <c r="H71" i="6" s="1"/>
  <c r="P16" i="1"/>
  <c r="N37" i="10" l="1"/>
  <c r="N16" i="1" s="1"/>
  <c r="O24" i="10" l="1"/>
  <c r="D71" i="6" s="1"/>
  <c r="Q24" i="10" l="1"/>
  <c r="L71" i="6"/>
  <c r="L85" i="6" s="1"/>
  <c r="L18" i="10" l="1"/>
  <c r="J18" i="10"/>
  <c r="G18" i="10"/>
  <c r="F18" i="10"/>
  <c r="I18" i="10"/>
  <c r="K18" i="10"/>
  <c r="H18" i="10"/>
  <c r="D18" i="10"/>
  <c r="N18" i="10" l="1"/>
  <c r="M18" i="10"/>
  <c r="E18" i="10"/>
  <c r="D15" i="10"/>
  <c r="E15" i="10"/>
  <c r="F15" i="10"/>
  <c r="G15" i="10"/>
  <c r="H15" i="10"/>
  <c r="I15" i="10"/>
  <c r="J15" i="10"/>
  <c r="K15" i="10"/>
  <c r="L15" i="10"/>
  <c r="M15" i="10"/>
  <c r="C15" i="10"/>
  <c r="D16" i="10"/>
  <c r="E16" i="10"/>
  <c r="F16" i="10"/>
  <c r="G16" i="10"/>
  <c r="H16" i="10"/>
  <c r="I16" i="10"/>
  <c r="J16" i="10"/>
  <c r="K16" i="10"/>
  <c r="L16" i="10"/>
  <c r="M16" i="10"/>
  <c r="C16" i="10"/>
  <c r="C18" i="10" l="1"/>
  <c r="O18" i="10" s="1"/>
  <c r="O16" i="10"/>
  <c r="O15" i="10"/>
  <c r="Q15" i="10" l="1"/>
  <c r="D61" i="6"/>
  <c r="L61" i="6" s="1"/>
  <c r="Q16" i="10"/>
  <c r="D62" i="6"/>
  <c r="L62" i="6" s="1"/>
  <c r="Q18" i="10"/>
  <c r="D64" i="6"/>
  <c r="L64" i="6" s="1"/>
  <c r="D11" i="10" l="1"/>
  <c r="E11" i="10"/>
  <c r="F11" i="10"/>
  <c r="G11" i="10"/>
  <c r="H11" i="10"/>
  <c r="I11" i="10"/>
  <c r="J11" i="10"/>
  <c r="K11" i="10"/>
  <c r="L11" i="10"/>
  <c r="M11" i="10"/>
  <c r="N11" i="10"/>
  <c r="C13" i="10"/>
  <c r="O13" i="10" l="1"/>
  <c r="I30" i="6"/>
  <c r="I38" i="6"/>
  <c r="I41" i="6"/>
  <c r="I42" i="6"/>
  <c r="I43" i="6"/>
  <c r="Q13" i="10" l="1"/>
  <c r="D59" i="6"/>
  <c r="L59" i="6" s="1"/>
  <c r="D114" i="5" l="1"/>
  <c r="P58" i="5"/>
  <c r="AF58" i="5" s="1"/>
  <c r="P59" i="5"/>
  <c r="D12" i="10"/>
  <c r="E12" i="10"/>
  <c r="F12" i="10"/>
  <c r="G12" i="10"/>
  <c r="H12" i="10"/>
  <c r="I12" i="10"/>
  <c r="J12" i="10"/>
  <c r="K12" i="10"/>
  <c r="L12" i="10"/>
  <c r="M12" i="10"/>
  <c r="N12" i="10"/>
  <c r="P114" i="5" l="1"/>
  <c r="E31" i="6"/>
  <c r="E34" i="6"/>
  <c r="E32" i="6"/>
  <c r="E42" i="6"/>
  <c r="M42" i="6" s="1"/>
  <c r="E35" i="6"/>
  <c r="E43" i="6"/>
  <c r="M43" i="6" s="1"/>
  <c r="E36" i="6"/>
  <c r="E33" i="6"/>
  <c r="E37" i="6"/>
  <c r="M17" i="10"/>
  <c r="F17" i="10"/>
  <c r="I17" i="10"/>
  <c r="G17" i="10"/>
  <c r="L17" i="10"/>
  <c r="J17" i="10"/>
  <c r="K17" i="10"/>
  <c r="H17" i="10"/>
  <c r="AF114" i="5" l="1"/>
  <c r="N17" i="10"/>
  <c r="N36" i="10" s="1"/>
  <c r="N15" i="1" s="1"/>
  <c r="E41" i="6"/>
  <c r="M41" i="6" s="1"/>
  <c r="E30" i="6"/>
  <c r="M30" i="6" s="1"/>
  <c r="E38" i="6"/>
  <c r="M38" i="6" s="1"/>
  <c r="N14" i="10" l="1"/>
  <c r="D14" i="10"/>
  <c r="D17" i="10"/>
  <c r="G14" i="10"/>
  <c r="J14" i="10"/>
  <c r="E14" i="10"/>
  <c r="M14" i="10"/>
  <c r="H14" i="10"/>
  <c r="F14" i="10"/>
  <c r="K14" i="10"/>
  <c r="L14" i="10"/>
  <c r="I14" i="10"/>
  <c r="N35" i="10" l="1"/>
  <c r="E17" i="10"/>
  <c r="C14" i="10"/>
  <c r="O14" i="10" s="1"/>
  <c r="P19" i="10"/>
  <c r="Q14" i="10" l="1"/>
  <c r="D60" i="6"/>
  <c r="L60" i="6" s="1"/>
  <c r="L83" i="6" s="1"/>
  <c r="H65" i="6"/>
  <c r="P11" i="1"/>
  <c r="N14" i="1"/>
  <c r="C17" i="10"/>
  <c r="O17" i="10" s="1"/>
  <c r="AC59" i="5"/>
  <c r="AB59" i="5"/>
  <c r="AA59" i="5"/>
  <c r="Z59" i="5"/>
  <c r="Y59" i="5"/>
  <c r="X59" i="5"/>
  <c r="W59" i="5"/>
  <c r="V59" i="5"/>
  <c r="U59" i="5"/>
  <c r="T59" i="5"/>
  <c r="S59" i="5"/>
  <c r="R59" i="5"/>
  <c r="Q17" i="10" l="1"/>
  <c r="D63" i="6"/>
  <c r="L63" i="6" s="1"/>
  <c r="L84" i="6" s="1"/>
  <c r="AD59" i="5"/>
  <c r="AF59" i="5" l="1"/>
  <c r="P85" i="6" l="1"/>
  <c r="O85" i="6"/>
  <c r="P84" i="6"/>
  <c r="O84" i="6"/>
  <c r="P83" i="6"/>
  <c r="O83" i="6"/>
  <c r="Q84" i="6" l="1"/>
  <c r="Q85" i="6"/>
  <c r="Q83" i="6"/>
  <c r="G85" i="6" l="1"/>
  <c r="G84" i="6"/>
  <c r="G83" i="6"/>
  <c r="H82" i="6"/>
  <c r="C85" i="6"/>
  <c r="C84" i="6"/>
  <c r="C83" i="6"/>
  <c r="H85" i="6" l="1"/>
  <c r="I67" i="6"/>
  <c r="I66" i="6"/>
  <c r="I62" i="6"/>
  <c r="I61" i="6"/>
  <c r="I59" i="6"/>
  <c r="H81" i="6" l="1"/>
  <c r="H80" i="6"/>
  <c r="I68" i="6"/>
  <c r="I71" i="6"/>
  <c r="I63" i="6"/>
  <c r="H84" i="6"/>
  <c r="I60" i="6"/>
  <c r="H83" i="6"/>
  <c r="I64" i="6"/>
  <c r="I65" i="6"/>
  <c r="H78" i="6"/>
  <c r="I85" i="6" l="1"/>
  <c r="I83" i="6"/>
  <c r="I84" i="6"/>
  <c r="F20" i="10"/>
  <c r="G20" i="10"/>
  <c r="D20" i="10" l="1"/>
  <c r="C20" i="10"/>
  <c r="E20" i="10"/>
  <c r="M20" i="10"/>
  <c r="L20" i="10"/>
  <c r="H20" i="10"/>
  <c r="K20" i="10"/>
  <c r="I20" i="10"/>
  <c r="J20" i="10"/>
  <c r="N20" i="10" l="1"/>
  <c r="N29" i="10" s="1"/>
  <c r="N8" i="1" s="1"/>
  <c r="O20" i="10" l="1"/>
  <c r="Q20" i="10" s="1"/>
  <c r="D66" i="6" l="1"/>
  <c r="L66" i="6" s="1"/>
  <c r="L19" i="10"/>
  <c r="M19" i="10" l="1"/>
  <c r="I19" i="10"/>
  <c r="E19" i="10"/>
  <c r="H19" i="10"/>
  <c r="J19" i="10"/>
  <c r="D19" i="10"/>
  <c r="K19" i="10"/>
  <c r="G19" i="10"/>
  <c r="F19" i="10"/>
  <c r="C19" i="10" l="1"/>
  <c r="O19" i="10" s="1"/>
  <c r="Q19" i="10" l="1"/>
  <c r="D65" i="6"/>
  <c r="L65" i="6" s="1"/>
  <c r="L81" i="6" s="1"/>
  <c r="P37" i="10"/>
  <c r="P36" i="10"/>
  <c r="P35" i="10"/>
  <c r="P34" i="10"/>
  <c r="P33" i="10"/>
  <c r="P32" i="10"/>
  <c r="P30" i="10"/>
  <c r="O34" i="10"/>
  <c r="M34" i="10"/>
  <c r="M13" i="1" s="1"/>
  <c r="L34" i="10"/>
  <c r="L13" i="1" s="1"/>
  <c r="K34" i="10"/>
  <c r="K13" i="1" s="1"/>
  <c r="J34" i="10"/>
  <c r="J13" i="1" s="1"/>
  <c r="I34" i="10"/>
  <c r="I13" i="1" s="1"/>
  <c r="H34" i="10"/>
  <c r="H13" i="1" s="1"/>
  <c r="G34" i="10"/>
  <c r="G13" i="1" s="1"/>
  <c r="F34" i="10"/>
  <c r="F13" i="1" s="1"/>
  <c r="E34" i="10"/>
  <c r="E13" i="1" s="1"/>
  <c r="D34" i="10"/>
  <c r="D13" i="1" s="1"/>
  <c r="C34" i="10"/>
  <c r="C13" i="1" s="1"/>
  <c r="M33" i="10"/>
  <c r="M11" i="1" s="1"/>
  <c r="H33" i="10"/>
  <c r="H11" i="1" s="1"/>
  <c r="G33" i="10"/>
  <c r="G11" i="1" s="1"/>
  <c r="F33" i="10"/>
  <c r="F11" i="1" s="1"/>
  <c r="E33" i="10"/>
  <c r="E11" i="1" s="1"/>
  <c r="D33" i="10"/>
  <c r="D11" i="1" s="1"/>
  <c r="C33" i="10"/>
  <c r="C11" i="1" s="1"/>
  <c r="M32" i="10"/>
  <c r="M12" i="1" s="1"/>
  <c r="L32" i="10"/>
  <c r="L12" i="1" s="1"/>
  <c r="K32" i="10"/>
  <c r="K12" i="1" s="1"/>
  <c r="J32" i="10"/>
  <c r="J12" i="1" s="1"/>
  <c r="I32" i="10"/>
  <c r="I12" i="1" s="1"/>
  <c r="H32" i="10"/>
  <c r="H12" i="1" s="1"/>
  <c r="G32" i="10"/>
  <c r="G12" i="1" s="1"/>
  <c r="F32" i="10"/>
  <c r="F12" i="1" s="1"/>
  <c r="E32" i="10"/>
  <c r="E12" i="1" s="1"/>
  <c r="D32" i="10"/>
  <c r="D12" i="1" s="1"/>
  <c r="C32" i="10"/>
  <c r="C12" i="1" s="1"/>
  <c r="M30" i="10"/>
  <c r="M9" i="1" s="1"/>
  <c r="L30" i="10"/>
  <c r="L9" i="1" s="1"/>
  <c r="K30" i="10"/>
  <c r="K9" i="1" s="1"/>
  <c r="J30" i="10"/>
  <c r="J9" i="1" s="1"/>
  <c r="I30" i="10"/>
  <c r="I9" i="1" s="1"/>
  <c r="H30" i="10"/>
  <c r="H9" i="1" s="1"/>
  <c r="G30" i="10"/>
  <c r="G9" i="1" s="1"/>
  <c r="F30" i="10"/>
  <c r="F9" i="1" s="1"/>
  <c r="E30" i="10"/>
  <c r="E9" i="1" s="1"/>
  <c r="D30" i="10"/>
  <c r="D9" i="1" s="1"/>
  <c r="C30" i="10"/>
  <c r="C9" i="1" s="1"/>
  <c r="Q34" i="10" l="1"/>
  <c r="L33" i="10" l="1"/>
  <c r="L11" i="1" s="1"/>
  <c r="K33" i="10"/>
  <c r="K11" i="1" s="1"/>
  <c r="J33" i="10"/>
  <c r="J11" i="1" s="1"/>
  <c r="I33" i="10"/>
  <c r="I11" i="1" s="1"/>
  <c r="O11" i="1" l="1"/>
  <c r="O9" i="1"/>
  <c r="Q9" i="1" s="1"/>
  <c r="P29" i="10"/>
  <c r="M35" i="10"/>
  <c r="M14" i="1" s="1"/>
  <c r="L35" i="10"/>
  <c r="L14" i="1" s="1"/>
  <c r="K35" i="10"/>
  <c r="K14" i="1" s="1"/>
  <c r="J35" i="10"/>
  <c r="J14" i="1" s="1"/>
  <c r="I35" i="10"/>
  <c r="I14" i="1" s="1"/>
  <c r="H35" i="10"/>
  <c r="H14" i="1" s="1"/>
  <c r="G35" i="10"/>
  <c r="G14" i="1" s="1"/>
  <c r="F35" i="10"/>
  <c r="F14" i="1" s="1"/>
  <c r="E35" i="10"/>
  <c r="E14" i="1" s="1"/>
  <c r="D35" i="10"/>
  <c r="D14" i="1" s="1"/>
  <c r="C35" i="10"/>
  <c r="C14" i="1" s="1"/>
  <c r="C11" i="10"/>
  <c r="O11" i="10" l="1"/>
  <c r="D15" i="6" s="1"/>
  <c r="E69" i="6"/>
  <c r="M69" i="6" s="1"/>
  <c r="E65" i="6"/>
  <c r="M65" i="6" s="1"/>
  <c r="H77" i="6"/>
  <c r="O30" i="10"/>
  <c r="Q30" i="10" s="1"/>
  <c r="O32" i="10"/>
  <c r="Q32" i="10" s="1"/>
  <c r="O13" i="1" l="1"/>
  <c r="O14" i="1"/>
  <c r="Q14" i="1" s="1"/>
  <c r="E62" i="6"/>
  <c r="M62" i="6" s="1"/>
  <c r="E59" i="6"/>
  <c r="M59" i="6" s="1"/>
  <c r="E60" i="6"/>
  <c r="M60" i="6" s="1"/>
  <c r="D83" i="6"/>
  <c r="O33" i="10"/>
  <c r="Q33" i="10" s="1"/>
  <c r="O35" i="10"/>
  <c r="Q35" i="10" s="1"/>
  <c r="P11" i="10" l="1"/>
  <c r="H15" i="6" s="1"/>
  <c r="M83" i="6"/>
  <c r="E68" i="6"/>
  <c r="M68" i="6" s="1"/>
  <c r="E61" i="6"/>
  <c r="M61" i="6" s="1"/>
  <c r="C12" i="10"/>
  <c r="M9" i="10"/>
  <c r="L9" i="10"/>
  <c r="K9" i="10"/>
  <c r="J9" i="10"/>
  <c r="I9" i="10"/>
  <c r="H9" i="10"/>
  <c r="G9" i="10"/>
  <c r="F9" i="10"/>
  <c r="E9" i="10"/>
  <c r="D9" i="10"/>
  <c r="M10" i="10"/>
  <c r="L10" i="10"/>
  <c r="K10" i="10"/>
  <c r="J10" i="10"/>
  <c r="I10" i="10"/>
  <c r="H10" i="10"/>
  <c r="G10" i="10"/>
  <c r="F10" i="10"/>
  <c r="E10" i="10"/>
  <c r="D10" i="10"/>
  <c r="Q11" i="10" l="1"/>
  <c r="N9" i="10"/>
  <c r="C9" i="10"/>
  <c r="N10" i="10"/>
  <c r="C10" i="10"/>
  <c r="L15" i="6"/>
  <c r="O12" i="10"/>
  <c r="F31" i="10"/>
  <c r="F10" i="1" s="1"/>
  <c r="E83" i="6"/>
  <c r="I31" i="10"/>
  <c r="I10" i="1" s="1"/>
  <c r="M31" i="10"/>
  <c r="M10" i="1" s="1"/>
  <c r="J31" i="10"/>
  <c r="J10" i="1" s="1"/>
  <c r="G31" i="10"/>
  <c r="G10" i="1" s="1"/>
  <c r="K31" i="10"/>
  <c r="K10" i="1" s="1"/>
  <c r="D31" i="10"/>
  <c r="D10" i="1" s="1"/>
  <c r="H31" i="10"/>
  <c r="H10" i="1" s="1"/>
  <c r="L31" i="10"/>
  <c r="L10" i="1" s="1"/>
  <c r="N60" i="5"/>
  <c r="M60" i="5"/>
  <c r="L60" i="5"/>
  <c r="K60" i="5"/>
  <c r="J60" i="5"/>
  <c r="I60" i="5"/>
  <c r="H60" i="5"/>
  <c r="G60" i="5"/>
  <c r="F60" i="5"/>
  <c r="D60" i="5"/>
  <c r="C31" i="10" l="1"/>
  <c r="C10" i="1" s="1"/>
  <c r="O10" i="10"/>
  <c r="D14" i="6" s="1"/>
  <c r="O9" i="10"/>
  <c r="D13" i="6" s="1"/>
  <c r="E13" i="6" s="1"/>
  <c r="Q12" i="10"/>
  <c r="D16" i="6"/>
  <c r="L16" i="6" s="1"/>
  <c r="N31" i="10"/>
  <c r="N10" i="1" s="1"/>
  <c r="C77" i="6"/>
  <c r="O81" i="6"/>
  <c r="E28" i="6"/>
  <c r="E29" i="6"/>
  <c r="E60" i="5"/>
  <c r="O78" i="6"/>
  <c r="O76" i="6"/>
  <c r="C76" i="6"/>
  <c r="C81" i="6"/>
  <c r="C82" i="6"/>
  <c r="E15" i="6"/>
  <c r="C78" i="6"/>
  <c r="E14" i="6"/>
  <c r="E31" i="10"/>
  <c r="E10" i="1" s="1"/>
  <c r="O31" i="10"/>
  <c r="E16" i="6" l="1"/>
  <c r="O77" i="6"/>
  <c r="O79" i="6"/>
  <c r="O82" i="6"/>
  <c r="O80" i="6"/>
  <c r="O74" i="6"/>
  <c r="O10" i="1"/>
  <c r="O86" i="6" l="1"/>
  <c r="E66" i="6" l="1"/>
  <c r="M66" i="6" s="1"/>
  <c r="G7" i="10" l="1"/>
  <c r="I7" i="10"/>
  <c r="M7" i="10"/>
  <c r="J7" i="10"/>
  <c r="K7" i="10"/>
  <c r="D7" i="10"/>
  <c r="L7" i="10"/>
  <c r="F7" i="10"/>
  <c r="N7" i="10"/>
  <c r="E7" i="10"/>
  <c r="P7" i="10"/>
  <c r="N28" i="10" l="1"/>
  <c r="N25" i="10"/>
  <c r="H17" i="6"/>
  <c r="P7" i="1"/>
  <c r="Q13" i="1"/>
  <c r="I28" i="6"/>
  <c r="I33" i="6"/>
  <c r="I32" i="6"/>
  <c r="I37" i="6"/>
  <c r="I36" i="6"/>
  <c r="I35" i="6"/>
  <c r="I31" i="6"/>
  <c r="I34" i="6"/>
  <c r="I29" i="6"/>
  <c r="N7" i="1" l="1"/>
  <c r="N17" i="1" s="1"/>
  <c r="N38" i="10"/>
  <c r="M28" i="6"/>
  <c r="M32" i="6"/>
  <c r="M29" i="6"/>
  <c r="M34" i="6"/>
  <c r="M33" i="6"/>
  <c r="M31" i="6"/>
  <c r="M35" i="6"/>
  <c r="M36" i="6"/>
  <c r="M37" i="6"/>
  <c r="H76" i="6"/>
  <c r="Q11" i="1"/>
  <c r="P76" i="6"/>
  <c r="P80" i="6"/>
  <c r="P77" i="6"/>
  <c r="P81" i="6"/>
  <c r="P79" i="6"/>
  <c r="P74" i="6"/>
  <c r="P82" i="6"/>
  <c r="P78" i="6"/>
  <c r="I44" i="6"/>
  <c r="I10" i="6"/>
  <c r="I25" i="6"/>
  <c r="I18" i="6"/>
  <c r="G77" i="6"/>
  <c r="I53" i="6"/>
  <c r="G82" i="6"/>
  <c r="I15" i="6"/>
  <c r="I23" i="6"/>
  <c r="I24" i="6"/>
  <c r="I48" i="6"/>
  <c r="I56" i="6"/>
  <c r="I49" i="6"/>
  <c r="G78" i="6"/>
  <c r="I45" i="6"/>
  <c r="I55" i="6"/>
  <c r="G80" i="6"/>
  <c r="I21" i="6"/>
  <c r="I11" i="6"/>
  <c r="I50" i="6"/>
  <c r="I17" i="6"/>
  <c r="I26" i="6"/>
  <c r="G74" i="6"/>
  <c r="I9" i="6"/>
  <c r="G79" i="6"/>
  <c r="G76" i="6"/>
  <c r="I46" i="6"/>
  <c r="I22" i="6"/>
  <c r="I12" i="6"/>
  <c r="I19" i="6"/>
  <c r="I27" i="6"/>
  <c r="I16" i="6"/>
  <c r="I20" i="6"/>
  <c r="I51" i="6"/>
  <c r="G81" i="6"/>
  <c r="I52" i="6"/>
  <c r="I54" i="6"/>
  <c r="M16" i="6" l="1"/>
  <c r="M15" i="6"/>
  <c r="M78" i="6"/>
  <c r="Q76" i="6"/>
  <c r="Q82" i="6"/>
  <c r="Q78" i="6"/>
  <c r="Q74" i="6"/>
  <c r="Q79" i="6"/>
  <c r="Q81" i="6"/>
  <c r="Q77" i="6"/>
  <c r="Q80" i="6"/>
  <c r="I80" i="6"/>
  <c r="P86" i="6"/>
  <c r="I82" i="6"/>
  <c r="I77" i="6"/>
  <c r="I81" i="6"/>
  <c r="I76" i="6"/>
  <c r="I78" i="6"/>
  <c r="Q86" i="6" l="1"/>
  <c r="O21" i="10" l="1"/>
  <c r="Q21" i="10" l="1"/>
  <c r="D67" i="6"/>
  <c r="L67" i="6" s="1"/>
  <c r="L77" i="6" s="1"/>
  <c r="E67" i="6" l="1"/>
  <c r="M67" i="6" s="1"/>
  <c r="C29" i="10" l="1"/>
  <c r="C8" i="1" s="1"/>
  <c r="D29" i="10"/>
  <c r="D8" i="1" s="1"/>
  <c r="F36" i="10" l="1"/>
  <c r="F15" i="1" s="1"/>
  <c r="H36" i="10"/>
  <c r="H15" i="1" s="1"/>
  <c r="J36" i="10"/>
  <c r="J15" i="1" s="1"/>
  <c r="L36" i="10"/>
  <c r="L15" i="1" s="1"/>
  <c r="K36" i="10"/>
  <c r="K15" i="1" s="1"/>
  <c r="E36" i="10"/>
  <c r="E15" i="1" s="1"/>
  <c r="G36" i="10"/>
  <c r="G15" i="1" s="1"/>
  <c r="M36" i="10"/>
  <c r="M15" i="1" s="1"/>
  <c r="E29" i="10"/>
  <c r="E8" i="1" s="1"/>
  <c r="F29" i="10" l="1"/>
  <c r="F8" i="1" s="1"/>
  <c r="G29" i="10" l="1"/>
  <c r="G8" i="1" s="1"/>
  <c r="H29" i="10" l="1"/>
  <c r="H8" i="1" s="1"/>
  <c r="C36" i="10"/>
  <c r="C15" i="1" s="1"/>
  <c r="I36" i="10" l="1"/>
  <c r="I15" i="1" s="1"/>
  <c r="K29" i="10" l="1"/>
  <c r="K8" i="1" s="1"/>
  <c r="J29" i="10"/>
  <c r="J8" i="1" s="1"/>
  <c r="I29" i="10"/>
  <c r="I8" i="1" s="1"/>
  <c r="D36" i="10" l="1"/>
  <c r="D15" i="1" l="1"/>
  <c r="O15" i="1" s="1"/>
  <c r="Q15" i="1" s="1"/>
  <c r="L29" i="10"/>
  <c r="L8" i="1" s="1"/>
  <c r="M29" i="10" l="1"/>
  <c r="M8" i="1" l="1"/>
  <c r="O8" i="1" s="1"/>
  <c r="Q8" i="1" s="1"/>
  <c r="O29" i="10" l="1"/>
  <c r="Q29" i="10" s="1"/>
  <c r="P28" i="10"/>
  <c r="E64" i="6" l="1"/>
  <c r="M64" i="6" s="1"/>
  <c r="E55" i="6" l="1"/>
  <c r="M55" i="6" s="1"/>
  <c r="M81" i="6" s="1"/>
  <c r="D80" i="6"/>
  <c r="E20" i="6"/>
  <c r="M20" i="6" s="1"/>
  <c r="E50" i="6"/>
  <c r="M50" i="6" s="1"/>
  <c r="E45" i="6"/>
  <c r="M45" i="6" s="1"/>
  <c r="D78" i="6"/>
  <c r="E27" i="6"/>
  <c r="M27" i="6" s="1"/>
  <c r="E23" i="6"/>
  <c r="M23" i="6" s="1"/>
  <c r="E19" i="6"/>
  <c r="M19" i="6" s="1"/>
  <c r="E10" i="6"/>
  <c r="M10" i="6" s="1"/>
  <c r="E51" i="6"/>
  <c r="M51" i="6" s="1"/>
  <c r="E11" i="6"/>
  <c r="M11" i="6" s="1"/>
  <c r="E49" i="6"/>
  <c r="M49" i="6" s="1"/>
  <c r="E44" i="6"/>
  <c r="M44" i="6" s="1"/>
  <c r="E26" i="6"/>
  <c r="M26" i="6" s="1"/>
  <c r="E22" i="6"/>
  <c r="M22" i="6" s="1"/>
  <c r="E18" i="6"/>
  <c r="M18" i="6" s="1"/>
  <c r="D77" i="6"/>
  <c r="D79" i="6"/>
  <c r="E46" i="6"/>
  <c r="M46" i="6" s="1"/>
  <c r="E24" i="6"/>
  <c r="M24" i="6" s="1"/>
  <c r="E54" i="6"/>
  <c r="M54" i="6" s="1"/>
  <c r="E53" i="6"/>
  <c r="M53" i="6" s="1"/>
  <c r="D82" i="6"/>
  <c r="E56" i="6"/>
  <c r="M56" i="6" s="1"/>
  <c r="E52" i="6"/>
  <c r="M52" i="6" s="1"/>
  <c r="E48" i="6"/>
  <c r="M48" i="6" s="1"/>
  <c r="D81" i="6"/>
  <c r="E25" i="6"/>
  <c r="M25" i="6" s="1"/>
  <c r="E21" i="6"/>
  <c r="M21" i="6" s="1"/>
  <c r="E12" i="6"/>
  <c r="M12" i="6" s="1"/>
  <c r="M82" i="6" l="1"/>
  <c r="M80" i="6"/>
  <c r="P10" i="10"/>
  <c r="M77" i="6"/>
  <c r="P9" i="10"/>
  <c r="H13" i="6" s="1"/>
  <c r="E78" i="6"/>
  <c r="E82" i="6"/>
  <c r="E77" i="6"/>
  <c r="E81" i="6"/>
  <c r="E80" i="6"/>
  <c r="Q10" i="10" l="1"/>
  <c r="L13" i="6"/>
  <c r="H14" i="6"/>
  <c r="P10" i="1"/>
  <c r="Q9" i="10"/>
  <c r="P31" i="10"/>
  <c r="P25" i="10"/>
  <c r="P17" i="1" l="1"/>
  <c r="L14" i="6"/>
  <c r="L79" i="6" s="1"/>
  <c r="Q31" i="10"/>
  <c r="M37" i="10"/>
  <c r="M16" i="1" s="1"/>
  <c r="H37" i="10"/>
  <c r="H16" i="1" s="1"/>
  <c r="L37" i="10"/>
  <c r="L16" i="1" s="1"/>
  <c r="D37" i="10"/>
  <c r="D16" i="1" s="1"/>
  <c r="I37" i="10"/>
  <c r="I16" i="1" s="1"/>
  <c r="P38" i="10"/>
  <c r="I14" i="6"/>
  <c r="H79" i="6"/>
  <c r="I13" i="6"/>
  <c r="H74" i="6"/>
  <c r="C37" i="10"/>
  <c r="C16" i="1" s="1"/>
  <c r="K37" i="10"/>
  <c r="K16" i="1" s="1"/>
  <c r="G37" i="10"/>
  <c r="G16" i="1" s="1"/>
  <c r="J37" i="10"/>
  <c r="J16" i="1" s="1"/>
  <c r="M13" i="6" l="1"/>
  <c r="M14" i="6"/>
  <c r="Q10" i="1"/>
  <c r="F37" i="10"/>
  <c r="F16" i="1" s="1"/>
  <c r="E37" i="10"/>
  <c r="E16" i="1" s="1"/>
  <c r="I79" i="6"/>
  <c r="I74" i="6"/>
  <c r="O16" i="1" l="1"/>
  <c r="Q16" i="1" s="1"/>
  <c r="O12" i="1"/>
  <c r="Q12" i="1" s="1"/>
  <c r="C7" i="10" l="1"/>
  <c r="O7" i="10" s="1"/>
  <c r="Q7" i="10" l="1"/>
  <c r="D17" i="6"/>
  <c r="L17" i="6" s="1"/>
  <c r="L76" i="6" s="1"/>
  <c r="L86" i="6" s="1"/>
  <c r="E28" i="10"/>
  <c r="E7" i="1" s="1"/>
  <c r="E17" i="1" s="1"/>
  <c r="I28" i="10"/>
  <c r="I7" i="1" s="1"/>
  <c r="I17" i="1" s="1"/>
  <c r="M28" i="10"/>
  <c r="M7" i="1" s="1"/>
  <c r="M17" i="1" s="1"/>
  <c r="F28" i="10"/>
  <c r="F7" i="1" s="1"/>
  <c r="F17" i="1" s="1"/>
  <c r="J28" i="10"/>
  <c r="J7" i="1" s="1"/>
  <c r="J17" i="1" s="1"/>
  <c r="D28" i="10"/>
  <c r="D7" i="1" s="1"/>
  <c r="D17" i="1" s="1"/>
  <c r="H28" i="10"/>
  <c r="H7" i="1" s="1"/>
  <c r="H17" i="1" s="1"/>
  <c r="L28" i="10"/>
  <c r="L7" i="1" s="1"/>
  <c r="L17" i="1" s="1"/>
  <c r="G28" i="10"/>
  <c r="G7" i="1" s="1"/>
  <c r="G17" i="1" s="1"/>
  <c r="K28" i="10"/>
  <c r="K7" i="1" s="1"/>
  <c r="K17" i="1" s="1"/>
  <c r="F38" i="10" l="1"/>
  <c r="D38" i="10"/>
  <c r="M38" i="10"/>
  <c r="K38" i="10"/>
  <c r="I38" i="10"/>
  <c r="H38" i="10"/>
  <c r="G38" i="10"/>
  <c r="L38" i="10"/>
  <c r="J38" i="10"/>
  <c r="E38" i="10"/>
  <c r="Q27" i="10"/>
  <c r="C28" i="10" l="1"/>
  <c r="C7" i="1" s="1"/>
  <c r="D76" i="6" l="1"/>
  <c r="E17" i="6"/>
  <c r="M17" i="6" s="1"/>
  <c r="M76" i="6" s="1"/>
  <c r="O7" i="1"/>
  <c r="Q7" i="1" s="1"/>
  <c r="Q17" i="1" s="1"/>
  <c r="C38" i="10"/>
  <c r="O28" i="10"/>
  <c r="Q28" i="10" s="1"/>
  <c r="O38" i="10" l="1"/>
  <c r="Q38" i="10" s="1"/>
  <c r="E76" i="6"/>
  <c r="E71" i="6"/>
  <c r="M71" i="6" s="1"/>
  <c r="M85" i="6" s="1"/>
  <c r="D85" i="6"/>
  <c r="O37" i="10"/>
  <c r="Q37" i="10" s="1"/>
  <c r="E85" i="6" l="1"/>
  <c r="G86" i="6"/>
  <c r="I86" i="6"/>
  <c r="H86" i="6"/>
  <c r="L89" i="6" l="1"/>
  <c r="P89" i="6"/>
  <c r="K89" i="6"/>
  <c r="I19" i="1"/>
  <c r="H19" i="1"/>
  <c r="E19" i="1"/>
  <c r="K19" i="1"/>
  <c r="J19" i="1"/>
  <c r="M19" i="1"/>
  <c r="D19" i="1"/>
  <c r="F19" i="1"/>
  <c r="C19" i="1"/>
  <c r="L19" i="1"/>
  <c r="G19" i="1"/>
  <c r="O19" i="1" l="1"/>
  <c r="Q19" i="1" s="1"/>
  <c r="C79" i="6"/>
  <c r="E9" i="6"/>
  <c r="K74" i="6"/>
  <c r="M9" i="6" l="1"/>
  <c r="M79" i="6" s="1"/>
  <c r="E79" i="6"/>
  <c r="C86" i="6"/>
  <c r="O36" i="10" l="1"/>
  <c r="Q36" i="10" s="1"/>
  <c r="D84" i="6" l="1"/>
  <c r="E63" i="6"/>
  <c r="D74" i="6"/>
  <c r="L74" i="6" s="1"/>
  <c r="M63" i="6" l="1"/>
  <c r="M84" i="6" s="1"/>
  <c r="M86" i="6" s="1"/>
  <c r="M89" i="6" s="1"/>
  <c r="E74" i="6"/>
  <c r="M74" i="6" s="1"/>
  <c r="E84" i="6"/>
  <c r="C25" i="10" l="1"/>
  <c r="D25" i="10" l="1"/>
  <c r="C17" i="1" l="1"/>
  <c r="E25" i="10"/>
  <c r="F25" i="10"/>
  <c r="G25" i="10" l="1"/>
  <c r="H25" i="10" l="1"/>
  <c r="I25" i="10" l="1"/>
  <c r="J25" i="10"/>
  <c r="K25" i="10" l="1"/>
  <c r="L25" i="10" l="1"/>
  <c r="M25" i="10" l="1"/>
  <c r="O25" i="10" l="1"/>
  <c r="Q25" i="10" l="1"/>
  <c r="D86" i="6" l="1"/>
  <c r="O17" i="1" l="1"/>
  <c r="E86" i="6" l="1"/>
  <c r="O89" i="6" l="1"/>
  <c r="Q89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<sst xmlns="http://schemas.openxmlformats.org/spreadsheetml/2006/main" count="530" uniqueCount="169">
  <si>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</si>
  <si>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</si>
  <si>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</si>
  <si>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</si>
  <si>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</si>
  <si>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</si>
  <si>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</si>
  <si>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</si>
  <si>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</si>
  <si>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</si>
  <si>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</si>
  <si>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</si>
  <si>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</si>
  <si>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</si>
  <si>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</si>
  <si>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</si>
  <si>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</si>
  <si>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</si>
  <si>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</si>
  <si>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</si>
  <si>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Freddy 1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</si>
  <si>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</si>
  <si>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</si>
  <si>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</si>
  <si>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</si>
  <si>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</si>
  <si>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</si>
  <si>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</si>
  <si>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</si>
  <si>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</si>
  <si>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</si>
  <si>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</si>
  <si>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Mid C Priest Rapids Project</t>
  </si>
  <si>
    <t>FERC 557 Other Power Costs</t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</si>
  <si>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</si>
  <si>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</si>
  <si>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</si>
  <si>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</si>
  <si>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</si>
  <si>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</si>
  <si>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</si>
  <si>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</si>
  <si>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</si>
  <si>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</si>
  <si>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</si>
  <si>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</si>
  <si>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</si>
  <si>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</si>
  <si>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</si>
  <si>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</si>
  <si>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</si>
  <si>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Wild Horse</t>
  </si>
  <si>
    <t xml:space="preserve">   Total rate year FERC 557 other power supply expense</t>
  </si>
  <si>
    <t>Less customer portion of PCA (assume no balance)</t>
  </si>
  <si>
    <t>Less Green Power Program (offset in revenue)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</si>
  <si>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</si>
  <si>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</si>
  <si>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</si>
  <si>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</si>
  <si>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</si>
  <si>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</si>
  <si>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</si>
  <si>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</si>
  <si>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</si>
  <si>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Rate Year Power Costs</t>
  </si>
  <si>
    <t>Rate Year Power Costs by Resource</t>
  </si>
  <si>
    <t>Puget Sound Energy</t>
  </si>
  <si>
    <t>Increase / (Decrease)</t>
  </si>
  <si>
    <t>($ in thousands)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</si>
  <si>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</si>
  <si>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</si>
  <si>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t>Snoqualmie</t>
  </si>
  <si>
    <t>This file contains confidential information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</si>
  <si>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</si>
  <si>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</si>
  <si>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</si>
  <si>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</si>
  <si>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</si>
  <si>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</si>
  <si>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</si>
  <si>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</si>
  <si>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</si>
  <si>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</si>
  <si>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</si>
  <si>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</si>
  <si>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</si>
  <si>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</si>
  <si>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</si>
  <si>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</si>
  <si>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</si>
  <si>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</si>
  <si>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</si>
  <si>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</si>
  <si>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</si>
  <si>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</si>
  <si>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</si>
  <si>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</si>
  <si>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</si>
  <si>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</si>
  <si>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</si>
  <si>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</si>
  <si>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</si>
  <si>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</si>
  <si>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</si>
  <si>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</si>
  <si>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</si>
  <si>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</si>
  <si>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</si>
  <si>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</si>
  <si>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</si>
  <si>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Colstrip 3&amp;4 fixed fuel cost</t>
  </si>
  <si>
    <t>Premiums / (discount) on physical index deals</t>
  </si>
  <si>
    <t>Shaded information is designated as confidential per WAC 480-07-160</t>
  </si>
  <si>
    <t>`</t>
  </si>
  <si>
    <t>Transmission cost</t>
  </si>
  <si>
    <t>Green Direct replacement</t>
  </si>
  <si>
    <t>80-year hydro adjustment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</si>
  <si>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</si>
  <si>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</si>
  <si>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</si>
  <si>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</si>
  <si>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</si>
  <si>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</si>
  <si>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2020 PCORC Final Order</t>
  </si>
  <si>
    <t>2020 PCORC - Final Order</t>
  </si>
  <si>
    <t>Clearwater</t>
  </si>
  <si>
    <t>2022 GRC</t>
  </si>
  <si>
    <t>2022 GRC - 2023</t>
  </si>
  <si>
    <t>12 mo end 6.30.20</t>
  </si>
  <si>
    <t>Test year: July 2020 through June 2021</t>
  </si>
  <si>
    <t>Rate year: January 2023 through December 2023</t>
  </si>
  <si>
    <t>% increase 2023 - 2020 PCORC Final Order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</si>
  <si>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</si>
  <si>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</si>
  <si>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</si>
  <si>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</si>
  <si>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</si>
  <si>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</si>
  <si>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</si>
  <si>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</si>
  <si>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</si>
  <si>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</si>
  <si>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</si>
  <si>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</si>
  <si>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</si>
  <si>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</si>
  <si>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</si>
  <si>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</si>
  <si>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</si>
  <si>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</si>
  <si>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</si>
  <si>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</si>
  <si>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</si>
  <si>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</si>
  <si>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Other Mid-C</t>
  </si>
  <si>
    <t>Forecasted total</t>
  </si>
  <si>
    <t>Forecasted total - less PCA customer portion</t>
  </si>
  <si>
    <t>Powerex Summer PPA</t>
  </si>
  <si>
    <t>Settlement adjustment EIM</t>
  </si>
  <si>
    <t>n/a</t>
  </si>
  <si>
    <t>EIM market purchases</t>
  </si>
  <si>
    <t>Hourly market sales</t>
  </si>
  <si>
    <t>Hourly market purchases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</si>
  <si>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</si>
  <si>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</si>
  <si>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</si>
  <si>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</si>
  <si>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</si>
  <si>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BPA capacity and Golden Hills fixed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</si>
</sst>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&quot;$&quot;#,##0"/>
    <numFmt numFmtId="171" formatCode="#,##0.0_);\(#,##0.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auto="1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0" fillId="0" borderId="0" xfId="0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4" xfId="0" applyNumberFormat="1" applyFont="1" applyBorder="1"/>
    <xf numFmtId="166" fontId="2" fillId="0" borderId="0" xfId="0" applyNumberFormat="1" applyFont="1" applyFill="1"/>
    <xf numFmtId="166" fontId="0" fillId="0" borderId="24" xfId="0" applyNumberFormat="1" applyFont="1" applyFill="1" applyBorder="1"/>
    <xf numFmtId="166" fontId="0" fillId="0" borderId="0" xfId="0" applyNumberFormat="1" applyFont="1"/>
    <xf numFmtId="166" fontId="0" fillId="0" borderId="0" xfId="0" applyNumberFormat="1" applyFont="1" applyFill="1" applyBorder="1"/>
    <xf numFmtId="166" fontId="0" fillId="0" borderId="0" xfId="0" applyNumberFormat="1" applyFont="1" applyBorder="1"/>
    <xf numFmtId="0" fontId="0" fillId="0" borderId="0" xfId="0" applyFont="1" applyFill="1"/>
    <xf numFmtId="0" fontId="4" fillId="0" borderId="20" xfId="0" applyFont="1" applyBorder="1"/>
    <xf numFmtId="0" fontId="3" fillId="0" borderId="0" xfId="0" applyNumberFormat="1" applyFont="1" applyAlignment="1">
      <alignment vertical="top"/>
    </xf>
    <xf numFmtId="42" fontId="0" fillId="2" borderId="12" xfId="0" applyNumberFormat="1" applyFont="1" applyFill="1" applyBorder="1"/>
    <xf numFmtId="42" fontId="0" fillId="2" borderId="13" xfId="0" applyNumberFormat="1" applyFont="1" applyFill="1" applyBorder="1"/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0" xfId="0" applyNumberFormat="1" applyFont="1" applyFill="1" applyBorder="1"/>
    <xf numFmtId="42" fontId="0" fillId="2" borderId="16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/>
    <xf numFmtId="166" fontId="12" fillId="0" borderId="0" xfId="0" applyNumberFormat="1" applyFont="1" applyFill="1" applyAlignment="1"/>
    <xf numFmtId="166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166" fontId="12" fillId="0" borderId="0" xfId="0" applyNumberFormat="1" applyFont="1" applyFill="1"/>
    <xf numFmtId="0" fontId="12" fillId="0" borderId="0" xfId="0" applyNumberFormat="1" applyFont="1" applyFill="1" applyAlignment="1">
      <alignment horizontal="center"/>
    </xf>
    <xf numFmtId="5" fontId="12" fillId="0" borderId="0" xfId="0" applyNumberFormat="1" applyFont="1" applyFill="1" applyAlignment="1"/>
    <xf numFmtId="0" fontId="12" fillId="0" borderId="0" xfId="0" applyFont="1" applyFill="1"/>
    <xf numFmtId="0" fontId="12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Alignment="1">
      <alignment horizontal="centerContinuous"/>
    </xf>
    <xf numFmtId="0" fontId="12" fillId="0" borderId="0" xfId="0" applyFont="1" applyFill="1" applyBorder="1"/>
    <xf numFmtId="0" fontId="0" fillId="0" borderId="0" xfId="0" applyFont="1" applyAlignment="1">
      <alignment horizontal="right"/>
    </xf>
    <xf numFmtId="0" fontId="23" fillId="0" borderId="0" xfId="0" applyNumberFormat="1" applyFont="1" applyFill="1" applyAlignment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12" fillId="0" borderId="0" xfId="0" applyFont="1"/>
    <xf numFmtId="5" fontId="25" fillId="0" borderId="0" xfId="0" applyNumberFormat="1" applyFont="1" applyFill="1" applyAlignment="1">
      <alignment horizontal="center" wrapText="1"/>
    </xf>
    <xf numFmtId="0" fontId="22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/>
    <xf numFmtId="0" fontId="26" fillId="0" borderId="0" xfId="0" applyNumberFormat="1" applyFont="1" applyFill="1" applyAlignment="1"/>
    <xf numFmtId="0" fontId="26" fillId="0" borderId="0" xfId="0" applyNumberFormat="1" applyFont="1" applyFill="1" applyBorder="1" applyAlignment="1"/>
    <xf numFmtId="37" fontId="0" fillId="0" borderId="0" xfId="0" applyNumberFormat="1" applyFont="1" applyFill="1"/>
    <xf numFmtId="166" fontId="26" fillId="0" borderId="0" xfId="0" applyNumberFormat="1" applyFont="1" applyFill="1" applyAlignment="1"/>
    <xf numFmtId="166" fontId="26" fillId="0" borderId="0" xfId="0" applyNumberFormat="1" applyFont="1" applyFill="1" applyBorder="1" applyAlignment="1"/>
    <xf numFmtId="166" fontId="26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right"/>
    </xf>
    <xf numFmtId="169" fontId="26" fillId="0" borderId="0" xfId="0" applyNumberFormat="1" applyFont="1" applyFill="1" applyAlignment="1"/>
    <xf numFmtId="169" fontId="26" fillId="0" borderId="0" xfId="0" applyNumberFormat="1" applyFont="1" applyFill="1" applyBorder="1" applyAlignment="1"/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8" fontId="4" fillId="0" borderId="0" xfId="0" applyNumberFormat="1" applyFont="1" applyAlignment="1">
      <alignment horizontal="center"/>
    </xf>
    <xf numFmtId="0" fontId="30" fillId="0" borderId="0" xfId="0" applyFont="1"/>
    <xf numFmtId="166" fontId="0" fillId="0" borderId="32" xfId="0" applyNumberFormat="1" applyFont="1" applyBorder="1"/>
    <xf numFmtId="166" fontId="0" fillId="0" borderId="36" xfId="0" applyNumberFormat="1" applyFont="1" applyFill="1" applyBorder="1"/>
    <xf numFmtId="166" fontId="0" fillId="0" borderId="36" xfId="0" applyNumberFormat="1" applyFont="1" applyBorder="1"/>
    <xf numFmtId="0" fontId="23" fillId="0" borderId="1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14" fillId="0" borderId="32" xfId="0" applyNumberFormat="1" applyFont="1" applyFill="1" applyBorder="1" applyAlignment="1"/>
    <xf numFmtId="166" fontId="7" fillId="0" borderId="33" xfId="0" applyNumberFormat="1" applyFont="1" applyBorder="1"/>
    <xf numFmtId="0" fontId="12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Border="1"/>
    <xf numFmtId="166" fontId="12" fillId="0" borderId="0" xfId="0" applyNumberFormat="1" applyFont="1"/>
    <xf numFmtId="0" fontId="19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Border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3" fillId="0" borderId="37" xfId="0" applyNumberFormat="1" applyFont="1" applyBorder="1" applyAlignment="1">
      <alignment horizontal="center"/>
    </xf>
    <xf numFmtId="17" fontId="13" fillId="0" borderId="37" xfId="0" applyNumberFormat="1" applyFont="1" applyFill="1" applyBorder="1" applyAlignment="1">
      <alignment horizontal="center"/>
    </xf>
    <xf numFmtId="17" fontId="13" fillId="0" borderId="0" xfId="0" applyNumberFormat="1" applyFont="1" applyBorder="1" applyAlignment="1">
      <alignment horizontal="center" wrapText="1"/>
    </xf>
    <xf numFmtId="17" fontId="1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2" fillId="0" borderId="0" xfId="0" applyNumberFormat="1" applyFont="1" applyFill="1" applyBorder="1" applyAlignment="1"/>
    <xf numFmtId="0" fontId="2" fillId="0" borderId="0" xfId="0" applyFont="1"/>
    <xf numFmtId="166" fontId="32" fillId="0" borderId="0" xfId="0" applyNumberFormat="1" applyFont="1" applyBorder="1"/>
    <xf numFmtId="0" fontId="24" fillId="0" borderId="11" xfId="0" applyFont="1" applyFill="1" applyBorder="1" applyAlignment="1">
      <alignment horizontal="left"/>
    </xf>
    <xf numFmtId="166" fontId="21" fillId="0" borderId="0" xfId="0" applyNumberFormat="1" applyFont="1" applyBorder="1"/>
    <xf numFmtId="164" fontId="33" fillId="0" borderId="0" xfId="0" applyNumberFormat="1" applyFont="1" applyFill="1" applyBorder="1" applyAlignment="1"/>
    <xf numFmtId="17" fontId="12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 wrapText="1"/>
    </xf>
    <xf numFmtId="166" fontId="32" fillId="0" borderId="0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/>
    <xf numFmtId="0" fontId="14" fillId="0" borderId="32" xfId="0" applyNumberFormat="1" applyFont="1" applyFill="1" applyBorder="1" applyAlignment="1">
      <alignment horizontal="left"/>
    </xf>
    <xf numFmtId="0" fontId="0" fillId="0" borderId="0" xfId="0" applyBorder="1"/>
    <xf numFmtId="0" fontId="11" fillId="0" borderId="0" xfId="0" applyFont="1" applyBorder="1"/>
    <xf numFmtId="0" fontId="7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31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28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15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6" xfId="0" applyNumberFormat="1" applyFont="1" applyFill="1" applyBorder="1"/>
    <xf numFmtId="37" fontId="0" fillId="2" borderId="25" xfId="0" applyNumberFormat="1" applyFont="1" applyFill="1" applyBorder="1"/>
    <xf numFmtId="37" fontId="0" fillId="0" borderId="25" xfId="0" applyNumberFormat="1" applyFont="1" applyFill="1" applyBorder="1"/>
    <xf numFmtId="37" fontId="2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Alignment="1">
      <alignment horizontal="left"/>
    </xf>
    <xf numFmtId="0" fontId="8" fillId="0" borderId="0" xfId="0" applyFont="1"/>
    <xf numFmtId="0" fontId="17" fillId="0" borderId="0" xfId="0" applyFont="1" applyFill="1" applyAlignment="1">
      <alignment horizontal="left"/>
    </xf>
    <xf numFmtId="0" fontId="15" fillId="0" borderId="4" xfId="0" applyNumberFormat="1" applyFont="1" applyFill="1" applyBorder="1" applyAlignment="1"/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2" borderId="19" xfId="0" applyNumberFormat="1" applyFont="1" applyFill="1" applyBorder="1"/>
    <xf numFmtId="0" fontId="24" fillId="0" borderId="37" xfId="0" applyNumberFormat="1" applyFont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20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2" xfId="0" applyNumberFormat="1" applyFont="1" applyFill="1" applyBorder="1" applyAlignment="1">
      <alignment horizontal="left"/>
    </xf>
    <xf numFmtId="0" fontId="24" fillId="0" borderId="22" xfId="0" applyNumberFormat="1" applyFont="1" applyBorder="1" applyAlignment="1">
      <alignment horizontal="left"/>
    </xf>
    <xf numFmtId="0" fontId="18" fillId="0" borderId="20" xfId="0" applyNumberFormat="1" applyFont="1" applyFill="1" applyBorder="1" applyAlignment="1"/>
    <xf numFmtId="166" fontId="7" fillId="0" borderId="20" xfId="0" applyNumberFormat="1" applyFont="1" applyBorder="1"/>
    <xf numFmtId="0" fontId="1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20" xfId="0" applyFont="1" applyBorder="1" applyAlignment="1">
      <alignment horizontal="left"/>
    </xf>
    <xf numFmtId="0" fontId="12" fillId="0" borderId="10" xfId="0" applyNumberFormat="1" applyFont="1" applyFill="1" applyBorder="1" applyAlignment="1"/>
    <xf numFmtId="0" fontId="24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32" xfId="0" applyNumberFormat="1" applyFont="1" applyFill="1" applyBorder="1" applyAlignment="1">
      <alignment horizontal="left"/>
    </xf>
    <xf numFmtId="37" fontId="0" fillId="2" borderId="12" xfId="0" applyNumberFormat="1" applyFont="1" applyFill="1" applyBorder="1"/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6" xfId="0" applyNumberFormat="1" applyFont="1" applyFill="1" applyBorder="1"/>
    <xf numFmtId="37" fontId="0" fillId="2" borderId="46" xfId="0" applyNumberFormat="1" applyFont="1" applyFill="1" applyBorder="1"/>
    <xf numFmtId="0" fontId="4" fillId="0" borderId="39" xfId="0" applyFont="1" applyFill="1" applyBorder="1" applyAlignment="1">
      <alignment horizontal="center" wrapText="1"/>
    </xf>
    <xf numFmtId="170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0" fontId="7" fillId="0" borderId="22" xfId="0" applyNumberFormat="1" applyFont="1" applyBorder="1"/>
    <xf numFmtId="170" fontId="7" fillId="0" borderId="20" xfId="0" applyNumberFormat="1" applyFont="1" applyBorder="1"/>
    <xf numFmtId="170" fontId="7" fillId="0" borderId="21" xfId="0" applyNumberFormat="1" applyFont="1" applyBorder="1"/>
    <xf numFmtId="37" fontId="7" fillId="0" borderId="22" xfId="0" applyNumberFormat="1" applyFont="1" applyBorder="1"/>
    <xf numFmtId="37" fontId="7" fillId="0" borderId="21" xfId="0" applyNumberFormat="1" applyFont="1" applyBorder="1"/>
    <xf numFmtId="7" fontId="7" fillId="0" borderId="21" xfId="0" applyNumberFormat="1" applyFont="1" applyBorder="1" applyAlignment="1">
      <alignment horizontal="center"/>
    </xf>
    <xf numFmtId="7" fontId="7" fillId="0" borderId="22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47" xfId="0" applyNumberFormat="1" applyFont="1" applyFill="1" applyBorder="1"/>
    <xf numFmtId="37" fontId="0" fillId="2" borderId="48" xfId="0" applyNumberFormat="1" applyFont="1" applyFill="1" applyBorder="1"/>
    <xf numFmtId="37" fontId="0" fillId="2" borderId="49" xfId="0" applyNumberFormat="1" applyFont="1" applyFill="1" applyBorder="1"/>
    <xf numFmtId="37" fontId="0" fillId="0" borderId="50" xfId="0" applyNumberFormat="1" applyFont="1" applyFill="1" applyBorder="1"/>
    <xf numFmtId="37" fontId="0" fillId="0" borderId="3" xfId="0" applyNumberFormat="1" applyFont="1" applyFill="1" applyBorder="1"/>
    <xf numFmtId="37" fontId="0" fillId="0" borderId="27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2" xfId="0" applyNumberFormat="1" applyFont="1" applyBorder="1" applyAlignment="1">
      <alignment horizontal="right" indent="1"/>
    </xf>
    <xf numFmtId="10" fontId="7" fillId="0" borderId="20" xfId="0" applyNumberFormat="1" applyFont="1" applyBorder="1" applyAlignment="1">
      <alignment horizontal="right" indent="1"/>
    </xf>
    <xf numFmtId="10" fontId="7" fillId="0" borderId="21" xfId="0" applyNumberFormat="1" applyFont="1" applyBorder="1" applyAlignment="1">
      <alignment horizontal="right" indent="1"/>
    </xf>
    <xf numFmtId="0" fontId="24" fillId="0" borderId="10" xfId="0" applyFont="1" applyFill="1" applyBorder="1" applyAlignment="1">
      <alignment horizontal="left"/>
    </xf>
    <xf numFmtId="37" fontId="0" fillId="0" borderId="52" xfId="0" applyNumberFormat="1" applyFont="1" applyFill="1" applyBorder="1"/>
    <xf numFmtId="37" fontId="0" fillId="0" borderId="53" xfId="0" applyNumberFormat="1" applyFont="1" applyFill="1" applyBorder="1"/>
    <xf numFmtId="0" fontId="7" fillId="0" borderId="29" xfId="0" applyNumberFormat="1" applyFont="1" applyFill="1" applyBorder="1" applyAlignment="1">
      <alignment horizontal="center"/>
    </xf>
    <xf numFmtId="0" fontId="7" fillId="0" borderId="29" xfId="0" applyNumberFormat="1" applyFont="1" applyBorder="1" applyAlignment="1">
      <alignment horizontal="center" wrapText="1"/>
    </xf>
    <xf numFmtId="0" fontId="7" fillId="0" borderId="29" xfId="0" applyNumberFormat="1" applyFont="1" applyBorder="1" applyAlignment="1">
      <alignment horizontal="center"/>
    </xf>
    <xf numFmtId="0" fontId="14" fillId="0" borderId="3" xfId="0" applyFont="1" applyFill="1" applyBorder="1" applyAlignment="1">
      <alignment horizontal="right"/>
    </xf>
    <xf numFmtId="37" fontId="0" fillId="0" borderId="41" xfId="0" applyNumberFormat="1" applyFont="1" applyFill="1" applyBorder="1"/>
    <xf numFmtId="37" fontId="0" fillId="0" borderId="54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0" xfId="0" applyNumberFormat="1" applyFont="1" applyFill="1" applyBorder="1"/>
    <xf numFmtId="166" fontId="0" fillId="2" borderId="15" xfId="0" applyNumberFormat="1" applyFont="1" applyFill="1" applyBorder="1"/>
    <xf numFmtId="166" fontId="0" fillId="2" borderId="0" xfId="0" applyNumberFormat="1" applyFont="1" applyFill="1" applyBorder="1"/>
    <xf numFmtId="166" fontId="0" fillId="2" borderId="16" xfId="0" applyNumberFormat="1" applyFont="1" applyFill="1" applyBorder="1"/>
    <xf numFmtId="166" fontId="0" fillId="2" borderId="26" xfId="0" applyNumberFormat="1" applyFont="1" applyFill="1" applyBorder="1"/>
    <xf numFmtId="166" fontId="0" fillId="2" borderId="25" xfId="0" applyNumberFormat="1" applyFont="1" applyFill="1" applyBorder="1"/>
    <xf numFmtId="166" fontId="0" fillId="2" borderId="46" xfId="0" applyNumberFormat="1" applyFont="1" applyFill="1" applyBorder="1"/>
    <xf numFmtId="166" fontId="4" fillId="0" borderId="32" xfId="0" applyNumberFormat="1" applyFont="1" applyBorder="1"/>
    <xf numFmtId="166" fontId="4" fillId="0" borderId="36" xfId="0" applyNumberFormat="1" applyFont="1" applyBorder="1"/>
    <xf numFmtId="0" fontId="12" fillId="0" borderId="15" xfId="0" applyFont="1" applyBorder="1"/>
    <xf numFmtId="37" fontId="0" fillId="0" borderId="55" xfId="0" applyNumberFormat="1" applyFont="1" applyFill="1" applyBorder="1"/>
    <xf numFmtId="0" fontId="23" fillId="0" borderId="20" xfId="0" applyNumberFormat="1" applyFont="1" applyFill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left"/>
    </xf>
    <xf numFmtId="0" fontId="38" fillId="0" borderId="0" xfId="0" applyNumberFormat="1" applyFont="1" applyFill="1" applyAlignment="1"/>
    <xf numFmtId="0" fontId="10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4" fillId="0" borderId="23" xfId="0" applyFont="1" applyFill="1" applyBorder="1" applyAlignment="1">
      <alignment horizontal="center" wrapText="1"/>
    </xf>
    <xf numFmtId="0" fontId="12" fillId="0" borderId="10" xfId="0" applyFont="1" applyBorder="1"/>
    <xf numFmtId="166" fontId="12" fillId="0" borderId="0" xfId="0" applyNumberFormat="1" applyFont="1"/>
    <xf numFmtId="0" fontId="12" fillId="0" borderId="0" xfId="0" applyFont="1" applyFill="1" applyBorder="1"/>
    <xf numFmtId="166" fontId="2" fillId="2" borderId="12" xfId="0" applyNumberFormat="1" applyFont="1" applyFill="1" applyBorder="1"/>
    <xf numFmtId="166" fontId="2" fillId="2" borderId="13" xfId="0" applyNumberFormat="1" applyFont="1" applyFill="1" applyBorder="1"/>
    <xf numFmtId="42" fontId="19" fillId="0" borderId="0" xfId="0" applyNumberFormat="1" applyFont="1" applyFill="1" applyBorder="1" applyAlignment="1"/>
    <xf numFmtId="0" fontId="39" fillId="0" borderId="0" xfId="0" applyNumberFormat="1" applyFont="1" applyFill="1" applyAlignment="1">
      <alignment horizontal="center"/>
    </xf>
    <xf numFmtId="0" fontId="39" fillId="0" borderId="0" xfId="0" applyNumberFormat="1" applyFont="1" applyFill="1" applyAlignment="1">
      <alignment horizontal="left"/>
    </xf>
    <xf numFmtId="166" fontId="39" fillId="0" borderId="0" xfId="0" applyNumberFormat="1" applyFont="1" applyFill="1" applyAlignment="1">
      <alignment horizontal="right"/>
    </xf>
    <xf numFmtId="166" fontId="39" fillId="0" borderId="0" xfId="0" applyNumberFormat="1" applyFont="1" applyFill="1"/>
    <xf numFmtId="37" fontId="39" fillId="0" borderId="0" xfId="0" applyNumberFormat="1" applyFont="1" applyFill="1" applyBorder="1" applyAlignment="1">
      <alignment horizontal="right" wrapText="1"/>
    </xf>
    <xf numFmtId="0" fontId="39" fillId="0" borderId="0" xfId="0" applyNumberFormat="1" applyFont="1" applyFill="1" applyAlignment="1"/>
    <xf numFmtId="166" fontId="40" fillId="0" borderId="0" xfId="0" applyNumberFormat="1" applyFont="1" applyFill="1" applyAlignment="1">
      <alignment horizontal="center"/>
    </xf>
    <xf numFmtId="166" fontId="40" fillId="0" borderId="0" xfId="0" applyNumberFormat="1" applyFont="1" applyFill="1" applyAlignment="1">
      <alignment horizontal="left"/>
    </xf>
    <xf numFmtId="166" fontId="39" fillId="0" borderId="0" xfId="0" applyNumberFormat="1" applyFont="1" applyFill="1" applyBorder="1" applyAlignment="1">
      <alignment horizontal="right" wrapText="1"/>
    </xf>
    <xf numFmtId="166" fontId="39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36" fillId="0" borderId="0" xfId="0" applyNumberFormat="1" applyFont="1" applyFill="1" applyBorder="1" applyAlignment="1">
      <alignment horizontal="right"/>
    </xf>
    <xf numFmtId="164" fontId="2" fillId="0" borderId="32" xfId="0" applyNumberFormat="1" applyFont="1" applyFill="1" applyBorder="1" applyAlignment="1">
      <alignment horizontal="right" wrapText="1"/>
    </xf>
    <xf numFmtId="0" fontId="16" fillId="0" borderId="0" xfId="0" applyNumberFormat="1" applyFont="1" applyFill="1" applyAlignment="1">
      <alignment horizontal="right"/>
    </xf>
    <xf numFmtId="0" fontId="19" fillId="0" borderId="0" xfId="0" applyNumberFormat="1" applyFont="1" applyFill="1" applyBorder="1" applyAlignment="1">
      <alignment horizontal="center" wrapText="1"/>
    </xf>
    <xf numFmtId="5" fontId="13" fillId="0" borderId="0" xfId="0" applyNumberFormat="1" applyFont="1" applyFill="1" applyBorder="1" applyAlignment="1">
      <alignment horizontal="center" wrapText="1"/>
    </xf>
    <xf numFmtId="168" fontId="19" fillId="0" borderId="10" xfId="0" applyNumberFormat="1" applyFont="1" applyBorder="1" applyAlignment="1">
      <alignment horizontal="center"/>
    </xf>
    <xf numFmtId="168" fontId="19" fillId="0" borderId="0" xfId="0" applyNumberFormat="1" applyFont="1" applyBorder="1" applyAlignment="1">
      <alignment horizontal="center"/>
    </xf>
    <xf numFmtId="0" fontId="26" fillId="0" borderId="10" xfId="0" applyNumberFormat="1" applyFont="1" applyFill="1" applyBorder="1" applyAlignment="1"/>
    <xf numFmtId="0" fontId="41" fillId="0" borderId="3" xfId="0" applyNumberFormat="1" applyFont="1" applyFill="1" applyBorder="1" applyAlignment="1">
      <alignment horizontal="right"/>
    </xf>
    <xf numFmtId="171" fontId="12" fillId="0" borderId="0" xfId="0" applyNumberFormat="1" applyFont="1"/>
    <xf numFmtId="7" fontId="12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42" fillId="0" borderId="0" xfId="0" applyFont="1" applyBorder="1"/>
    <xf numFmtId="0" fontId="43" fillId="0" borderId="0" xfId="4" applyFont="1" applyFill="1" applyAlignment="1">
      <alignment horizontal="left"/>
    </xf>
    <xf numFmtId="0" fontId="8" fillId="0" borderId="0" xfId="4" applyFont="1" applyFill="1" applyBorder="1"/>
    <xf numFmtId="0" fontId="3" fillId="0" borderId="0" xfId="4" applyNumberFormat="1" applyFont="1" applyFill="1" applyAlignment="1">
      <alignment vertical="top"/>
    </xf>
    <xf numFmtId="0" fontId="31" fillId="0" borderId="38" xfId="4" applyFont="1" applyFill="1" applyBorder="1" applyAlignment="1">
      <alignment horizontal="center" wrapText="1"/>
    </xf>
    <xf numFmtId="0" fontId="31" fillId="0" borderId="0" xfId="4" applyFont="1" applyFill="1" applyBorder="1" applyAlignment="1">
      <alignment horizontal="center" wrapText="1"/>
    </xf>
    <xf numFmtId="0" fontId="31" fillId="0" borderId="35" xfId="0" applyFont="1" applyBorder="1" applyAlignment="1">
      <alignment horizontal="right"/>
    </xf>
    <xf numFmtId="37" fontId="12" fillId="0" borderId="0" xfId="0" applyNumberFormat="1" applyFont="1" applyFill="1" applyAlignment="1"/>
    <xf numFmtId="0" fontId="14" fillId="0" borderId="37" xfId="0" applyNumberFormat="1" applyFont="1" applyFill="1" applyBorder="1" applyAlignment="1">
      <alignment horizontal="right"/>
    </xf>
    <xf numFmtId="0" fontId="25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5" xfId="3" applyNumberFormat="1" applyFont="1" applyFill="1" applyBorder="1"/>
    <xf numFmtId="165" fontId="2" fillId="0" borderId="55" xfId="3" applyNumberFormat="1" applyFont="1" applyFill="1" applyBorder="1"/>
    <xf numFmtId="165" fontId="2" fillId="2" borderId="15" xfId="3" applyNumberFormat="1" applyFont="1" applyFill="1" applyBorder="1"/>
    <xf numFmtId="165" fontId="2" fillId="2" borderId="0" xfId="3" applyNumberFormat="1" applyFont="1" applyFill="1" applyBorder="1"/>
    <xf numFmtId="165" fontId="2" fillId="2" borderId="26" xfId="3" applyNumberFormat="1" applyFont="1" applyFill="1" applyBorder="1"/>
    <xf numFmtId="165" fontId="2" fillId="2" borderId="25" xfId="3" applyNumberFormat="1" applyFont="1" applyFill="1" applyBorder="1"/>
    <xf numFmtId="165" fontId="2" fillId="2" borderId="47" xfId="3" applyNumberFormat="1" applyFont="1" applyFill="1" applyBorder="1"/>
    <xf numFmtId="165" fontId="2" fillId="2" borderId="48" xfId="3" applyNumberFormat="1" applyFont="1" applyFill="1" applyBorder="1"/>
    <xf numFmtId="165" fontId="2" fillId="0" borderId="53" xfId="3" applyNumberFormat="1" applyFont="1" applyFill="1" applyBorder="1"/>
    <xf numFmtId="165" fontId="2" fillId="2" borderId="12" xfId="3" applyNumberFormat="1" applyFont="1" applyFill="1" applyBorder="1"/>
    <xf numFmtId="165" fontId="2" fillId="2" borderId="13" xfId="3" applyNumberFormat="1" applyFont="1" applyFill="1" applyBorder="1"/>
    <xf numFmtId="165" fontId="2" fillId="2" borderId="60" xfId="3" applyNumberFormat="1" applyFont="1" applyFill="1" applyBorder="1"/>
    <xf numFmtId="165" fontId="2" fillId="2" borderId="32" xfId="3" applyNumberFormat="1" applyFont="1" applyFill="1" applyBorder="1"/>
    <xf numFmtId="165" fontId="7" fillId="2" borderId="32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15" fillId="0" borderId="20" xfId="0" applyNumberFormat="1" applyFont="1" applyFill="1" applyBorder="1" applyAlignment="1">
      <alignment horizontal="right"/>
    </xf>
    <xf numFmtId="165" fontId="14" fillId="0" borderId="2" xfId="3" applyNumberFormat="1" applyFont="1" applyFill="1" applyBorder="1" applyAlignment="1">
      <alignment horizontal="right"/>
    </xf>
    <xf numFmtId="165" fontId="14" fillId="2" borderId="56" xfId="3" applyNumberFormat="1" applyFont="1" applyFill="1" applyBorder="1" applyAlignment="1">
      <alignment horizontal="right"/>
    </xf>
    <xf numFmtId="165" fontId="14" fillId="2" borderId="57" xfId="3" applyNumberFormat="1" applyFont="1" applyFill="1" applyBorder="1" applyAlignment="1">
      <alignment horizontal="right"/>
    </xf>
    <xf numFmtId="165" fontId="14" fillId="2" borderId="59" xfId="3" applyNumberFormat="1" applyFont="1" applyFill="1" applyBorder="1" applyAlignment="1">
      <alignment horizontal="right"/>
    </xf>
    <xf numFmtId="165" fontId="14" fillId="2" borderId="64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39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20" xfId="0" applyNumberFormat="1" applyFont="1" applyFill="1" applyBorder="1" applyAlignment="1">
      <alignment horizontal="left"/>
    </xf>
    <xf numFmtId="165" fontId="15" fillId="2" borderId="63" xfId="3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/>
    <xf numFmtId="0" fontId="17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5" xfId="2" applyNumberFormat="1" applyFont="1" applyFill="1" applyBorder="1" applyAlignment="1">
      <alignment horizontal="right"/>
    </xf>
    <xf numFmtId="164" fontId="7" fillId="0" borderId="20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1" xfId="2" applyNumberFormat="1" applyFont="1" applyFill="1" applyBorder="1" applyAlignment="1">
      <alignment horizontal="right" wrapText="1"/>
    </xf>
    <xf numFmtId="0" fontId="31" fillId="0" borderId="29" xfId="0" applyFont="1" applyFill="1" applyBorder="1" applyAlignment="1">
      <alignment horizontal="center" wrapText="1"/>
    </xf>
    <xf numFmtId="0" fontId="31" fillId="0" borderId="21" xfId="0" applyFont="1" applyFill="1" applyBorder="1" applyAlignment="1">
      <alignment horizontal="center" wrapText="1"/>
    </xf>
    <xf numFmtId="42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/>
    <xf numFmtId="42" fontId="4" fillId="0" borderId="5" xfId="0" applyNumberFormat="1" applyFont="1" applyBorder="1"/>
    <xf numFmtId="0" fontId="31" fillId="0" borderId="22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6" xfId="0" applyNumberFormat="1" applyFont="1" applyBorder="1"/>
    <xf numFmtId="166" fontId="12" fillId="0" borderId="3" xfId="0" applyNumberFormat="1" applyFont="1" applyBorder="1"/>
    <xf numFmtId="166" fontId="2" fillId="0" borderId="21" xfId="0" applyNumberFormat="1" applyFont="1" applyFill="1" applyBorder="1"/>
    <xf numFmtId="166" fontId="2" fillId="0" borderId="29" xfId="2" applyNumberFormat="1" applyFont="1" applyBorder="1"/>
    <xf numFmtId="166" fontId="2" fillId="0" borderId="22" xfId="0" applyNumberFormat="1" applyFont="1" applyFill="1" applyBorder="1"/>
    <xf numFmtId="166" fontId="2" fillId="0" borderId="20" xfId="0" applyNumberFormat="1" applyFont="1" applyFill="1" applyBorder="1"/>
    <xf numFmtId="166" fontId="0" fillId="0" borderId="10" xfId="0" applyNumberFormat="1" applyFont="1" applyFill="1" applyBorder="1"/>
    <xf numFmtId="17" fontId="13" fillId="0" borderId="40" xfId="0" applyNumberFormat="1" applyFont="1" applyBorder="1" applyAlignment="1">
      <alignment horizontal="center"/>
    </xf>
    <xf numFmtId="166" fontId="14" fillId="0" borderId="29" xfId="2" applyNumberFormat="1" applyFont="1" applyFill="1" applyBorder="1" applyAlignment="1">
      <alignment horizontal="left"/>
    </xf>
    <xf numFmtId="0" fontId="0" fillId="0" borderId="32" xfId="0" applyFont="1" applyBorder="1"/>
    <xf numFmtId="166" fontId="0" fillId="0" borderId="37" xfId="0" applyNumberFormat="1" applyFont="1" applyBorder="1"/>
    <xf numFmtId="37" fontId="2" fillId="0" borderId="40" xfId="0" applyNumberFormat="1" applyFont="1" applyBorder="1"/>
    <xf numFmtId="37" fontId="2" fillId="0" borderId="41" xfId="0" applyNumberFormat="1" applyFont="1" applyBorder="1"/>
    <xf numFmtId="170" fontId="7" fillId="0" borderId="0" xfId="0" applyNumberFormat="1" applyFont="1" applyBorder="1" applyAlignment="1"/>
    <xf numFmtId="42" fontId="7" fillId="0" borderId="6" xfId="0" applyNumberFormat="1" applyFont="1" applyBorder="1"/>
    <xf numFmtId="165" fontId="14" fillId="0" borderId="2" xfId="3" applyNumberFormat="1" applyFont="1" applyFill="1" applyBorder="1" applyAlignment="1"/>
    <xf numFmtId="166" fontId="2" fillId="2" borderId="12" xfId="2" applyNumberFormat="1" applyFont="1" applyFill="1" applyBorder="1" applyAlignment="1">
      <alignment horizontal="right"/>
    </xf>
    <xf numFmtId="166" fontId="2" fillId="2" borderId="13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6" xfId="2" applyNumberFormat="1" applyFont="1" applyFill="1" applyBorder="1" applyAlignment="1">
      <alignment horizontal="right"/>
    </xf>
    <xf numFmtId="166" fontId="2" fillId="2" borderId="25" xfId="2" applyNumberFormat="1" applyFont="1" applyFill="1" applyBorder="1" applyAlignment="1">
      <alignment horizontal="right"/>
    </xf>
    <xf numFmtId="166" fontId="2" fillId="0" borderId="53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1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2" borderId="47" xfId="2" applyNumberFormat="1" applyFont="1" applyFill="1" applyBorder="1" applyAlignment="1">
      <alignment horizontal="right"/>
    </xf>
    <xf numFmtId="166" fontId="2" fillId="2" borderId="48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2" xfId="2" applyNumberFormat="1" applyFont="1" applyFill="1" applyBorder="1" applyAlignment="1">
      <alignment horizontal="right"/>
    </xf>
    <xf numFmtId="166" fontId="11" fillId="0" borderId="0" xfId="2" applyNumberFormat="1" applyFont="1" applyBorder="1"/>
    <xf numFmtId="0" fontId="34" fillId="0" borderId="37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34" fillId="0" borderId="37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29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65" fontId="14" fillId="2" borderId="43" xfId="3" applyNumberFormat="1" applyFont="1" applyFill="1" applyBorder="1" applyAlignment="1">
      <alignment horizontal="right"/>
    </xf>
    <xf numFmtId="165" fontId="14" fillId="2" borderId="44" xfId="3" applyNumberFormat="1" applyFont="1" applyFill="1" applyBorder="1" applyAlignment="1">
      <alignment horizontal="right"/>
    </xf>
    <xf numFmtId="165" fontId="14" fillId="2" borderId="45" xfId="3" applyNumberFormat="1" applyFont="1" applyFill="1" applyBorder="1" applyAlignment="1">
      <alignment horizontal="right"/>
    </xf>
    <xf numFmtId="165" fontId="14" fillId="2" borderId="42" xfId="3" applyNumberFormat="1" applyFont="1" applyFill="1" applyBorder="1" applyAlignment="1">
      <alignment horizontal="right"/>
    </xf>
    <xf numFmtId="165" fontId="15" fillId="2" borderId="65" xfId="3" applyNumberFormat="1" applyFont="1" applyFill="1" applyBorder="1" applyAlignment="1">
      <alignment horizontal="right"/>
    </xf>
    <xf numFmtId="166" fontId="14" fillId="2" borderId="43" xfId="2" applyNumberFormat="1" applyFont="1" applyFill="1" applyBorder="1" applyAlignment="1">
      <alignment horizontal="right"/>
    </xf>
    <xf numFmtId="166" fontId="2" fillId="2" borderId="44" xfId="2" applyNumberFormat="1" applyFont="1" applyFill="1" applyBorder="1" applyAlignment="1">
      <alignment horizontal="right" wrapText="1"/>
    </xf>
    <xf numFmtId="166" fontId="2" fillId="2" borderId="45" xfId="2" applyNumberFormat="1" applyFont="1" applyFill="1" applyBorder="1" applyAlignment="1">
      <alignment horizontal="right" wrapText="1"/>
    </xf>
    <xf numFmtId="166" fontId="2" fillId="2" borderId="43" xfId="2" applyNumberFormat="1" applyFont="1" applyFill="1" applyBorder="1" applyAlignment="1">
      <alignment horizontal="right" wrapText="1"/>
    </xf>
    <xf numFmtId="166" fontId="14" fillId="2" borderId="44" xfId="2" applyNumberFormat="1" applyFont="1" applyFill="1" applyBorder="1" applyAlignment="1">
      <alignment horizontal="right"/>
    </xf>
    <xf numFmtId="166" fontId="2" fillId="2" borderId="44" xfId="2" applyNumberFormat="1" applyFont="1" applyFill="1" applyBorder="1" applyAlignment="1">
      <alignment horizontal="right"/>
    </xf>
    <xf numFmtId="166" fontId="2" fillId="2" borderId="42" xfId="2" applyNumberFormat="1" applyFont="1" applyFill="1" applyBorder="1" applyAlignment="1">
      <alignment horizontal="right" wrapText="1"/>
    </xf>
    <xf numFmtId="166" fontId="2" fillId="2" borderId="67" xfId="2" applyNumberFormat="1" applyFont="1" applyFill="1" applyBorder="1" applyAlignment="1">
      <alignment horizontal="right" wrapText="1"/>
    </xf>
    <xf numFmtId="166" fontId="7" fillId="2" borderId="68" xfId="2" applyNumberFormat="1" applyFont="1" applyFill="1" applyBorder="1" applyAlignment="1">
      <alignment horizontal="right" wrapText="1"/>
    </xf>
    <xf numFmtId="37" fontId="0" fillId="0" borderId="51" xfId="0" applyNumberFormat="1" applyFont="1" applyFill="1" applyBorder="1"/>
    <xf numFmtId="17" fontId="13" fillId="0" borderId="41" xfId="0" applyNumberFormat="1" applyFont="1" applyFill="1" applyBorder="1" applyAlignment="1">
      <alignment horizontal="center"/>
    </xf>
    <xf numFmtId="166" fontId="0" fillId="0" borderId="69" xfId="0" applyNumberFormat="1" applyFont="1" applyFill="1" applyBorder="1"/>
    <xf numFmtId="37" fontId="7" fillId="0" borderId="20" xfId="0" applyNumberFormat="1" applyFont="1" applyBorder="1"/>
    <xf numFmtId="37" fontId="2" fillId="0" borderId="37" xfId="0" applyNumberFormat="1" applyFont="1" applyBorder="1"/>
    <xf numFmtId="0" fontId="19" fillId="0" borderId="39" xfId="0" applyNumberFormat="1" applyFont="1" applyBorder="1" applyAlignment="1">
      <alignment horizontal="center"/>
    </xf>
    <xf numFmtId="168" fontId="19" fillId="0" borderId="39" xfId="0" applyNumberFormat="1" applyFont="1" applyBorder="1" applyAlignment="1">
      <alignment horizontal="center" wrapText="1"/>
    </xf>
    <xf numFmtId="0" fontId="41" fillId="0" borderId="2" xfId="0" applyNumberFormat="1" applyFont="1" applyFill="1" applyBorder="1" applyAlignment="1">
      <alignment horizontal="right"/>
    </xf>
    <xf numFmtId="166" fontId="0" fillId="2" borderId="14" xfId="0" applyNumberFormat="1" applyFont="1" applyFill="1" applyBorder="1"/>
    <xf numFmtId="165" fontId="2" fillId="0" borderId="48" xfId="3" applyNumberFormat="1" applyFont="1" applyFill="1" applyBorder="1"/>
    <xf numFmtId="165" fontId="2" fillId="0" borderId="13" xfId="3" applyNumberFormat="1" applyFont="1" applyFill="1" applyBorder="1"/>
    <xf numFmtId="166" fontId="14" fillId="2" borderId="56" xfId="2" applyNumberFormat="1" applyFont="1" applyFill="1" applyBorder="1" applyAlignment="1">
      <alignment horizontal="right"/>
    </xf>
    <xf numFmtId="166" fontId="2" fillId="2" borderId="57" xfId="2" applyNumberFormat="1" applyFont="1" applyFill="1" applyBorder="1" applyAlignment="1">
      <alignment horizontal="right" wrapText="1"/>
    </xf>
    <xf numFmtId="166" fontId="2" fillId="2" borderId="59" xfId="2" applyNumberFormat="1" applyFont="1" applyFill="1" applyBorder="1" applyAlignment="1">
      <alignment horizontal="right" wrapText="1"/>
    </xf>
    <xf numFmtId="166" fontId="2" fillId="2" borderId="56" xfId="2" applyNumberFormat="1" applyFont="1" applyFill="1" applyBorder="1" applyAlignment="1">
      <alignment horizontal="right" wrapText="1"/>
    </xf>
    <xf numFmtId="166" fontId="14" fillId="2" borderId="57" xfId="2" applyNumberFormat="1" applyFont="1" applyFill="1" applyBorder="1" applyAlignment="1">
      <alignment horizontal="right"/>
    </xf>
    <xf numFmtId="166" fontId="2" fillId="2" borderId="57" xfId="2" applyNumberFormat="1" applyFont="1" applyFill="1" applyBorder="1" applyAlignment="1">
      <alignment horizontal="right"/>
    </xf>
    <xf numFmtId="166" fontId="2" fillId="2" borderId="64" xfId="2" applyNumberFormat="1" applyFont="1" applyFill="1" applyBorder="1" applyAlignment="1">
      <alignment horizontal="right" wrapText="1"/>
    </xf>
    <xf numFmtId="166" fontId="2" fillId="2" borderId="58" xfId="2" applyNumberFormat="1" applyFont="1" applyFill="1" applyBorder="1" applyAlignment="1">
      <alignment horizontal="right" wrapText="1"/>
    </xf>
    <xf numFmtId="166" fontId="7" fillId="2" borderId="70" xfId="2" applyNumberFormat="1" applyFont="1" applyFill="1" applyBorder="1" applyAlignment="1">
      <alignment horizontal="right" wrapText="1"/>
    </xf>
    <xf numFmtId="168" fontId="19" fillId="0" borderId="37" xfId="0" applyNumberFormat="1" applyFont="1" applyBorder="1" applyAlignment="1">
      <alignment horizontal="center"/>
    </xf>
    <xf numFmtId="165" fontId="7" fillId="2" borderId="20" xfId="3" applyNumberFormat="1" applyFont="1" applyFill="1" applyBorder="1"/>
    <xf numFmtId="166" fontId="2" fillId="0" borderId="71" xfId="2" applyNumberFormat="1" applyFont="1" applyFill="1" applyBorder="1" applyAlignment="1">
      <alignment horizontal="right" wrapText="1"/>
    </xf>
    <xf numFmtId="166" fontId="2" fillId="2" borderId="24" xfId="0" applyNumberFormat="1" applyFont="1" applyFill="1" applyBorder="1"/>
    <xf numFmtId="166" fontId="0" fillId="2" borderId="24" xfId="0" applyNumberFormat="1" applyFont="1" applyFill="1" applyBorder="1"/>
    <xf numFmtId="166" fontId="2" fillId="2" borderId="72" xfId="0" applyNumberFormat="1" applyFont="1" applyFill="1" applyBorder="1"/>
    <xf numFmtId="166" fontId="0" fillId="2" borderId="73" xfId="0" applyNumberFormat="1" applyFont="1" applyFill="1" applyBorder="1"/>
    <xf numFmtId="166" fontId="0" fillId="0" borderId="0" xfId="2" applyNumberFormat="1" applyFont="1" applyBorder="1"/>
    <xf numFmtId="165" fontId="11" fillId="0" borderId="0" xfId="3" applyNumberFormat="1" applyFont="1" applyBorder="1" applyAlignment="1">
      <alignment horizontal="right"/>
    </xf>
    <xf numFmtId="165" fontId="11" fillId="0" borderId="0" xfId="3" applyNumberFormat="1" applyFont="1" applyBorder="1"/>
    <xf numFmtId="165" fontId="11" fillId="0" borderId="37" xfId="3" applyNumberFormat="1" applyFont="1" applyBorder="1" applyAlignment="1">
      <alignment horizontal="right"/>
    </xf>
    <xf numFmtId="165" fontId="34" fillId="0" borderId="37" xfId="3" applyNumberFormat="1" applyFont="1" applyBorder="1"/>
    <xf numFmtId="165" fontId="11" fillId="0" borderId="37" xfId="3" applyNumberFormat="1" applyFont="1" applyBorder="1"/>
    <xf numFmtId="165" fontId="11" fillId="0" borderId="0" xfId="3" applyNumberFormat="1" applyFont="1"/>
    <xf numFmtId="165" fontId="34" fillId="0" borderId="37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165" fontId="31" fillId="0" borderId="35" xfId="3" applyNumberFormat="1" applyFont="1" applyBorder="1"/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2" xfId="0" applyBorder="1" applyAlignment="1">
      <alignment horizontal="right"/>
    </xf>
    <xf numFmtId="5" fontId="0" fillId="0" borderId="32" xfId="0" applyNumberFormat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19" fillId="0" borderId="0" xfId="1" applyNumberFormat="1" applyFont="1" applyFill="1" applyBorder="1" applyAlignment="1"/>
    <xf numFmtId="0" fontId="35" fillId="2" borderId="47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70" fontId="7" fillId="0" borderId="22" xfId="0" applyNumberFormat="1" applyFont="1" applyBorder="1" applyAlignment="1">
      <alignment horizontal="center"/>
    </xf>
    <xf numFmtId="170" fontId="7" fillId="0" borderId="20" xfId="0" applyNumberFormat="1" applyFont="1" applyBorder="1" applyAlignment="1">
      <alignment horizontal="center"/>
    </xf>
    <xf numFmtId="0" fontId="17" fillId="0" borderId="22" xfId="0" applyNumberFormat="1" applyFont="1" applyFill="1" applyBorder="1" applyAlignment="1">
      <alignment horizontal="center"/>
    </xf>
    <xf numFmtId="0" fontId="17" fillId="0" borderId="20" xfId="0" applyNumberFormat="1" applyFont="1" applyFill="1" applyBorder="1" applyAlignment="1">
      <alignment horizontal="center"/>
    </xf>
    <xf numFmtId="0" fontId="17" fillId="0" borderId="21" xfId="0" applyNumberFormat="1" applyFont="1" applyFill="1" applyBorder="1" applyAlignment="1">
      <alignment horizontal="center"/>
    </xf>
    <xf numFmtId="170" fontId="7" fillId="0" borderId="21" xfId="0" applyNumberFormat="1" applyFont="1" applyBorder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 10 10 6" xfId="4" xr:uid="{00000000-0005-0000-0000-000004000000}"/>
    <cellStyle name="Percent" xfId="1" builtinId="5"/>
  </cellStyles>
  <dxfs count="5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7"/>
  <sheetViews>
    <sheetView workbookViewId="0">
      <selection activeCell="H7" sqref="H7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429" t="s">
        <v>72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1"/>
    </row>
    <row r="4" spans="1:22" x14ac:dyDescent="0.25">
      <c r="A4"/>
      <c r="C4" s="115"/>
    </row>
    <row r="5" spans="1:22" ht="15.75" thickBot="1" x14ac:dyDescent="0.3">
      <c r="A5"/>
    </row>
    <row r="6" spans="1:22" ht="41.85" customHeight="1" thickTop="1" thickBot="1" x14ac:dyDescent="0.3">
      <c r="A6"/>
      <c r="B6" s="426" t="s">
        <v>112</v>
      </c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8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79"/>
  <sheetViews>
    <sheetView workbookViewId="0">
      <selection activeCell="H7" sqref="H7"/>
    </sheetView>
  </sheetViews>
  <sheetFormatPr defaultColWidth="8.85546875" defaultRowHeight="15" x14ac:dyDescent="0.25"/>
  <cols>
    <col min="1" max="1" width="6.42578125" style="26" customWidth="1"/>
    <col min="2" max="2" width="25.42578125" style="26" customWidth="1"/>
    <col min="3" max="13" width="10.5703125" style="5" bestFit="1" customWidth="1"/>
    <col min="14" max="14" width="10.5703125" style="5" customWidth="1"/>
    <col min="15" max="16" width="12.140625" style="5" customWidth="1"/>
    <col min="17" max="17" width="12.140625" style="26" customWidth="1"/>
    <col min="18" max="18" width="13.85546875" style="27" customWidth="1"/>
    <col min="19" max="19" width="12.140625" style="27" customWidth="1"/>
    <col min="20" max="20" width="1.85546875" style="27" customWidth="1"/>
    <col min="21" max="21" width="12.85546875" style="27" bestFit="1" customWidth="1"/>
    <col min="22" max="22" width="11.85546875" style="27" customWidth="1"/>
    <col min="23" max="23" width="1.85546875" style="27" customWidth="1"/>
    <col min="24" max="24" width="12.140625" style="27" customWidth="1"/>
    <col min="25" max="25" width="13" style="27" customWidth="1"/>
    <col min="26" max="26" width="1.140625" style="27" customWidth="1"/>
    <col min="27" max="27" width="12.140625" style="27" customWidth="1"/>
    <col min="28" max="28" width="11.42578125" style="27" customWidth="1"/>
    <col min="29" max="29" width="8.85546875" style="26"/>
    <col min="30" max="30" width="10.140625" style="26" bestFit="1" customWidth="1"/>
    <col min="31" max="16384" width="8.85546875" style="26"/>
  </cols>
  <sheetData>
    <row r="1" spans="1:28" ht="18.75" x14ac:dyDescent="0.3">
      <c r="A1" s="149" t="s">
        <v>66</v>
      </c>
      <c r="B1" s="81"/>
      <c r="C1" s="82"/>
      <c r="D1" s="82"/>
      <c r="E1" s="82"/>
      <c r="F1" s="82"/>
      <c r="G1" s="82"/>
      <c r="I1" s="39"/>
      <c r="J1" s="82"/>
      <c r="K1" s="82"/>
      <c r="L1" s="82"/>
      <c r="M1" s="82"/>
      <c r="N1" s="82"/>
      <c r="O1" s="82"/>
      <c r="P1" s="82"/>
      <c r="Q1" s="81"/>
      <c r="R1" s="83"/>
      <c r="S1" s="83"/>
      <c r="T1" s="83"/>
      <c r="U1" s="83"/>
      <c r="V1" s="83"/>
      <c r="W1" s="83"/>
    </row>
    <row r="2" spans="1:28" ht="21" x14ac:dyDescent="0.35">
      <c r="A2" s="150" t="s">
        <v>64</v>
      </c>
      <c r="B2" s="81"/>
      <c r="C2" s="82"/>
      <c r="D2" s="82"/>
      <c r="E2" s="82"/>
      <c r="F2" s="82"/>
      <c r="G2" s="82"/>
      <c r="I2" s="84"/>
      <c r="J2" s="82"/>
      <c r="K2" s="82"/>
      <c r="L2" s="82"/>
      <c r="M2" s="82"/>
      <c r="N2" s="82"/>
      <c r="O2" s="82"/>
      <c r="P2" s="82"/>
      <c r="Q2" s="81"/>
      <c r="R2" s="83"/>
      <c r="S2" s="83"/>
      <c r="T2" s="83"/>
      <c r="U2" s="83"/>
      <c r="V2" s="83"/>
      <c r="W2" s="83"/>
    </row>
    <row r="3" spans="1:28" ht="18.75" x14ac:dyDescent="0.3">
      <c r="A3" s="151" t="s">
        <v>126</v>
      </c>
      <c r="B3" s="81"/>
      <c r="C3" s="82"/>
      <c r="D3" s="82"/>
      <c r="E3" s="82"/>
      <c r="F3" s="82"/>
      <c r="G3" s="85"/>
      <c r="I3" s="84"/>
      <c r="J3" s="85"/>
      <c r="K3" s="85"/>
      <c r="L3" s="85"/>
      <c r="M3" s="85"/>
      <c r="N3" s="85"/>
      <c r="O3" s="82"/>
      <c r="P3" s="82"/>
      <c r="Q3" s="81"/>
      <c r="R3" s="83"/>
      <c r="S3" s="83"/>
      <c r="T3" s="83"/>
      <c r="U3" s="83"/>
      <c r="V3" s="83"/>
      <c r="W3" s="83"/>
    </row>
    <row r="4" spans="1:28" ht="27.6" customHeight="1" x14ac:dyDescent="0.3">
      <c r="B4" s="86"/>
      <c r="C4" s="85"/>
      <c r="D4" s="85"/>
      <c r="E4" s="85"/>
      <c r="F4" s="85"/>
      <c r="G4" s="85"/>
      <c r="I4" s="84"/>
      <c r="J4" s="85"/>
      <c r="K4" s="85"/>
      <c r="L4" s="85"/>
      <c r="M4" s="85"/>
      <c r="N4" s="85"/>
      <c r="O4" s="82"/>
      <c r="P4" s="82"/>
      <c r="Q4" s="86"/>
      <c r="R4" s="83"/>
      <c r="S4" s="83"/>
      <c r="T4" s="83"/>
      <c r="U4" s="83"/>
      <c r="V4" s="83"/>
      <c r="W4" s="83"/>
    </row>
    <row r="5" spans="1:28" ht="30" customHeight="1" x14ac:dyDescent="0.25">
      <c r="B5" s="81"/>
      <c r="C5" s="77"/>
      <c r="D5" s="87"/>
      <c r="E5" s="87"/>
      <c r="F5" s="87"/>
      <c r="G5" s="77"/>
      <c r="I5" s="88"/>
      <c r="J5" s="77"/>
      <c r="K5" s="77"/>
      <c r="L5" s="77"/>
      <c r="O5" s="89"/>
      <c r="P5" s="89"/>
      <c r="Q5" s="81"/>
      <c r="R5" s="90"/>
      <c r="S5" s="90"/>
      <c r="T5" s="90"/>
      <c r="U5" s="90"/>
      <c r="V5" s="90"/>
      <c r="W5" s="90"/>
    </row>
    <row r="6" spans="1:28" ht="58.5" customHeight="1" thickBot="1" x14ac:dyDescent="0.3">
      <c r="A6" s="164" t="s">
        <v>73</v>
      </c>
      <c r="B6" s="156" t="s">
        <v>68</v>
      </c>
      <c r="C6" s="334">
        <v>44927</v>
      </c>
      <c r="D6" s="91">
        <v>44958</v>
      </c>
      <c r="E6" s="91">
        <v>44986</v>
      </c>
      <c r="F6" s="91">
        <v>45017</v>
      </c>
      <c r="G6" s="92">
        <v>45047</v>
      </c>
      <c r="H6" s="92">
        <v>45078</v>
      </c>
      <c r="I6" s="92">
        <v>45108</v>
      </c>
      <c r="J6" s="92">
        <v>45139</v>
      </c>
      <c r="K6" s="92">
        <v>45170</v>
      </c>
      <c r="L6" s="92">
        <v>45200</v>
      </c>
      <c r="M6" s="92">
        <v>45231</v>
      </c>
      <c r="N6" s="381">
        <v>45261</v>
      </c>
      <c r="O6" s="324" t="s">
        <v>127</v>
      </c>
      <c r="P6" s="320" t="s">
        <v>124</v>
      </c>
      <c r="Q6" s="319" t="s">
        <v>67</v>
      </c>
      <c r="R6" s="93"/>
      <c r="S6" s="93"/>
      <c r="T6" s="93"/>
      <c r="U6" s="93"/>
      <c r="V6" s="93"/>
      <c r="W6" s="93"/>
      <c r="X6" s="94"/>
      <c r="Y6" s="93"/>
      <c r="Z6" s="95"/>
      <c r="AA6" s="93"/>
      <c r="AB6" s="93"/>
    </row>
    <row r="7" spans="1:28" ht="15.75" thickTop="1" x14ac:dyDescent="0.25">
      <c r="A7" s="67">
        <v>501</v>
      </c>
      <c r="B7" s="113" t="s">
        <v>44</v>
      </c>
      <c r="C7" s="19" t="e">
        <f>SUMIF('9C Aurora total'!$B$7:$B$55,$A7,'9C Aurora total'!D$7:D$55)+SUMIF('10C Not in Aurora'!$A$28:$A$37,$A7,'10C Not in Aurora'!C$28:C$37)</f>
        <v>#REF!</v>
      </c>
      <c r="D7" s="20" t="e">
        <f>SUMIF('9C Aurora total'!$B$7:$B$55,$A7,'9C Aurora total'!E$7:E$55)+SUMIF('10C Not in Aurora'!$A$28:$A$37,$A7,'10C Not in Aurora'!D$28:D$37)</f>
        <v>#REF!</v>
      </c>
      <c r="E7" s="20" t="e">
        <f>SUMIF('9C Aurora total'!$B$7:$B$55,$A7,'9C Aurora total'!F$7:F$55)+SUMIF('10C Not in Aurora'!$A$28:$A$37,$A7,'10C Not in Aurora'!E$28:E$37)</f>
        <v>#REF!</v>
      </c>
      <c r="F7" s="20" t="e">
        <f>SUMIF('9C Aurora total'!$B$7:$B$55,$A7,'9C Aurora total'!G$7:G$55)+SUMIF('10C Not in Aurora'!$A$28:$A$37,$A7,'10C Not in Aurora'!F$28:F$37)</f>
        <v>#REF!</v>
      </c>
      <c r="G7" s="20" t="e">
        <f>SUMIF('9C Aurora total'!$B$7:$B$55,$A7,'9C Aurora total'!H$7:H$55)+SUMIF('10C Not in Aurora'!$A$28:$A$37,$A7,'10C Not in Aurora'!G$28:G$37)</f>
        <v>#REF!</v>
      </c>
      <c r="H7" s="20" t="e">
        <f>SUMIF('9C Aurora total'!$B$7:$B$55,$A7,'9C Aurora total'!I$7:I$55)+SUMIF('10C Not in Aurora'!$A$28:$A$37,$A7,'10C Not in Aurora'!H$28:H$37)</f>
        <v>#REF!</v>
      </c>
      <c r="I7" s="20" t="e">
        <f>SUMIF('9C Aurora total'!$B$7:$B$55,$A7,'9C Aurora total'!J$7:J$55)+SUMIF('10C Not in Aurora'!$A$28:$A$37,$A7,'10C Not in Aurora'!I$28:I$37)</f>
        <v>#REF!</v>
      </c>
      <c r="J7" s="20" t="e">
        <f>SUMIF('9C Aurora total'!$B$7:$B$55,$A7,'9C Aurora total'!K$7:K$55)+SUMIF('10C Not in Aurora'!$A$28:$A$37,$A7,'10C Not in Aurora'!J$28:J$37)</f>
        <v>#REF!</v>
      </c>
      <c r="K7" s="20" t="e">
        <f>SUMIF('9C Aurora total'!$B$7:$B$55,$A7,'9C Aurora total'!L$7:L$55)+SUMIF('10C Not in Aurora'!$A$28:$A$37,$A7,'10C Not in Aurora'!K$28:K$37)</f>
        <v>#REF!</v>
      </c>
      <c r="L7" s="20" t="e">
        <f>SUMIF('9C Aurora total'!$B$7:$B$55,$A7,'9C Aurora total'!M$7:M$55)+SUMIF('10C Not in Aurora'!$A$28:$A$37,$A7,'10C Not in Aurora'!L$28:L$37)</f>
        <v>#REF!</v>
      </c>
      <c r="M7" s="20" t="e">
        <f>SUMIF('9C Aurora total'!$B$7:$B$55,$A7,'9C Aurora total'!N$7:N$55)+SUMIF('10C Not in Aurora'!$A$28:$A$37,$A7,'10C Not in Aurora'!M$28:M$37)</f>
        <v>#REF!</v>
      </c>
      <c r="N7" s="21" t="e">
        <f>SUMIF('9C Aurora total'!$B$7:$B$55,$A7,'9C Aurora total'!O$7:O$55)+SUMIF('10C Not in Aurora'!$A$28:$A$37,$A7,'10C Not in Aurora'!N$28:N$37)</f>
        <v>#REF!</v>
      </c>
      <c r="O7" s="326" t="e">
        <f t="shared" ref="O7:O16" si="0">SUM(C7:N7)</f>
        <v>#REF!</v>
      </c>
      <c r="P7" s="25" t="e">
        <f>SUMIFS('9C Aurora total'!$AD$7:$AD$59,'9C Aurora total'!$B$7:$B$59,'4C Power Cost summary'!A7)+SUMIFS('10C Not in Aurora'!$P$7:$P$25,'10C Not in Aurora'!$A$7:$A$25,'4C Power Cost summary'!$A7)</f>
        <v>#REF!</v>
      </c>
      <c r="Q7" s="321" t="e">
        <f t="shared" ref="Q7:Q16" si="1">O7-P7</f>
        <v>#REF!</v>
      </c>
      <c r="R7" s="96"/>
      <c r="S7" s="96"/>
      <c r="T7" s="96"/>
      <c r="U7" s="96"/>
      <c r="V7" s="96"/>
      <c r="W7" s="96"/>
      <c r="X7" s="96"/>
      <c r="Y7" s="96"/>
      <c r="AA7" s="96"/>
      <c r="AB7" s="96"/>
    </row>
    <row r="8" spans="1:28" x14ac:dyDescent="0.25">
      <c r="A8" s="67">
        <v>547</v>
      </c>
      <c r="B8" s="68" t="s">
        <v>58</v>
      </c>
      <c r="C8" s="22" t="e">
        <f>SUMIF('9C Aurora total'!$B$7:$B$55,$A8,'9C Aurora total'!D$7:D$55)+SUMIF('10C Not in Aurora'!$A$28:$A$37,$A8,'10C Not in Aurora'!C$28:C$37)</f>
        <v>#REF!</v>
      </c>
      <c r="D8" s="23" t="e">
        <f>SUMIF('9C Aurora total'!$B$7:$B$55,$A8,'9C Aurora total'!E$7:E$55)+SUMIF('10C Not in Aurora'!$A$28:$A$37,$A8,'10C Not in Aurora'!D$28:D$37)</f>
        <v>#REF!</v>
      </c>
      <c r="E8" s="23" t="e">
        <f>SUMIF('9C Aurora total'!$B$7:$B$55,$A8,'9C Aurora total'!F$7:F$55)+SUMIF('10C Not in Aurora'!$A$28:$A$37,$A8,'10C Not in Aurora'!E$28:E$37)</f>
        <v>#REF!</v>
      </c>
      <c r="F8" s="23" t="e">
        <f>SUMIF('9C Aurora total'!$B$7:$B$55,$A8,'9C Aurora total'!G$7:G$55)+SUMIF('10C Not in Aurora'!$A$28:$A$37,$A8,'10C Not in Aurora'!F$28:F$37)</f>
        <v>#REF!</v>
      </c>
      <c r="G8" s="23" t="e">
        <f>SUMIF('9C Aurora total'!$B$7:$B$55,$A8,'9C Aurora total'!H$7:H$55)+SUMIF('10C Not in Aurora'!$A$28:$A$37,$A8,'10C Not in Aurora'!G$28:G$37)</f>
        <v>#REF!</v>
      </c>
      <c r="H8" s="23" t="e">
        <f>SUMIF('9C Aurora total'!$B$7:$B$55,$A8,'9C Aurora total'!I$7:I$55)+SUMIF('10C Not in Aurora'!$A$28:$A$37,$A8,'10C Not in Aurora'!H$28:H$37)</f>
        <v>#REF!</v>
      </c>
      <c r="I8" s="23" t="e">
        <f>SUMIF('9C Aurora total'!$B$7:$B$55,$A8,'9C Aurora total'!J$7:J$55)+SUMIF('10C Not in Aurora'!$A$28:$A$37,$A8,'10C Not in Aurora'!I$28:I$37)</f>
        <v>#REF!</v>
      </c>
      <c r="J8" s="23" t="e">
        <f>SUMIF('9C Aurora total'!$B$7:$B$55,$A8,'9C Aurora total'!K$7:K$55)+SUMIF('10C Not in Aurora'!$A$28:$A$37,$A8,'10C Not in Aurora'!J$28:J$37)</f>
        <v>#REF!</v>
      </c>
      <c r="K8" s="23" t="e">
        <f>SUMIF('9C Aurora total'!$B$7:$B$55,$A8,'9C Aurora total'!L$7:L$55)+SUMIF('10C Not in Aurora'!$A$28:$A$37,$A8,'10C Not in Aurora'!K$28:K$37)</f>
        <v>#REF!</v>
      </c>
      <c r="L8" s="23" t="e">
        <f>SUMIF('9C Aurora total'!$B$7:$B$55,$A8,'9C Aurora total'!M$7:M$55)+SUMIF('10C Not in Aurora'!$A$28:$A$37,$A8,'10C Not in Aurora'!L$28:L$37)</f>
        <v>#REF!</v>
      </c>
      <c r="M8" s="23" t="e">
        <f>SUMIF('9C Aurora total'!$B$7:$B$55,$A8,'9C Aurora total'!N$7:N$55)+SUMIF('10C Not in Aurora'!$A$28:$A$37,$A8,'10C Not in Aurora'!M$28:M$37)</f>
        <v>#REF!</v>
      </c>
      <c r="N8" s="24" t="e">
        <f>SUMIF('9C Aurora total'!$B$7:$B$55,$A8,'9C Aurora total'!O$7:O$55)+SUMIF('10C Not in Aurora'!$A$28:$A$37,$A8,'10C Not in Aurora'!N$28:N$37)</f>
        <v>#REF!</v>
      </c>
      <c r="O8" s="326" t="e">
        <f t="shared" si="0"/>
        <v>#REF!</v>
      </c>
      <c r="P8" s="25" t="e">
        <f>SUMIFS('9C Aurora total'!$AD$7:$AD$59,'9C Aurora total'!$B$7:$B$59,'4C Power Cost summary'!A8)+SUMIFS('10C Not in Aurora'!$P$7:$P$25,'10C Not in Aurora'!$A$7:$A$25,'4C Power Cost summary'!$A8)</f>
        <v>#REF!</v>
      </c>
      <c r="Q8" s="342" t="e">
        <f t="shared" si="1"/>
        <v>#REF!</v>
      </c>
      <c r="R8" s="96"/>
      <c r="S8" s="96"/>
      <c r="T8" s="96"/>
      <c r="U8" s="96"/>
      <c r="V8" s="96"/>
      <c r="W8" s="96"/>
      <c r="X8" s="96"/>
      <c r="Y8" s="96"/>
      <c r="AA8" s="96"/>
      <c r="AB8" s="96"/>
    </row>
    <row r="9" spans="1:28" x14ac:dyDescent="0.25">
      <c r="A9" s="67" t="s">
        <v>80</v>
      </c>
      <c r="B9" s="68" t="s">
        <v>81</v>
      </c>
      <c r="C9" s="22">
        <f>SUMIF('9C Aurora total'!$B$7:$B$55,$A9,'9C Aurora total'!D$7:D$55)+SUMIF('10C Not in Aurora'!$A$28:$A$37,$A9,'10C Not in Aurora'!C$28:C$37)</f>
        <v>6545.3689260000001</v>
      </c>
      <c r="D9" s="23">
        <f>SUMIF('9C Aurora total'!$B$7:$B$55,$A9,'9C Aurora total'!E$7:E$55)+SUMIF('10C Not in Aurora'!$A$28:$A$37,$A9,'10C Not in Aurora'!D$28:D$37)</f>
        <v>5987.24881</v>
      </c>
      <c r="E9" s="23">
        <f>SUMIF('9C Aurora total'!$B$7:$B$55,$A9,'9C Aurora total'!F$7:F$55)+SUMIF('10C Not in Aurora'!$A$28:$A$37,$A9,'10C Not in Aurora'!E$28:E$37)</f>
        <v>5522.9903899999999</v>
      </c>
      <c r="F9" s="23">
        <f>SUMIF('9C Aurora total'!$B$7:$B$55,$A9,'9C Aurora total'!G$7:G$55)+SUMIF('10C Not in Aurora'!$A$28:$A$37,$A9,'10C Not in Aurora'!F$28:F$37)</f>
        <v>6944.1842400000005</v>
      </c>
      <c r="G9" s="23">
        <f>SUMIF('9C Aurora total'!$B$7:$B$55,$A9,'9C Aurora total'!H$7:H$55)+SUMIF('10C Not in Aurora'!$A$28:$A$37,$A9,'10C Not in Aurora'!G$28:G$37)</f>
        <v>6961.9439700000003</v>
      </c>
      <c r="H9" s="23">
        <f>SUMIF('9C Aurora total'!$B$7:$B$55,$A9,'9C Aurora total'!I$7:I$55)+SUMIF('10C Not in Aurora'!$A$28:$A$37,$A9,'10C Not in Aurora'!H$28:H$37)</f>
        <v>7228.8767599999992</v>
      </c>
      <c r="I9" s="23">
        <f>SUMIF('9C Aurora total'!$B$7:$B$55,$A9,'9C Aurora total'!J$7:J$55)+SUMIF('10C Not in Aurora'!$A$28:$A$37,$A9,'10C Not in Aurora'!I$28:I$37)</f>
        <v>7242.3892500000002</v>
      </c>
      <c r="J9" s="23">
        <f>SUMIF('9C Aurora total'!$B$7:$B$55,$A9,'9C Aurora total'!K$7:K$55)+SUMIF('10C Not in Aurora'!$A$28:$A$37,$A9,'10C Not in Aurora'!J$28:J$37)</f>
        <v>6361.4807700000001</v>
      </c>
      <c r="K9" s="23">
        <f>SUMIF('9C Aurora total'!$B$7:$B$55,$A9,'9C Aurora total'!L$7:L$55)+SUMIF('10C Not in Aurora'!$A$28:$A$37,$A9,'10C Not in Aurora'!K$28:K$37)</f>
        <v>5757.6723590000001</v>
      </c>
      <c r="L9" s="23">
        <f>SUMIF('9C Aurora total'!$B$7:$B$55,$A9,'9C Aurora total'!M$7:M$55)+SUMIF('10C Not in Aurora'!$A$28:$A$37,$A9,'10C Not in Aurora'!L$28:L$37)</f>
        <v>5916.5282100000004</v>
      </c>
      <c r="M9" s="23">
        <f>SUMIF('9C Aurora total'!$B$7:$B$55,$A9,'9C Aurora total'!N$7:N$55)+SUMIF('10C Not in Aurora'!$A$28:$A$37,$A9,'10C Not in Aurora'!M$28:M$37)</f>
        <v>6599.6039299999993</v>
      </c>
      <c r="N9" s="24">
        <f>SUMIF('9C Aurora total'!$B$7:$B$55,$A9,'9C Aurora total'!O$7:O$55)+SUMIF('10C Not in Aurora'!$A$28:$A$37,$A9,'10C Not in Aurora'!N$28:N$37)</f>
        <v>6540.7096549999997</v>
      </c>
      <c r="O9" s="326">
        <f t="shared" si="0"/>
        <v>77608.997270000007</v>
      </c>
      <c r="P9" s="25">
        <f>SUMIFS('9C Aurora total'!$AD$7:$AD$59,'9C Aurora total'!$B$7:$B$59,'4C Power Cost summary'!A9)+SUMIFS('10C Not in Aurora'!$P$7:$P$25,'10C Not in Aurora'!$A$7:$A$25,'4C Power Cost summary'!$A9)</f>
        <v>14178.879207000002</v>
      </c>
      <c r="Q9" s="342">
        <f t="shared" si="1"/>
        <v>63430.118063000002</v>
      </c>
      <c r="R9" s="96"/>
      <c r="S9" s="96"/>
      <c r="T9" s="96"/>
      <c r="U9" s="96"/>
      <c r="V9" s="96"/>
      <c r="W9" s="96"/>
      <c r="X9" s="96"/>
      <c r="Y9" s="96"/>
      <c r="AA9" s="96"/>
      <c r="AB9" s="96"/>
    </row>
    <row r="10" spans="1:28" x14ac:dyDescent="0.25">
      <c r="A10" s="208" t="s">
        <v>0</v>
      </c>
      <c r="B10" s="68" t="s">
        <v>45</v>
      </c>
      <c r="C10" s="22" t="e">
        <f>SUMIF('9C Aurora total'!$B$7:$B$55,$A10,'9C Aurora total'!D$7:D$55)+SUMIF('10C Not in Aurora'!$A$28:$A$37,$A10,'10C Not in Aurora'!C$28:C$37)</f>
        <v>#REF!</v>
      </c>
      <c r="D10" s="23" t="e">
        <f>SUMIF('9C Aurora total'!$B$7:$B$55,$A10,'9C Aurora total'!E$7:E$55)+SUMIF('10C Not in Aurora'!$A$28:$A$37,$A10,'10C Not in Aurora'!D$28:D$37)</f>
        <v>#REF!</v>
      </c>
      <c r="E10" s="23" t="e">
        <f>SUMIF('9C Aurora total'!$B$7:$B$55,$A10,'9C Aurora total'!F$7:F$55)+SUMIF('10C Not in Aurora'!$A$28:$A$37,$A10,'10C Not in Aurora'!E$28:E$37)</f>
        <v>#REF!</v>
      </c>
      <c r="F10" s="23" t="e">
        <f>SUMIF('9C Aurora total'!$B$7:$B$55,$A10,'9C Aurora total'!G$7:G$55)+SUMIF('10C Not in Aurora'!$A$28:$A$37,$A10,'10C Not in Aurora'!F$28:F$37)</f>
        <v>#REF!</v>
      </c>
      <c r="G10" s="23" t="e">
        <f>SUMIF('9C Aurora total'!$B$7:$B$55,$A10,'9C Aurora total'!H$7:H$55)+SUMIF('10C Not in Aurora'!$A$28:$A$37,$A10,'10C Not in Aurora'!G$28:G$37)</f>
        <v>#REF!</v>
      </c>
      <c r="H10" s="23" t="e">
        <f>SUMIF('9C Aurora total'!$B$7:$B$55,$A10,'9C Aurora total'!I$7:I$55)+SUMIF('10C Not in Aurora'!$A$28:$A$37,$A10,'10C Not in Aurora'!H$28:H$37)</f>
        <v>#REF!</v>
      </c>
      <c r="I10" s="23" t="e">
        <f>SUMIF('9C Aurora total'!$B$7:$B$55,$A10,'9C Aurora total'!J$7:J$55)+SUMIF('10C Not in Aurora'!$A$28:$A$37,$A10,'10C Not in Aurora'!I$28:I$37)</f>
        <v>#REF!</v>
      </c>
      <c r="J10" s="23" t="e">
        <f>SUMIF('9C Aurora total'!$B$7:$B$55,$A10,'9C Aurora total'!K$7:K$55)+SUMIF('10C Not in Aurora'!$A$28:$A$37,$A10,'10C Not in Aurora'!J$28:J$37)</f>
        <v>#REF!</v>
      </c>
      <c r="K10" s="23" t="e">
        <f>SUMIF('9C Aurora total'!$B$7:$B$55,$A10,'9C Aurora total'!L$7:L$55)+SUMIF('10C Not in Aurora'!$A$28:$A$37,$A10,'10C Not in Aurora'!K$28:K$37)</f>
        <v>#REF!</v>
      </c>
      <c r="L10" s="23" t="e">
        <f>SUMIF('9C Aurora total'!$B$7:$B$55,$A10,'9C Aurora total'!M$7:M$55)+SUMIF('10C Not in Aurora'!$A$28:$A$37,$A10,'10C Not in Aurora'!L$28:L$37)</f>
        <v>#REF!</v>
      </c>
      <c r="M10" s="23" t="e">
        <f>SUMIF('9C Aurora total'!$B$7:$B$55,$A10,'9C Aurora total'!N$7:N$55)+SUMIF('10C Not in Aurora'!$A$28:$A$37,$A10,'10C Not in Aurora'!M$28:M$37)</f>
        <v>#REF!</v>
      </c>
      <c r="N10" s="24" t="e">
        <f>SUMIF('9C Aurora total'!$B$7:$B$55,$A10,'9C Aurora total'!O$7:O$55)+SUMIF('10C Not in Aurora'!$A$28:$A$37,$A10,'10C Not in Aurora'!N$28:N$37)</f>
        <v>#REF!</v>
      </c>
      <c r="O10" s="326" t="e">
        <f t="shared" si="0"/>
        <v>#REF!</v>
      </c>
      <c r="P10" s="25" t="e">
        <f>SUMIFS('9C Aurora total'!$AD$7:$AD$59,'9C Aurora total'!$B$7:$B$59,'4C Power Cost summary'!A10)+SUMIFS('10C Not in Aurora'!$P$7:$P$25,'10C Not in Aurora'!$A$7:$A$25,'4C Power Cost summary'!$A10)</f>
        <v>#REF!</v>
      </c>
      <c r="Q10" s="342" t="e">
        <f t="shared" si="1"/>
        <v>#REF!</v>
      </c>
      <c r="R10" s="96"/>
      <c r="S10" s="96"/>
      <c r="T10" s="96"/>
      <c r="U10" s="96"/>
      <c r="V10" s="96"/>
      <c r="W10" s="96"/>
      <c r="X10" s="96"/>
      <c r="Y10" s="96"/>
      <c r="AA10" s="96"/>
      <c r="AB10" s="96"/>
    </row>
    <row r="11" spans="1:28" x14ac:dyDescent="0.25">
      <c r="A11" s="208" t="s">
        <v>2</v>
      </c>
      <c r="B11" s="68" t="s">
        <v>46</v>
      </c>
      <c r="C11" s="22" t="e">
        <f>SUMIF('9C Aurora total'!$B$7:$B$55,$A11,'9C Aurora total'!D$7:D$55)+SUMIF('10C Not in Aurora'!$A$28:$A$37,$A11,'10C Not in Aurora'!C$28:C$37)</f>
        <v>#REF!</v>
      </c>
      <c r="D11" s="23" t="e">
        <f>SUMIF('9C Aurora total'!$B$7:$B$55,$A11,'9C Aurora total'!E$7:E$55)+SUMIF('10C Not in Aurora'!$A$28:$A$37,$A11,'10C Not in Aurora'!D$28:D$37)</f>
        <v>#REF!</v>
      </c>
      <c r="E11" s="23" t="e">
        <f>SUMIF('9C Aurora total'!$B$7:$B$55,$A11,'9C Aurora total'!F$7:F$55)+SUMIF('10C Not in Aurora'!$A$28:$A$37,$A11,'10C Not in Aurora'!E$28:E$37)</f>
        <v>#REF!</v>
      </c>
      <c r="F11" s="23" t="e">
        <f>SUMIF('9C Aurora total'!$B$7:$B$55,$A11,'9C Aurora total'!G$7:G$55)+SUMIF('10C Not in Aurora'!$A$28:$A$37,$A11,'10C Not in Aurora'!F$28:F$37)</f>
        <v>#REF!</v>
      </c>
      <c r="G11" s="23" t="e">
        <f>SUMIF('9C Aurora total'!$B$7:$B$55,$A11,'9C Aurora total'!H$7:H$55)+SUMIF('10C Not in Aurora'!$A$28:$A$37,$A11,'10C Not in Aurora'!G$28:G$37)</f>
        <v>#REF!</v>
      </c>
      <c r="H11" s="23" t="e">
        <f>SUMIF('9C Aurora total'!$B$7:$B$55,$A11,'9C Aurora total'!I$7:I$55)+SUMIF('10C Not in Aurora'!$A$28:$A$37,$A11,'10C Not in Aurora'!H$28:H$37)</f>
        <v>#REF!</v>
      </c>
      <c r="I11" s="23" t="e">
        <f>SUMIF('9C Aurora total'!$B$7:$B$55,$A11,'9C Aurora total'!J$7:J$55)+SUMIF('10C Not in Aurora'!$A$28:$A$37,$A11,'10C Not in Aurora'!I$28:I$37)</f>
        <v>#REF!</v>
      </c>
      <c r="J11" s="23" t="e">
        <f>SUMIF('9C Aurora total'!$B$7:$B$55,$A11,'9C Aurora total'!K$7:K$55)+SUMIF('10C Not in Aurora'!$A$28:$A$37,$A11,'10C Not in Aurora'!J$28:J$37)</f>
        <v>#REF!</v>
      </c>
      <c r="K11" s="23" t="e">
        <f>SUMIF('9C Aurora total'!$B$7:$B$55,$A11,'9C Aurora total'!L$7:L$55)+SUMIF('10C Not in Aurora'!$A$28:$A$37,$A11,'10C Not in Aurora'!K$28:K$37)</f>
        <v>#REF!</v>
      </c>
      <c r="L11" s="23" t="e">
        <f>SUMIF('9C Aurora total'!$B$7:$B$55,$A11,'9C Aurora total'!M$7:M$55)+SUMIF('10C Not in Aurora'!$A$28:$A$37,$A11,'10C Not in Aurora'!L$28:L$37)</f>
        <v>#REF!</v>
      </c>
      <c r="M11" s="23" t="e">
        <f>SUMIF('9C Aurora total'!$B$7:$B$55,$A11,'9C Aurora total'!N$7:N$55)+SUMIF('10C Not in Aurora'!$A$28:$A$37,$A11,'10C Not in Aurora'!M$28:M$37)</f>
        <v>#REF!</v>
      </c>
      <c r="N11" s="24" t="e">
        <f>SUMIF('9C Aurora total'!$B$7:$B$55,$A11,'9C Aurora total'!O$7:O$55)+SUMIF('10C Not in Aurora'!$A$28:$A$37,$A11,'10C Not in Aurora'!N$28:N$37)</f>
        <v>#REF!</v>
      </c>
      <c r="O11" s="326" t="e">
        <f t="shared" si="0"/>
        <v>#REF!</v>
      </c>
      <c r="P11" s="25" t="e">
        <f>SUMIFS('9C Aurora total'!$AD$7:$AD$59,'9C Aurora total'!$B$7:$B$59,'4C Power Cost summary'!A11)+SUMIFS('10C Not in Aurora'!$P$7:$P$25,'10C Not in Aurora'!$A$7:$A$25,'4C Power Cost summary'!$A11)</f>
        <v>#REF!</v>
      </c>
      <c r="Q11" s="342" t="e">
        <f t="shared" si="1"/>
        <v>#REF!</v>
      </c>
      <c r="R11" s="96"/>
      <c r="S11" s="96"/>
      <c r="T11" s="96"/>
      <c r="U11" s="96"/>
      <c r="V11" s="96"/>
      <c r="W11" s="96"/>
      <c r="X11" s="96"/>
      <c r="Y11" s="96"/>
      <c r="AA11" s="96"/>
      <c r="AB11" s="96"/>
    </row>
    <row r="12" spans="1:28" x14ac:dyDescent="0.25">
      <c r="A12" s="67">
        <v>555</v>
      </c>
      <c r="B12" s="68" t="s">
        <v>63</v>
      </c>
      <c r="C12" s="22" t="e">
        <f>SUMIF('9C Aurora total'!$B$7:$B$55,$A12,'9C Aurora total'!D$7:D$55)+SUMIF('10C Not in Aurora'!$A$28:$A$37,$A12,'10C Not in Aurora'!C$28:C$37)</f>
        <v>#REF!</v>
      </c>
      <c r="D12" s="23" t="e">
        <f>SUMIF('9C Aurora total'!$B$7:$B$55,$A12,'9C Aurora total'!E$7:E$55)+SUMIF('10C Not in Aurora'!$A$28:$A$37,$A12,'10C Not in Aurora'!D$28:D$37)</f>
        <v>#REF!</v>
      </c>
      <c r="E12" s="23" t="e">
        <f>SUMIF('9C Aurora total'!$B$7:$B$55,$A12,'9C Aurora total'!F$7:F$55)+SUMIF('10C Not in Aurora'!$A$28:$A$37,$A12,'10C Not in Aurora'!E$28:E$37)</f>
        <v>#REF!</v>
      </c>
      <c r="F12" s="23" t="e">
        <f>SUMIF('9C Aurora total'!$B$7:$B$55,$A12,'9C Aurora total'!G$7:G$55)+SUMIF('10C Not in Aurora'!$A$28:$A$37,$A12,'10C Not in Aurora'!F$28:F$37)</f>
        <v>#REF!</v>
      </c>
      <c r="G12" s="23" t="e">
        <f>SUMIF('9C Aurora total'!$B$7:$B$55,$A12,'9C Aurora total'!H$7:H$55)+SUMIF('10C Not in Aurora'!$A$28:$A$37,$A12,'10C Not in Aurora'!G$28:G$37)</f>
        <v>#REF!</v>
      </c>
      <c r="H12" s="23" t="e">
        <f>SUMIF('9C Aurora total'!$B$7:$B$55,$A12,'9C Aurora total'!I$7:I$55)+SUMIF('10C Not in Aurora'!$A$28:$A$37,$A12,'10C Not in Aurora'!H$28:H$37)</f>
        <v>#REF!</v>
      </c>
      <c r="I12" s="23" t="e">
        <f>SUMIF('9C Aurora total'!$B$7:$B$55,$A12,'9C Aurora total'!J$7:J$55)+SUMIF('10C Not in Aurora'!$A$28:$A$37,$A12,'10C Not in Aurora'!I$28:I$37)</f>
        <v>#REF!</v>
      </c>
      <c r="J12" s="23" t="e">
        <f>SUMIF('9C Aurora total'!$B$7:$B$55,$A12,'9C Aurora total'!K$7:K$55)+SUMIF('10C Not in Aurora'!$A$28:$A$37,$A12,'10C Not in Aurora'!J$28:J$37)</f>
        <v>#REF!</v>
      </c>
      <c r="K12" s="23" t="e">
        <f>SUMIF('9C Aurora total'!$B$7:$B$55,$A12,'9C Aurora total'!L$7:L$55)+SUMIF('10C Not in Aurora'!$A$28:$A$37,$A12,'10C Not in Aurora'!K$28:K$37)</f>
        <v>#REF!</v>
      </c>
      <c r="L12" s="23" t="e">
        <f>SUMIF('9C Aurora total'!$B$7:$B$55,$A12,'9C Aurora total'!M$7:M$55)+SUMIF('10C Not in Aurora'!$A$28:$A$37,$A12,'10C Not in Aurora'!L$28:L$37)</f>
        <v>#REF!</v>
      </c>
      <c r="M12" s="23" t="e">
        <f>SUMIF('9C Aurora total'!$B$7:$B$55,$A12,'9C Aurora total'!N$7:N$55)+SUMIF('10C Not in Aurora'!$A$28:$A$37,$A12,'10C Not in Aurora'!M$28:M$37)</f>
        <v>#REF!</v>
      </c>
      <c r="N12" s="24" t="e">
        <f>SUMIF('9C Aurora total'!$B$7:$B$55,$A12,'9C Aurora total'!O$7:O$55)+SUMIF('10C Not in Aurora'!$A$28:$A$37,$A12,'10C Not in Aurora'!N$28:N$37)</f>
        <v>#REF!</v>
      </c>
      <c r="O12" s="326" t="e">
        <f t="shared" si="0"/>
        <v>#REF!</v>
      </c>
      <c r="P12" s="25">
        <f>SUMIFS('9C Aurora total'!$AD$7:$AD$59,'9C Aurora total'!$B$7:$B$59,'4C Power Cost summary'!A12)+SUMIFS('10C Not in Aurora'!$P$7:$P$25,'10C Not in Aurora'!$A$7:$A$25,'4C Power Cost summary'!$A12)</f>
        <v>283341.49241290003</v>
      </c>
      <c r="Q12" s="342" t="e">
        <f t="shared" si="1"/>
        <v>#REF!</v>
      </c>
      <c r="R12" s="96"/>
      <c r="S12" s="96"/>
      <c r="T12" s="96"/>
      <c r="U12" s="96"/>
      <c r="V12" s="96"/>
      <c r="W12" s="96"/>
      <c r="X12" s="96"/>
      <c r="Y12" s="96"/>
      <c r="AA12" s="96"/>
      <c r="AB12" s="96"/>
    </row>
    <row r="13" spans="1:28" x14ac:dyDescent="0.25">
      <c r="A13" s="67">
        <v>447</v>
      </c>
      <c r="B13" s="68" t="s">
        <v>47</v>
      </c>
      <c r="C13" s="22">
        <f>SUMIF('9C Aurora total'!$B$7:$B$55,$A13,'9C Aurora total'!D$7:D$55)+SUMIF('10C Not in Aurora'!$A$28:$A$37,$A13,'10C Not in Aurora'!C$28:C$37)</f>
        <v>-9049.2607000000007</v>
      </c>
      <c r="D13" s="23">
        <f>SUMIF('9C Aurora total'!$B$7:$B$55,$A13,'9C Aurora total'!E$7:E$55)+SUMIF('10C Not in Aurora'!$A$28:$A$37,$A13,'10C Not in Aurora'!D$28:D$37)</f>
        <v>-8634.4660000000003</v>
      </c>
      <c r="E13" s="23">
        <f>SUMIF('9C Aurora total'!$B$7:$B$55,$A13,'9C Aurora total'!F$7:F$55)+SUMIF('10C Not in Aurora'!$A$28:$A$37,$A13,'10C Not in Aurora'!E$28:E$37)</f>
        <v>-3116.77124</v>
      </c>
      <c r="F13" s="23">
        <f>SUMIF('9C Aurora total'!$B$7:$B$55,$A13,'9C Aurora total'!G$7:G$55)+SUMIF('10C Not in Aurora'!$A$28:$A$37,$A13,'10C Not in Aurora'!F$28:F$37)</f>
        <v>-3828.1647899999998</v>
      </c>
      <c r="G13" s="23">
        <f>SUMIF('9C Aurora total'!$B$7:$B$55,$A13,'9C Aurora total'!H$7:H$55)+SUMIF('10C Not in Aurora'!$A$28:$A$37,$A13,'10C Not in Aurora'!G$28:G$37)</f>
        <v>-4126.3528999999999</v>
      </c>
      <c r="H13" s="23">
        <f>SUMIF('9C Aurora total'!$B$7:$B$55,$A13,'9C Aurora total'!I$7:I$55)+SUMIF('10C Not in Aurora'!$A$28:$A$37,$A13,'10C Not in Aurora'!H$28:H$37)</f>
        <v>-6752.6497399999998</v>
      </c>
      <c r="I13" s="23">
        <f>SUMIF('9C Aurora total'!$B$7:$B$55,$A13,'9C Aurora total'!J$7:J$55)+SUMIF('10C Not in Aurora'!$A$28:$A$37,$A13,'10C Not in Aurora'!I$28:I$37)</f>
        <v>-16248.056379999998</v>
      </c>
      <c r="J13" s="23">
        <f>SUMIF('9C Aurora total'!$B$7:$B$55,$A13,'9C Aurora total'!K$7:K$55)+SUMIF('10C Not in Aurora'!$A$28:$A$37,$A13,'10C Not in Aurora'!J$28:J$37)</f>
        <v>-21480.377930000002</v>
      </c>
      <c r="K13" s="23">
        <f>SUMIF('9C Aurora total'!$B$7:$B$55,$A13,'9C Aurora total'!L$7:L$55)+SUMIF('10C Not in Aurora'!$A$28:$A$37,$A13,'10C Not in Aurora'!K$28:K$37)</f>
        <v>-20053.98675</v>
      </c>
      <c r="L13" s="23">
        <f>SUMIF('9C Aurora total'!$B$7:$B$55,$A13,'9C Aurora total'!M$7:M$55)+SUMIF('10C Not in Aurora'!$A$28:$A$37,$A13,'10C Not in Aurora'!L$28:L$37)</f>
        <v>-10506.871499999999</v>
      </c>
      <c r="M13" s="23">
        <f>SUMIF('9C Aurora total'!$B$7:$B$55,$A13,'9C Aurora total'!N$7:N$55)+SUMIF('10C Not in Aurora'!$A$28:$A$37,$A13,'10C Not in Aurora'!M$28:M$37)</f>
        <v>-12503.16699</v>
      </c>
      <c r="N13" s="24">
        <f>SUMIF('9C Aurora total'!$B$7:$B$55,$A13,'9C Aurora total'!O$7:O$55)+SUMIF('10C Not in Aurora'!$A$28:$A$37,$A13,'10C Not in Aurora'!N$28:N$37)</f>
        <v>-12235.077000000001</v>
      </c>
      <c r="O13" s="326">
        <f t="shared" si="0"/>
        <v>-128535.20191999999</v>
      </c>
      <c r="P13" s="25">
        <f>SUMIFS('9C Aurora total'!$AD$7:$AD$59,'9C Aurora total'!$B$7:$B$59,'4C Power Cost summary'!A13)+SUMIFS('10C Not in Aurora'!$P$7:$P$25,'10C Not in Aurora'!$A$7:$A$25,'4C Power Cost summary'!$A13)</f>
        <v>-46206.031410176467</v>
      </c>
      <c r="Q13" s="342">
        <f t="shared" si="1"/>
        <v>-82329.170509823525</v>
      </c>
      <c r="R13" s="96"/>
      <c r="S13" s="96"/>
      <c r="T13" s="96"/>
      <c r="U13" s="96"/>
      <c r="V13" s="96"/>
      <c r="W13" s="96"/>
      <c r="X13" s="96"/>
      <c r="Y13" s="96"/>
      <c r="AA13" s="96"/>
      <c r="AB13" s="96"/>
    </row>
    <row r="14" spans="1:28" x14ac:dyDescent="0.25">
      <c r="A14" s="208">
        <v>565</v>
      </c>
      <c r="B14" s="68" t="s">
        <v>1</v>
      </c>
      <c r="C14" s="22" t="e">
        <f>SUMIF('9C Aurora total'!$B$7:$B$55,$A14,'9C Aurora total'!D$7:D$55)+SUMIF('10C Not in Aurora'!$A$28:$A$37,$A14,'10C Not in Aurora'!C$28:C$37)</f>
        <v>#REF!</v>
      </c>
      <c r="D14" s="23" t="e">
        <f>SUMIF('9C Aurora total'!$B$7:$B$55,$A14,'9C Aurora total'!E$7:E$55)+SUMIF('10C Not in Aurora'!$A$28:$A$37,$A14,'10C Not in Aurora'!D$28:D$37)</f>
        <v>#REF!</v>
      </c>
      <c r="E14" s="23" t="e">
        <f>SUMIF('9C Aurora total'!$B$7:$B$55,$A14,'9C Aurora total'!F$7:F$55)+SUMIF('10C Not in Aurora'!$A$28:$A$37,$A14,'10C Not in Aurora'!E$28:E$37)</f>
        <v>#REF!</v>
      </c>
      <c r="F14" s="23" t="e">
        <f>SUMIF('9C Aurora total'!$B$7:$B$55,$A14,'9C Aurora total'!G$7:G$55)+SUMIF('10C Not in Aurora'!$A$28:$A$37,$A14,'10C Not in Aurora'!F$28:F$37)</f>
        <v>#REF!</v>
      </c>
      <c r="G14" s="23" t="e">
        <f>SUMIF('9C Aurora total'!$B$7:$B$55,$A14,'9C Aurora total'!H$7:H$55)+SUMIF('10C Not in Aurora'!$A$28:$A$37,$A14,'10C Not in Aurora'!G$28:G$37)</f>
        <v>#REF!</v>
      </c>
      <c r="H14" s="23" t="e">
        <f>SUMIF('9C Aurora total'!$B$7:$B$55,$A14,'9C Aurora total'!I$7:I$55)+SUMIF('10C Not in Aurora'!$A$28:$A$37,$A14,'10C Not in Aurora'!H$28:H$37)</f>
        <v>#REF!</v>
      </c>
      <c r="I14" s="23" t="e">
        <f>SUMIF('9C Aurora total'!$B$7:$B$55,$A14,'9C Aurora total'!J$7:J$55)+SUMIF('10C Not in Aurora'!$A$28:$A$37,$A14,'10C Not in Aurora'!I$28:I$37)</f>
        <v>#REF!</v>
      </c>
      <c r="J14" s="23" t="e">
        <f>SUMIF('9C Aurora total'!$B$7:$B$55,$A14,'9C Aurora total'!K$7:K$55)+SUMIF('10C Not in Aurora'!$A$28:$A$37,$A14,'10C Not in Aurora'!J$28:J$37)</f>
        <v>#REF!</v>
      </c>
      <c r="K14" s="23" t="e">
        <f>SUMIF('9C Aurora total'!$B$7:$B$55,$A14,'9C Aurora total'!L$7:L$55)+SUMIF('10C Not in Aurora'!$A$28:$A$37,$A14,'10C Not in Aurora'!K$28:K$37)</f>
        <v>#REF!</v>
      </c>
      <c r="L14" s="23" t="e">
        <f>SUMIF('9C Aurora total'!$B$7:$B$55,$A14,'9C Aurora total'!M$7:M$55)+SUMIF('10C Not in Aurora'!$A$28:$A$37,$A14,'10C Not in Aurora'!L$28:L$37)</f>
        <v>#REF!</v>
      </c>
      <c r="M14" s="23" t="e">
        <f>SUMIF('9C Aurora total'!$B$7:$B$55,$A14,'9C Aurora total'!N$7:N$55)+SUMIF('10C Not in Aurora'!$A$28:$A$37,$A14,'10C Not in Aurora'!M$28:M$37)</f>
        <v>#REF!</v>
      </c>
      <c r="N14" s="24" t="e">
        <f>SUMIF('9C Aurora total'!$B$7:$B$55,$A14,'9C Aurora total'!O$7:O$55)+SUMIF('10C Not in Aurora'!$A$28:$A$37,$A14,'10C Not in Aurora'!N$28:N$37)</f>
        <v>#REF!</v>
      </c>
      <c r="O14" s="326" t="e">
        <f t="shared" si="0"/>
        <v>#REF!</v>
      </c>
      <c r="P14" s="25" t="e">
        <f>SUMIFS('9C Aurora total'!$AD$7:$AD$59,'9C Aurora total'!$B$7:$B$59,'4C Power Cost summary'!A14)+SUMIFS('10C Not in Aurora'!$P$7:$P$25,'10C Not in Aurora'!$A$7:$A$25,'4C Power Cost summary'!$A14)</f>
        <v>#REF!</v>
      </c>
      <c r="Q14" s="342" t="e">
        <f t="shared" si="1"/>
        <v>#REF!</v>
      </c>
      <c r="R14" s="96"/>
      <c r="S14" s="96"/>
      <c r="T14" s="96"/>
      <c r="U14" s="96"/>
      <c r="V14" s="96"/>
      <c r="W14" s="96"/>
      <c r="X14" s="96"/>
      <c r="Y14" s="96"/>
      <c r="AA14" s="96"/>
      <c r="AB14" s="96"/>
    </row>
    <row r="15" spans="1:28" x14ac:dyDescent="0.25">
      <c r="A15" s="208">
        <v>456</v>
      </c>
      <c r="B15" s="68" t="s">
        <v>48</v>
      </c>
      <c r="C15" s="22" t="e">
        <f>SUMIF('9C Aurora total'!$B$7:$B$55,$A15,'9C Aurora total'!D$7:D$55)+SUMIF('10C Not in Aurora'!$A$28:$A$37,$A15,'10C Not in Aurora'!C$28:C$37)</f>
        <v>#REF!</v>
      </c>
      <c r="D15" s="23" t="e">
        <f>SUMIF('9C Aurora total'!$B$7:$B$55,$A15,'9C Aurora total'!E$7:E$55)+SUMIF('10C Not in Aurora'!$A$28:$A$37,$A15,'10C Not in Aurora'!D$28:D$37)</f>
        <v>#REF!</v>
      </c>
      <c r="E15" s="23" t="e">
        <f>SUMIF('9C Aurora total'!$B$7:$B$55,$A15,'9C Aurora total'!F$7:F$55)+SUMIF('10C Not in Aurora'!$A$28:$A$37,$A15,'10C Not in Aurora'!E$28:E$37)</f>
        <v>#REF!</v>
      </c>
      <c r="F15" s="23" t="e">
        <f>SUMIF('9C Aurora total'!$B$7:$B$55,$A15,'9C Aurora total'!G$7:G$55)+SUMIF('10C Not in Aurora'!$A$28:$A$37,$A15,'10C Not in Aurora'!F$28:F$37)</f>
        <v>#REF!</v>
      </c>
      <c r="G15" s="23" t="e">
        <f>SUMIF('9C Aurora total'!$B$7:$B$55,$A15,'9C Aurora total'!H$7:H$55)+SUMIF('10C Not in Aurora'!$A$28:$A$37,$A15,'10C Not in Aurora'!G$28:G$37)</f>
        <v>#REF!</v>
      </c>
      <c r="H15" s="23" t="e">
        <f>SUMIF('9C Aurora total'!$B$7:$B$55,$A15,'9C Aurora total'!I$7:I$55)+SUMIF('10C Not in Aurora'!$A$28:$A$37,$A15,'10C Not in Aurora'!H$28:H$37)</f>
        <v>#REF!</v>
      </c>
      <c r="I15" s="23" t="e">
        <f>SUMIF('9C Aurora total'!$B$7:$B$55,$A15,'9C Aurora total'!J$7:J$55)+SUMIF('10C Not in Aurora'!$A$28:$A$37,$A15,'10C Not in Aurora'!I$28:I$37)</f>
        <v>#REF!</v>
      </c>
      <c r="J15" s="23" t="e">
        <f>SUMIF('9C Aurora total'!$B$7:$B$55,$A15,'9C Aurora total'!K$7:K$55)+SUMIF('10C Not in Aurora'!$A$28:$A$37,$A15,'10C Not in Aurora'!J$28:J$37)</f>
        <v>#REF!</v>
      </c>
      <c r="K15" s="23" t="e">
        <f>SUMIF('9C Aurora total'!$B$7:$B$55,$A15,'9C Aurora total'!L$7:L$55)+SUMIF('10C Not in Aurora'!$A$28:$A$37,$A15,'10C Not in Aurora'!K$28:K$37)</f>
        <v>#REF!</v>
      </c>
      <c r="L15" s="23" t="e">
        <f>SUMIF('9C Aurora total'!$B$7:$B$55,$A15,'9C Aurora total'!M$7:M$55)+SUMIF('10C Not in Aurora'!$A$28:$A$37,$A15,'10C Not in Aurora'!L$28:L$37)</f>
        <v>#REF!</v>
      </c>
      <c r="M15" s="23" t="e">
        <f>SUMIF('9C Aurora total'!$B$7:$B$55,$A15,'9C Aurora total'!N$7:N$55)+SUMIF('10C Not in Aurora'!$A$28:$A$37,$A15,'10C Not in Aurora'!M$28:M$37)</f>
        <v>#REF!</v>
      </c>
      <c r="N15" s="24" t="e">
        <f>SUMIF('9C Aurora total'!$B$7:$B$55,$A15,'9C Aurora total'!O$7:O$55)+SUMIF('10C Not in Aurora'!$A$28:$A$37,$A15,'10C Not in Aurora'!N$28:N$37)</f>
        <v>#REF!</v>
      </c>
      <c r="O15" s="326" t="e">
        <f t="shared" si="0"/>
        <v>#REF!</v>
      </c>
      <c r="P15" s="25" t="e">
        <f>SUMIFS('9C Aurora total'!$AD$7:$AD$59,'9C Aurora total'!$B$7:$B$59,'4C Power Cost summary'!A15)+SUMIFS('10C Not in Aurora'!$P$7:$P$25,'10C Not in Aurora'!$A$7:$A$25,'4C Power Cost summary'!$A15)</f>
        <v>#REF!</v>
      </c>
      <c r="Q15" s="342" t="e">
        <f t="shared" si="1"/>
        <v>#REF!</v>
      </c>
      <c r="U15" s="15"/>
      <c r="X15" s="74"/>
      <c r="Y15" s="15"/>
    </row>
    <row r="16" spans="1:28" s="97" customFormat="1" ht="15.75" thickBot="1" x14ac:dyDescent="0.3">
      <c r="A16" s="67">
        <v>557</v>
      </c>
      <c r="B16" s="68" t="s">
        <v>40</v>
      </c>
      <c r="C16" s="22">
        <f>SUMIF('9C Aurora total'!$B$7:$B$55,$A16,'9C Aurora total'!D$7:D$55)+SUMIF('10C Not in Aurora'!$A$28:$A$37,$A16,'10C Not in Aurora'!C$28:C$37)</f>
        <v>1392.6321686064568</v>
      </c>
      <c r="D16" s="23">
        <f>SUMIF('9C Aurora total'!$B$7:$B$55,$A16,'9C Aurora total'!E$7:E$55)+SUMIF('10C Not in Aurora'!$A$28:$A$37,$A16,'10C Not in Aurora'!D$28:D$37)</f>
        <v>1392.6321686064568</v>
      </c>
      <c r="E16" s="23">
        <f>SUMIF('9C Aurora total'!$B$7:$B$55,$A16,'9C Aurora total'!F$7:F$55)+SUMIF('10C Not in Aurora'!$A$28:$A$37,$A16,'10C Not in Aurora'!E$28:E$37)</f>
        <v>1392.6321686064568</v>
      </c>
      <c r="F16" s="23">
        <f>SUMIF('9C Aurora total'!$B$7:$B$55,$A16,'9C Aurora total'!G$7:G$55)+SUMIF('10C Not in Aurora'!$A$28:$A$37,$A16,'10C Not in Aurora'!F$28:F$37)</f>
        <v>1392.6321686064568</v>
      </c>
      <c r="G16" s="23">
        <f>SUMIF('9C Aurora total'!$B$7:$B$55,$A16,'9C Aurora total'!H$7:H$55)+SUMIF('10C Not in Aurora'!$A$28:$A$37,$A16,'10C Not in Aurora'!G$28:G$37)</f>
        <v>1392.6321686064568</v>
      </c>
      <c r="H16" s="23">
        <f>SUMIF('9C Aurora total'!$B$7:$B$55,$A16,'9C Aurora total'!I$7:I$55)+SUMIF('10C Not in Aurora'!$A$28:$A$37,$A16,'10C Not in Aurora'!H$28:H$37)</f>
        <v>1392.6321686064568</v>
      </c>
      <c r="I16" s="23">
        <f>SUMIF('9C Aurora total'!$B$7:$B$55,$A16,'9C Aurora total'!J$7:J$55)+SUMIF('10C Not in Aurora'!$A$28:$A$37,$A16,'10C Not in Aurora'!I$28:I$37)</f>
        <v>1392.6321686064568</v>
      </c>
      <c r="J16" s="23">
        <f>SUMIF('9C Aurora total'!$B$7:$B$55,$A16,'9C Aurora total'!K$7:K$55)+SUMIF('10C Not in Aurora'!$A$28:$A$37,$A16,'10C Not in Aurora'!J$28:J$37)</f>
        <v>1392.6321686064568</v>
      </c>
      <c r="K16" s="23">
        <f>SUMIF('9C Aurora total'!$B$7:$B$55,$A16,'9C Aurora total'!L$7:L$55)+SUMIF('10C Not in Aurora'!$A$28:$A$37,$A16,'10C Not in Aurora'!K$28:K$37)</f>
        <v>1392.6321686064568</v>
      </c>
      <c r="L16" s="23">
        <f>SUMIF('9C Aurora total'!$B$7:$B$55,$A16,'9C Aurora total'!M$7:M$55)+SUMIF('10C Not in Aurora'!$A$28:$A$37,$A16,'10C Not in Aurora'!L$28:L$37)</f>
        <v>1392.6321686064568</v>
      </c>
      <c r="M16" s="23">
        <f>SUMIF('9C Aurora total'!$B$7:$B$55,$A16,'9C Aurora total'!N$7:N$55)+SUMIF('10C Not in Aurora'!$A$28:$A$37,$A16,'10C Not in Aurora'!M$28:M$37)</f>
        <v>1392.6321686064568</v>
      </c>
      <c r="N16" s="24">
        <f>SUMIF('9C Aurora total'!$B$7:$B$55,$A16,'9C Aurora total'!O$7:O$55)+SUMIF('10C Not in Aurora'!$A$28:$A$37,$A16,'10C Not in Aurora'!N$28:N$37)</f>
        <v>1392.6321686064568</v>
      </c>
      <c r="O16" s="326">
        <f t="shared" si="0"/>
        <v>16711.586023277483</v>
      </c>
      <c r="P16" s="25">
        <f>SUMIFS('9C Aurora total'!$AD$7:$AD$59,'9C Aurora total'!$B$7:$B$59,'4C Power Cost summary'!A16)+SUMIFS('10C Not in Aurora'!$P$7:$P$25,'10C Not in Aurora'!$A$7:$A$25,'4C Power Cost summary'!$A16)</f>
        <v>14722.501100000007</v>
      </c>
      <c r="Q16" s="342">
        <f t="shared" si="1"/>
        <v>1989.0849232774763</v>
      </c>
      <c r="R16" s="31"/>
      <c r="S16" s="31"/>
      <c r="T16" s="31"/>
      <c r="U16" s="31"/>
      <c r="V16" s="31"/>
      <c r="W16" s="31"/>
      <c r="X16" s="31"/>
      <c r="Y16" s="31"/>
      <c r="Z16" s="74"/>
      <c r="AA16" s="31"/>
      <c r="AB16" s="31"/>
    </row>
    <row r="17" spans="1:24" ht="16.5" thickTop="1" thickBot="1" x14ac:dyDescent="0.3">
      <c r="A17" s="152"/>
      <c r="B17" s="152" t="s">
        <v>3</v>
      </c>
      <c r="C17" s="153" t="e">
        <f t="shared" ref="C17:N17" si="2">SUM(C7:C16)</f>
        <v>#REF!</v>
      </c>
      <c r="D17" s="154" t="e">
        <f t="shared" si="2"/>
        <v>#REF!</v>
      </c>
      <c r="E17" s="154" t="e">
        <f t="shared" si="2"/>
        <v>#REF!</v>
      </c>
      <c r="F17" s="154" t="e">
        <f t="shared" si="2"/>
        <v>#REF!</v>
      </c>
      <c r="G17" s="154" t="e">
        <f t="shared" si="2"/>
        <v>#REF!</v>
      </c>
      <c r="H17" s="154" t="e">
        <f t="shared" si="2"/>
        <v>#REF!</v>
      </c>
      <c r="I17" s="154" t="e">
        <f t="shared" si="2"/>
        <v>#REF!</v>
      </c>
      <c r="J17" s="154" t="e">
        <f t="shared" si="2"/>
        <v>#REF!</v>
      </c>
      <c r="K17" s="154" t="e">
        <f t="shared" si="2"/>
        <v>#REF!</v>
      </c>
      <c r="L17" s="154" t="e">
        <f t="shared" si="2"/>
        <v>#REF!</v>
      </c>
      <c r="M17" s="154" t="e">
        <f t="shared" si="2"/>
        <v>#REF!</v>
      </c>
      <c r="N17" s="155" t="e">
        <f t="shared" si="2"/>
        <v>#REF!</v>
      </c>
      <c r="O17" s="327" t="e">
        <f>SUM(O7:O16)</f>
        <v>#REF!</v>
      </c>
      <c r="P17" s="341" t="e">
        <f>SUM(P7:P16)</f>
        <v>#REF!</v>
      </c>
      <c r="Q17" s="323" t="e">
        <f>SUM(Q7:Q16)</f>
        <v>#REF!</v>
      </c>
      <c r="R17" s="2"/>
      <c r="U17" s="15"/>
      <c r="X17" s="98"/>
    </row>
    <row r="18" spans="1:24" ht="10.35" customHeight="1" thickTop="1" x14ac:dyDescent="0.25">
      <c r="A18" s="67"/>
      <c r="B18" s="68"/>
      <c r="C18" s="33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82"/>
      <c r="O18" s="325"/>
      <c r="P18" s="328"/>
      <c r="Q18" s="322"/>
      <c r="R18" s="2"/>
      <c r="U18" s="15"/>
      <c r="X18" s="98"/>
    </row>
    <row r="19" spans="1:24" x14ac:dyDescent="0.25">
      <c r="A19" s="99"/>
      <c r="B19" s="114" t="s">
        <v>55</v>
      </c>
      <c r="C19" s="331">
        <f>'9C Aurora total'!D114</f>
        <v>2247721.9785346095</v>
      </c>
      <c r="D19" s="332">
        <f>'9C Aurora total'!E114</f>
        <v>1898576.9922288</v>
      </c>
      <c r="E19" s="332">
        <f>'9C Aurora total'!F114</f>
        <v>1982654.0163478998</v>
      </c>
      <c r="F19" s="332">
        <f>'9C Aurora total'!G114</f>
        <v>1679386.9831762998</v>
      </c>
      <c r="G19" s="332">
        <f>'9C Aurora total'!H114</f>
        <v>1615204.0015315397</v>
      </c>
      <c r="H19" s="332">
        <f>'9C Aurora total'!I114</f>
        <v>1471298.0008405251</v>
      </c>
      <c r="I19" s="332">
        <f>'9C Aurora total'!J114</f>
        <v>1562055.9831401992</v>
      </c>
      <c r="J19" s="332">
        <f>'9C Aurora total'!K114</f>
        <v>1602797.9940214001</v>
      </c>
      <c r="K19" s="332">
        <f>'9C Aurora total'!L114</f>
        <v>1490062.0066180003</v>
      </c>
      <c r="L19" s="332">
        <f>'9C Aurora total'!M114</f>
        <v>1669150.9899714999</v>
      </c>
      <c r="M19" s="332">
        <f>'9C Aurora total'!N114</f>
        <v>1904225.9972879998</v>
      </c>
      <c r="N19" s="329">
        <f>'9C Aurora total'!O114</f>
        <v>2227654.9783804994</v>
      </c>
      <c r="O19" s="330">
        <f>SUM(C19:N19)</f>
        <v>21350789.922079273</v>
      </c>
      <c r="P19" s="329">
        <f>'9C Aurora total'!AD114</f>
        <v>20803205.018951166</v>
      </c>
      <c r="Q19" s="335">
        <f>O19-P19</f>
        <v>547584.90312810615</v>
      </c>
      <c r="R19" s="100"/>
      <c r="U19" s="100"/>
    </row>
    <row r="20" spans="1:24" x14ac:dyDescent="0.25">
      <c r="O20" s="3"/>
      <c r="P20" s="4"/>
      <c r="R20" s="2"/>
    </row>
    <row r="21" spans="1:24" s="27" customFormat="1" ht="13.5" customHeight="1" x14ac:dyDescent="0.25">
      <c r="A21" s="32" t="s">
        <v>130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244"/>
      <c r="P21" s="103"/>
    </row>
    <row r="22" spans="1:24" s="27" customFormat="1" ht="13.5" customHeight="1" x14ac:dyDescent="0.25">
      <c r="A22" s="37" t="s">
        <v>153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425"/>
      <c r="P22" s="425"/>
    </row>
    <row r="23" spans="1:24" s="27" customFormat="1" ht="13.5" customHeight="1" x14ac:dyDescent="0.25">
      <c r="A23" s="78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363"/>
      <c r="P23" s="103"/>
      <c r="Q23" s="104"/>
    </row>
    <row r="24" spans="1:24" s="27" customFormat="1" ht="13.5" customHeight="1" x14ac:dyDescent="0.25">
      <c r="A24" s="78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3"/>
      <c r="P24" s="103"/>
      <c r="Q24" s="104"/>
    </row>
    <row r="25" spans="1:24" s="27" customFormat="1" ht="13.5" customHeight="1" x14ac:dyDescent="0.25">
      <c r="A25" s="78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3"/>
      <c r="P25" s="103"/>
      <c r="Q25" s="104"/>
    </row>
    <row r="26" spans="1:24" s="27" customFormat="1" ht="13.5" customHeight="1" x14ac:dyDescent="0.25">
      <c r="A26" s="78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3"/>
      <c r="P26" s="103"/>
      <c r="Q26" s="104"/>
    </row>
    <row r="27" spans="1:24" s="27" customFormat="1" ht="13.5" customHeight="1" x14ac:dyDescent="0.25">
      <c r="A27" s="78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3"/>
      <c r="P27" s="72"/>
      <c r="Q27" s="104"/>
    </row>
    <row r="28" spans="1:24" s="27" customFormat="1" ht="13.5" customHeight="1" x14ac:dyDescent="0.25">
      <c r="A28" s="78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244"/>
      <c r="P28" s="72"/>
      <c r="Q28" s="104"/>
    </row>
    <row r="29" spans="1:24" s="27" customFormat="1" x14ac:dyDescent="0.25">
      <c r="A29" s="32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3"/>
      <c r="P29" s="72"/>
      <c r="Q29" s="104"/>
    </row>
    <row r="30" spans="1:24" s="27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03"/>
      <c r="P30" s="72"/>
      <c r="Q30" s="38"/>
    </row>
    <row r="31" spans="1:24" s="27" customFormat="1" x14ac:dyDescent="0.25">
      <c r="A31" s="32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3"/>
      <c r="P31" s="72"/>
      <c r="Q31" s="104"/>
    </row>
    <row r="32" spans="1:24" s="27" customForma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103"/>
      <c r="P32" s="72"/>
      <c r="Q32" s="38"/>
    </row>
    <row r="33" spans="1:17" s="27" customForma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103"/>
      <c r="P33" s="72"/>
      <c r="Q33" s="38"/>
    </row>
    <row r="34" spans="1:17" s="27" customFormat="1" ht="18.75" x14ac:dyDescent="0.3">
      <c r="A34" s="32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3"/>
      <c r="P34" s="72"/>
      <c r="Q34" s="101"/>
    </row>
    <row r="35" spans="1:17" s="27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72"/>
      <c r="Q35" s="103"/>
    </row>
    <row r="36" spans="1:17" s="27" customFormat="1" ht="18.75" x14ac:dyDescent="0.3">
      <c r="A36" s="78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1"/>
      <c r="P36" s="105"/>
      <c r="Q36" s="104"/>
    </row>
    <row r="37" spans="1:17" s="27" customFormat="1" x14ac:dyDescent="0.25">
      <c r="A37" s="78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3"/>
      <c r="P37" s="105"/>
      <c r="Q37" s="104"/>
    </row>
    <row r="38" spans="1:17" s="27" customFormat="1" x14ac:dyDescent="0.25">
      <c r="A38" s="78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  <c r="Q38" s="104"/>
    </row>
    <row r="39" spans="1:17" s="27" customFormat="1" x14ac:dyDescent="0.25">
      <c r="A39" s="78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  <c r="Q39" s="104"/>
    </row>
    <row r="40" spans="1:17" s="27" customFormat="1" x14ac:dyDescent="0.25">
      <c r="A40" s="78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5"/>
      <c r="Q40" s="104"/>
    </row>
    <row r="41" spans="1:17" s="27" customFormat="1" x14ac:dyDescent="0.25">
      <c r="A41" s="78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5"/>
      <c r="Q41" s="104"/>
    </row>
    <row r="42" spans="1:17" s="27" customFormat="1" x14ac:dyDescent="0.25">
      <c r="A42" s="78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104"/>
    </row>
    <row r="43" spans="1:17" s="27" customFormat="1" x14ac:dyDescent="0.25">
      <c r="A43" s="32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5"/>
      <c r="Q43" s="104"/>
    </row>
    <row r="44" spans="1:17" s="27" customFormat="1" x14ac:dyDescent="0.25">
      <c r="A44" s="38"/>
      <c r="B44" s="38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4"/>
      <c r="P44" s="105"/>
      <c r="Q44" s="38"/>
    </row>
    <row r="45" spans="1:17" s="27" customFormat="1" x14ac:dyDescent="0.25">
      <c r="A45" s="32"/>
      <c r="B45" s="104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4"/>
      <c r="P45" s="105"/>
      <c r="Q45" s="104"/>
    </row>
    <row r="46" spans="1:17" s="27" customFormat="1" x14ac:dyDescent="0.25">
      <c r="A46" s="32"/>
      <c r="B46" s="104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6"/>
      <c r="P46" s="105"/>
      <c r="Q46" s="104"/>
    </row>
    <row r="47" spans="1:17" s="27" customFormat="1" ht="18.75" x14ac:dyDescent="0.3">
      <c r="A47" s="32"/>
      <c r="B47" s="101"/>
      <c r="C47" s="71"/>
      <c r="D47" s="7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7"/>
      <c r="P47" s="105"/>
      <c r="Q47" s="101"/>
    </row>
    <row r="48" spans="1:17" s="27" customFormat="1" x14ac:dyDescent="0.25">
      <c r="A48" s="103"/>
      <c r="B48" s="103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107"/>
      <c r="P48" s="105"/>
      <c r="Q48" s="103"/>
    </row>
    <row r="49" spans="1:17" s="27" customFormat="1" x14ac:dyDescent="0.25">
      <c r="A49" s="78"/>
      <c r="B49" s="104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2"/>
      <c r="P49" s="105"/>
      <c r="Q49" s="104"/>
    </row>
    <row r="50" spans="1:17" s="27" customFormat="1" x14ac:dyDescent="0.25">
      <c r="A50" s="78"/>
      <c r="B50" s="104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72"/>
      <c r="P50" s="105"/>
      <c r="Q50" s="104"/>
    </row>
    <row r="51" spans="1:17" s="27" customFormat="1" x14ac:dyDescent="0.25">
      <c r="A51" s="78"/>
      <c r="B51" s="104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5"/>
      <c r="Q51" s="104"/>
    </row>
    <row r="52" spans="1:17" s="27" customFormat="1" x14ac:dyDescent="0.25">
      <c r="A52" s="78"/>
      <c r="B52" s="104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5"/>
      <c r="Q52" s="104"/>
    </row>
    <row r="53" spans="1:17" s="27" customFormat="1" x14ac:dyDescent="0.25">
      <c r="A53" s="78"/>
      <c r="B53" s="104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5"/>
      <c r="Q53" s="104"/>
    </row>
    <row r="54" spans="1:17" s="27" customFormat="1" x14ac:dyDescent="0.25">
      <c r="A54" s="78"/>
      <c r="B54" s="104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5"/>
      <c r="Q54" s="104"/>
    </row>
    <row r="55" spans="1:17" s="27" customFormat="1" x14ac:dyDescent="0.25">
      <c r="A55" s="78"/>
      <c r="B55" s="104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8"/>
      <c r="P55" s="105"/>
      <c r="Q55" s="104"/>
    </row>
    <row r="56" spans="1:17" s="27" customFormat="1" x14ac:dyDescent="0.25">
      <c r="A56" s="32"/>
      <c r="B56" s="104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5"/>
      <c r="Q56" s="104"/>
    </row>
    <row r="57" spans="1:17" s="27" customFormat="1" x14ac:dyDescent="0.25">
      <c r="A57" s="38"/>
      <c r="B57" s="38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8"/>
      <c r="P57" s="105"/>
      <c r="Q57" s="38"/>
    </row>
    <row r="58" spans="1:17" s="27" customFormat="1" x14ac:dyDescent="0.25">
      <c r="A58" s="32"/>
      <c r="B58" s="104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5"/>
      <c r="Q58" s="104"/>
    </row>
    <row r="59" spans="1:17" s="27" customFormat="1" x14ac:dyDescent="0.25">
      <c r="A59" s="38"/>
      <c r="B59" s="38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105"/>
      <c r="Q59" s="38"/>
    </row>
    <row r="60" spans="1:17" s="27" customFormat="1" x14ac:dyDescent="0.25">
      <c r="A60" s="38"/>
      <c r="B60" s="38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7"/>
      <c r="P60" s="105"/>
      <c r="Q60" s="38"/>
    </row>
    <row r="61" spans="1:17" s="27" customFormat="1" ht="18.75" x14ac:dyDescent="0.3">
      <c r="A61" s="32"/>
      <c r="B61" s="101"/>
      <c r="C61" s="110"/>
      <c r="D61" s="110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5"/>
      <c r="P61" s="105"/>
      <c r="Q61" s="101"/>
    </row>
    <row r="62" spans="1:17" s="27" customFormat="1" x14ac:dyDescent="0.25">
      <c r="A62" s="103"/>
      <c r="B62" s="103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105"/>
      <c r="P62" s="105"/>
      <c r="Q62" s="103"/>
    </row>
    <row r="63" spans="1:17" s="27" customFormat="1" x14ac:dyDescent="0.25">
      <c r="A63" s="78"/>
      <c r="B63" s="104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11"/>
      <c r="P63" s="105"/>
      <c r="Q63" s="104"/>
    </row>
    <row r="64" spans="1:17" s="27" customFormat="1" x14ac:dyDescent="0.25">
      <c r="A64" s="78"/>
      <c r="B64" s="104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72"/>
      <c r="P64" s="105"/>
      <c r="Q64" s="104"/>
    </row>
    <row r="65" spans="1:17" s="27" customFormat="1" x14ac:dyDescent="0.25">
      <c r="A65" s="78"/>
      <c r="B65" s="104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5"/>
      <c r="Q65" s="104"/>
    </row>
    <row r="66" spans="1:17" s="27" customFormat="1" x14ac:dyDescent="0.25">
      <c r="A66" s="78"/>
      <c r="B66" s="104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5"/>
      <c r="Q66" s="104"/>
    </row>
    <row r="67" spans="1:17" s="27" customFormat="1" x14ac:dyDescent="0.25">
      <c r="A67" s="78"/>
      <c r="B67" s="104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5"/>
      <c r="Q67" s="104"/>
    </row>
    <row r="68" spans="1:17" s="27" customFormat="1" x14ac:dyDescent="0.25">
      <c r="A68" s="78"/>
      <c r="B68" s="104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5"/>
      <c r="Q68" s="104"/>
    </row>
    <row r="69" spans="1:17" s="27" customFormat="1" x14ac:dyDescent="0.25">
      <c r="A69" s="78"/>
      <c r="B69" s="104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8"/>
      <c r="P69" s="105"/>
      <c r="Q69" s="104"/>
    </row>
    <row r="70" spans="1:17" s="27" customFormat="1" x14ac:dyDescent="0.25">
      <c r="A70" s="32"/>
      <c r="B70" s="10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5"/>
      <c r="Q70" s="104"/>
    </row>
    <row r="71" spans="1:17" s="27" customFormat="1" x14ac:dyDescent="0.25">
      <c r="A71" s="38"/>
      <c r="B71" s="38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8"/>
      <c r="P71" s="105"/>
      <c r="Q71" s="38"/>
    </row>
    <row r="72" spans="1:17" s="27" customFormat="1" x14ac:dyDescent="0.25">
      <c r="A72" s="32"/>
      <c r="B72" s="104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5"/>
      <c r="Q72" s="104"/>
    </row>
    <row r="73" spans="1:17" s="27" customFormat="1" x14ac:dyDescent="0.25">
      <c r="A73" s="32"/>
      <c r="B73" s="104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6"/>
      <c r="P73" s="105"/>
      <c r="Q73" s="104"/>
    </row>
    <row r="74" spans="1:17" s="27" customFormat="1" x14ac:dyDescent="0.25">
      <c r="A74" s="38"/>
      <c r="B74" s="38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07"/>
      <c r="P74" s="105"/>
      <c r="Q74" s="38"/>
    </row>
    <row r="75" spans="1:17" s="27" customFormat="1" x14ac:dyDescent="0.25"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7"/>
      <c r="P75" s="105"/>
    </row>
    <row r="76" spans="1:17" s="27" customFormat="1" x14ac:dyDescent="0.25"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12"/>
      <c r="P76" s="105"/>
    </row>
    <row r="77" spans="1:17" s="27" customFormat="1" x14ac:dyDescent="0.25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</row>
    <row r="78" spans="1:17" x14ac:dyDescent="0.25">
      <c r="O78" s="105"/>
      <c r="P78" s="105"/>
    </row>
    <row r="79" spans="1:17" x14ac:dyDescent="0.25">
      <c r="O79" s="105"/>
      <c r="P79" s="105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92"/>
  <sheetViews>
    <sheetView topLeftCell="B1" workbookViewId="0">
      <selection activeCell="H7" sqref="H7"/>
    </sheetView>
  </sheetViews>
  <sheetFormatPr defaultColWidth="9.140625" defaultRowHeight="12.75" x14ac:dyDescent="0.2"/>
  <cols>
    <col min="1" max="1" width="6.140625" style="45" customWidth="1"/>
    <col min="2" max="2" width="37" style="61" customWidth="1"/>
    <col min="3" max="4" width="11.85546875" style="45" customWidth="1"/>
    <col min="5" max="5" width="12.140625" style="45" customWidth="1"/>
    <col min="6" max="6" width="1.5703125" style="36" customWidth="1"/>
    <col min="7" max="7" width="12.140625" style="45" customWidth="1"/>
    <col min="8" max="9" width="11.85546875" style="45" customWidth="1"/>
    <col min="10" max="10" width="2.140625" style="36" customWidth="1"/>
    <col min="11" max="13" width="12.85546875" style="45" customWidth="1"/>
    <col min="14" max="14" width="2.42578125" style="45" customWidth="1"/>
    <col min="15" max="16" width="13.5703125" style="45" customWidth="1"/>
    <col min="17" max="17" width="14.85546875" style="45" customWidth="1"/>
    <col min="18" max="16384" width="9.140625" style="45"/>
  </cols>
  <sheetData>
    <row r="1" spans="1:18" ht="18.75" x14ac:dyDescent="0.3">
      <c r="A1" s="149" t="s">
        <v>66</v>
      </c>
    </row>
    <row r="2" spans="1:18" ht="21" x14ac:dyDescent="0.35">
      <c r="A2" s="122" t="s">
        <v>65</v>
      </c>
      <c r="B2" s="122"/>
      <c r="C2" s="122"/>
      <c r="D2" s="122"/>
      <c r="E2" s="122"/>
      <c r="F2" s="148"/>
      <c r="G2" s="122"/>
      <c r="H2" s="122"/>
      <c r="I2" s="122"/>
      <c r="J2" s="148"/>
      <c r="K2" s="122"/>
      <c r="L2" s="122"/>
      <c r="M2" s="122"/>
    </row>
    <row r="3" spans="1:18" ht="15.75" x14ac:dyDescent="0.25">
      <c r="A3" s="151" t="s">
        <v>126</v>
      </c>
      <c r="B3" s="80"/>
      <c r="C3" s="80"/>
      <c r="D3" s="80"/>
      <c r="E3" s="80"/>
      <c r="F3" s="126"/>
      <c r="G3" s="80"/>
      <c r="H3" s="80"/>
      <c r="I3" s="80"/>
      <c r="J3" s="126"/>
      <c r="K3" s="80"/>
      <c r="L3" s="80"/>
      <c r="M3" s="80"/>
    </row>
    <row r="4" spans="1:18" ht="14.85" customHeight="1" x14ac:dyDescent="0.2">
      <c r="A4" s="58"/>
      <c r="B4" s="58"/>
      <c r="C4" s="58"/>
      <c r="D4" s="58"/>
      <c r="E4" s="58"/>
      <c r="F4" s="127"/>
      <c r="G4" s="58"/>
      <c r="H4" s="58"/>
      <c r="I4" s="58"/>
      <c r="J4" s="127"/>
      <c r="K4" s="58"/>
      <c r="L4" s="58"/>
      <c r="M4" s="58"/>
    </row>
    <row r="5" spans="1:18" ht="14.85" customHeight="1" x14ac:dyDescent="0.2">
      <c r="A5" s="58"/>
      <c r="B5" s="58"/>
      <c r="C5" s="58"/>
      <c r="D5" s="58"/>
      <c r="E5" s="58"/>
      <c r="F5" s="127"/>
      <c r="G5" s="58"/>
      <c r="H5" s="58"/>
      <c r="I5" s="58"/>
      <c r="J5" s="127"/>
      <c r="K5" s="58"/>
      <c r="L5" s="58"/>
      <c r="M5" s="58"/>
    </row>
    <row r="6" spans="1:18" x14ac:dyDescent="0.2">
      <c r="A6" s="58"/>
      <c r="B6" s="58"/>
      <c r="C6" s="58"/>
      <c r="D6" s="58"/>
      <c r="E6" s="58"/>
      <c r="F6" s="127"/>
      <c r="G6" s="58"/>
      <c r="H6" s="58"/>
      <c r="I6" s="58"/>
      <c r="J6" s="127"/>
      <c r="K6" s="58"/>
      <c r="L6" s="58"/>
      <c r="M6" s="58"/>
    </row>
    <row r="7" spans="1:18" ht="15.75" x14ac:dyDescent="0.25">
      <c r="B7" s="172" t="s">
        <v>68</v>
      </c>
      <c r="C7" s="434" t="s">
        <v>127</v>
      </c>
      <c r="D7" s="435"/>
      <c r="E7" s="436"/>
      <c r="F7" s="76"/>
      <c r="G7" s="434" t="s">
        <v>124</v>
      </c>
      <c r="H7" s="435"/>
      <c r="I7" s="436"/>
      <c r="J7" s="34"/>
      <c r="K7" s="434" t="s">
        <v>67</v>
      </c>
      <c r="L7" s="435"/>
      <c r="M7" s="436"/>
      <c r="O7" s="434" t="s">
        <v>76</v>
      </c>
      <c r="P7" s="435"/>
      <c r="Q7" s="436"/>
      <c r="R7" s="311"/>
    </row>
    <row r="8" spans="1:18" ht="30.75" thickBot="1" x14ac:dyDescent="0.3">
      <c r="A8" s="60" t="s">
        <v>73</v>
      </c>
      <c r="B8" s="157" t="s">
        <v>56</v>
      </c>
      <c r="C8" s="211" t="s">
        <v>121</v>
      </c>
      <c r="D8" s="212" t="s">
        <v>122</v>
      </c>
      <c r="E8" s="213" t="s">
        <v>5</v>
      </c>
      <c r="F8" s="121"/>
      <c r="G8" s="211" t="s">
        <v>121</v>
      </c>
      <c r="H8" s="212" t="s">
        <v>122</v>
      </c>
      <c r="I8" s="213" t="s">
        <v>5</v>
      </c>
      <c r="J8" s="121"/>
      <c r="K8" s="211" t="s">
        <v>121</v>
      </c>
      <c r="L8" s="212" t="s">
        <v>122</v>
      </c>
      <c r="M8" s="213" t="s">
        <v>5</v>
      </c>
      <c r="O8" s="182" t="s">
        <v>127</v>
      </c>
      <c r="P8" s="182" t="s">
        <v>124</v>
      </c>
      <c r="Q8" s="182" t="s">
        <v>67</v>
      </c>
    </row>
    <row r="9" spans="1:18" ht="15.75" thickTop="1" x14ac:dyDescent="0.25">
      <c r="A9" s="73" t="s">
        <v>0</v>
      </c>
      <c r="B9" s="214" t="s">
        <v>8</v>
      </c>
      <c r="C9" s="142">
        <f>SUMIFS('9C Aurora total'!$P$1:$P$59,'9C Aurora total'!$C$1:$C$59,'8C Summary by resource'!$B9)</f>
        <v>0</v>
      </c>
      <c r="D9" s="142">
        <f>SUMIFS('10C Not in Aurora'!$O$1:$O$24,'10C Not in Aurora'!$B$1:$B$24,'8C Summary by resource'!$B9)</f>
        <v>0</v>
      </c>
      <c r="E9" s="215">
        <f>C9+D9</f>
        <v>0</v>
      </c>
      <c r="F9" s="217"/>
      <c r="G9" s="142">
        <f>SUMIFS('9C Aurora total'!$AD$1:$AD$59,'9C Aurora total'!$C$1:$C$59,'8C Summary by resource'!$B9)</f>
        <v>0</v>
      </c>
      <c r="H9" s="142">
        <f>SUMIFS('10C Not in Aurora'!$P$1:$P$24,'10C Not in Aurora'!$B$1:$B$24,'8C Summary by resource'!$B9)</f>
        <v>0</v>
      </c>
      <c r="I9" s="215">
        <f>G9+H9</f>
        <v>0</v>
      </c>
      <c r="J9" s="203"/>
      <c r="K9" s="142">
        <f t="shared" ref="K9:K40" si="0">C9-G9</f>
        <v>0</v>
      </c>
      <c r="L9" s="142">
        <f t="shared" ref="L9:L40" si="1">D9-H9</f>
        <v>0</v>
      </c>
      <c r="M9" s="215">
        <f t="shared" ref="M9:M40" si="2">E9-I9</f>
        <v>0</v>
      </c>
      <c r="O9" s="177">
        <f>SUMIFS('9C Aurora total'!P$63:P$114,'9C Aurora total'!$C$63:$C$114,'8C Summary by resource'!$B9)</f>
        <v>340225.02830000001</v>
      </c>
      <c r="P9" s="178">
        <f>SUMIFS('9C Aurora total'!AD$63:AD$114,'9C Aurora total'!$C$63:$C$114,'8C Summary by resource'!$B9)</f>
        <v>353747.55386987503</v>
      </c>
      <c r="Q9" s="179">
        <f t="shared" ref="Q9:Q40" si="3">O9-P9</f>
        <v>-13522.525569875026</v>
      </c>
    </row>
    <row r="10" spans="1:18" ht="15" x14ac:dyDescent="0.25">
      <c r="A10" s="73" t="s">
        <v>0</v>
      </c>
      <c r="B10" s="204" t="s">
        <v>9</v>
      </c>
      <c r="C10" s="142">
        <f>SUMIFS('9C Aurora total'!$P$1:$P$59,'9C Aurora total'!$C$1:$C$59,'8C Summary by resource'!$B10)</f>
        <v>0</v>
      </c>
      <c r="D10" s="142">
        <f>SUMIFS('10C Not in Aurora'!$O$1:$O$24,'10C Not in Aurora'!$B$1:$B$24,'8C Summary by resource'!$B10)</f>
        <v>0</v>
      </c>
      <c r="E10" s="199">
        <f t="shared" ref="E10:E72" si="4">C10+D10</f>
        <v>0</v>
      </c>
      <c r="F10" s="217"/>
      <c r="G10" s="142">
        <f>SUMIFS('9C Aurora total'!$AD$1:$AD$59,'9C Aurora total'!$C$1:$C$59,'8C Summary by resource'!$B10)</f>
        <v>0</v>
      </c>
      <c r="H10" s="142">
        <f>SUMIFS('10C Not in Aurora'!$P$1:$P$24,'10C Not in Aurora'!$B$1:$B$24,'8C Summary by resource'!$B10)</f>
        <v>0</v>
      </c>
      <c r="I10" s="199">
        <f t="shared" ref="I10:I72" si="5">G10+H10</f>
        <v>0</v>
      </c>
      <c r="J10" s="203"/>
      <c r="K10" s="142">
        <f t="shared" si="0"/>
        <v>0</v>
      </c>
      <c r="L10" s="142">
        <f t="shared" si="1"/>
        <v>0</v>
      </c>
      <c r="M10" s="199">
        <f t="shared" si="2"/>
        <v>0</v>
      </c>
      <c r="O10" s="140">
        <f>SUMIFS('9C Aurora total'!P$63:P$114,'9C Aurora total'!$C$63:$C$114,'8C Summary by resource'!$B10)</f>
        <v>316509.41749999998</v>
      </c>
      <c r="P10" s="141">
        <f>SUMIFS('9C Aurora total'!AD$63:AD$114,'9C Aurora total'!$C$63:$C$114,'8C Summary by resource'!$B10)</f>
        <v>243562.52771137498</v>
      </c>
      <c r="Q10" s="180">
        <f t="shared" si="3"/>
        <v>72946.889788625005</v>
      </c>
    </row>
    <row r="11" spans="1:18" ht="15.75" thickBot="1" x14ac:dyDescent="0.3">
      <c r="A11" s="73" t="s">
        <v>0</v>
      </c>
      <c r="B11" s="119" t="s">
        <v>71</v>
      </c>
      <c r="C11" s="201">
        <f>SUMIFS('9C Aurora total'!$P$1:$P$59,'9C Aurora total'!$C$1:$C$59,'8C Summary by resource'!$B11)</f>
        <v>0</v>
      </c>
      <c r="D11" s="142">
        <f>SUMIFS('10C Not in Aurora'!$O$1:$O$24,'10C Not in Aurora'!$B$1:$B$24,'8C Summary by resource'!$B11)</f>
        <v>0</v>
      </c>
      <c r="E11" s="199">
        <f t="shared" si="4"/>
        <v>0</v>
      </c>
      <c r="F11" s="217"/>
      <c r="G11" s="201">
        <f>SUMIFS('9C Aurora total'!$AD$1:$AD$59,'9C Aurora total'!$C$1:$C$59,'8C Summary by resource'!$B11)</f>
        <v>0</v>
      </c>
      <c r="H11" s="142">
        <f>SUMIFS('10C Not in Aurora'!$P$1:$P$24,'10C Not in Aurora'!$B$1:$B$24,'8C Summary by resource'!$B11)</f>
        <v>0</v>
      </c>
      <c r="I11" s="199">
        <f t="shared" si="5"/>
        <v>0</v>
      </c>
      <c r="J11" s="203"/>
      <c r="K11" s="142">
        <f t="shared" si="0"/>
        <v>0</v>
      </c>
      <c r="L11" s="142">
        <f t="shared" si="1"/>
        <v>0</v>
      </c>
      <c r="M11" s="199">
        <f t="shared" si="2"/>
        <v>0</v>
      </c>
      <c r="O11" s="144">
        <f>SUMIFS('9C Aurora total'!P$63:P$114,'9C Aurora total'!$C$63:$C$114,'8C Summary by resource'!$B11)</f>
        <v>265340.65870000003</v>
      </c>
      <c r="P11" s="145">
        <f>SUMIFS('9C Aurora total'!AD$63:AD$114,'9C Aurora total'!$C$63:$C$114,'8C Summary by resource'!$B11)</f>
        <v>263085.66564972501</v>
      </c>
      <c r="Q11" s="181">
        <f t="shared" si="3"/>
        <v>2254.9930502750212</v>
      </c>
    </row>
    <row r="12" spans="1:18" ht="16.5" thickTop="1" thickBot="1" x14ac:dyDescent="0.3">
      <c r="A12" s="73" t="s">
        <v>0</v>
      </c>
      <c r="B12" s="204" t="s">
        <v>21</v>
      </c>
      <c r="C12" s="142">
        <f>SUMIFS('9C Aurora total'!$P$1:$P$59,'9C Aurora total'!$C$1:$C$59,'8C Summary by resource'!$B12)</f>
        <v>0</v>
      </c>
      <c r="D12" s="142">
        <f>SUMIFS('10C Not in Aurora'!$O$1:$O$24,'10C Not in Aurora'!$B$1:$B$24,'8C Summary by resource'!$B12)</f>
        <v>0</v>
      </c>
      <c r="E12" s="199">
        <f t="shared" si="4"/>
        <v>0</v>
      </c>
      <c r="F12" s="217"/>
      <c r="G12" s="142">
        <f>SUMIFS('9C Aurora total'!$AD$1:$AD$59,'9C Aurora total'!$C$1:$C$59,'8C Summary by resource'!$B12)</f>
        <v>0</v>
      </c>
      <c r="H12" s="142">
        <f>SUMIFS('10C Not in Aurora'!$P$1:$P$24,'10C Not in Aurora'!$B$1:$B$24,'8C Summary by resource'!$B12)</f>
        <v>0</v>
      </c>
      <c r="I12" s="199">
        <f t="shared" si="5"/>
        <v>0</v>
      </c>
      <c r="J12" s="203"/>
      <c r="K12" s="209">
        <f t="shared" si="0"/>
        <v>0</v>
      </c>
      <c r="L12" s="209">
        <f t="shared" si="1"/>
        <v>0</v>
      </c>
      <c r="M12" s="216">
        <f t="shared" si="2"/>
        <v>0</v>
      </c>
      <c r="N12" s="74"/>
      <c r="O12" s="210">
        <f>SUMIFS('9C Aurora total'!P$63:P$114,'9C Aurora total'!$C$63:$C$114,'8C Summary by resource'!$B12)</f>
        <v>-236977.60279999996</v>
      </c>
      <c r="P12" s="142">
        <f>SUMIFS('9C Aurora total'!AD$63:AD$114,'9C Aurora total'!$C$63:$C$114,'8C Summary by resource'!$B12)</f>
        <v>-196256.59669999999</v>
      </c>
      <c r="Q12" s="199">
        <f t="shared" si="3"/>
        <v>-40721.00609999997</v>
      </c>
    </row>
    <row r="13" spans="1:18" ht="15.75" thickTop="1" x14ac:dyDescent="0.25">
      <c r="A13" s="73" t="s">
        <v>0</v>
      </c>
      <c r="B13" s="41" t="s">
        <v>26</v>
      </c>
      <c r="C13" s="177">
        <f>SUMIFS('9C Aurora total'!$P$1:$P$59,'9C Aurora total'!$C$1:$C$59,'8C Summary by resource'!$B13)</f>
        <v>0</v>
      </c>
      <c r="D13" s="178" t="e">
        <f>'10C Not in Aurora'!$O9</f>
        <v>#REF!</v>
      </c>
      <c r="E13" s="179" t="e">
        <f>C13+D13</f>
        <v>#REF!</v>
      </c>
      <c r="F13" s="142"/>
      <c r="G13" s="177">
        <f>SUMIFS('9C Aurora total'!$AD$1:$AD$59,'9C Aurora total'!$C$1:$C$59,'8C Summary by resource'!$B13)</f>
        <v>0</v>
      </c>
      <c r="H13" s="178" t="e">
        <f>'10C Not in Aurora'!$P9</f>
        <v>#REF!</v>
      </c>
      <c r="I13" s="179" t="e">
        <f t="shared" si="5"/>
        <v>#REF!</v>
      </c>
      <c r="J13" s="143"/>
      <c r="K13" s="140">
        <f t="shared" si="0"/>
        <v>0</v>
      </c>
      <c r="L13" s="141" t="e">
        <f t="shared" si="1"/>
        <v>#REF!</v>
      </c>
      <c r="M13" s="180" t="e">
        <f t="shared" si="2"/>
        <v>#REF!</v>
      </c>
      <c r="N13" s="229"/>
      <c r="O13" s="201">
        <f>SUMIFS('9C Aurora total'!P$63:P$114,'9C Aurora total'!$C$63:$C$114,'8C Summary by resource'!$B13)</f>
        <v>706913.42500000005</v>
      </c>
      <c r="P13" s="142">
        <f>SUMIFS('9C Aurora total'!AD$63:AD$114,'9C Aurora total'!$C$63:$C$114,'8C Summary by resource'!$B13)</f>
        <v>603606.75394749991</v>
      </c>
      <c r="Q13" s="199">
        <f t="shared" si="3"/>
        <v>103306.67105250014</v>
      </c>
    </row>
    <row r="14" spans="1:18" ht="15" x14ac:dyDescent="0.25">
      <c r="A14" s="73" t="s">
        <v>0</v>
      </c>
      <c r="B14" s="41" t="s">
        <v>25</v>
      </c>
      <c r="C14" s="140">
        <f>SUMIFS('9C Aurora total'!$P$1:$P$59,'9C Aurora total'!$C$1:$C$59,'8C Summary by resource'!$B14)</f>
        <v>0</v>
      </c>
      <c r="D14" s="141" t="e">
        <f>'10C Not in Aurora'!$O10</f>
        <v>#REF!</v>
      </c>
      <c r="E14" s="180" t="e">
        <f t="shared" si="4"/>
        <v>#REF!</v>
      </c>
      <c r="F14" s="142"/>
      <c r="G14" s="140">
        <f>SUMIFS('9C Aurora total'!$AD$1:$AD$59,'9C Aurora total'!$C$1:$C$59,'8C Summary by resource'!$B14)</f>
        <v>0</v>
      </c>
      <c r="H14" s="141" t="e">
        <f>'10C Not in Aurora'!$P10</f>
        <v>#REF!</v>
      </c>
      <c r="I14" s="180" t="e">
        <f t="shared" si="5"/>
        <v>#REF!</v>
      </c>
      <c r="J14" s="143"/>
      <c r="K14" s="140">
        <f t="shared" si="0"/>
        <v>0</v>
      </c>
      <c r="L14" s="141" t="e">
        <f t="shared" si="1"/>
        <v>#REF!</v>
      </c>
      <c r="M14" s="180" t="e">
        <f t="shared" si="2"/>
        <v>#REF!</v>
      </c>
      <c r="N14" s="229"/>
      <c r="O14" s="201">
        <f>SUMIFS('9C Aurora total'!P$63:P$114,'9C Aurora total'!$C$63:$C$114,'8C Summary by resource'!$B14)</f>
        <v>1800250.051</v>
      </c>
      <c r="P14" s="142">
        <f>SUMIFS('9C Aurora total'!AD$63:AD$114,'9C Aurora total'!$C$63:$C$114,'8C Summary by resource'!$B14)</f>
        <v>1515858.6556712498</v>
      </c>
      <c r="Q14" s="199">
        <f t="shared" si="3"/>
        <v>284391.39532875014</v>
      </c>
    </row>
    <row r="15" spans="1:18" ht="15" x14ac:dyDescent="0.25">
      <c r="A15" s="73" t="s">
        <v>0</v>
      </c>
      <c r="B15" s="41" t="s">
        <v>27</v>
      </c>
      <c r="C15" s="140">
        <f>SUMIFS('9C Aurora total'!$P$1:$P$59,'9C Aurora total'!$C$1:$C$59,'8C Summary by resource'!$B15)</f>
        <v>0</v>
      </c>
      <c r="D15" s="141" t="e">
        <f>'10C Not in Aurora'!$O11</f>
        <v>#REF!</v>
      </c>
      <c r="E15" s="180" t="e">
        <f t="shared" si="4"/>
        <v>#REF!</v>
      </c>
      <c r="F15" s="142"/>
      <c r="G15" s="140">
        <f>SUMIFS('9C Aurora total'!$AD$1:$AD$59,'9C Aurora total'!$C$1:$C$59,'8C Summary by resource'!$B15)</f>
        <v>0</v>
      </c>
      <c r="H15" s="141" t="e">
        <f>'10C Not in Aurora'!$P11</f>
        <v>#REF!</v>
      </c>
      <c r="I15" s="180" t="e">
        <f t="shared" si="5"/>
        <v>#REF!</v>
      </c>
      <c r="J15" s="143"/>
      <c r="K15" s="140">
        <f t="shared" si="0"/>
        <v>0</v>
      </c>
      <c r="L15" s="141" t="e">
        <f t="shared" si="1"/>
        <v>#REF!</v>
      </c>
      <c r="M15" s="180" t="e">
        <f t="shared" si="2"/>
        <v>#REF!</v>
      </c>
      <c r="N15" s="229"/>
      <c r="O15" s="201">
        <f>SUMIFS('9C Aurora total'!P$63:P$114,'9C Aurora total'!$C$63:$C$114,'8C Summary by resource'!$B15)</f>
        <v>1334246.1359999999</v>
      </c>
      <c r="P15" s="142">
        <f>SUMIFS('9C Aurora total'!AD$63:AD$114,'9C Aurora total'!$C$63:$C$114,'8C Summary by resource'!$B15)</f>
        <v>1048566.7787387501</v>
      </c>
      <c r="Q15" s="199">
        <f t="shared" si="3"/>
        <v>285679.3572612498</v>
      </c>
    </row>
    <row r="16" spans="1:18" ht="15.75" thickBot="1" x14ac:dyDescent="0.3">
      <c r="A16" s="73" t="s">
        <v>0</v>
      </c>
      <c r="B16" s="41" t="s">
        <v>32</v>
      </c>
      <c r="C16" s="140">
        <f>SUMIFS('9C Aurora total'!$P$1:$P$59,'9C Aurora total'!$C$1:$C$59,'8C Summary by resource'!$B16)</f>
        <v>0</v>
      </c>
      <c r="D16" s="141" t="e">
        <f>'10C Not in Aurora'!$O12</f>
        <v>#REF!</v>
      </c>
      <c r="E16" s="180" t="e">
        <f t="shared" si="4"/>
        <v>#REF!</v>
      </c>
      <c r="F16" s="142"/>
      <c r="G16" s="140">
        <f>SUMIFS('9C Aurora total'!$AD$1:$AD$59,'9C Aurora total'!$C$1:$C$59,'8C Summary by resource'!$B16)</f>
        <v>0</v>
      </c>
      <c r="H16" s="141" t="e">
        <f>'10C Not in Aurora'!$P12</f>
        <v>#REF!</v>
      </c>
      <c r="I16" s="180" t="e">
        <f t="shared" si="5"/>
        <v>#REF!</v>
      </c>
      <c r="J16" s="143"/>
      <c r="K16" s="140">
        <f t="shared" si="0"/>
        <v>0</v>
      </c>
      <c r="L16" s="141" t="e">
        <f t="shared" si="1"/>
        <v>#REF!</v>
      </c>
      <c r="M16" s="180" t="e">
        <f t="shared" si="2"/>
        <v>#REF!</v>
      </c>
      <c r="N16" s="229"/>
      <c r="O16" s="230">
        <f>SUMIFS('9C Aurora total'!P$63:P$114,'9C Aurora total'!$C$63:$C$114,'8C Summary by resource'!$B16)</f>
        <v>461558.71879999997</v>
      </c>
      <c r="P16" s="142">
        <f>SUMIFS('9C Aurora total'!AD$63:AD$114,'9C Aurora total'!$C$63:$C$114,'8C Summary by resource'!$B16)</f>
        <v>413810.2092865</v>
      </c>
      <c r="Q16" s="199">
        <f t="shared" si="3"/>
        <v>47748.509513499972</v>
      </c>
    </row>
    <row r="17" spans="1:17" ht="15.75" thickTop="1" x14ac:dyDescent="0.25">
      <c r="A17" s="73">
        <v>501</v>
      </c>
      <c r="B17" s="119" t="s">
        <v>28</v>
      </c>
      <c r="C17" s="140">
        <f>SUMIFS('9C Aurora total'!$P$1:$P$59,'9C Aurora total'!$C$1:$C$59,'8C Summary by resource'!$B17)</f>
        <v>46813.778890000001</v>
      </c>
      <c r="D17" s="141" t="e">
        <f>'10C Not in Aurora'!$O7</f>
        <v>#REF!</v>
      </c>
      <c r="E17" s="180" t="e">
        <f t="shared" si="4"/>
        <v>#REF!</v>
      </c>
      <c r="F17" s="142"/>
      <c r="G17" s="140">
        <f>SUMIFS('9C Aurora total'!$AD$1:$AD$59,'9C Aurora total'!$C$1:$C$59,'8C Summary by resource'!$B17)</f>
        <v>41224.12259083875</v>
      </c>
      <c r="H17" s="141" t="e">
        <f>'10C Not in Aurora'!$P7</f>
        <v>#REF!</v>
      </c>
      <c r="I17" s="180" t="e">
        <f t="shared" si="5"/>
        <v>#REF!</v>
      </c>
      <c r="J17" s="143"/>
      <c r="K17" s="140">
        <f t="shared" si="0"/>
        <v>5589.6562991612518</v>
      </c>
      <c r="L17" s="141" t="e">
        <f t="shared" si="1"/>
        <v>#REF!</v>
      </c>
      <c r="M17" s="180" t="e">
        <f t="shared" si="2"/>
        <v>#REF!</v>
      </c>
      <c r="O17" s="177">
        <f>SUMIFS('9C Aurora total'!P$63:P$114,'9C Aurora total'!$C$63:$C$114,'8C Summary by resource'!$B17)</f>
        <v>2656197.9084999999</v>
      </c>
      <c r="P17" s="178">
        <f>SUMIFS('9C Aurora total'!AD$63:AD$114,'9C Aurora total'!$C$63:$C$114,'8C Summary by resource'!$B17)</f>
        <v>2358662.7981915241</v>
      </c>
      <c r="Q17" s="179">
        <f t="shared" si="3"/>
        <v>297535.11030847579</v>
      </c>
    </row>
    <row r="18" spans="1:17" ht="15" x14ac:dyDescent="0.25">
      <c r="A18" s="73">
        <v>547</v>
      </c>
      <c r="B18" s="118" t="s">
        <v>10</v>
      </c>
      <c r="C18" s="140">
        <f>SUMIFS('9C Aurora total'!$P$1:$P$59,'9C Aurora total'!$C$1:$C$59,'8C Summary by resource'!$B18)</f>
        <v>40892.851040000001</v>
      </c>
      <c r="D18" s="141">
        <f>SUMIFS('10C Not in Aurora'!$O$1:$O$24,'10C Not in Aurora'!$B$1:$B$24,'8C Summary by resource'!$B18)</f>
        <v>0</v>
      </c>
      <c r="E18" s="180">
        <f t="shared" si="4"/>
        <v>40892.851040000001</v>
      </c>
      <c r="F18" s="142"/>
      <c r="G18" s="140">
        <f>SUMIFS('9C Aurora total'!$AD$1:$AD$59,'9C Aurora total'!$C$1:$C$59,'8C Summary by resource'!$B18)</f>
        <v>37947.251618409995</v>
      </c>
      <c r="H18" s="141">
        <f>SUMIFS('10C Not in Aurora'!$P$1:$P$24,'10C Not in Aurora'!$B$1:$B$24,'8C Summary by resource'!$B18)</f>
        <v>0</v>
      </c>
      <c r="I18" s="180">
        <f t="shared" si="5"/>
        <v>37947.251618409995</v>
      </c>
      <c r="J18" s="143"/>
      <c r="K18" s="140">
        <f t="shared" si="0"/>
        <v>2945.5994215900064</v>
      </c>
      <c r="L18" s="141">
        <f t="shared" si="1"/>
        <v>0</v>
      </c>
      <c r="M18" s="180">
        <f t="shared" si="2"/>
        <v>2945.5994215900064</v>
      </c>
      <c r="O18" s="140">
        <f>SUMIFS('9C Aurora total'!P$63:P$114,'9C Aurora total'!$C$63:$C$114,'8C Summary by resource'!$B18)</f>
        <v>1592343.3071999999</v>
      </c>
      <c r="P18" s="141">
        <f>SUMIFS('9C Aurora total'!AD$63:AD$114,'9C Aurora total'!$C$63:$C$114,'8C Summary by resource'!$B18)</f>
        <v>1602010.7470863746</v>
      </c>
      <c r="Q18" s="180">
        <f t="shared" si="3"/>
        <v>-9667.4398863746319</v>
      </c>
    </row>
    <row r="19" spans="1:17" ht="15" x14ac:dyDescent="0.25">
      <c r="A19" s="73">
        <v>547</v>
      </c>
      <c r="B19" s="120" t="s">
        <v>11</v>
      </c>
      <c r="C19" s="140">
        <f>SUMIFS('9C Aurora total'!$P$1:$P$59,'9C Aurora total'!$C$1:$C$59,'8C Summary by resource'!$B19)</f>
        <v>32766.895880000004</v>
      </c>
      <c r="D19" s="141">
        <f>SUMIFS('10C Not in Aurora'!$O$1:$O$24,'10C Not in Aurora'!$B$1:$B$24,'8C Summary by resource'!$B19)</f>
        <v>0</v>
      </c>
      <c r="E19" s="180">
        <f t="shared" si="4"/>
        <v>32766.895880000004</v>
      </c>
      <c r="F19" s="142"/>
      <c r="G19" s="140">
        <f>SUMIFS('9C Aurora total'!$AD$1:$AD$59,'9C Aurora total'!$C$1:$C$59,'8C Summary by resource'!$B19)</f>
        <v>23263.075814980002</v>
      </c>
      <c r="H19" s="141">
        <f>SUMIFS('10C Not in Aurora'!$P$1:$P$24,'10C Not in Aurora'!$B$1:$B$24,'8C Summary by resource'!$B19)</f>
        <v>0</v>
      </c>
      <c r="I19" s="180">
        <f t="shared" si="5"/>
        <v>23263.075814980002</v>
      </c>
      <c r="J19" s="143"/>
      <c r="K19" s="140">
        <f t="shared" si="0"/>
        <v>9503.8200650200015</v>
      </c>
      <c r="L19" s="141">
        <f t="shared" si="1"/>
        <v>0</v>
      </c>
      <c r="M19" s="180">
        <f t="shared" si="2"/>
        <v>9503.8200650200015</v>
      </c>
      <c r="O19" s="140">
        <f>SUMIFS('9C Aurora total'!P$63:P$114,'9C Aurora total'!$C$63:$C$114,'8C Summary by resource'!$B19)</f>
        <v>1045154.4435999999</v>
      </c>
      <c r="P19" s="141">
        <f>SUMIFS('9C Aurora total'!AD$63:AD$114,'9C Aurora total'!$C$63:$C$114,'8C Summary by resource'!$B19)</f>
        <v>794138.64621332474</v>
      </c>
      <c r="Q19" s="180">
        <f t="shared" si="3"/>
        <v>251015.79738667514</v>
      </c>
    </row>
    <row r="20" spans="1:17" ht="15" x14ac:dyDescent="0.25">
      <c r="A20" s="73">
        <v>547</v>
      </c>
      <c r="B20" s="119" t="s">
        <v>12</v>
      </c>
      <c r="C20" s="140">
        <f>SUMIFS('9C Aurora total'!$P$1:$P$59,'9C Aurora total'!$C$1:$C$59,'8C Summary by resource'!$B20)</f>
        <v>15447.756442999998</v>
      </c>
      <c r="D20" s="141">
        <f>SUMIFS('10C Not in Aurora'!$O$1:$O$24,'10C Not in Aurora'!$B$1:$B$24,'8C Summary by resource'!$B20)</f>
        <v>0</v>
      </c>
      <c r="E20" s="180">
        <f t="shared" si="4"/>
        <v>15447.756442999998</v>
      </c>
      <c r="F20" s="142"/>
      <c r="G20" s="140">
        <f>SUMIFS('9C Aurora total'!$AD$1:$AD$59,'9C Aurora total'!$C$1:$C$59,'8C Summary by resource'!$B20)</f>
        <v>5677.6966600463757</v>
      </c>
      <c r="H20" s="141">
        <f>SUMIFS('10C Not in Aurora'!$P$1:$P$24,'10C Not in Aurora'!$B$1:$B$24,'8C Summary by resource'!$B20)</f>
        <v>0</v>
      </c>
      <c r="I20" s="180">
        <f t="shared" si="5"/>
        <v>5677.6966600463757</v>
      </c>
      <c r="J20" s="143"/>
      <c r="K20" s="140">
        <f t="shared" si="0"/>
        <v>9770.0597829536237</v>
      </c>
      <c r="L20" s="141">
        <f t="shared" si="1"/>
        <v>0</v>
      </c>
      <c r="M20" s="180">
        <f t="shared" si="2"/>
        <v>9770.0597829536237</v>
      </c>
      <c r="O20" s="140">
        <f>SUMIFS('9C Aurora total'!P$63:P$114,'9C Aurora total'!$C$63:$C$114,'8C Summary by resource'!$B20)</f>
        <v>506210.12599999993</v>
      </c>
      <c r="P20" s="141">
        <f>SUMIFS('9C Aurora total'!AD$63:AD$114,'9C Aurora total'!$C$63:$C$114,'8C Summary by resource'!$B20)</f>
        <v>194767.73606861339</v>
      </c>
      <c r="Q20" s="180">
        <f t="shared" si="3"/>
        <v>311442.38993138657</v>
      </c>
    </row>
    <row r="21" spans="1:17" ht="15" x14ac:dyDescent="0.25">
      <c r="A21" s="73">
        <v>547</v>
      </c>
      <c r="B21" s="118" t="s">
        <v>20</v>
      </c>
      <c r="C21" s="140">
        <f>SUMIFS('9C Aurora total'!$P$1:$P$59,'9C Aurora total'!$C$1:$C$59,'8C Summary by resource'!$B21)</f>
        <v>17728.001298000003</v>
      </c>
      <c r="D21" s="141">
        <f>SUMIFS('10C Not in Aurora'!$O$1:$O$24,'10C Not in Aurora'!$B$1:$B$24,'8C Summary by resource'!$B21)</f>
        <v>0</v>
      </c>
      <c r="E21" s="180">
        <f t="shared" si="4"/>
        <v>17728.001298000003</v>
      </c>
      <c r="F21" s="142"/>
      <c r="G21" s="140">
        <f>SUMIFS('9C Aurora total'!$AD$1:$AD$59,'9C Aurora total'!$C$1:$C$59,'8C Summary by resource'!$B21)</f>
        <v>10992.7704651475</v>
      </c>
      <c r="H21" s="141">
        <f>SUMIFS('10C Not in Aurora'!$P$1:$P$24,'10C Not in Aurora'!$B$1:$B$24,'8C Summary by resource'!$B21)</f>
        <v>0</v>
      </c>
      <c r="I21" s="180">
        <f t="shared" si="5"/>
        <v>10992.7704651475</v>
      </c>
      <c r="J21" s="143"/>
      <c r="K21" s="140">
        <f t="shared" si="0"/>
        <v>6735.2308328525032</v>
      </c>
      <c r="L21" s="141">
        <f t="shared" si="1"/>
        <v>0</v>
      </c>
      <c r="M21" s="180">
        <f t="shared" si="2"/>
        <v>6735.2308328525032</v>
      </c>
      <c r="O21" s="140">
        <f>SUMIFS('9C Aurora total'!P$63:P$114,'9C Aurora total'!$C$63:$C$114,'8C Summary by resource'!$B21)</f>
        <v>668873.06790000014</v>
      </c>
      <c r="P21" s="141">
        <f>SUMIFS('9C Aurora total'!AD$63:AD$114,'9C Aurora total'!$C$63:$C$114,'8C Summary by resource'!$B21)</f>
        <v>435978.500783875</v>
      </c>
      <c r="Q21" s="180">
        <f t="shared" si="3"/>
        <v>232894.56711612514</v>
      </c>
    </row>
    <row r="22" spans="1:17" ht="15" x14ac:dyDescent="0.25">
      <c r="A22" s="73">
        <v>547</v>
      </c>
      <c r="B22" s="119" t="s">
        <v>13</v>
      </c>
      <c r="C22" s="140">
        <f>SUMIFS('9C Aurora total'!$P$1:$P$59,'9C Aurora total'!$C$1:$C$59,'8C Summary by resource'!$B22)</f>
        <v>8854.9585025600009</v>
      </c>
      <c r="D22" s="141">
        <f>SUMIFS('10C Not in Aurora'!$O$1:$O$24,'10C Not in Aurora'!$B$1:$B$24,'8C Summary by resource'!$B22)</f>
        <v>0</v>
      </c>
      <c r="E22" s="180">
        <f t="shared" si="4"/>
        <v>8854.9585025600009</v>
      </c>
      <c r="F22" s="142"/>
      <c r="G22" s="140">
        <f>SUMIFS('9C Aurora total'!$AD$1:$AD$59,'9C Aurora total'!$C$1:$C$59,'8C Summary by resource'!$B22)</f>
        <v>2225.8897207037498</v>
      </c>
      <c r="H22" s="141">
        <f>SUMIFS('10C Not in Aurora'!$P$1:$P$24,'10C Not in Aurora'!$B$1:$B$24,'8C Summary by resource'!$B22)</f>
        <v>0</v>
      </c>
      <c r="I22" s="180">
        <f t="shared" si="5"/>
        <v>2225.8897207037498</v>
      </c>
      <c r="J22" s="143"/>
      <c r="K22" s="140">
        <f t="shared" si="0"/>
        <v>6629.068781856251</v>
      </c>
      <c r="L22" s="141">
        <f t="shared" si="1"/>
        <v>0</v>
      </c>
      <c r="M22" s="180">
        <f t="shared" si="2"/>
        <v>6629.068781856251</v>
      </c>
      <c r="O22" s="140">
        <f>SUMIFS('9C Aurora total'!P$63:P$114,'9C Aurora total'!$C$63:$C$114,'8C Summary by resource'!$B22)</f>
        <v>251342.63226623955</v>
      </c>
      <c r="P22" s="141">
        <f>SUMIFS('9C Aurora total'!AD$63:AD$114,'9C Aurora total'!$C$63:$C$114,'8C Summary by resource'!$B22)</f>
        <v>58350.737847253462</v>
      </c>
      <c r="Q22" s="180">
        <f t="shared" si="3"/>
        <v>192991.89441898611</v>
      </c>
    </row>
    <row r="23" spans="1:17" ht="15" x14ac:dyDescent="0.25">
      <c r="A23" s="73">
        <v>547</v>
      </c>
      <c r="B23" s="118" t="s">
        <v>14</v>
      </c>
      <c r="C23" s="140">
        <f>SUMIFS('9C Aurora total'!$P$1:$P$59,'9C Aurora total'!$C$1:$C$59,'8C Summary by resource'!$B23)</f>
        <v>3094.6725233000002</v>
      </c>
      <c r="D23" s="141">
        <f>SUMIFS('10C Not in Aurora'!$O$1:$O$24,'10C Not in Aurora'!$B$1:$B$24,'8C Summary by resource'!$B23)</f>
        <v>0</v>
      </c>
      <c r="E23" s="180">
        <f t="shared" si="4"/>
        <v>3094.6725233000002</v>
      </c>
      <c r="F23" s="142"/>
      <c r="G23" s="140">
        <f>SUMIFS('9C Aurora total'!$AD$1:$AD$59,'9C Aurora total'!$C$1:$C$59,'8C Summary by resource'!$B23)</f>
        <v>980.38079338500006</v>
      </c>
      <c r="H23" s="141">
        <f>SUMIFS('10C Not in Aurora'!$P$1:$P$24,'10C Not in Aurora'!$B$1:$B$24,'8C Summary by resource'!$B23)</f>
        <v>0</v>
      </c>
      <c r="I23" s="180">
        <f t="shared" si="5"/>
        <v>980.38079338500006</v>
      </c>
      <c r="J23" s="143"/>
      <c r="K23" s="140">
        <f t="shared" si="0"/>
        <v>2114.2917299150004</v>
      </c>
      <c r="L23" s="141">
        <f t="shared" si="1"/>
        <v>0</v>
      </c>
      <c r="M23" s="180">
        <f t="shared" si="2"/>
        <v>2114.2917299150004</v>
      </c>
      <c r="O23" s="140">
        <f>SUMIFS('9C Aurora total'!P$63:P$114,'9C Aurora total'!$C$63:$C$114,'8C Summary by resource'!$B23)</f>
        <v>75943.200719999993</v>
      </c>
      <c r="P23" s="141">
        <f>SUMIFS('9C Aurora total'!AD$63:AD$114,'9C Aurora total'!$C$63:$C$114,'8C Summary by resource'!$B23)</f>
        <v>20630.434013449998</v>
      </c>
      <c r="Q23" s="180">
        <f t="shared" si="3"/>
        <v>55312.766706549999</v>
      </c>
    </row>
    <row r="24" spans="1:17" ht="15" x14ac:dyDescent="0.25">
      <c r="A24" s="73">
        <v>547</v>
      </c>
      <c r="B24" s="118" t="s">
        <v>15</v>
      </c>
      <c r="C24" s="140">
        <f>SUMIFS('9C Aurora total'!$P$1:$P$59,'9C Aurora total'!$C$1:$C$59,'8C Summary by resource'!$B24)</f>
        <v>1787.3447572499997</v>
      </c>
      <c r="D24" s="141">
        <f>SUMIFS('10C Not in Aurora'!$O$1:$O$24,'10C Not in Aurora'!$B$1:$B$24,'8C Summary by resource'!$B24)</f>
        <v>0</v>
      </c>
      <c r="E24" s="180">
        <f t="shared" si="4"/>
        <v>1787.3447572499997</v>
      </c>
      <c r="F24" s="142"/>
      <c r="G24" s="140">
        <f>SUMIFS('9C Aurora total'!$AD$1:$AD$59,'9C Aurora total'!$C$1:$C$59,'8C Summary by resource'!$B24)</f>
        <v>1524.5532128549999</v>
      </c>
      <c r="H24" s="141">
        <f>SUMIFS('10C Not in Aurora'!$P$1:$P$24,'10C Not in Aurora'!$B$1:$B$24,'8C Summary by resource'!$B24)</f>
        <v>0</v>
      </c>
      <c r="I24" s="180">
        <f t="shared" si="5"/>
        <v>1524.5532128549999</v>
      </c>
      <c r="J24" s="143"/>
      <c r="K24" s="140">
        <f t="shared" si="0"/>
        <v>262.79154439499985</v>
      </c>
      <c r="L24" s="141">
        <f t="shared" si="1"/>
        <v>0</v>
      </c>
      <c r="M24" s="180">
        <f t="shared" si="2"/>
        <v>262.79154439499985</v>
      </c>
      <c r="O24" s="140">
        <f>SUMIFS('9C Aurora total'!P$63:P$114,'9C Aurora total'!$C$63:$C$114,'8C Summary by resource'!$B24)</f>
        <v>44614.739884399998</v>
      </c>
      <c r="P24" s="141">
        <f>SUMIFS('9C Aurora total'!AD$63:AD$114,'9C Aurora total'!$C$63:$C$114,'8C Summary by resource'!$B24)</f>
        <v>41140.499155633755</v>
      </c>
      <c r="Q24" s="180">
        <f t="shared" si="3"/>
        <v>3474.2407287662427</v>
      </c>
    </row>
    <row r="25" spans="1:17" ht="15" x14ac:dyDescent="0.25">
      <c r="A25" s="73">
        <v>547</v>
      </c>
      <c r="B25" s="118" t="s">
        <v>16</v>
      </c>
      <c r="C25" s="140">
        <f>SUMIFS('9C Aurora total'!$P$1:$P$59,'9C Aurora total'!$C$1:$C$59,'8C Summary by resource'!$B25)</f>
        <v>3968.3400460999997</v>
      </c>
      <c r="D25" s="141">
        <f>SUMIFS('10C Not in Aurora'!$O$1:$O$24,'10C Not in Aurora'!$B$1:$B$24,'8C Summary by resource'!$B25)</f>
        <v>0</v>
      </c>
      <c r="E25" s="180">
        <f t="shared" si="4"/>
        <v>3968.3400460999997</v>
      </c>
      <c r="F25" s="142"/>
      <c r="G25" s="140">
        <f>SUMIFS('9C Aurora total'!$AD$1:$AD$59,'9C Aurora total'!$C$1:$C$59,'8C Summary by resource'!$B25)</f>
        <v>4821.6396069026123</v>
      </c>
      <c r="H25" s="141">
        <f>SUMIFS('10C Not in Aurora'!$P$1:$P$24,'10C Not in Aurora'!$B$1:$B$24,'8C Summary by resource'!$B25)</f>
        <v>0</v>
      </c>
      <c r="I25" s="180">
        <f t="shared" si="5"/>
        <v>4821.6396069026123</v>
      </c>
      <c r="J25" s="143"/>
      <c r="K25" s="140">
        <f t="shared" si="0"/>
        <v>-853.29956080261263</v>
      </c>
      <c r="L25" s="141">
        <f t="shared" si="1"/>
        <v>0</v>
      </c>
      <c r="M25" s="180">
        <f t="shared" si="2"/>
        <v>-853.29956080261263</v>
      </c>
      <c r="O25" s="140">
        <f>SUMIFS('9C Aurora total'!P$63:P$114,'9C Aurora total'!$C$63:$C$114,'8C Summary by resource'!$B25)</f>
        <v>62409.222226800004</v>
      </c>
      <c r="P25" s="141">
        <f>SUMIFS('9C Aurora total'!AD$63:AD$114,'9C Aurora total'!$C$63:$C$114,'8C Summary by resource'!$B25)</f>
        <v>31966.798995554112</v>
      </c>
      <c r="Q25" s="180">
        <f t="shared" si="3"/>
        <v>30442.423231245892</v>
      </c>
    </row>
    <row r="26" spans="1:17" ht="15" x14ac:dyDescent="0.25">
      <c r="A26" s="73">
        <v>547</v>
      </c>
      <c r="B26" s="119" t="s">
        <v>17</v>
      </c>
      <c r="C26" s="140">
        <f>SUMIFS('9C Aurora total'!$P$1:$P$59,'9C Aurora total'!$C$1:$C$59,'8C Summary by resource'!$B26)</f>
        <v>4183.5540000999999</v>
      </c>
      <c r="D26" s="141">
        <f>SUMIFS('10C Not in Aurora'!$O$1:$O$24,'10C Not in Aurora'!$B$1:$B$24,'8C Summary by resource'!$B26)</f>
        <v>0</v>
      </c>
      <c r="E26" s="180">
        <f t="shared" si="4"/>
        <v>4183.5540000999999</v>
      </c>
      <c r="F26" s="142"/>
      <c r="G26" s="140">
        <f>SUMIFS('9C Aurora total'!$AD$1:$AD$59,'9C Aurora total'!$C$1:$C$59,'8C Summary by resource'!$B26)</f>
        <v>1248.2691863445982</v>
      </c>
      <c r="H26" s="141">
        <f>SUMIFS('10C Not in Aurora'!$P$1:$P$24,'10C Not in Aurora'!$B$1:$B$24,'8C Summary by resource'!$B26)</f>
        <v>0</v>
      </c>
      <c r="I26" s="180">
        <f t="shared" si="5"/>
        <v>1248.2691863445982</v>
      </c>
      <c r="J26" s="143"/>
      <c r="K26" s="140">
        <f t="shared" si="0"/>
        <v>2935.284813755402</v>
      </c>
      <c r="L26" s="141">
        <f t="shared" si="1"/>
        <v>0</v>
      </c>
      <c r="M26" s="180">
        <f t="shared" si="2"/>
        <v>2935.284813755402</v>
      </c>
      <c r="O26" s="140">
        <f>SUMIFS('9C Aurora total'!P$63:P$114,'9C Aurora total'!$C$63:$C$114,'8C Summary by resource'!$B26)</f>
        <v>79836.879499000002</v>
      </c>
      <c r="P26" s="141">
        <f>SUMIFS('9C Aurora total'!AD$63:AD$114,'9C Aurora total'!$C$63:$C$114,'8C Summary by resource'!$B26)</f>
        <v>14464.488675319717</v>
      </c>
      <c r="Q26" s="180">
        <f t="shared" si="3"/>
        <v>65372.390823680282</v>
      </c>
    </row>
    <row r="27" spans="1:17" ht="15" x14ac:dyDescent="0.25">
      <c r="A27" s="73">
        <v>547</v>
      </c>
      <c r="B27" s="118" t="s">
        <v>18</v>
      </c>
      <c r="C27" s="140">
        <f>SUMIFS('9C Aurora total'!$P$1:$P$59,'9C Aurora total'!$C$1:$C$59,'8C Summary by resource'!$B27)</f>
        <v>25866.692640000001</v>
      </c>
      <c r="D27" s="141">
        <f>SUMIFS('10C Not in Aurora'!$O$1:$O$24,'10C Not in Aurora'!$B$1:$B$24,'8C Summary by resource'!$B27)</f>
        <v>0</v>
      </c>
      <c r="E27" s="180">
        <f t="shared" si="4"/>
        <v>25866.692640000001</v>
      </c>
      <c r="F27" s="142"/>
      <c r="G27" s="140">
        <f>SUMIFS('9C Aurora total'!$AD$1:$AD$59,'9C Aurora total'!$C$1:$C$59,'8C Summary by resource'!$B27)</f>
        <v>11761.82631923625</v>
      </c>
      <c r="H27" s="141">
        <f>SUMIFS('10C Not in Aurora'!$P$1:$P$24,'10C Not in Aurora'!$B$1:$B$24,'8C Summary by resource'!$B27)</f>
        <v>0</v>
      </c>
      <c r="I27" s="180">
        <f t="shared" si="5"/>
        <v>11761.82631923625</v>
      </c>
      <c r="J27" s="143"/>
      <c r="K27" s="140">
        <f t="shared" si="0"/>
        <v>14104.866320763751</v>
      </c>
      <c r="L27" s="141">
        <f t="shared" si="1"/>
        <v>0</v>
      </c>
      <c r="M27" s="180">
        <f t="shared" si="2"/>
        <v>14104.866320763751</v>
      </c>
      <c r="O27" s="140">
        <f>SUMIFS('9C Aurora total'!P$63:P$114,'9C Aurora total'!$C$63:$C$114,'8C Summary by resource'!$B27)</f>
        <v>760494.18339999998</v>
      </c>
      <c r="P27" s="141">
        <f>SUMIFS('9C Aurora total'!AD$63:AD$114,'9C Aurora total'!$C$63:$C$114,'8C Summary by resource'!$B27)</f>
        <v>352582.55383708089</v>
      </c>
      <c r="Q27" s="180">
        <f t="shared" si="3"/>
        <v>407911.62956291909</v>
      </c>
    </row>
    <row r="28" spans="1:17" ht="15" x14ac:dyDescent="0.25">
      <c r="A28" s="73">
        <v>548</v>
      </c>
      <c r="B28" s="119" t="s">
        <v>23</v>
      </c>
      <c r="C28" s="140">
        <f>SUMIFS('9C Aurora total'!$P$1:$P$59,'9C Aurora total'!$C$1:$C$59,'8C Summary by resource'!$B28)</f>
        <v>0.17069618968</v>
      </c>
      <c r="D28" s="141">
        <f>SUMIFS('10C Not in Aurora'!$O$1:$O$24,'10C Not in Aurora'!$B$1:$B$24,'8C Summary by resource'!$B28)</f>
        <v>0</v>
      </c>
      <c r="E28" s="180">
        <f t="shared" ref="E28:E43" si="6">C28+D28</f>
        <v>0.17069618968</v>
      </c>
      <c r="F28" s="142"/>
      <c r="G28" s="140">
        <f>SUMIFS('9C Aurora total'!$AD$1:$AD$59,'9C Aurora total'!$C$1:$C$59,'8C Summary by resource'!$B28)</f>
        <v>0</v>
      </c>
      <c r="H28" s="141">
        <f>SUMIFS('10C Not in Aurora'!$P$1:$P$24,'10C Not in Aurora'!$B$1:$B$24,'8C Summary by resource'!$B28)</f>
        <v>0</v>
      </c>
      <c r="I28" s="180">
        <f t="shared" ref="I28:I43" si="7">G28+H28</f>
        <v>0</v>
      </c>
      <c r="J28" s="143"/>
      <c r="K28" s="140">
        <f t="shared" si="0"/>
        <v>0.17069618968</v>
      </c>
      <c r="L28" s="141">
        <f t="shared" si="1"/>
        <v>0</v>
      </c>
      <c r="M28" s="180">
        <f t="shared" si="2"/>
        <v>0.17069618968</v>
      </c>
      <c r="O28" s="140">
        <f>SUMIFS('9C Aurora total'!P$63:P$114,'9C Aurora total'!$C$63:$C$114,'8C Summary by resource'!$B28)</f>
        <v>0.55041319560000002</v>
      </c>
      <c r="P28" s="141">
        <f>SUMIFS('9C Aurora total'!AD$63:AD$114,'9C Aurora total'!$C$63:$C$114,'8C Summary by resource'!$B28)</f>
        <v>0</v>
      </c>
      <c r="Q28" s="180">
        <f t="shared" si="3"/>
        <v>0.55041319560000002</v>
      </c>
    </row>
    <row r="29" spans="1:17" ht="15" x14ac:dyDescent="0.25">
      <c r="A29" s="73">
        <v>555</v>
      </c>
      <c r="B29" s="119" t="s">
        <v>22</v>
      </c>
      <c r="C29" s="140">
        <f>SUMIFS('9C Aurora total'!$P$1:$P$59,'9C Aurora total'!$C$1:$C$59,'8C Summary by resource'!$B29)</f>
        <v>192179.28200000001</v>
      </c>
      <c r="D29" s="141">
        <f>SUMIFS('10C Not in Aurora'!$O$1:$O$24,'10C Not in Aurora'!$B$1:$B$24,'8C Summary by resource'!$B29)</f>
        <v>0</v>
      </c>
      <c r="E29" s="180">
        <f t="shared" si="6"/>
        <v>192179.28200000001</v>
      </c>
      <c r="F29" s="142"/>
      <c r="G29" s="140">
        <f>SUMIFS('9C Aurora total'!$AD$1:$AD$59,'9C Aurora total'!$C$1:$C$59,'8C Summary by resource'!$B29)</f>
        <v>184792.08880000006</v>
      </c>
      <c r="H29" s="141">
        <f>SUMIFS('10C Not in Aurora'!$P$1:$P$24,'10C Not in Aurora'!$B$1:$B$24,'8C Summary by resource'!$B29)</f>
        <v>0</v>
      </c>
      <c r="I29" s="180">
        <f t="shared" si="7"/>
        <v>184792.08880000006</v>
      </c>
      <c r="J29" s="143"/>
      <c r="K29" s="140">
        <f t="shared" si="0"/>
        <v>7387.1931999999506</v>
      </c>
      <c r="L29" s="141">
        <f t="shared" si="1"/>
        <v>0</v>
      </c>
      <c r="M29" s="180">
        <f t="shared" si="2"/>
        <v>7387.1931999999506</v>
      </c>
      <c r="O29" s="140">
        <f>SUMIFS('9C Aurora total'!P$63:P$114,'9C Aurora total'!$C$63:$C$114,'8C Summary by resource'!$B29)</f>
        <v>3328800</v>
      </c>
      <c r="P29" s="141">
        <f>SUMIFS('9C Aurora total'!AD$63:AD$114,'9C Aurora total'!$C$63:$C$114,'8C Summary by resource'!$B29)</f>
        <v>3328800</v>
      </c>
      <c r="Q29" s="180">
        <f t="shared" si="3"/>
        <v>0</v>
      </c>
    </row>
    <row r="30" spans="1:17" ht="15" x14ac:dyDescent="0.25">
      <c r="A30" s="73">
        <v>555</v>
      </c>
      <c r="B30" s="119" t="s">
        <v>94</v>
      </c>
      <c r="C30" s="140">
        <f>SUMIFS('9C Aurora total'!$P$1:$P$59,'9C Aurora total'!$C$1:$C$59,'8C Summary by resource'!$B30)</f>
        <v>0</v>
      </c>
      <c r="D30" s="141">
        <f>SUMIFS('10C Not in Aurora'!$O$1:$O$24,'10C Not in Aurora'!$B$1:$B$24,'8C Summary by resource'!$B30)</f>
        <v>0</v>
      </c>
      <c r="E30" s="180">
        <f t="shared" si="6"/>
        <v>0</v>
      </c>
      <c r="F30" s="142"/>
      <c r="G30" s="140">
        <f>SUMIFS('9C Aurora total'!$AD$1:$AD$59,'9C Aurora total'!$C$1:$C$59,'8C Summary by resource'!$B30)</f>
        <v>0</v>
      </c>
      <c r="H30" s="141">
        <f>SUMIFS('10C Not in Aurora'!$P$1:$P$24,'10C Not in Aurora'!$B$1:$B$24,'8C Summary by resource'!$B30)</f>
        <v>0</v>
      </c>
      <c r="I30" s="180">
        <f t="shared" si="7"/>
        <v>0</v>
      </c>
      <c r="J30" s="143"/>
      <c r="K30" s="140">
        <f t="shared" si="0"/>
        <v>0</v>
      </c>
      <c r="L30" s="141">
        <f t="shared" si="1"/>
        <v>0</v>
      </c>
      <c r="M30" s="180">
        <f t="shared" si="2"/>
        <v>0</v>
      </c>
      <c r="O30" s="140">
        <f>SUMIFS('9C Aurora total'!P$63:P$114,'9C Aurora total'!$C$63:$C$114,'8C Summary by resource'!$B30)</f>
        <v>0</v>
      </c>
      <c r="P30" s="141">
        <f>SUMIFS('9C Aurora total'!AD$63:AD$114,'9C Aurora total'!$C$63:$C$114,'8C Summary by resource'!$B30)</f>
        <v>0</v>
      </c>
      <c r="Q30" s="180">
        <f t="shared" si="3"/>
        <v>0</v>
      </c>
    </row>
    <row r="31" spans="1:17" ht="15" x14ac:dyDescent="0.25">
      <c r="A31" s="61" t="s">
        <v>80</v>
      </c>
      <c r="B31" s="119" t="s">
        <v>101</v>
      </c>
      <c r="C31" s="140">
        <f>SUMIFS('9C Aurora total'!$P$1:$P$59,'9C Aurora total'!$C$1:$C$59,'8C Summary by resource'!$B31)</f>
        <v>0</v>
      </c>
      <c r="D31" s="141">
        <f>SUMIFS('10C Not in Aurora'!$O$1:$O$24,'10C Not in Aurora'!$B$1:$B$24,'8C Summary by resource'!$B31)</f>
        <v>0</v>
      </c>
      <c r="E31" s="180">
        <f t="shared" si="6"/>
        <v>0</v>
      </c>
      <c r="F31" s="142"/>
      <c r="G31" s="140">
        <f>SUMIFS('9C Aurora total'!$AD$1:$AD$59,'9C Aurora total'!$C$1:$C$59,'8C Summary by resource'!$B31)</f>
        <v>0</v>
      </c>
      <c r="H31" s="141">
        <f>SUMIFS('10C Not in Aurora'!$P$1:$P$24,'10C Not in Aurora'!$B$1:$B$24,'8C Summary by resource'!$B31)</f>
        <v>0</v>
      </c>
      <c r="I31" s="180">
        <f t="shared" si="7"/>
        <v>0</v>
      </c>
      <c r="J31" s="143"/>
      <c r="K31" s="140">
        <f t="shared" si="0"/>
        <v>0</v>
      </c>
      <c r="L31" s="141">
        <f t="shared" si="1"/>
        <v>0</v>
      </c>
      <c r="M31" s="180">
        <f t="shared" si="2"/>
        <v>0</v>
      </c>
      <c r="O31" s="140">
        <f>SUMIFS('9C Aurora total'!P$63:P$114,'9C Aurora total'!$C$63:$C$114,'8C Summary by resource'!$B31)</f>
        <v>0</v>
      </c>
      <c r="P31" s="141">
        <f>SUMIFS('9C Aurora total'!AD$63:AD$114,'9C Aurora total'!$C$63:$C$114,'8C Summary by resource'!$B31)</f>
        <v>0</v>
      </c>
      <c r="Q31" s="180">
        <f t="shared" si="3"/>
        <v>0</v>
      </c>
    </row>
    <row r="32" spans="1:17" ht="15.75" thickBot="1" x14ac:dyDescent="0.3">
      <c r="A32" s="61" t="s">
        <v>80</v>
      </c>
      <c r="B32" s="119" t="s">
        <v>105</v>
      </c>
      <c r="C32" s="144">
        <f>SUMIFS('9C Aurora total'!$P$1:$P$59,'9C Aurora total'!$C$1:$C$59,'8C Summary by resource'!$B32)</f>
        <v>0</v>
      </c>
      <c r="D32" s="145">
        <f>SUMIFS('10C Not in Aurora'!$O$1:$O$24,'10C Not in Aurora'!$B$1:$B$24,'8C Summary by resource'!$B32)</f>
        <v>0</v>
      </c>
      <c r="E32" s="181">
        <f t="shared" si="6"/>
        <v>0</v>
      </c>
      <c r="F32" s="142"/>
      <c r="G32" s="144">
        <f>SUMIFS('9C Aurora total'!$AD$1:$AD$59,'9C Aurora total'!$C$1:$C$59,'8C Summary by resource'!$B32)</f>
        <v>0</v>
      </c>
      <c r="H32" s="145">
        <f>SUMIFS('10C Not in Aurora'!$P$1:$P$24,'10C Not in Aurora'!$B$1:$B$24,'8C Summary by resource'!$B32)</f>
        <v>0</v>
      </c>
      <c r="I32" s="181">
        <f t="shared" si="7"/>
        <v>0</v>
      </c>
      <c r="J32" s="143"/>
      <c r="K32" s="140">
        <f t="shared" si="0"/>
        <v>0</v>
      </c>
      <c r="L32" s="145">
        <f t="shared" si="1"/>
        <v>0</v>
      </c>
      <c r="M32" s="180">
        <f t="shared" si="2"/>
        <v>0</v>
      </c>
      <c r="O32" s="140">
        <f>SUMIFS('9C Aurora total'!P$63:P$114,'9C Aurora total'!$C$63:$C$114,'8C Summary by resource'!$B32)</f>
        <v>0</v>
      </c>
      <c r="P32" s="141">
        <f>SUMIFS('9C Aurora total'!AD$63:AD$114,'9C Aurora total'!$C$63:$C$114,'8C Summary by resource'!$B32)</f>
        <v>0</v>
      </c>
      <c r="Q32" s="180">
        <f t="shared" si="3"/>
        <v>0</v>
      </c>
    </row>
    <row r="33" spans="1:17" ht="15.75" thickTop="1" x14ac:dyDescent="0.25">
      <c r="A33" s="61" t="s">
        <v>80</v>
      </c>
      <c r="B33" s="119" t="s">
        <v>97</v>
      </c>
      <c r="C33" s="210">
        <f>SUMIFS('9C Aurora total'!$P$1:$P$59,'9C Aurora total'!$C$1:$C$59,'8C Summary by resource'!$B33)</f>
        <v>0</v>
      </c>
      <c r="D33" s="142">
        <f>SUMIFS('10C Not in Aurora'!$O$1:$O$24,'10C Not in Aurora'!$B$1:$B$24,'8C Summary by resource'!$B33)</f>
        <v>0</v>
      </c>
      <c r="E33" s="198">
        <f t="shared" si="6"/>
        <v>0</v>
      </c>
      <c r="F33" s="142"/>
      <c r="G33" s="210">
        <f>SUMIFS('9C Aurora total'!$AD$1:$AD$59,'9C Aurora total'!$C$1:$C$59,'8C Summary by resource'!$B33)</f>
        <v>0</v>
      </c>
      <c r="H33" s="142">
        <f>SUMIFS('10C Not in Aurora'!$P$1:$P$24,'10C Not in Aurora'!$B$1:$B$24,'8C Summary by resource'!$B33)</f>
        <v>0</v>
      </c>
      <c r="I33" s="198">
        <f t="shared" si="7"/>
        <v>0</v>
      </c>
      <c r="J33" s="143"/>
      <c r="K33" s="210">
        <f t="shared" si="0"/>
        <v>0</v>
      </c>
      <c r="L33" s="142">
        <f t="shared" si="1"/>
        <v>0</v>
      </c>
      <c r="M33" s="198">
        <f t="shared" si="2"/>
        <v>0</v>
      </c>
      <c r="O33" s="140">
        <f>SUMIFS('9C Aurora total'!P$63:P$114,'9C Aurora total'!$C$63:$C$114,'8C Summary by resource'!$B33)</f>
        <v>412757.94700000004</v>
      </c>
      <c r="P33" s="141">
        <f>SUMIFS('9C Aurora total'!AD$63:AD$114,'9C Aurora total'!$C$63:$C$114,'8C Summary by resource'!$B33)</f>
        <v>411441.37335125013</v>
      </c>
      <c r="Q33" s="180">
        <f t="shared" si="3"/>
        <v>1316.5736487499089</v>
      </c>
    </row>
    <row r="34" spans="1:17" ht="15" x14ac:dyDescent="0.25">
      <c r="A34" s="61" t="s">
        <v>80</v>
      </c>
      <c r="B34" s="204" t="s">
        <v>51</v>
      </c>
      <c r="C34" s="142">
        <f>SUMIFS('9C Aurora total'!$P$1:$P$59,'9C Aurora total'!$C$1:$C$59,'8C Summary by resource'!$B34)</f>
        <v>0</v>
      </c>
      <c r="D34" s="142">
        <f>SUMIFS('10C Not in Aurora'!$O$1:$O$24,'10C Not in Aurora'!$B$1:$B$24,'8C Summary by resource'!$B34)</f>
        <v>0</v>
      </c>
      <c r="E34" s="199">
        <f t="shared" si="6"/>
        <v>0</v>
      </c>
      <c r="F34" s="142"/>
      <c r="G34" s="201">
        <f>SUMIFS('9C Aurora total'!$AD$1:$AD$59,'9C Aurora total'!$C$1:$C$59,'8C Summary by resource'!$B34)</f>
        <v>0</v>
      </c>
      <c r="H34" s="142">
        <f>SUMIFS('10C Not in Aurora'!$P$1:$P$24,'10C Not in Aurora'!$B$1:$B$24,'8C Summary by resource'!$B34)</f>
        <v>0</v>
      </c>
      <c r="I34" s="199">
        <f t="shared" si="7"/>
        <v>0</v>
      </c>
      <c r="J34" s="143"/>
      <c r="K34" s="201">
        <f t="shared" si="0"/>
        <v>0</v>
      </c>
      <c r="L34" s="142">
        <f t="shared" si="1"/>
        <v>0</v>
      </c>
      <c r="M34" s="199">
        <f t="shared" si="2"/>
        <v>0</v>
      </c>
      <c r="O34" s="140">
        <f>SUMIFS('9C Aurora total'!P$63:P$114,'9C Aurora total'!$C$63:$C$114,'8C Summary by resource'!$B34)</f>
        <v>590608.95650000009</v>
      </c>
      <c r="P34" s="141">
        <f>SUMIFS('9C Aurora total'!AD$63:AD$114,'9C Aurora total'!$C$63:$C$114,'8C Summary by resource'!$B34)</f>
        <v>588177.23789875011</v>
      </c>
      <c r="Q34" s="180">
        <f t="shared" si="3"/>
        <v>2431.7186012499733</v>
      </c>
    </row>
    <row r="35" spans="1:17" ht="15" x14ac:dyDescent="0.25">
      <c r="A35" s="61" t="s">
        <v>80</v>
      </c>
      <c r="B35" s="204" t="s">
        <v>109</v>
      </c>
      <c r="C35" s="142">
        <f>SUMIFS('9C Aurora total'!$P$1:$P$59,'9C Aurora total'!$C$1:$C$59,'8C Summary by resource'!$B35)</f>
        <v>0</v>
      </c>
      <c r="D35" s="142">
        <f>SUMIFS('10C Not in Aurora'!$O$1:$O$24,'10C Not in Aurora'!$B$1:$B$24,'8C Summary by resource'!$B35)</f>
        <v>0</v>
      </c>
      <c r="E35" s="199">
        <f t="shared" si="6"/>
        <v>0</v>
      </c>
      <c r="F35" s="142"/>
      <c r="G35" s="201">
        <f>SUMIFS('9C Aurora total'!$AD$1:$AD$59,'9C Aurora total'!$C$1:$C$59,'8C Summary by resource'!$B35)</f>
        <v>0</v>
      </c>
      <c r="H35" s="142">
        <f>SUMIFS('10C Not in Aurora'!$P$1:$P$24,'10C Not in Aurora'!$B$1:$B$24,'8C Summary by resource'!$B35)</f>
        <v>0</v>
      </c>
      <c r="I35" s="199">
        <f t="shared" si="7"/>
        <v>0</v>
      </c>
      <c r="J35" s="143"/>
      <c r="K35" s="201">
        <f t="shared" si="0"/>
        <v>0</v>
      </c>
      <c r="L35" s="142">
        <f t="shared" si="1"/>
        <v>0</v>
      </c>
      <c r="M35" s="199">
        <f t="shared" si="2"/>
        <v>0</v>
      </c>
      <c r="O35" s="140">
        <f>SUMIFS('9C Aurora total'!P$63:P$114,'9C Aurora total'!$C$63:$C$114,'8C Summary by resource'!$B35)</f>
        <v>90676.858540000001</v>
      </c>
      <c r="P35" s="141">
        <f>SUMIFS('9C Aurora total'!AD$63:AD$114,'9C Aurora total'!$C$63:$C$114,'8C Summary by resource'!$B35)</f>
        <v>90492.663500875002</v>
      </c>
      <c r="Q35" s="180">
        <f t="shared" si="3"/>
        <v>184.19503912499931</v>
      </c>
    </row>
    <row r="36" spans="1:17" ht="15.75" thickBot="1" x14ac:dyDescent="0.3">
      <c r="A36" s="61" t="s">
        <v>80</v>
      </c>
      <c r="B36" s="204" t="s">
        <v>102</v>
      </c>
      <c r="C36" s="142">
        <f>SUMIFS('9C Aurora total'!$P$1:$P$59,'9C Aurora total'!$C$1:$C$59,'8C Summary by resource'!$B36)</f>
        <v>0</v>
      </c>
      <c r="D36" s="142">
        <f>SUMIFS('10C Not in Aurora'!$O$1:$O$24,'10C Not in Aurora'!$B$1:$B$24,'8C Summary by resource'!$B36)</f>
        <v>0</v>
      </c>
      <c r="E36" s="199">
        <f t="shared" si="6"/>
        <v>0</v>
      </c>
      <c r="F36" s="142"/>
      <c r="G36" s="230">
        <f>SUMIFS('9C Aurora total'!$AD$1:$AD$59,'9C Aurora total'!$C$1:$C$59,'8C Summary by resource'!$B36)</f>
        <v>0</v>
      </c>
      <c r="H36" s="142">
        <f>SUMIFS('10C Not in Aurora'!$P$1:$P$24,'10C Not in Aurora'!$B$1:$B$24,'8C Summary by resource'!$B36)</f>
        <v>0</v>
      </c>
      <c r="I36" s="199">
        <f t="shared" si="7"/>
        <v>0</v>
      </c>
      <c r="J36" s="143"/>
      <c r="K36" s="201">
        <f t="shared" si="0"/>
        <v>0</v>
      </c>
      <c r="L36" s="142">
        <f t="shared" si="1"/>
        <v>0</v>
      </c>
      <c r="M36" s="199">
        <f t="shared" si="2"/>
        <v>0</v>
      </c>
      <c r="O36" s="140">
        <f>SUMIFS('9C Aurora total'!P$63:P$114,'9C Aurora total'!$C$63:$C$114,'8C Summary by resource'!$B36)</f>
        <v>849937.25160000008</v>
      </c>
      <c r="P36" s="141">
        <f>SUMIFS('9C Aurora total'!AD$63:AD$114,'9C Aurora total'!$C$63:$C$114,'8C Summary by resource'!$B36)</f>
        <v>847922.34284374979</v>
      </c>
      <c r="Q36" s="180">
        <f t="shared" si="3"/>
        <v>2014.9087562502827</v>
      </c>
    </row>
    <row r="37" spans="1:17" ht="15.75" thickTop="1" x14ac:dyDescent="0.25">
      <c r="A37" s="61" t="s">
        <v>80</v>
      </c>
      <c r="B37" s="119" t="s">
        <v>99</v>
      </c>
      <c r="C37" s="177">
        <f>SUMIFS('9C Aurora total'!$P$1:$P$59,'9C Aurora total'!$C$1:$C$59,'8C Summary by resource'!$B37)</f>
        <v>9299.2227299999977</v>
      </c>
      <c r="D37" s="178">
        <f>SUMIFS('10C Not in Aurora'!$O$1:$O$24,'10C Not in Aurora'!$B$1:$B$24,'8C Summary by resource'!$B37)</f>
        <v>0</v>
      </c>
      <c r="E37" s="179">
        <f t="shared" si="6"/>
        <v>9299.2227299999977</v>
      </c>
      <c r="F37" s="142"/>
      <c r="G37" s="177">
        <f>SUMIFS('9C Aurora total'!$AD$1:$AD$59,'9C Aurora total'!$C$1:$C$59,'8C Summary by resource'!$B37)</f>
        <v>9161.6792069999992</v>
      </c>
      <c r="H37" s="178">
        <f>SUMIFS('10C Not in Aurora'!$P$1:$P$24,'10C Not in Aurora'!$B$1:$B$24,'8C Summary by resource'!$B37)</f>
        <v>0</v>
      </c>
      <c r="I37" s="179">
        <f t="shared" si="7"/>
        <v>9161.6792069999992</v>
      </c>
      <c r="J37" s="143"/>
      <c r="K37" s="177">
        <f t="shared" si="0"/>
        <v>137.54352299999846</v>
      </c>
      <c r="L37" s="178">
        <f t="shared" si="1"/>
        <v>0</v>
      </c>
      <c r="M37" s="179">
        <f t="shared" si="2"/>
        <v>137.54352299999846</v>
      </c>
      <c r="O37" s="140">
        <f>SUMIFS('9C Aurora total'!P$63:P$114,'9C Aurora total'!$C$63:$C$114,'8C Summary by resource'!$B37)</f>
        <v>127877.10060000002</v>
      </c>
      <c r="P37" s="141">
        <f>SUMIFS('9C Aurora total'!AD$63:AD$114,'9C Aurora total'!$C$63:$C$114,'8C Summary by resource'!$B37)</f>
        <v>131426.29364000002</v>
      </c>
      <c r="Q37" s="180">
        <f t="shared" si="3"/>
        <v>-3549.1930399999983</v>
      </c>
    </row>
    <row r="38" spans="1:17" ht="15" x14ac:dyDescent="0.25">
      <c r="A38" s="61" t="s">
        <v>80</v>
      </c>
      <c r="B38" s="119" t="s">
        <v>96</v>
      </c>
      <c r="C38" s="140">
        <f>SUMIFS('9C Aurora total'!$P$1:$P$59,'9C Aurora total'!$C$1:$C$59,'8C Summary by resource'!$B38)</f>
        <v>28704.106080000001</v>
      </c>
      <c r="D38" s="141">
        <f>SUMIFS('10C Not in Aurora'!$O$1:$O$24,'10C Not in Aurora'!$B$1:$B$24,'8C Summary by resource'!$B38)</f>
        <v>0</v>
      </c>
      <c r="E38" s="180">
        <f t="shared" si="6"/>
        <v>28704.106080000001</v>
      </c>
      <c r="F38" s="142"/>
      <c r="G38" s="140">
        <f>SUMIFS('9C Aurora total'!$AD$1:$AD$59,'9C Aurora total'!$C$1:$C$59,'8C Summary by resource'!$B38)</f>
        <v>5017.2000000000025</v>
      </c>
      <c r="H38" s="141">
        <f>SUMIFS('10C Not in Aurora'!$P$1:$P$24,'10C Not in Aurora'!$B$1:$B$24,'8C Summary by resource'!$B38)</f>
        <v>0</v>
      </c>
      <c r="I38" s="180">
        <f t="shared" si="7"/>
        <v>5017.2000000000025</v>
      </c>
      <c r="J38" s="143"/>
      <c r="K38" s="140">
        <f t="shared" si="0"/>
        <v>23686.906080000001</v>
      </c>
      <c r="L38" s="141">
        <f t="shared" si="1"/>
        <v>0</v>
      </c>
      <c r="M38" s="180">
        <f t="shared" si="2"/>
        <v>23686.906080000001</v>
      </c>
      <c r="O38" s="140">
        <f>SUMIFS('9C Aurora total'!P$63:P$114,'9C Aurora total'!$C$63:$C$114,'8C Summary by resource'!$B38)</f>
        <v>683431.10660000006</v>
      </c>
      <c r="P38" s="141">
        <f>SUMIFS('9C Aurora total'!AD$63:AD$114,'9C Aurora total'!$C$63:$C$114,'8C Summary by resource'!$B38)</f>
        <v>117600</v>
      </c>
      <c r="Q38" s="180">
        <f t="shared" si="3"/>
        <v>565831.10660000006</v>
      </c>
    </row>
    <row r="39" spans="1:17" ht="15" x14ac:dyDescent="0.25">
      <c r="A39" s="61" t="s">
        <v>80</v>
      </c>
      <c r="B39" s="119" t="s">
        <v>125</v>
      </c>
      <c r="C39" s="140">
        <f>SUMIFS('9C Aurora total'!$P$1:$P$59,'9C Aurora total'!$C$1:$C$59,'8C Summary by resource'!$B39)</f>
        <v>39605.668460000001</v>
      </c>
      <c r="D39" s="141">
        <f>SUMIFS('10C Not in Aurora'!$O$1:$O$24,'10C Not in Aurora'!$B$1:$B$24,'8C Summary by resource'!$B39)</f>
        <v>0</v>
      </c>
      <c r="E39" s="180">
        <f t="shared" si="6"/>
        <v>39605.668460000001</v>
      </c>
      <c r="F39" s="142"/>
      <c r="G39" s="140">
        <f>SUMIFS('9C Aurora total'!$AD$1:$AD$59,'9C Aurora total'!$C$1:$C$59,'8C Summary by resource'!$B39)</f>
        <v>0</v>
      </c>
      <c r="H39" s="141">
        <f>SUMIFS('10C Not in Aurora'!$P$1:$P$24,'10C Not in Aurora'!$B$1:$B$24,'8C Summary by resource'!$B39)</f>
        <v>0</v>
      </c>
      <c r="I39" s="180">
        <f t="shared" si="7"/>
        <v>0</v>
      </c>
      <c r="J39" s="143"/>
      <c r="K39" s="140">
        <f t="shared" si="0"/>
        <v>39605.668460000001</v>
      </c>
      <c r="L39" s="141">
        <f t="shared" si="1"/>
        <v>0</v>
      </c>
      <c r="M39" s="180">
        <f t="shared" si="2"/>
        <v>39605.668460000001</v>
      </c>
      <c r="O39" s="140">
        <f>SUMIFS('9C Aurora total'!P$63:P$114,'9C Aurora total'!$C$63:$C$114,'8C Summary by resource'!$B39)</f>
        <v>1382836.8536400001</v>
      </c>
      <c r="P39" s="141">
        <f>SUMIFS('9C Aurora total'!AD$63:AD$114,'9C Aurora total'!$C$63:$C$114,'8C Summary by resource'!$B39)</f>
        <v>0</v>
      </c>
      <c r="Q39" s="180">
        <f t="shared" si="3"/>
        <v>1382836.8536400001</v>
      </c>
    </row>
    <row r="40" spans="1:17" ht="15" x14ac:dyDescent="0.25">
      <c r="A40" s="73" t="s">
        <v>0</v>
      </c>
      <c r="B40" s="119" t="s">
        <v>98</v>
      </c>
      <c r="C40" s="140">
        <f>SUMIFS('9C Aurora total'!$P$1:$P$59,'9C Aurora total'!$C$1:$C$59,'8C Summary by resource'!$B40)</f>
        <v>0</v>
      </c>
      <c r="D40" s="141">
        <f>SUMIFS('10C Not in Aurora'!$O$1:$O$24,'10C Not in Aurora'!$B$1:$B$24,'8C Summary by resource'!$B40)</f>
        <v>0</v>
      </c>
      <c r="E40" s="180">
        <f t="shared" si="6"/>
        <v>0</v>
      </c>
      <c r="F40" s="142"/>
      <c r="G40" s="140">
        <f>SUMIFS('9C Aurora total'!$AD$1:$AD$59,'9C Aurora total'!$C$1:$C$59,'8C Summary by resource'!$B40)</f>
        <v>10109.948644999997</v>
      </c>
      <c r="H40" s="141">
        <f>SUMIFS('10C Not in Aurora'!$P$1:$P$24,'10C Not in Aurora'!$B$1:$B$24,'8C Summary by resource'!$B40)</f>
        <v>0</v>
      </c>
      <c r="I40" s="180">
        <f t="shared" si="7"/>
        <v>10109.948644999997</v>
      </c>
      <c r="J40" s="143"/>
      <c r="K40" s="140">
        <f t="shared" si="0"/>
        <v>-10109.948644999997</v>
      </c>
      <c r="L40" s="141">
        <f t="shared" si="1"/>
        <v>0</v>
      </c>
      <c r="M40" s="180">
        <f t="shared" si="2"/>
        <v>-10109.948644999997</v>
      </c>
      <c r="O40" s="140">
        <f>SUMIFS('9C Aurora total'!P$63:P$114,'9C Aurora total'!$C$63:$C$114,'8C Summary by resource'!$B40)</f>
        <v>0</v>
      </c>
      <c r="P40" s="141">
        <f>SUMIFS('9C Aurora total'!AD$63:AD$114,'9C Aurora total'!$C$63:$C$114,'8C Summary by resource'!$B40)</f>
        <v>144388.07999999999</v>
      </c>
      <c r="Q40" s="180">
        <f t="shared" si="3"/>
        <v>-144388.07999999999</v>
      </c>
    </row>
    <row r="41" spans="1:17" ht="15" x14ac:dyDescent="0.25">
      <c r="A41" s="73" t="s">
        <v>0</v>
      </c>
      <c r="B41" s="119" t="s">
        <v>95</v>
      </c>
      <c r="C41" s="140">
        <f>SUMIFS('9C Aurora total'!$P$1:$P$59,'9C Aurora total'!$C$1:$C$59,'8C Summary by resource'!$B41)</f>
        <v>16644</v>
      </c>
      <c r="D41" s="141">
        <f>SUMIFS('10C Not in Aurora'!$O$1:$O$24,'10C Not in Aurora'!$B$1:$B$24,'8C Summary by resource'!$B41)</f>
        <v>0</v>
      </c>
      <c r="E41" s="180">
        <f t="shared" si="6"/>
        <v>16644</v>
      </c>
      <c r="F41" s="142"/>
      <c r="G41" s="140">
        <f>SUMIFS('9C Aurora total'!$AD$1:$AD$59,'9C Aurora total'!$C$1:$C$59,'8C Summary by resource'!$B41)</f>
        <v>16644.000000000015</v>
      </c>
      <c r="H41" s="141">
        <f>SUMIFS('10C Not in Aurora'!$P$1:$P$24,'10C Not in Aurora'!$B$1:$B$24,'8C Summary by resource'!$B41)</f>
        <v>0</v>
      </c>
      <c r="I41" s="180">
        <f t="shared" si="7"/>
        <v>16644.000000000015</v>
      </c>
      <c r="J41" s="143"/>
      <c r="K41" s="140">
        <f t="shared" ref="K41:K74" si="8">C41-G41</f>
        <v>0</v>
      </c>
      <c r="L41" s="141">
        <f t="shared" ref="L41:L74" si="9">D41-H41</f>
        <v>0</v>
      </c>
      <c r="M41" s="180">
        <f t="shared" ref="M41:M74" si="10">E41-I41</f>
        <v>0</v>
      </c>
      <c r="O41" s="140">
        <f>SUMIFS('9C Aurora total'!P$63:P$114,'9C Aurora total'!$C$63:$C$114,'8C Summary by resource'!$B41)</f>
        <v>350400</v>
      </c>
      <c r="P41" s="141">
        <f>SUMIFS('9C Aurora total'!AD$63:AD$114,'9C Aurora total'!$C$63:$C$114,'8C Summary by resource'!$B41)</f>
        <v>350400</v>
      </c>
      <c r="Q41" s="180">
        <f t="shared" ref="Q41:Q72" si="11">O41-P41</f>
        <v>0</v>
      </c>
    </row>
    <row r="42" spans="1:17" ht="15" x14ac:dyDescent="0.25">
      <c r="A42" s="73">
        <v>555</v>
      </c>
      <c r="B42" s="119" t="s">
        <v>106</v>
      </c>
      <c r="C42" s="140">
        <f>SUMIFS('9C Aurora total'!$P$1:$P$59,'9C Aurora total'!$C$1:$C$59,'8C Summary by resource'!$B42)</f>
        <v>5848.2571290000005</v>
      </c>
      <c r="D42" s="141">
        <f>SUMIFS('10C Not in Aurora'!$O$1:$O$24,'10C Not in Aurora'!$B$1:$B$24,'8C Summary by resource'!$B42)</f>
        <v>0</v>
      </c>
      <c r="E42" s="180">
        <f t="shared" si="6"/>
        <v>5848.2571290000005</v>
      </c>
      <c r="F42" s="142"/>
      <c r="G42" s="140">
        <f>SUMIFS('9C Aurora total'!$AD$1:$AD$59,'9C Aurora total'!$C$1:$C$59,'8C Summary by resource'!$B42)</f>
        <v>5623.4091279999984</v>
      </c>
      <c r="H42" s="141">
        <f>SUMIFS('10C Not in Aurora'!$P$1:$P$24,'10C Not in Aurora'!$B$1:$B$24,'8C Summary by resource'!$B42)</f>
        <v>0</v>
      </c>
      <c r="I42" s="180">
        <f t="shared" si="7"/>
        <v>5623.4091279999984</v>
      </c>
      <c r="J42" s="143"/>
      <c r="K42" s="140">
        <f t="shared" si="8"/>
        <v>224.84800100000211</v>
      </c>
      <c r="L42" s="141">
        <f t="shared" si="9"/>
        <v>0</v>
      </c>
      <c r="M42" s="180">
        <f t="shared" si="10"/>
        <v>224.84800100000211</v>
      </c>
      <c r="O42" s="140">
        <f>SUMIFS('9C Aurora total'!P$63:P$114,'9C Aurora total'!$C$63:$C$114,'8C Summary by resource'!$B42)</f>
        <v>130979.99999999999</v>
      </c>
      <c r="P42" s="141">
        <f>SUMIFS('9C Aurora total'!AD$63:AD$114,'9C Aurora total'!$C$63:$C$114,'8C Summary by resource'!$B42)</f>
        <v>130980.00000000006</v>
      </c>
      <c r="Q42" s="180">
        <f t="shared" si="11"/>
        <v>0</v>
      </c>
    </row>
    <row r="43" spans="1:17" ht="15.75" thickBot="1" x14ac:dyDescent="0.3">
      <c r="A43" s="73">
        <v>555</v>
      </c>
      <c r="B43" s="119" t="s">
        <v>93</v>
      </c>
      <c r="C43" s="144">
        <f>SUMIFS('9C Aurora total'!$P$1:$P$59,'9C Aurora total'!$C$1:$C$59,'8C Summary by resource'!$B43)</f>
        <v>11539.84</v>
      </c>
      <c r="D43" s="145">
        <f>SUMIFS('10C Not in Aurora'!$O$1:$O$24,'10C Not in Aurora'!$B$1:$B$24,'8C Summary by resource'!$B43)</f>
        <v>0</v>
      </c>
      <c r="E43" s="181">
        <f t="shared" si="6"/>
        <v>11539.84</v>
      </c>
      <c r="F43" s="142"/>
      <c r="G43" s="144">
        <f>SUMIFS('9C Aurora total'!$AD$1:$AD$59,'9C Aurora total'!$C$1:$C$59,'8C Summary by resource'!$B43)</f>
        <v>5769.9199999999973</v>
      </c>
      <c r="H43" s="145">
        <f>SUMIFS('10C Not in Aurora'!$P$1:$P$24,'10C Not in Aurora'!$B$1:$B$24,'8C Summary by resource'!$B43)</f>
        <v>0</v>
      </c>
      <c r="I43" s="181">
        <f t="shared" si="7"/>
        <v>5769.9199999999973</v>
      </c>
      <c r="J43" s="143"/>
      <c r="K43" s="144">
        <f t="shared" si="8"/>
        <v>5769.9200000000028</v>
      </c>
      <c r="L43" s="145">
        <f t="shared" si="9"/>
        <v>0</v>
      </c>
      <c r="M43" s="181">
        <f t="shared" si="10"/>
        <v>5769.9200000000028</v>
      </c>
      <c r="O43" s="144">
        <f>SUMIFS('9C Aurora total'!P$63:P$114,'9C Aurora total'!$C$63:$C$114,'8C Summary by resource'!$B43)</f>
        <v>243200</v>
      </c>
      <c r="P43" s="145">
        <f>SUMIFS('9C Aurora total'!AD$63:AD$114,'9C Aurora total'!$C$63:$C$114,'8C Summary by resource'!$B43)</f>
        <v>121600</v>
      </c>
      <c r="Q43" s="181">
        <f t="shared" si="11"/>
        <v>121600</v>
      </c>
    </row>
    <row r="44" spans="1:17" ht="16.5" thickTop="1" thickBot="1" x14ac:dyDescent="0.3">
      <c r="A44" s="73">
        <v>555</v>
      </c>
      <c r="B44" s="119" t="s">
        <v>19</v>
      </c>
      <c r="C44" s="201">
        <f>SUMIFS('9C Aurora total'!$P$1:$P$59,'9C Aurora total'!$C$1:$C$59,'8C Summary by resource'!$B44)</f>
        <v>0</v>
      </c>
      <c r="D44" s="142">
        <f>SUMIFS('10C Not in Aurora'!$O$1:$O$24,'10C Not in Aurora'!$B$1:$B$24,'8C Summary by resource'!$B44)</f>
        <v>0</v>
      </c>
      <c r="E44" s="199">
        <f t="shared" si="4"/>
        <v>0</v>
      </c>
      <c r="F44" s="142"/>
      <c r="G44" s="201">
        <f>SUMIFS('9C Aurora total'!$AD$1:$AD$59,'9C Aurora total'!$C$1:$C$59,'8C Summary by resource'!$B44)</f>
        <v>0</v>
      </c>
      <c r="H44" s="142">
        <f>SUMIFS('10C Not in Aurora'!$P$1:$P$24,'10C Not in Aurora'!$B$1:$B$24,'8C Summary by resource'!$B44)</f>
        <v>0</v>
      </c>
      <c r="I44" s="142">
        <f t="shared" si="5"/>
        <v>0</v>
      </c>
      <c r="J44" s="203"/>
      <c r="K44" s="230">
        <f t="shared" si="8"/>
        <v>0</v>
      </c>
      <c r="L44" s="142">
        <f t="shared" si="9"/>
        <v>0</v>
      </c>
      <c r="M44" s="200">
        <f t="shared" si="10"/>
        <v>0</v>
      </c>
      <c r="N44" s="241"/>
      <c r="O44" s="201">
        <f>SUMIFS('9C Aurora total'!P$63:P$114,'9C Aurora total'!$C$63:$C$114,'8C Summary by resource'!$B44)</f>
        <v>7000.1307400000005</v>
      </c>
      <c r="P44" s="142">
        <f>SUMIFS('9C Aurora total'!AD$63:AD$114,'9C Aurora total'!$C$63:$C$114,'8C Summary by resource'!$B44)</f>
        <v>7000</v>
      </c>
      <c r="Q44" s="199">
        <f t="shared" si="11"/>
        <v>0.13074000000051456</v>
      </c>
    </row>
    <row r="45" spans="1:17" ht="16.5" thickTop="1" thickBot="1" x14ac:dyDescent="0.3">
      <c r="A45" s="73">
        <v>555</v>
      </c>
      <c r="B45" s="119" t="s">
        <v>24</v>
      </c>
      <c r="C45" s="195">
        <f>SUMIFS('9C Aurora total'!$P$1:$P$59,'9C Aurora total'!$C$1:$C$59,'8C Summary by resource'!$B45)</f>
        <v>0</v>
      </c>
      <c r="D45" s="196">
        <f>SUMIFS('10C Not in Aurora'!$O$1:$O$24,'10C Not in Aurora'!$B$1:$B$24,'8C Summary by resource'!$B45)</f>
        <v>0</v>
      </c>
      <c r="E45" s="197">
        <f t="shared" si="4"/>
        <v>0</v>
      </c>
      <c r="F45" s="142"/>
      <c r="G45" s="195">
        <f>SUMIFS('9C Aurora total'!$AD$1:$AD$59,'9C Aurora total'!$C$1:$C$59,'8C Summary by resource'!$B45)</f>
        <v>0</v>
      </c>
      <c r="H45" s="196">
        <f>SUMIFS('10C Not in Aurora'!$P$1:$P$24,'10C Not in Aurora'!$B$1:$B$24,'8C Summary by resource'!$B45)</f>
        <v>0</v>
      </c>
      <c r="I45" s="197">
        <f t="shared" si="5"/>
        <v>0</v>
      </c>
      <c r="J45" s="143"/>
      <c r="K45" s="195">
        <f t="shared" si="8"/>
        <v>0</v>
      </c>
      <c r="L45" s="196">
        <f t="shared" si="9"/>
        <v>0</v>
      </c>
      <c r="M45" s="197">
        <f t="shared" si="10"/>
        <v>0</v>
      </c>
      <c r="O45" s="195">
        <f>SUMIFS('9C Aurora total'!P$63:P$114,'9C Aurora total'!$C$63:$C$114,'8C Summary by resource'!$B45)</f>
        <v>-276.74758035999997</v>
      </c>
      <c r="P45" s="196">
        <f>SUMIFS('9C Aurora total'!AD$63:AD$114,'9C Aurora total'!$C$63:$C$114,'8C Summary by resource'!$B45)</f>
        <v>-130.6795311139675</v>
      </c>
      <c r="Q45" s="197">
        <f t="shared" si="11"/>
        <v>-146.06804924603247</v>
      </c>
    </row>
    <row r="46" spans="1:17" ht="16.5" thickTop="1" thickBot="1" x14ac:dyDescent="0.3">
      <c r="A46" s="73">
        <v>555</v>
      </c>
      <c r="B46" s="204" t="s">
        <v>4</v>
      </c>
      <c r="C46" s="142">
        <f>SUMIFS('9C Aurora total'!$P$1:$P$59,'9C Aurora total'!$C$1:$C$59,'8C Summary by resource'!$B46)</f>
        <v>0</v>
      </c>
      <c r="D46" s="142">
        <f>SUMIFS('10C Not in Aurora'!$O$1:$O$24,'10C Not in Aurora'!$B$1:$B$24,'8C Summary by resource'!$B46)</f>
        <v>0</v>
      </c>
      <c r="E46" s="198">
        <f t="shared" si="4"/>
        <v>0</v>
      </c>
      <c r="F46" s="199"/>
      <c r="G46" s="142">
        <f>SUMIFS('9C Aurora total'!$AD$1:$AD$59,'9C Aurora total'!$C$1:$C$59,'8C Summary by resource'!$B46)</f>
        <v>0</v>
      </c>
      <c r="H46" s="142">
        <f>SUMIFS('10C Not in Aurora'!$P$1:$P$24,'10C Not in Aurora'!$B$1:$B$24,'8C Summary by resource'!$B46)</f>
        <v>0</v>
      </c>
      <c r="I46" s="198">
        <f t="shared" si="5"/>
        <v>0</v>
      </c>
      <c r="J46" s="202"/>
      <c r="K46" s="142">
        <f t="shared" si="8"/>
        <v>0</v>
      </c>
      <c r="L46" s="142">
        <f t="shared" si="9"/>
        <v>0</v>
      </c>
      <c r="M46" s="198">
        <f t="shared" si="10"/>
        <v>0</v>
      </c>
      <c r="N46" s="241"/>
      <c r="O46" s="380">
        <f>SUMIFS('9C Aurora total'!P$63:P$114,'9C Aurora total'!$C$63:$C$114,'8C Summary by resource'!$B46)</f>
        <v>3.8999999815132469E-3</v>
      </c>
      <c r="P46" s="142">
        <f>SUMIFS('9C Aurora total'!AD$63:AD$114,'9C Aurora total'!$C$63:$C$114,'8C Summary by resource'!$B46)</f>
        <v>-3.300000200397335E-3</v>
      </c>
      <c r="Q46" s="199">
        <f t="shared" si="11"/>
        <v>7.2000001819105819E-3</v>
      </c>
    </row>
    <row r="47" spans="1:17" ht="16.5" thickTop="1" thickBot="1" x14ac:dyDescent="0.3">
      <c r="A47" s="73">
        <v>555</v>
      </c>
      <c r="B47" s="119" t="s">
        <v>157</v>
      </c>
      <c r="C47" s="195">
        <f>SUMIFS('9C Aurora total'!$P$1:$P$59,'9C Aurora total'!$C$1:$C$59,'8C Summary by resource'!$B47)</f>
        <v>51069.2</v>
      </c>
      <c r="D47" s="196">
        <f>SUMIFS('10C Not in Aurora'!$O$1:$O$24,'10C Not in Aurora'!$B$1:$B$24,'8C Summary by resource'!$B47)</f>
        <v>0</v>
      </c>
      <c r="E47" s="197">
        <f t="shared" ref="E47" si="12">C47+D47</f>
        <v>51069.2</v>
      </c>
      <c r="F47" s="142"/>
      <c r="G47" s="195">
        <f>SUMIFS('9C Aurora total'!$AD$1:$AD$59,'9C Aurora total'!$C$1:$C$59,'8C Summary by resource'!$B47)</f>
        <v>0</v>
      </c>
      <c r="H47" s="196">
        <f>SUMIFS('10C Not in Aurora'!$P$1:$P$24,'10C Not in Aurora'!$B$1:$B$24,'8C Summary by resource'!$B47)</f>
        <v>0</v>
      </c>
      <c r="I47" s="197">
        <f t="shared" ref="I47" si="13">G47+H47</f>
        <v>0</v>
      </c>
      <c r="J47" s="143"/>
      <c r="K47" s="195">
        <f t="shared" si="8"/>
        <v>51069.2</v>
      </c>
      <c r="L47" s="196">
        <f t="shared" si="9"/>
        <v>0</v>
      </c>
      <c r="M47" s="197">
        <f t="shared" si="10"/>
        <v>51069.2</v>
      </c>
      <c r="N47" s="241"/>
      <c r="O47" s="195">
        <f>SUMIFS('9C Aurora total'!P$63:P$114,'9C Aurora total'!$C$63:$C$114,'8C Summary by resource'!$B47)</f>
        <v>488000</v>
      </c>
      <c r="P47" s="196">
        <f>SUMIFS('9C Aurora total'!AD$63:AD$114,'9C Aurora total'!$C$63:$C$114,'8C Summary by resource'!$B47)</f>
        <v>0</v>
      </c>
      <c r="Q47" s="197">
        <f t="shared" si="11"/>
        <v>488000</v>
      </c>
    </row>
    <row r="48" spans="1:17" ht="15.75" thickTop="1" x14ac:dyDescent="0.25">
      <c r="A48" s="73">
        <v>555</v>
      </c>
      <c r="B48" s="204" t="s">
        <v>103</v>
      </c>
      <c r="C48" s="142">
        <f>SUMIFS('9C Aurora total'!$P$1:$P$59,'9C Aurora total'!$C$1:$C$59,'8C Summary by resource'!$B48)</f>
        <v>1102.8039779000001</v>
      </c>
      <c r="D48" s="142">
        <f>SUMIFS('10C Not in Aurora'!$O$1:$O$24,'10C Not in Aurora'!$B$1:$B$24,'8C Summary by resource'!$B48)</f>
        <v>0</v>
      </c>
      <c r="E48" s="199">
        <f t="shared" si="4"/>
        <v>1102.8039779000001</v>
      </c>
      <c r="F48" s="199"/>
      <c r="G48" s="142">
        <f>SUMIFS('9C Aurora total'!$AD$1:$AD$59,'9C Aurora total'!$C$1:$C$59,'8C Summary by resource'!$B48)</f>
        <v>1102.8039778999996</v>
      </c>
      <c r="H48" s="142">
        <f>SUMIFS('10C Not in Aurora'!$P$1:$P$24,'10C Not in Aurora'!$B$1:$B$24,'8C Summary by resource'!$B48)</f>
        <v>0</v>
      </c>
      <c r="I48" s="199">
        <f t="shared" si="5"/>
        <v>1102.8039778999996</v>
      </c>
      <c r="J48" s="202"/>
      <c r="K48" s="142">
        <f t="shared" si="8"/>
        <v>0</v>
      </c>
      <c r="L48" s="142">
        <f t="shared" si="9"/>
        <v>0</v>
      </c>
      <c r="M48" s="199">
        <f t="shared" si="10"/>
        <v>0</v>
      </c>
      <c r="N48" s="241"/>
      <c r="O48" s="210">
        <f>SUMIFS('9C Aurora total'!P$63:P$114,'9C Aurora total'!$C$63:$C$114,'8C Summary by resource'!$B48)</f>
        <v>20651.759999999998</v>
      </c>
      <c r="P48" s="142">
        <f>SUMIFS('9C Aurora total'!AD$63:AD$114,'9C Aurora total'!$C$63:$C$114,'8C Summary by resource'!$B48)</f>
        <v>20651.759999999998</v>
      </c>
      <c r="Q48" s="199">
        <f t="shared" si="11"/>
        <v>0</v>
      </c>
    </row>
    <row r="49" spans="1:17" ht="15" x14ac:dyDescent="0.25">
      <c r="A49" s="73" t="s">
        <v>0</v>
      </c>
      <c r="B49" s="204" t="s">
        <v>100</v>
      </c>
      <c r="C49" s="142">
        <f>SUMIFS('9C Aurora total'!$P$1:$P$59,'9C Aurora total'!$C$1:$C$59,'8C Summary by resource'!$B49)</f>
        <v>3512.8869850000001</v>
      </c>
      <c r="D49" s="142">
        <f>SUMIFS('10C Not in Aurora'!$O$1:$O$24,'10C Not in Aurora'!$B$1:$B$24,'8C Summary by resource'!$B49)</f>
        <v>0</v>
      </c>
      <c r="E49" s="199">
        <f t="shared" si="4"/>
        <v>3512.8869850000001</v>
      </c>
      <c r="F49" s="199"/>
      <c r="G49" s="142">
        <f>SUMIFS('9C Aurora total'!$AD$1:$AD$59,'9C Aurora total'!$C$1:$C$59,'8C Summary by resource'!$B49)</f>
        <v>3477.1034789999994</v>
      </c>
      <c r="H49" s="142">
        <f>SUMIFS('10C Not in Aurora'!$P$1:$P$24,'10C Not in Aurora'!$B$1:$B$24,'8C Summary by resource'!$B49)</f>
        <v>0</v>
      </c>
      <c r="I49" s="199">
        <f t="shared" si="5"/>
        <v>3477.1034789999994</v>
      </c>
      <c r="J49" s="202"/>
      <c r="K49" s="142">
        <f t="shared" si="8"/>
        <v>35.783506000000671</v>
      </c>
      <c r="L49" s="142">
        <f t="shared" si="9"/>
        <v>0</v>
      </c>
      <c r="M49" s="199">
        <f t="shared" si="10"/>
        <v>35.783506000000671</v>
      </c>
      <c r="N49" s="241"/>
      <c r="O49" s="201">
        <f>SUMIFS('9C Aurora total'!P$63:P$114,'9C Aurora total'!$C$63:$C$114,'8C Summary by resource'!$B49)</f>
        <v>41164.097150000001</v>
      </c>
      <c r="P49" s="142">
        <f>SUMIFS('9C Aurora total'!AD$63:AD$114,'9C Aurora total'!$C$63:$C$114,'8C Summary by resource'!$B49)</f>
        <v>41164.097150000009</v>
      </c>
      <c r="Q49" s="199">
        <f t="shared" si="11"/>
        <v>0</v>
      </c>
    </row>
    <row r="50" spans="1:17" ht="15" x14ac:dyDescent="0.25">
      <c r="A50" s="73" t="s">
        <v>0</v>
      </c>
      <c r="B50" s="204" t="s">
        <v>107</v>
      </c>
      <c r="C50" s="142">
        <f>SUMIFS('9C Aurora total'!$P$1:$P$59,'9C Aurora total'!$C$1:$C$59,'8C Summary by resource'!$B50)</f>
        <v>5399.3252889999994</v>
      </c>
      <c r="D50" s="142">
        <f>SUMIFS('10C Not in Aurora'!$O$1:$O$24,'10C Not in Aurora'!$B$1:$B$24,'8C Summary by resource'!$B50)</f>
        <v>0</v>
      </c>
      <c r="E50" s="199">
        <f t="shared" si="4"/>
        <v>5399.3252889999994</v>
      </c>
      <c r="F50" s="199"/>
      <c r="G50" s="142">
        <f>SUMIFS('9C Aurora total'!$AD$1:$AD$59,'9C Aurora total'!$C$1:$C$59,'8C Summary by resource'!$B50)</f>
        <v>5399.3252890000003</v>
      </c>
      <c r="H50" s="142">
        <f>SUMIFS('10C Not in Aurora'!$P$1:$P$24,'10C Not in Aurora'!$B$1:$B$24,'8C Summary by resource'!$B50)</f>
        <v>0</v>
      </c>
      <c r="I50" s="199">
        <f t="shared" si="5"/>
        <v>5399.3252890000003</v>
      </c>
      <c r="J50" s="202"/>
      <c r="K50" s="142">
        <f t="shared" si="8"/>
        <v>0</v>
      </c>
      <c r="L50" s="142">
        <f t="shared" si="9"/>
        <v>0</v>
      </c>
      <c r="M50" s="199">
        <f t="shared" si="10"/>
        <v>0</v>
      </c>
      <c r="N50" s="241"/>
      <c r="O50" s="201">
        <f>SUMIFS('9C Aurora total'!P$63:P$114,'9C Aurora total'!$C$63:$C$114,'8C Summary by resource'!$B50)</f>
        <v>71991.003900000011</v>
      </c>
      <c r="P50" s="142">
        <f>SUMIFS('9C Aurora total'!AD$63:AD$114,'9C Aurora total'!$C$63:$C$114,'8C Summary by resource'!$B50)</f>
        <v>71991.003899999967</v>
      </c>
      <c r="Q50" s="199">
        <f t="shared" si="11"/>
        <v>0</v>
      </c>
    </row>
    <row r="51" spans="1:17" ht="15" x14ac:dyDescent="0.25">
      <c r="A51" s="73" t="s">
        <v>0</v>
      </c>
      <c r="B51" s="204" t="s">
        <v>108</v>
      </c>
      <c r="C51" s="142">
        <f>SUMIFS('9C Aurora total'!$P$1:$P$59,'9C Aurora total'!$C$1:$C$59,'8C Summary by resource'!$B51)</f>
        <v>0</v>
      </c>
      <c r="D51" s="142">
        <f>SUMIFS('10C Not in Aurora'!$O$1:$O$24,'10C Not in Aurora'!$B$1:$B$24,'8C Summary by resource'!$B51)</f>
        <v>0</v>
      </c>
      <c r="E51" s="199">
        <f t="shared" si="4"/>
        <v>0</v>
      </c>
      <c r="F51" s="199"/>
      <c r="G51" s="142">
        <f>SUMIFS('9C Aurora total'!$AD$1:$AD$59,'9C Aurora total'!$C$1:$C$59,'8C Summary by resource'!$B51)</f>
        <v>992.99920930000008</v>
      </c>
      <c r="H51" s="142">
        <f>SUMIFS('10C Not in Aurora'!$P$1:$P$24,'10C Not in Aurora'!$B$1:$B$24,'8C Summary by resource'!$B51)</f>
        <v>0</v>
      </c>
      <c r="I51" s="199">
        <f t="shared" si="5"/>
        <v>992.99920930000008</v>
      </c>
      <c r="J51" s="202"/>
      <c r="K51" s="142">
        <f t="shared" si="8"/>
        <v>-992.99920930000008</v>
      </c>
      <c r="L51" s="142">
        <f t="shared" si="9"/>
        <v>0</v>
      </c>
      <c r="M51" s="199">
        <f t="shared" si="10"/>
        <v>-992.99920930000008</v>
      </c>
      <c r="N51" s="241"/>
      <c r="O51" s="201">
        <f>SUMIFS('9C Aurora total'!P$63:P$114,'9C Aurora total'!$C$63:$C$114,'8C Summary by resource'!$B51)</f>
        <v>0</v>
      </c>
      <c r="P51" s="142">
        <f>SUMIFS('9C Aurora total'!AD$63:AD$114,'9C Aurora total'!$C$63:$C$114,'8C Summary by resource'!$B51)</f>
        <v>13239.989458300002</v>
      </c>
      <c r="Q51" s="199">
        <f t="shared" si="11"/>
        <v>-13239.989458300002</v>
      </c>
    </row>
    <row r="52" spans="1:17" ht="15.75" thickBot="1" x14ac:dyDescent="0.3">
      <c r="A52" s="73">
        <v>555</v>
      </c>
      <c r="B52" s="204" t="s">
        <v>104</v>
      </c>
      <c r="C52" s="142">
        <f>SUMIFS('9C Aurora total'!$P$1:$P$59,'9C Aurora total'!$C$1:$C$59,'8C Summary by resource'!$B52)</f>
        <v>9038.7925986999999</v>
      </c>
      <c r="D52" s="142">
        <f>SUMIFS('10C Not in Aurora'!$O$1:$O$24,'10C Not in Aurora'!$B$1:$B$24,'8C Summary by resource'!$B52)</f>
        <v>0</v>
      </c>
      <c r="E52" s="199">
        <f t="shared" si="4"/>
        <v>9038.7925986999999</v>
      </c>
      <c r="F52" s="199"/>
      <c r="G52" s="142">
        <f>SUMIFS('9C Aurora total'!$AD$1:$AD$59,'9C Aurora total'!$C$1:$C$59,'8C Summary by resource'!$B52)</f>
        <v>12029.69930699999</v>
      </c>
      <c r="H52" s="142">
        <f>SUMIFS('10C Not in Aurora'!$P$1:$P$24,'10C Not in Aurora'!$B$1:$B$24,'8C Summary by resource'!$B52)</f>
        <v>0</v>
      </c>
      <c r="I52" s="199">
        <f t="shared" si="5"/>
        <v>12029.69930699999</v>
      </c>
      <c r="J52" s="202"/>
      <c r="K52" s="146">
        <f t="shared" si="8"/>
        <v>-2990.90670829999</v>
      </c>
      <c r="L52" s="146">
        <f t="shared" si="9"/>
        <v>0</v>
      </c>
      <c r="M52" s="200">
        <f t="shared" si="10"/>
        <v>-2990.90670829999</v>
      </c>
      <c r="N52" s="241"/>
      <c r="O52" s="230">
        <f>SUMIFS('9C Aurora total'!P$63:P$114,'9C Aurora total'!$C$63:$C$114,'8C Summary by resource'!$B52)</f>
        <v>121690.14348999997</v>
      </c>
      <c r="P52" s="142">
        <f>SUMIFS('9C Aurora total'!AD$63:AD$114,'9C Aurora total'!$C$63:$C$114,'8C Summary by resource'!$B52)</f>
        <v>154461.83999999994</v>
      </c>
      <c r="Q52" s="199">
        <f t="shared" si="11"/>
        <v>-32771.696509999965</v>
      </c>
    </row>
    <row r="53" spans="1:17" ht="15.75" thickTop="1" x14ac:dyDescent="0.25">
      <c r="A53" s="73">
        <v>447</v>
      </c>
      <c r="B53" s="119" t="s">
        <v>74</v>
      </c>
      <c r="C53" s="177">
        <f>SUMIFS('9C Aurora total'!$P$1:$P$59,'9C Aurora total'!$C$1:$C$59,'8C Summary by resource'!$B53)</f>
        <v>0</v>
      </c>
      <c r="D53" s="178">
        <f>SUMIFS('10C Not in Aurora'!$O$1:$O$24,'10C Not in Aurora'!$B$1:$B$24,'8C Summary by resource'!$B53)</f>
        <v>0</v>
      </c>
      <c r="E53" s="179">
        <f t="shared" si="4"/>
        <v>0</v>
      </c>
      <c r="F53" s="142"/>
      <c r="G53" s="177">
        <f>SUMIFS('9C Aurora total'!$AD$1:$AD$59,'9C Aurora total'!$C$1:$C$59,'8C Summary by resource'!$B53)</f>
        <v>-31189.996580000006</v>
      </c>
      <c r="H53" s="178">
        <f>SUMIFS('10C Not in Aurora'!$P$1:$P$24,'10C Not in Aurora'!$B$1:$B$24,'8C Summary by resource'!$B53)</f>
        <v>0</v>
      </c>
      <c r="I53" s="179">
        <f t="shared" si="5"/>
        <v>-31189.996580000006</v>
      </c>
      <c r="J53" s="143"/>
      <c r="K53" s="140">
        <f t="shared" si="8"/>
        <v>31189.996580000006</v>
      </c>
      <c r="L53" s="141">
        <f t="shared" si="9"/>
        <v>0</v>
      </c>
      <c r="M53" s="180">
        <f t="shared" si="10"/>
        <v>31189.996580000006</v>
      </c>
      <c r="O53" s="177">
        <f>SUMIFS('9C Aurora total'!P$63:P$114,'9C Aurora total'!$C$63:$C$114,'8C Summary by resource'!$B53)</f>
        <v>0</v>
      </c>
      <c r="P53" s="178">
        <f>SUMIFS('9C Aurora total'!AD$63:AD$114,'9C Aurora total'!$C$63:$C$114,'8C Summary by resource'!$B53)</f>
        <v>-991160</v>
      </c>
      <c r="Q53" s="179">
        <f t="shared" si="11"/>
        <v>991160</v>
      </c>
    </row>
    <row r="54" spans="1:17" ht="15" x14ac:dyDescent="0.25">
      <c r="A54" s="73">
        <v>555</v>
      </c>
      <c r="B54" s="119" t="s">
        <v>75</v>
      </c>
      <c r="C54" s="140">
        <f>SUMIFS('9C Aurora total'!$P$1:$P$59,'9C Aurora total'!$C$1:$C$59,'8C Summary by resource'!$B54)</f>
        <v>1725.1999999999998</v>
      </c>
      <c r="D54" s="141">
        <f>SUMIFS('10C Not in Aurora'!$O$1:$O$24,'10C Not in Aurora'!$B$1:$B$24,'8C Summary by resource'!$B54)</f>
        <v>0</v>
      </c>
      <c r="E54" s="180">
        <f t="shared" si="4"/>
        <v>1725.1999999999998</v>
      </c>
      <c r="F54" s="142"/>
      <c r="G54" s="140">
        <f>SUMIFS('9C Aurora total'!$AD$1:$AD$59,'9C Aurora total'!$C$1:$C$59,'8C Summary by resource'!$B54)</f>
        <v>62954.200200000014</v>
      </c>
      <c r="H54" s="141">
        <f>SUMIFS('10C Not in Aurora'!$P$1:$P$24,'10C Not in Aurora'!$B$1:$B$24,'8C Summary by resource'!$B54)</f>
        <v>0</v>
      </c>
      <c r="I54" s="180">
        <f t="shared" si="5"/>
        <v>62954.200200000014</v>
      </c>
      <c r="J54" s="143"/>
      <c r="K54" s="140">
        <f t="shared" si="8"/>
        <v>-61229.000200000017</v>
      </c>
      <c r="L54" s="141">
        <f t="shared" si="9"/>
        <v>0</v>
      </c>
      <c r="M54" s="180">
        <f t="shared" si="10"/>
        <v>-61229.000200000017</v>
      </c>
      <c r="O54" s="140">
        <f>SUMIFS('9C Aurora total'!P$63:P$114,'9C Aurora total'!$C$63:$C$114,'8C Summary by resource'!$B54)</f>
        <v>30400</v>
      </c>
      <c r="P54" s="141">
        <f>SUMIFS('9C Aurora total'!AD$63:AD$114,'9C Aurora total'!$C$63:$C$114,'8C Summary by resource'!$B54)</f>
        <v>1983747.5508000003</v>
      </c>
      <c r="Q54" s="180">
        <f t="shared" si="11"/>
        <v>-1953347.5508000003</v>
      </c>
    </row>
    <row r="55" spans="1:17" ht="15" x14ac:dyDescent="0.25">
      <c r="A55" s="73" t="s">
        <v>2</v>
      </c>
      <c r="B55" s="119" t="s">
        <v>162</v>
      </c>
      <c r="C55" s="140">
        <f>SUMIFS('9C Aurora total'!$P$1:$P$59,'9C Aurora total'!$C$1:$C$59,'8C Summary by resource'!$B55)</f>
        <v>83484.088531999994</v>
      </c>
      <c r="D55" s="141">
        <f>SUMIFS('10C Not in Aurora'!$O$1:$O$24,'10C Not in Aurora'!$B$1:$B$24,'8C Summary by resource'!$B55)</f>
        <v>0</v>
      </c>
      <c r="E55" s="180">
        <f t="shared" si="4"/>
        <v>83484.088531999994</v>
      </c>
      <c r="F55" s="142"/>
      <c r="G55" s="140">
        <f>SUMIFS('9C Aurora total'!$AD$1:$AD$59,'9C Aurora total'!$C$1:$C$59,'8C Summary by resource'!$B55)</f>
        <v>82703.849370750002</v>
      </c>
      <c r="H55" s="141">
        <f>SUMIFS('10C Not in Aurora'!$P$1:$P$24,'10C Not in Aurora'!$B$1:$B$24,'8C Summary by resource'!$B55)</f>
        <v>0</v>
      </c>
      <c r="I55" s="180">
        <f t="shared" si="5"/>
        <v>82703.849370750002</v>
      </c>
      <c r="J55" s="143"/>
      <c r="K55" s="140">
        <f t="shared" si="8"/>
        <v>780.23916124999232</v>
      </c>
      <c r="L55" s="147">
        <f t="shared" si="9"/>
        <v>0</v>
      </c>
      <c r="M55" s="180">
        <f t="shared" si="10"/>
        <v>780.23916124999232</v>
      </c>
      <c r="O55" s="140">
        <f>SUMIFS('9C Aurora total'!P$63:P$114,'9C Aurora total'!$C$63:$C$114,'8C Summary by resource'!$B55)</f>
        <v>2586521.3364200001</v>
      </c>
      <c r="P55" s="141">
        <f>SUMIFS('9C Aurora total'!AD$63:AD$114,'9C Aurora total'!$C$63:$C$114,'8C Summary by resource'!$B55)</f>
        <v>3518528.7178837494</v>
      </c>
      <c r="Q55" s="180">
        <f t="shared" si="11"/>
        <v>-932007.38146374933</v>
      </c>
    </row>
    <row r="56" spans="1:17" ht="15" x14ac:dyDescent="0.25">
      <c r="A56" s="73">
        <v>447</v>
      </c>
      <c r="B56" s="119" t="s">
        <v>161</v>
      </c>
      <c r="C56" s="140">
        <f>SUMIFS('9C Aurora total'!$P$1:$P$59,'9C Aurora total'!$C$1:$C$59,'8C Summary by resource'!$B56)</f>
        <v>-82886.295329999994</v>
      </c>
      <c r="D56" s="141">
        <f>SUMIFS('10C Not in Aurora'!$O$1:$O$24,'10C Not in Aurora'!$B$1:$B$24,'8C Summary by resource'!$B56)</f>
        <v>0</v>
      </c>
      <c r="E56" s="180">
        <f t="shared" si="4"/>
        <v>-82886.295329999994</v>
      </c>
      <c r="F56" s="142"/>
      <c r="G56" s="140">
        <f>SUMIFS('9C Aurora total'!$AD$1:$AD$59,'9C Aurora total'!$C$1:$C$59,'8C Summary by resource'!$B56)</f>
        <v>-15016.034830176457</v>
      </c>
      <c r="H56" s="141">
        <f>SUMIFS('10C Not in Aurora'!$P$1:$P$24,'10C Not in Aurora'!$B$1:$B$24,'8C Summary by resource'!$B56)</f>
        <v>0</v>
      </c>
      <c r="I56" s="180">
        <f t="shared" si="5"/>
        <v>-15016.034830176457</v>
      </c>
      <c r="J56" s="143"/>
      <c r="K56" s="140">
        <f t="shared" si="8"/>
        <v>-67870.260499823533</v>
      </c>
      <c r="L56" s="141">
        <f t="shared" si="9"/>
        <v>0</v>
      </c>
      <c r="M56" s="180">
        <f t="shared" si="10"/>
        <v>-67870.260499823533</v>
      </c>
      <c r="O56" s="140">
        <f>SUMIFS('9C Aurora total'!P$63:P$114,'9C Aurora total'!$C$63:$C$114,'8C Summary by resource'!$B56)</f>
        <v>-2476492.7762300004</v>
      </c>
      <c r="P56" s="141">
        <f>SUMIFS('9C Aurora total'!AD$63:AD$114,'9C Aurora total'!$C$63:$C$114,'8C Summary by resource'!$B56)</f>
        <v>-430192.73768737243</v>
      </c>
      <c r="Q56" s="180">
        <f t="shared" si="11"/>
        <v>-2046300.0385426281</v>
      </c>
    </row>
    <row r="57" spans="1:17" ht="15" x14ac:dyDescent="0.25">
      <c r="A57" s="73" t="s">
        <v>2</v>
      </c>
      <c r="B57" s="119" t="s">
        <v>160</v>
      </c>
      <c r="C57" s="140">
        <f>SUMIFS('9C Aurora total'!$P$1:$P$59,'9C Aurora total'!$C$1:$C$59,'8C Summary by resource'!$B57)</f>
        <v>29362.29362</v>
      </c>
      <c r="D57" s="141">
        <f>SUMIFS('10C Not in Aurora'!$O$1:$O$24,'10C Not in Aurora'!$B$1:$B$24,'8C Summary by resource'!$B57)</f>
        <v>0</v>
      </c>
      <c r="E57" s="180">
        <f t="shared" ref="E57:E58" si="14">C57+D57</f>
        <v>29362.29362</v>
      </c>
      <c r="F57" s="142"/>
      <c r="G57" s="140">
        <f>SUMIFS('9C Aurora total'!$AD$1:$AD$59,'9C Aurora total'!$C$1:$C$59,'8C Summary by resource'!$B57)</f>
        <v>0</v>
      </c>
      <c r="H57" s="141">
        <f>SUMIFS('10C Not in Aurora'!$P$1:$P$24,'10C Not in Aurora'!$B$1:$B$24,'8C Summary by resource'!$B57)</f>
        <v>0</v>
      </c>
      <c r="I57" s="180">
        <f t="shared" ref="I57:I58" si="15">G57+H57</f>
        <v>0</v>
      </c>
      <c r="J57" s="143"/>
      <c r="K57" s="140">
        <f t="shared" si="8"/>
        <v>29362.29362</v>
      </c>
      <c r="L57" s="141">
        <f t="shared" si="9"/>
        <v>0</v>
      </c>
      <c r="M57" s="180">
        <f t="shared" si="10"/>
        <v>29362.29362</v>
      </c>
      <c r="O57" s="140">
        <f>SUMIFS('9C Aurora total'!P$63:P$114,'9C Aurora total'!$C$63:$C$114,'8C Summary by resource'!$B57)</f>
        <v>836550.45380000002</v>
      </c>
      <c r="P57" s="141">
        <f>SUMIFS('9C Aurora total'!AD$63:AD$114,'9C Aurora total'!$C$63:$C$114,'8C Summary by resource'!$B57)</f>
        <v>0</v>
      </c>
      <c r="Q57" s="180">
        <f t="shared" si="11"/>
        <v>836550.45380000002</v>
      </c>
    </row>
    <row r="58" spans="1:17" ht="15.75" thickBot="1" x14ac:dyDescent="0.3">
      <c r="A58" s="73">
        <v>447</v>
      </c>
      <c r="B58" s="119" t="s">
        <v>133</v>
      </c>
      <c r="C58" s="140">
        <f>SUMIFS('9C Aurora total'!$P$1:$P$59,'9C Aurora total'!$C$1:$C$59,'8C Summary by resource'!$B58)</f>
        <v>-45648.906590000006</v>
      </c>
      <c r="D58" s="141">
        <f>SUMIFS('10C Not in Aurora'!$O$1:$O$24,'10C Not in Aurora'!$B$1:$B$24,'8C Summary by resource'!$B58)</f>
        <v>0</v>
      </c>
      <c r="E58" s="180">
        <f t="shared" si="14"/>
        <v>-45648.906590000006</v>
      </c>
      <c r="F58" s="142"/>
      <c r="G58" s="140">
        <f>SUMIFS('9C Aurora total'!$AD$1:$AD$59,'9C Aurora total'!$C$1:$C$59,'8C Summary by resource'!$B58)</f>
        <v>0</v>
      </c>
      <c r="H58" s="141">
        <f>SUMIFS('10C Not in Aurora'!$P$1:$P$24,'10C Not in Aurora'!$B$1:$B$24,'8C Summary by resource'!$B58)</f>
        <v>0</v>
      </c>
      <c r="I58" s="180">
        <f t="shared" si="15"/>
        <v>0</v>
      </c>
      <c r="J58" s="143"/>
      <c r="K58" s="140">
        <f t="shared" si="8"/>
        <v>-45648.906590000006</v>
      </c>
      <c r="L58" s="141">
        <f t="shared" si="9"/>
        <v>0</v>
      </c>
      <c r="M58" s="180">
        <f t="shared" si="10"/>
        <v>-45648.906590000006</v>
      </c>
      <c r="O58" s="144">
        <f>SUMIFS('9C Aurora total'!P$63:P$114,'9C Aurora total'!$C$63:$C$114,'8C Summary by resource'!$B58)</f>
        <v>-1299401.6520999998</v>
      </c>
      <c r="P58" s="145">
        <f>SUMIFS('9C Aurora total'!AD$63:AD$114,'9C Aurora total'!$C$63:$C$114,'8C Summary by resource'!$B58)</f>
        <v>0</v>
      </c>
      <c r="Q58" s="181">
        <f t="shared" si="11"/>
        <v>-1299401.6520999998</v>
      </c>
    </row>
    <row r="59" spans="1:17" ht="15.75" thickTop="1" x14ac:dyDescent="0.25">
      <c r="A59" s="73" t="s">
        <v>0</v>
      </c>
      <c r="B59" s="119" t="s">
        <v>69</v>
      </c>
      <c r="C59" s="140">
        <f>SUMIFS('9C Aurora total'!$P$1:$P$59,'9C Aurora total'!$C$1:$C$59,'8C Summary by resource'!$B59)</f>
        <v>0</v>
      </c>
      <c r="D59" s="141" t="e">
        <f>'10C Not in Aurora'!$O13</f>
        <v>#REF!</v>
      </c>
      <c r="E59" s="180" t="e">
        <f t="shared" si="4"/>
        <v>#REF!</v>
      </c>
      <c r="F59" s="142"/>
      <c r="G59" s="140">
        <f>SUMIFS('9C Aurora total'!$AD$1:$AD$59,'9C Aurora total'!$C$1:$C$59,'8C Summary by resource'!$B59)</f>
        <v>0</v>
      </c>
      <c r="H59" s="141" t="e">
        <f>'10C Not in Aurora'!$P13</f>
        <v>#REF!</v>
      </c>
      <c r="I59" s="180" t="e">
        <f t="shared" si="5"/>
        <v>#REF!</v>
      </c>
      <c r="J59" s="143"/>
      <c r="K59" s="140">
        <f t="shared" si="8"/>
        <v>0</v>
      </c>
      <c r="L59" s="141" t="e">
        <f t="shared" si="9"/>
        <v>#REF!</v>
      </c>
      <c r="M59" s="180" t="e">
        <f t="shared" si="10"/>
        <v>#REF!</v>
      </c>
      <c r="N59" s="229"/>
      <c r="O59" s="201">
        <f>SUMIFS('9C Aurora total'!P$63:P$114,'9C Aurora total'!$C$63:$C$114,'8C Summary by resource'!$B59)</f>
        <v>0</v>
      </c>
      <c r="P59" s="142">
        <f>SUMIFS('9C Aurora total'!AD$63:AD$114,'9C Aurora total'!$C$63:$C$114,'8C Summary by resource'!$B59)</f>
        <v>0</v>
      </c>
      <c r="Q59" s="199">
        <f t="shared" si="11"/>
        <v>0</v>
      </c>
    </row>
    <row r="60" spans="1:17" ht="15" x14ac:dyDescent="0.25">
      <c r="A60" s="73">
        <v>565</v>
      </c>
      <c r="B60" s="119" t="s">
        <v>114</v>
      </c>
      <c r="C60" s="140">
        <f>SUMIFS('9C Aurora total'!$P$1:$P$59,'9C Aurora total'!$C$1:$C$59,'8C Summary by resource'!$B60)</f>
        <v>0</v>
      </c>
      <c r="D60" s="141" t="e">
        <f>SUMIFS('10C Not in Aurora'!$O$1:$O$24,'10C Not in Aurora'!$B$1:$B$24,'8C Summary by resource'!$B60)</f>
        <v>#REF!</v>
      </c>
      <c r="E60" s="180" t="e">
        <f t="shared" si="4"/>
        <v>#REF!</v>
      </c>
      <c r="F60" s="142"/>
      <c r="G60" s="140">
        <f>SUMIFS('9C Aurora total'!$AD$1:$AD$59,'9C Aurora total'!$C$1:$C$59,'8C Summary by resource'!$B60)</f>
        <v>0</v>
      </c>
      <c r="H60" s="141" t="e">
        <f>SUMIFS('10C Not in Aurora'!$P$1:$P$24,'10C Not in Aurora'!$B$1:$B$24,'8C Summary by resource'!$B60)</f>
        <v>#REF!</v>
      </c>
      <c r="I60" s="180" t="e">
        <f t="shared" si="5"/>
        <v>#REF!</v>
      </c>
      <c r="J60" s="143"/>
      <c r="K60" s="140">
        <f t="shared" si="8"/>
        <v>0</v>
      </c>
      <c r="L60" s="141" t="e">
        <f t="shared" si="9"/>
        <v>#REF!</v>
      </c>
      <c r="M60" s="180" t="e">
        <f t="shared" si="10"/>
        <v>#REF!</v>
      </c>
      <c r="N60" s="229"/>
      <c r="O60" s="201">
        <f>SUMIFS('9C Aurora total'!P$63:P$114,'9C Aurora total'!$C$63:$C$114,'8C Summary by resource'!$B60)</f>
        <v>0</v>
      </c>
      <c r="P60" s="142">
        <f>SUMIFS('9C Aurora total'!AD$63:AD$114,'9C Aurora total'!$C$63:$C$114,'8C Summary by resource'!$B60)</f>
        <v>0</v>
      </c>
      <c r="Q60" s="199">
        <f t="shared" si="11"/>
        <v>0</v>
      </c>
    </row>
    <row r="61" spans="1:17" ht="15" x14ac:dyDescent="0.25">
      <c r="A61" s="73">
        <v>565</v>
      </c>
      <c r="B61" s="119" t="s">
        <v>37</v>
      </c>
      <c r="C61" s="140">
        <f>SUMIFS('9C Aurora total'!$P$1:$P$59,'9C Aurora total'!$C$1:$C$59,'8C Summary by resource'!$B61)</f>
        <v>0</v>
      </c>
      <c r="D61" s="141" t="e">
        <f>SUMIFS('10C Not in Aurora'!$O$1:$O$24,'10C Not in Aurora'!$B$1:$B$24,'8C Summary by resource'!$B61)</f>
        <v>#REF!</v>
      </c>
      <c r="E61" s="180" t="e">
        <f t="shared" si="4"/>
        <v>#REF!</v>
      </c>
      <c r="F61" s="142"/>
      <c r="G61" s="140">
        <f>SUMIFS('9C Aurora total'!$AD$1:$AD$59,'9C Aurora total'!$C$1:$C$59,'8C Summary by resource'!$B61)</f>
        <v>0</v>
      </c>
      <c r="H61" s="141" t="e">
        <f>SUMIFS('10C Not in Aurora'!$P$1:$P$24,'10C Not in Aurora'!$B$1:$B$24,'8C Summary by resource'!$B61)</f>
        <v>#REF!</v>
      </c>
      <c r="I61" s="180" t="e">
        <f t="shared" si="5"/>
        <v>#REF!</v>
      </c>
      <c r="J61" s="143"/>
      <c r="K61" s="140">
        <f t="shared" si="8"/>
        <v>0</v>
      </c>
      <c r="L61" s="141" t="e">
        <f t="shared" si="9"/>
        <v>#REF!</v>
      </c>
      <c r="M61" s="180" t="e">
        <f t="shared" si="10"/>
        <v>#REF!</v>
      </c>
      <c r="N61" s="229"/>
      <c r="O61" s="201">
        <f>SUMIFS('9C Aurora total'!P$63:P$114,'9C Aurora total'!$C$63:$C$114,'8C Summary by resource'!$B61)</f>
        <v>0</v>
      </c>
      <c r="P61" s="142">
        <f>SUMIFS('9C Aurora total'!AD$63:AD$114,'9C Aurora total'!$C$63:$C$114,'8C Summary by resource'!$B61)</f>
        <v>0</v>
      </c>
      <c r="Q61" s="199">
        <f t="shared" si="11"/>
        <v>0</v>
      </c>
    </row>
    <row r="62" spans="1:17" ht="15" x14ac:dyDescent="0.25">
      <c r="A62" s="73">
        <v>565</v>
      </c>
      <c r="B62" s="119" t="s">
        <v>59</v>
      </c>
      <c r="C62" s="140">
        <f>SUMIFS('9C Aurora total'!$P$1:$P$59,'9C Aurora total'!$C$1:$C$59,'8C Summary by resource'!$B62)</f>
        <v>0</v>
      </c>
      <c r="D62" s="141" t="e">
        <f>'10C Not in Aurora'!$O16</f>
        <v>#REF!</v>
      </c>
      <c r="E62" s="180" t="e">
        <f t="shared" si="4"/>
        <v>#REF!</v>
      </c>
      <c r="F62" s="142"/>
      <c r="G62" s="140">
        <f>SUMIFS('9C Aurora total'!$AD$1:$AD$59,'9C Aurora total'!$C$1:$C$59,'8C Summary by resource'!$B62)</f>
        <v>0</v>
      </c>
      <c r="H62" s="141" t="e">
        <f>'10C Not in Aurora'!$P16</f>
        <v>#REF!</v>
      </c>
      <c r="I62" s="180" t="e">
        <f t="shared" si="5"/>
        <v>#REF!</v>
      </c>
      <c r="J62" s="143"/>
      <c r="K62" s="140">
        <f t="shared" si="8"/>
        <v>0</v>
      </c>
      <c r="L62" s="141" t="e">
        <f t="shared" si="9"/>
        <v>#REF!</v>
      </c>
      <c r="M62" s="180" t="e">
        <f t="shared" si="10"/>
        <v>#REF!</v>
      </c>
      <c r="N62" s="229"/>
      <c r="O62" s="201">
        <f>SUMIFS('9C Aurora total'!P$63:P$114,'9C Aurora total'!$C$63:$C$114,'8C Summary by resource'!$B62)</f>
        <v>0</v>
      </c>
      <c r="P62" s="142">
        <f>SUMIFS('9C Aurora total'!AD$63:AD$114,'9C Aurora total'!$C$63:$C$114,'8C Summary by resource'!$B62)</f>
        <v>0</v>
      </c>
      <c r="Q62" s="199">
        <f t="shared" si="11"/>
        <v>0</v>
      </c>
    </row>
    <row r="63" spans="1:17" ht="15" x14ac:dyDescent="0.25">
      <c r="A63" s="73">
        <v>456</v>
      </c>
      <c r="B63" s="119" t="s">
        <v>78</v>
      </c>
      <c r="C63" s="140">
        <f>SUMIFS('9C Aurora total'!$P$1:$P$59,'9C Aurora total'!$C$1:$C$59,'8C Summary by resource'!$B63)</f>
        <v>0</v>
      </c>
      <c r="D63" s="141" t="e">
        <f>'10C Not in Aurora'!$O17</f>
        <v>#REF!</v>
      </c>
      <c r="E63" s="180" t="e">
        <f t="shared" si="4"/>
        <v>#REF!</v>
      </c>
      <c r="F63" s="142"/>
      <c r="G63" s="140">
        <f>SUMIFS('9C Aurora total'!$AD$1:$AD$59,'9C Aurora total'!$C$1:$C$59,'8C Summary by resource'!$B63)</f>
        <v>0</v>
      </c>
      <c r="H63" s="141" t="e">
        <f>'10C Not in Aurora'!$P17</f>
        <v>#REF!</v>
      </c>
      <c r="I63" s="180" t="e">
        <f t="shared" si="5"/>
        <v>#REF!</v>
      </c>
      <c r="J63" s="143"/>
      <c r="K63" s="140">
        <f t="shared" si="8"/>
        <v>0</v>
      </c>
      <c r="L63" s="141" t="e">
        <f t="shared" si="9"/>
        <v>#REF!</v>
      </c>
      <c r="M63" s="180" t="e">
        <f t="shared" si="10"/>
        <v>#REF!</v>
      </c>
      <c r="N63" s="229"/>
      <c r="O63" s="201">
        <f>SUMIFS('9C Aurora total'!P$63:P$114,'9C Aurora total'!$C$63:$C$114,'8C Summary by resource'!$B63)</f>
        <v>0</v>
      </c>
      <c r="P63" s="142">
        <f>SUMIFS('9C Aurora total'!AD$63:AD$114,'9C Aurora total'!$C$63:$C$114,'8C Summary by resource'!$B63)</f>
        <v>0</v>
      </c>
      <c r="Q63" s="199">
        <f t="shared" si="11"/>
        <v>0</v>
      </c>
    </row>
    <row r="64" spans="1:17" ht="15" x14ac:dyDescent="0.25">
      <c r="A64" s="73">
        <v>547</v>
      </c>
      <c r="B64" s="119" t="s">
        <v>34</v>
      </c>
      <c r="C64" s="140">
        <f>SUMIFS('9C Aurora total'!$P$1:$P$59,'9C Aurora total'!$C$1:$C$59,'8C Summary by resource'!$B64)</f>
        <v>0</v>
      </c>
      <c r="D64" s="141" t="e">
        <f>SUMIFS('10C Not in Aurora'!$O$1:$O$24,'10C Not in Aurora'!$B$1:$B$24,'8C Summary by resource'!$B64)</f>
        <v>#REF!</v>
      </c>
      <c r="E64" s="180" t="e">
        <f t="shared" si="4"/>
        <v>#REF!</v>
      </c>
      <c r="F64" s="142"/>
      <c r="G64" s="140">
        <f>SUMIFS('9C Aurora total'!$AD$1:$AD$59,'9C Aurora total'!$C$1:$C$59,'8C Summary by resource'!$B64)</f>
        <v>0</v>
      </c>
      <c r="H64" s="141" t="e">
        <f>SUMIFS('10C Not in Aurora'!$P$1:$P$24,'10C Not in Aurora'!$B$1:$B$24,'8C Summary by resource'!$B64)</f>
        <v>#REF!</v>
      </c>
      <c r="I64" s="180" t="e">
        <f t="shared" si="5"/>
        <v>#REF!</v>
      </c>
      <c r="J64" s="143"/>
      <c r="K64" s="140">
        <f t="shared" si="8"/>
        <v>0</v>
      </c>
      <c r="L64" s="141" t="e">
        <f t="shared" si="9"/>
        <v>#REF!</v>
      </c>
      <c r="M64" s="180" t="e">
        <f t="shared" si="10"/>
        <v>#REF!</v>
      </c>
      <c r="N64" s="229"/>
      <c r="O64" s="201">
        <f>SUMIFS('9C Aurora total'!P$63:P$114,'9C Aurora total'!$C$63:$C$114,'8C Summary by resource'!$B64)</f>
        <v>0</v>
      </c>
      <c r="P64" s="142">
        <f>SUMIFS('9C Aurora total'!AD$63:AD$114,'9C Aurora total'!$C$63:$C$114,'8C Summary by resource'!$B64)</f>
        <v>0</v>
      </c>
      <c r="Q64" s="199">
        <f t="shared" si="11"/>
        <v>0</v>
      </c>
    </row>
    <row r="65" spans="1:17" ht="15" x14ac:dyDescent="0.25">
      <c r="A65" s="61" t="s">
        <v>2</v>
      </c>
      <c r="B65" s="119" t="s">
        <v>41</v>
      </c>
      <c r="C65" s="140">
        <f>SUMIFS('9C Aurora total'!$P$1:$P$59,'9C Aurora total'!$C$1:$C$59,'8C Summary by resource'!$B65)</f>
        <v>0</v>
      </c>
      <c r="D65" s="141" t="e">
        <f>SUMIFS('10C Not in Aurora'!$O$1:$O$24,'10C Not in Aurora'!$B$1:$B$24,'8C Summary by resource'!$B65)</f>
        <v>#REF!</v>
      </c>
      <c r="E65" s="180" t="e">
        <f t="shared" si="4"/>
        <v>#REF!</v>
      </c>
      <c r="F65" s="142"/>
      <c r="G65" s="140">
        <f>SUMIFS('9C Aurora total'!$AD$1:$AD$59,'9C Aurora total'!$C$1:$C$59,'8C Summary by resource'!$B65)</f>
        <v>0</v>
      </c>
      <c r="H65" s="141" t="e">
        <f>SUMIFS('10C Not in Aurora'!$P$1:$P$24,'10C Not in Aurora'!$B$1:$B$24,'8C Summary by resource'!$B65)</f>
        <v>#REF!</v>
      </c>
      <c r="I65" s="180" t="e">
        <f t="shared" si="5"/>
        <v>#REF!</v>
      </c>
      <c r="J65" s="143"/>
      <c r="K65" s="140">
        <f t="shared" si="8"/>
        <v>0</v>
      </c>
      <c r="L65" s="141" t="e">
        <f t="shared" si="9"/>
        <v>#REF!</v>
      </c>
      <c r="M65" s="180" t="e">
        <f t="shared" si="10"/>
        <v>#REF!</v>
      </c>
      <c r="N65" s="229"/>
      <c r="O65" s="201">
        <f>SUMIFS('9C Aurora total'!P$63:P$114,'9C Aurora total'!$C$63:$C$114,'8C Summary by resource'!$B65)</f>
        <v>0</v>
      </c>
      <c r="P65" s="142">
        <f>SUMIFS('9C Aurora total'!AD$63:AD$114,'9C Aurora total'!$C$63:$C$114,'8C Summary by resource'!$B65)</f>
        <v>0</v>
      </c>
      <c r="Q65" s="199">
        <f t="shared" si="11"/>
        <v>0</v>
      </c>
    </row>
    <row r="66" spans="1:17" ht="15" x14ac:dyDescent="0.25">
      <c r="A66" s="73">
        <v>547</v>
      </c>
      <c r="B66" s="119" t="s">
        <v>57</v>
      </c>
      <c r="C66" s="140">
        <f>SUMIFS('9C Aurora total'!$P$1:$P$59,'9C Aurora total'!$C$1:$C$59,'8C Summary by resource'!$B66)</f>
        <v>0</v>
      </c>
      <c r="D66" s="141" t="e">
        <f>'10C Not in Aurora'!$O20</f>
        <v>#REF!</v>
      </c>
      <c r="E66" s="180" t="e">
        <f t="shared" si="4"/>
        <v>#REF!</v>
      </c>
      <c r="F66" s="142"/>
      <c r="G66" s="140">
        <f>SUMIFS('9C Aurora total'!$AD$1:$AD$59,'9C Aurora total'!$C$1:$C$59,'8C Summary by resource'!$B66)</f>
        <v>0</v>
      </c>
      <c r="H66" s="141" t="e">
        <f>'10C Not in Aurora'!$P20</f>
        <v>#REF!</v>
      </c>
      <c r="I66" s="180" t="e">
        <f t="shared" si="5"/>
        <v>#REF!</v>
      </c>
      <c r="J66" s="143"/>
      <c r="K66" s="140">
        <f t="shared" si="8"/>
        <v>0</v>
      </c>
      <c r="L66" s="141" t="e">
        <f t="shared" si="9"/>
        <v>#REF!</v>
      </c>
      <c r="M66" s="180" t="e">
        <f t="shared" si="10"/>
        <v>#REF!</v>
      </c>
      <c r="N66" s="229"/>
      <c r="O66" s="201">
        <f>SUMIFS('9C Aurora total'!P$63:P$114,'9C Aurora total'!$C$63:$C$114,'8C Summary by resource'!$B66)</f>
        <v>0</v>
      </c>
      <c r="P66" s="142">
        <f>SUMIFS('9C Aurora total'!AD$63:AD$114,'9C Aurora total'!$C$63:$C$114,'8C Summary by resource'!$B66)</f>
        <v>0</v>
      </c>
      <c r="Q66" s="199">
        <f t="shared" si="11"/>
        <v>0</v>
      </c>
    </row>
    <row r="67" spans="1:17" ht="15" x14ac:dyDescent="0.25">
      <c r="A67" s="73">
        <v>547</v>
      </c>
      <c r="B67" s="119" t="s">
        <v>42</v>
      </c>
      <c r="C67" s="140">
        <f>SUMIFS('9C Aurora total'!$P$1:$P$59,'9C Aurora total'!$C$1:$C$59,'8C Summary by resource'!$B67)</f>
        <v>0</v>
      </c>
      <c r="D67" s="141" t="e">
        <f>SUMIFS('10C Not in Aurora'!$O$1:$O$24,'10C Not in Aurora'!$B$1:$B$24,'8C Summary by resource'!$B67)</f>
        <v>#REF!</v>
      </c>
      <c r="E67" s="180" t="e">
        <f t="shared" si="4"/>
        <v>#REF!</v>
      </c>
      <c r="F67" s="142"/>
      <c r="G67" s="140">
        <f>SUMIFS('9C Aurora total'!$AD$1:$AD$59,'9C Aurora total'!$C$1:$C$59,'8C Summary by resource'!$B67)</f>
        <v>0</v>
      </c>
      <c r="H67" s="141" t="e">
        <f>SUMIFS('10C Not in Aurora'!$P$1:$P$24,'10C Not in Aurora'!$B$1:$B$24,'8C Summary by resource'!$B67)</f>
        <v>#REF!</v>
      </c>
      <c r="I67" s="180" t="e">
        <f t="shared" si="5"/>
        <v>#REF!</v>
      </c>
      <c r="J67" s="143"/>
      <c r="K67" s="140">
        <f t="shared" si="8"/>
        <v>0</v>
      </c>
      <c r="L67" s="141" t="e">
        <f t="shared" si="9"/>
        <v>#REF!</v>
      </c>
      <c r="M67" s="180" t="e">
        <f t="shared" si="10"/>
        <v>#REF!</v>
      </c>
      <c r="N67" s="229"/>
      <c r="O67" s="201">
        <f>SUMIFS('9C Aurora total'!P$63:P$114,'9C Aurora total'!$C$63:$C$114,'8C Summary by resource'!$B67)</f>
        <v>0</v>
      </c>
      <c r="P67" s="142">
        <f>SUMIFS('9C Aurora total'!AD$63:AD$114,'9C Aurora total'!$C$63:$C$114,'8C Summary by resource'!$B67)</f>
        <v>0</v>
      </c>
      <c r="Q67" s="199">
        <f t="shared" si="11"/>
        <v>0</v>
      </c>
    </row>
    <row r="68" spans="1:17" ht="15.6" customHeight="1" x14ac:dyDescent="0.25">
      <c r="A68" s="73">
        <v>555</v>
      </c>
      <c r="B68" s="119" t="s">
        <v>62</v>
      </c>
      <c r="C68" s="140">
        <f>SUMIFS('9C Aurora total'!$P$1:$P$59,'9C Aurora total'!$C$1:$C$59,'8C Summary by resource'!$B68)</f>
        <v>0</v>
      </c>
      <c r="D68" s="141">
        <f>SUMIFS('10C Not in Aurora'!$O$1:$O$24,'10C Not in Aurora'!$B$1:$B$24,'8C Summary by resource'!$B68)</f>
        <v>0</v>
      </c>
      <c r="E68" s="180">
        <f t="shared" si="4"/>
        <v>0</v>
      </c>
      <c r="F68" s="142"/>
      <c r="G68" s="140">
        <f>SUMIFS('9C Aurora total'!$AD$1:$AD$59,'9C Aurora total'!$C$1:$C$59,'8C Summary by resource'!$B68)</f>
        <v>0</v>
      </c>
      <c r="H68" s="141">
        <f>SUMIFS('10C Not in Aurora'!$P$1:$P$24,'10C Not in Aurora'!$B$1:$B$24,'8C Summary by resource'!$B68)</f>
        <v>0</v>
      </c>
      <c r="I68" s="180">
        <f t="shared" si="5"/>
        <v>0</v>
      </c>
      <c r="J68" s="143"/>
      <c r="K68" s="140">
        <f t="shared" si="8"/>
        <v>0</v>
      </c>
      <c r="L68" s="141">
        <f t="shared" si="9"/>
        <v>0</v>
      </c>
      <c r="M68" s="180">
        <f t="shared" si="10"/>
        <v>0</v>
      </c>
      <c r="N68" s="229"/>
      <c r="O68" s="201">
        <f>SUMIFS('9C Aurora total'!P$63:P$114,'9C Aurora total'!$C$63:$C$114,'8C Summary by resource'!$B68)</f>
        <v>0</v>
      </c>
      <c r="P68" s="142">
        <f>SUMIFS('9C Aurora total'!AD$63:AD$114,'9C Aurora total'!$C$63:$C$114,'8C Summary by resource'!$B68)</f>
        <v>0</v>
      </c>
      <c r="Q68" s="199">
        <f t="shared" si="11"/>
        <v>0</v>
      </c>
    </row>
    <row r="69" spans="1:17" ht="15.6" customHeight="1" x14ac:dyDescent="0.25">
      <c r="A69" s="73">
        <v>555</v>
      </c>
      <c r="B69" s="41" t="s">
        <v>168</v>
      </c>
      <c r="C69" s="140">
        <f>SUMIFS('9C Aurora total'!$P$1:$P$59,'9C Aurora total'!$C$1:$C$59,'8C Summary by resource'!$B69)</f>
        <v>0</v>
      </c>
      <c r="D69" s="141" t="e">
        <f>SUMIFS('10C Not in Aurora'!$O$1:$O$24,'10C Not in Aurora'!$B$1:$B$24,'8C Summary by resource'!$B69)</f>
        <v>#REF!</v>
      </c>
      <c r="E69" s="180" t="e">
        <f t="shared" ref="E69:E70" si="16">C69+D69</f>
        <v>#REF!</v>
      </c>
      <c r="F69" s="142"/>
      <c r="G69" s="140">
        <f>SUMIFS('9C Aurora total'!$AD$1:$AD$59,'9C Aurora total'!$C$1:$C$59,'8C Summary by resource'!$B69)</f>
        <v>0</v>
      </c>
      <c r="H69" s="141">
        <f>SUMIFS('10C Not in Aurora'!$P$1:$P$24,'10C Not in Aurora'!$B$1:$B$24,'8C Summary by resource'!$B69)</f>
        <v>3875</v>
      </c>
      <c r="I69" s="180">
        <f t="shared" ref="I69:I70" si="17">G69+H69</f>
        <v>3875</v>
      </c>
      <c r="J69" s="143"/>
      <c r="K69" s="140">
        <f t="shared" si="8"/>
        <v>0</v>
      </c>
      <c r="L69" s="141" t="e">
        <f t="shared" si="9"/>
        <v>#REF!</v>
      </c>
      <c r="M69" s="180" t="e">
        <f t="shared" si="10"/>
        <v>#REF!</v>
      </c>
      <c r="N69" s="229"/>
      <c r="O69" s="201">
        <f>SUMIFS('9C Aurora total'!P$63:P$114,'9C Aurora total'!$C$63:$C$114,'8C Summary by resource'!$B69)</f>
        <v>0</v>
      </c>
      <c r="P69" s="142">
        <f>SUMIFS('9C Aurora total'!AD$63:AD$114,'9C Aurora total'!$C$63:$C$114,'8C Summary by resource'!$B69)</f>
        <v>0</v>
      </c>
      <c r="Q69" s="199">
        <f t="shared" si="11"/>
        <v>0</v>
      </c>
    </row>
    <row r="70" spans="1:17" ht="14.85" customHeight="1" x14ac:dyDescent="0.25">
      <c r="A70" s="73">
        <v>555</v>
      </c>
      <c r="B70" s="119" t="s">
        <v>111</v>
      </c>
      <c r="C70" s="140">
        <f>SUMIFS('9C Aurora total'!$P$1:$P$59,'9C Aurora total'!$C$1:$C$59,'8C Summary by resource'!$B70)</f>
        <v>0</v>
      </c>
      <c r="D70" s="141" t="e">
        <f>SUMIFS('10C Not in Aurora'!$O$1:$O$24,'10C Not in Aurora'!$B$1:$B$24,'8C Summary by resource'!$B70)</f>
        <v>#REF!</v>
      </c>
      <c r="E70" s="180" t="e">
        <f t="shared" si="16"/>
        <v>#REF!</v>
      </c>
      <c r="F70" s="142"/>
      <c r="G70" s="140">
        <f>SUMIFS('9C Aurora total'!$AD$1:$AD$59,'9C Aurora total'!$C$1:$C$59,'8C Summary by resource'!$B70)</f>
        <v>0</v>
      </c>
      <c r="H70" s="141">
        <f>SUMIFS('10C Not in Aurora'!$P$1:$P$24,'10C Not in Aurora'!$B$1:$B$24,'8C Summary by resource'!$B70)</f>
        <v>7194.3709999999992</v>
      </c>
      <c r="I70" s="180">
        <f t="shared" si="17"/>
        <v>7194.3709999999992</v>
      </c>
      <c r="J70" s="143"/>
      <c r="K70" s="140">
        <f t="shared" si="8"/>
        <v>0</v>
      </c>
      <c r="L70" s="141" t="e">
        <f t="shared" si="9"/>
        <v>#REF!</v>
      </c>
      <c r="M70" s="180" t="e">
        <f t="shared" si="10"/>
        <v>#REF!</v>
      </c>
      <c r="N70" s="229"/>
      <c r="O70" s="201">
        <f>SUMIFS('9C Aurora total'!P$63:P$114,'9C Aurora total'!$C$63:$C$114,'8C Summary by resource'!$B70)</f>
        <v>0</v>
      </c>
      <c r="P70" s="142">
        <f>SUMIFS('9C Aurora total'!AD$63:AD$114,'9C Aurora total'!$C$63:$C$114,'8C Summary by resource'!$B70)</f>
        <v>0</v>
      </c>
      <c r="Q70" s="199">
        <f t="shared" si="11"/>
        <v>0</v>
      </c>
    </row>
    <row r="71" spans="1:17" ht="15" x14ac:dyDescent="0.25">
      <c r="A71" s="73">
        <v>557</v>
      </c>
      <c r="B71" s="119" t="s">
        <v>40</v>
      </c>
      <c r="C71" s="140">
        <f>SUMIFS('9C Aurora total'!$P$1:$P$59,'9C Aurora total'!$C$1:$C$59,'8C Summary by resource'!$B71)</f>
        <v>0</v>
      </c>
      <c r="D71" s="141">
        <f>SUMIFS('10C Not in Aurora'!$O$1:$O$24,'10C Not in Aurora'!$B$1:$B$24,'8C Summary by resource'!$B71)</f>
        <v>16711.586023277483</v>
      </c>
      <c r="E71" s="180">
        <f t="shared" si="4"/>
        <v>16711.586023277483</v>
      </c>
      <c r="F71" s="142"/>
      <c r="G71" s="140">
        <f>SUMIFS('9C Aurora total'!$AD$1:$AD$59,'9C Aurora total'!$C$1:$C$59,'8C Summary by resource'!$B71)</f>
        <v>0</v>
      </c>
      <c r="H71" s="141">
        <f>SUMIFS('10C Not in Aurora'!$P$1:$P$24,'10C Not in Aurora'!$B$1:$B$24,'8C Summary by resource'!$B71)</f>
        <v>14722.501100000007</v>
      </c>
      <c r="I71" s="180">
        <f t="shared" si="5"/>
        <v>14722.501100000007</v>
      </c>
      <c r="J71" s="143"/>
      <c r="K71" s="140">
        <f t="shared" si="8"/>
        <v>0</v>
      </c>
      <c r="L71" s="141">
        <f t="shared" si="9"/>
        <v>1989.0849232774763</v>
      </c>
      <c r="M71" s="180">
        <f t="shared" si="10"/>
        <v>1989.0849232774763</v>
      </c>
      <c r="N71" s="229"/>
      <c r="O71" s="201">
        <f>SUMIFS('9C Aurora total'!P$63:P$114,'9C Aurora total'!$C$63:$C$114,'8C Summary by resource'!$B71)</f>
        <v>0</v>
      </c>
      <c r="P71" s="142">
        <f>SUMIFS('9C Aurora total'!AD$63:AD$114,'9C Aurora total'!$C$63:$C$114,'8C Summary by resource'!$B71)</f>
        <v>0</v>
      </c>
      <c r="Q71" s="199">
        <f t="shared" si="11"/>
        <v>0</v>
      </c>
    </row>
    <row r="72" spans="1:17" ht="15" x14ac:dyDescent="0.25">
      <c r="A72" s="73">
        <v>555</v>
      </c>
      <c r="B72" s="119" t="s">
        <v>152</v>
      </c>
      <c r="C72" s="140">
        <f>SUMIFS('9C Aurora total'!$P$1:$P$59,'9C Aurora total'!$C$1:$C$59,'8C Summary by resource'!$B72)</f>
        <v>0</v>
      </c>
      <c r="D72" s="141">
        <f>SUMIFS('10C Not in Aurora'!$O$1:$O$24,'10C Not in Aurora'!$B$1:$B$24,'8C Summary by resource'!$B72)</f>
        <v>-2140.7082177050079</v>
      </c>
      <c r="E72" s="180">
        <f t="shared" si="4"/>
        <v>-2140.7082177050079</v>
      </c>
      <c r="F72" s="142"/>
      <c r="G72" s="140">
        <f>SUMIFS('9C Aurora total'!$AD$1:$AD$59,'9C Aurora total'!$C$1:$C$59,'8C Summary by resource'!$B72)</f>
        <v>0</v>
      </c>
      <c r="H72" s="141">
        <f>SUMIFS('10C Not in Aurora'!$P$1:$P$24,'10C Not in Aurora'!$B$1:$B$24,'8C Summary by resource'!$B72)</f>
        <v>0</v>
      </c>
      <c r="I72" s="180">
        <f t="shared" si="5"/>
        <v>0</v>
      </c>
      <c r="J72" s="143"/>
      <c r="K72" s="140">
        <f t="shared" si="8"/>
        <v>0</v>
      </c>
      <c r="L72" s="141">
        <f t="shared" si="9"/>
        <v>-2140.7082177050079</v>
      </c>
      <c r="M72" s="180">
        <f t="shared" si="10"/>
        <v>-2140.7082177050079</v>
      </c>
      <c r="N72" s="229"/>
      <c r="O72" s="201">
        <f>SUMIFS('9C Aurora total'!P$63:P$114,'9C Aurora total'!$C$63:$C$114,'8C Summary by resource'!$B72)</f>
        <v>0</v>
      </c>
      <c r="P72" s="142">
        <f>SUMIFS('9C Aurora total'!AD$63:AD$114,'9C Aurora total'!$C$63:$C$114,'8C Summary by resource'!$B72)</f>
        <v>0</v>
      </c>
      <c r="Q72" s="199">
        <f t="shared" si="11"/>
        <v>0</v>
      </c>
    </row>
    <row r="73" spans="1:17" ht="15.75" thickBot="1" x14ac:dyDescent="0.3">
      <c r="A73" s="73" t="s">
        <v>2</v>
      </c>
      <c r="B73" s="119" t="s">
        <v>158</v>
      </c>
      <c r="C73" s="144">
        <f>SUMIFS('9C Aurora total'!$P$1:$P$59,'9C Aurora total'!$C$1:$C$59,'8C Summary by resource'!$B73)</f>
        <v>0</v>
      </c>
      <c r="D73" s="145">
        <f>SUMIFS('10C Not in Aurora'!$O$1:$O$24,'10C Not in Aurora'!$B$1:$B$24,'8C Summary by resource'!$B73)</f>
        <v>0</v>
      </c>
      <c r="E73" s="181">
        <f t="shared" ref="E73" si="18">C73+D73</f>
        <v>0</v>
      </c>
      <c r="F73" s="142"/>
      <c r="G73" s="144">
        <f>SUMIFS('9C Aurora total'!$AD$1:$AD$59,'9C Aurora total'!$C$1:$C$59,'8C Summary by resource'!$B73)</f>
        <v>-8000.0000000000009</v>
      </c>
      <c r="H73" s="145">
        <f>SUMIFS('10C Not in Aurora'!$P$1:$P$24,'10C Not in Aurora'!$B$1:$B$24,'8C Summary by resource'!$B73)</f>
        <v>0</v>
      </c>
      <c r="I73" s="181">
        <f t="shared" ref="I73" si="19">G73+H73</f>
        <v>-8000.0000000000009</v>
      </c>
      <c r="J73" s="143"/>
      <c r="K73" s="144">
        <f t="shared" si="8"/>
        <v>8000.0000000000009</v>
      </c>
      <c r="L73" s="145">
        <f t="shared" si="9"/>
        <v>0</v>
      </c>
      <c r="M73" s="181">
        <f t="shared" si="10"/>
        <v>8000.0000000000009</v>
      </c>
      <c r="N73" s="229"/>
      <c r="O73" s="201">
        <f>SUMIFS('9C Aurora total'!P$63:P$114,'9C Aurora total'!$C$63:$C$114,'8C Summary by resource'!$B73)</f>
        <v>0</v>
      </c>
      <c r="P73" s="142">
        <f>SUMIFS('9C Aurora total'!AD$63:AD$114,'9C Aurora total'!$C$63:$C$114,'8C Summary by resource'!$B73)</f>
        <v>0</v>
      </c>
      <c r="Q73" s="199">
        <f t="shared" ref="Q73:Q86" si="20">O73-P73</f>
        <v>0</v>
      </c>
    </row>
    <row r="74" spans="1:17" ht="15.75" thickTop="1" x14ac:dyDescent="0.25">
      <c r="B74" s="117" t="s">
        <v>5</v>
      </c>
      <c r="C74" s="135">
        <f>SUM(C9:C73)</f>
        <v>561384.78219809954</v>
      </c>
      <c r="D74" s="136" t="e">
        <f>SUM(D9:D73)</f>
        <v>#REF!</v>
      </c>
      <c r="E74" s="137" t="e">
        <f>SUM(E9:E73)</f>
        <v>#REF!</v>
      </c>
      <c r="F74" s="138"/>
      <c r="G74" s="135">
        <f>SUM(G9:G73)</f>
        <v>493239.67119162343</v>
      </c>
      <c r="H74" s="136" t="e">
        <f>SUM(H9:H73)</f>
        <v>#REF!</v>
      </c>
      <c r="I74" s="137" t="e">
        <f>SUM(I9:I73)</f>
        <v>#REF!</v>
      </c>
      <c r="J74" s="138"/>
      <c r="K74" s="135">
        <f t="shared" si="8"/>
        <v>68145.111006476101</v>
      </c>
      <c r="L74" s="136" t="e">
        <f t="shared" si="9"/>
        <v>#REF!</v>
      </c>
      <c r="M74" s="137" t="e">
        <f t="shared" si="10"/>
        <v>#REF!</v>
      </c>
      <c r="O74" s="189">
        <f>SUM(O9:O73)</f>
        <v>21350789.92207928</v>
      </c>
      <c r="P74" s="383">
        <f>SUM(P9:P73)</f>
        <v>20803205.018951174</v>
      </c>
      <c r="Q74" s="190">
        <f t="shared" si="20"/>
        <v>547584.90312810615</v>
      </c>
    </row>
    <row r="75" spans="1:17" x14ac:dyDescent="0.2">
      <c r="C75" s="79"/>
      <c r="D75" s="75"/>
      <c r="E75" s="75"/>
      <c r="G75" s="75"/>
      <c r="H75" s="75"/>
      <c r="I75" s="75"/>
      <c r="M75" s="240"/>
      <c r="Q75" s="45">
        <f t="shared" si="20"/>
        <v>0</v>
      </c>
    </row>
    <row r="76" spans="1:17" ht="15" x14ac:dyDescent="0.25">
      <c r="A76" s="45">
        <v>501</v>
      </c>
      <c r="B76" s="117" t="s">
        <v>82</v>
      </c>
      <c r="C76" s="129">
        <f t="shared" ref="C76:E85" si="21">SUMIF($A$9:$A$73,$A76,C$9:C$73)</f>
        <v>46813.778890000001</v>
      </c>
      <c r="D76" s="130" t="e">
        <f t="shared" si="21"/>
        <v>#REF!</v>
      </c>
      <c r="E76" s="131" t="e">
        <f t="shared" si="21"/>
        <v>#REF!</v>
      </c>
      <c r="F76" s="128"/>
      <c r="G76" s="129">
        <f t="shared" ref="G76:I85" si="22">SUMIF($A$9:$A$73,$A76,G$9:G$73)</f>
        <v>41224.12259083875</v>
      </c>
      <c r="H76" s="130" t="e">
        <f t="shared" si="22"/>
        <v>#REF!</v>
      </c>
      <c r="I76" s="131" t="e">
        <f t="shared" si="22"/>
        <v>#REF!</v>
      </c>
      <c r="J76" s="128"/>
      <c r="K76" s="129">
        <f t="shared" ref="K76:M85" si="23">SUMIF($A$9:$A$73,$A76,K$9:K$73)</f>
        <v>5589.6562991612518</v>
      </c>
      <c r="L76" s="130" t="e">
        <f t="shared" si="23"/>
        <v>#REF!</v>
      </c>
      <c r="M76" s="131" t="e">
        <f t="shared" si="23"/>
        <v>#REF!</v>
      </c>
      <c r="O76" s="338">
        <f t="shared" ref="O76:P85" si="24">SUMIF($A$9:$A$73,$A76,O$9:O$73)</f>
        <v>2656197.9084999999</v>
      </c>
      <c r="P76" s="384">
        <f t="shared" si="24"/>
        <v>2358662.7981915241</v>
      </c>
      <c r="Q76" s="339">
        <f t="shared" si="20"/>
        <v>297535.11030847579</v>
      </c>
    </row>
    <row r="77" spans="1:17" ht="15" x14ac:dyDescent="0.25">
      <c r="A77" s="45">
        <v>547</v>
      </c>
      <c r="B77" s="117" t="s">
        <v>83</v>
      </c>
      <c r="C77" s="132">
        <f t="shared" si="21"/>
        <v>154591.06713031</v>
      </c>
      <c r="D77" s="133" t="e">
        <f t="shared" si="21"/>
        <v>#REF!</v>
      </c>
      <c r="E77" s="134" t="e">
        <f t="shared" si="21"/>
        <v>#REF!</v>
      </c>
      <c r="F77" s="9"/>
      <c r="G77" s="132">
        <f t="shared" si="22"/>
        <v>100443.35339801108</v>
      </c>
      <c r="H77" s="133" t="e">
        <f t="shared" si="22"/>
        <v>#REF!</v>
      </c>
      <c r="I77" s="134" t="e">
        <f t="shared" si="22"/>
        <v>#REF!</v>
      </c>
      <c r="J77" s="9"/>
      <c r="K77" s="132">
        <f t="shared" si="23"/>
        <v>54147.713732298922</v>
      </c>
      <c r="L77" s="133" t="e">
        <f t="shared" si="23"/>
        <v>#REF!</v>
      </c>
      <c r="M77" s="134" t="e">
        <f t="shared" si="23"/>
        <v>#REF!</v>
      </c>
      <c r="O77" s="132">
        <f t="shared" si="24"/>
        <v>5087221.8026964385</v>
      </c>
      <c r="P77" s="133">
        <f t="shared" si="24"/>
        <v>3546031.1426764796</v>
      </c>
      <c r="Q77" s="134">
        <f t="shared" si="20"/>
        <v>1541190.6600199589</v>
      </c>
    </row>
    <row r="78" spans="1:17" ht="15" x14ac:dyDescent="0.25">
      <c r="A78" s="61" t="s">
        <v>80</v>
      </c>
      <c r="B78" s="117" t="s">
        <v>84</v>
      </c>
      <c r="C78" s="132">
        <f t="shared" si="21"/>
        <v>77608.997269999993</v>
      </c>
      <c r="D78" s="133">
        <f t="shared" si="21"/>
        <v>0</v>
      </c>
      <c r="E78" s="134">
        <f t="shared" si="21"/>
        <v>77608.997269999993</v>
      </c>
      <c r="F78" s="9"/>
      <c r="G78" s="132">
        <f t="shared" si="22"/>
        <v>14178.879207000002</v>
      </c>
      <c r="H78" s="133">
        <f t="shared" si="22"/>
        <v>0</v>
      </c>
      <c r="I78" s="134">
        <f t="shared" si="22"/>
        <v>14178.879207000002</v>
      </c>
      <c r="J78" s="9"/>
      <c r="K78" s="132">
        <f t="shared" si="23"/>
        <v>63430.118063000002</v>
      </c>
      <c r="L78" s="133">
        <f t="shared" si="23"/>
        <v>0</v>
      </c>
      <c r="M78" s="134">
        <f t="shared" si="23"/>
        <v>63430.118063000002</v>
      </c>
      <c r="O78" s="132">
        <f t="shared" si="24"/>
        <v>4138126.0744800009</v>
      </c>
      <c r="P78" s="133">
        <f t="shared" si="24"/>
        <v>2187059.9112346251</v>
      </c>
      <c r="Q78" s="134">
        <f t="shared" si="20"/>
        <v>1951066.1632453757</v>
      </c>
    </row>
    <row r="79" spans="1:17" ht="15" x14ac:dyDescent="0.25">
      <c r="A79" s="61" t="s">
        <v>0</v>
      </c>
      <c r="B79" s="117" t="s">
        <v>85</v>
      </c>
      <c r="C79" s="132">
        <f t="shared" si="21"/>
        <v>25556.212274000001</v>
      </c>
      <c r="D79" s="133" t="e">
        <f t="shared" si="21"/>
        <v>#REF!</v>
      </c>
      <c r="E79" s="134" t="e">
        <f t="shared" si="21"/>
        <v>#REF!</v>
      </c>
      <c r="F79" s="9"/>
      <c r="G79" s="132">
        <f t="shared" si="22"/>
        <v>36623.376622300013</v>
      </c>
      <c r="H79" s="133" t="e">
        <f t="shared" si="22"/>
        <v>#REF!</v>
      </c>
      <c r="I79" s="134" t="e">
        <f t="shared" si="22"/>
        <v>#REF!</v>
      </c>
      <c r="J79" s="9"/>
      <c r="K79" s="132">
        <f t="shared" si="23"/>
        <v>-11067.164348299997</v>
      </c>
      <c r="L79" s="133" t="e">
        <f t="shared" si="23"/>
        <v>#REF!</v>
      </c>
      <c r="M79" s="134" t="e">
        <f t="shared" si="23"/>
        <v>#REF!</v>
      </c>
      <c r="O79" s="132">
        <f t="shared" si="24"/>
        <v>5451620.9335500002</v>
      </c>
      <c r="P79" s="133">
        <f t="shared" si="24"/>
        <v>4867164.7186832745</v>
      </c>
      <c r="Q79" s="134">
        <f t="shared" si="20"/>
        <v>584456.21486672573</v>
      </c>
    </row>
    <row r="80" spans="1:17" ht="15" x14ac:dyDescent="0.25">
      <c r="A80" s="61">
        <v>555</v>
      </c>
      <c r="B80" s="117" t="s">
        <v>86</v>
      </c>
      <c r="C80" s="132">
        <f t="shared" si="21"/>
        <v>272503.37570560002</v>
      </c>
      <c r="D80" s="133" t="e">
        <f t="shared" si="21"/>
        <v>#REF!</v>
      </c>
      <c r="E80" s="134" t="e">
        <f t="shared" si="21"/>
        <v>#REF!</v>
      </c>
      <c r="F80" s="9"/>
      <c r="G80" s="132">
        <f t="shared" si="22"/>
        <v>272272.12141290004</v>
      </c>
      <c r="H80" s="133">
        <f t="shared" si="22"/>
        <v>11069.370999999999</v>
      </c>
      <c r="I80" s="134">
        <f t="shared" si="22"/>
        <v>283341.49241290003</v>
      </c>
      <c r="J80" s="9"/>
      <c r="K80" s="132">
        <f t="shared" si="23"/>
        <v>231.25429269994493</v>
      </c>
      <c r="L80" s="133" t="e">
        <f t="shared" si="23"/>
        <v>#REF!</v>
      </c>
      <c r="M80" s="134" t="e">
        <f t="shared" si="23"/>
        <v>#REF!</v>
      </c>
      <c r="O80" s="132">
        <f t="shared" si="24"/>
        <v>4370445.2905496396</v>
      </c>
      <c r="P80" s="133">
        <f t="shared" si="24"/>
        <v>5747110.4679688858</v>
      </c>
      <c r="Q80" s="134">
        <f t="shared" si="20"/>
        <v>-1376665.1774192462</v>
      </c>
    </row>
    <row r="81" spans="1:18" ht="15" x14ac:dyDescent="0.25">
      <c r="A81" s="45" t="s">
        <v>2</v>
      </c>
      <c r="B81" s="117" t="s">
        <v>46</v>
      </c>
      <c r="C81" s="132">
        <f t="shared" si="21"/>
        <v>112846.38215199999</v>
      </c>
      <c r="D81" s="133" t="e">
        <f t="shared" si="21"/>
        <v>#REF!</v>
      </c>
      <c r="E81" s="134" t="e">
        <f t="shared" si="21"/>
        <v>#REF!</v>
      </c>
      <c r="F81" s="9"/>
      <c r="G81" s="132">
        <f t="shared" si="22"/>
        <v>74703.849370750002</v>
      </c>
      <c r="H81" s="133" t="e">
        <f t="shared" si="22"/>
        <v>#REF!</v>
      </c>
      <c r="I81" s="134" t="e">
        <f t="shared" si="22"/>
        <v>#REF!</v>
      </c>
      <c r="J81" s="9"/>
      <c r="K81" s="132">
        <f t="shared" si="23"/>
        <v>38142.532781249996</v>
      </c>
      <c r="L81" s="133" t="e">
        <f t="shared" si="23"/>
        <v>#REF!</v>
      </c>
      <c r="M81" s="134" t="e">
        <f t="shared" si="23"/>
        <v>#REF!</v>
      </c>
      <c r="O81" s="132">
        <f t="shared" si="24"/>
        <v>3423071.7902199998</v>
      </c>
      <c r="P81" s="133">
        <f t="shared" si="24"/>
        <v>3518528.7178837494</v>
      </c>
      <c r="Q81" s="134">
        <f t="shared" si="20"/>
        <v>-95456.92766374955</v>
      </c>
    </row>
    <row r="82" spans="1:18" ht="15" x14ac:dyDescent="0.25">
      <c r="A82" s="45">
        <v>447</v>
      </c>
      <c r="B82" s="117" t="s">
        <v>47</v>
      </c>
      <c r="C82" s="132">
        <f t="shared" si="21"/>
        <v>-128535.20191999999</v>
      </c>
      <c r="D82" s="133">
        <f t="shared" si="21"/>
        <v>0</v>
      </c>
      <c r="E82" s="134">
        <f t="shared" si="21"/>
        <v>-128535.20191999999</v>
      </c>
      <c r="F82" s="9"/>
      <c r="G82" s="132">
        <f t="shared" si="22"/>
        <v>-46206.031410176467</v>
      </c>
      <c r="H82" s="133">
        <f t="shared" si="22"/>
        <v>0</v>
      </c>
      <c r="I82" s="134">
        <f t="shared" si="22"/>
        <v>-46206.031410176467</v>
      </c>
      <c r="J82" s="9"/>
      <c r="K82" s="132">
        <f t="shared" si="23"/>
        <v>-82329.17050982354</v>
      </c>
      <c r="L82" s="133">
        <f t="shared" si="23"/>
        <v>0</v>
      </c>
      <c r="M82" s="134">
        <f t="shared" si="23"/>
        <v>-82329.17050982354</v>
      </c>
      <c r="O82" s="132">
        <f t="shared" si="24"/>
        <v>-3775894.4283300005</v>
      </c>
      <c r="P82" s="133">
        <f t="shared" si="24"/>
        <v>-1421352.7376873724</v>
      </c>
      <c r="Q82" s="134">
        <f t="shared" si="20"/>
        <v>-2354541.6906426279</v>
      </c>
    </row>
    <row r="83" spans="1:18" ht="15" x14ac:dyDescent="0.25">
      <c r="A83" s="61">
        <v>565</v>
      </c>
      <c r="B83" s="117" t="s">
        <v>1</v>
      </c>
      <c r="C83" s="132">
        <f t="shared" si="21"/>
        <v>0</v>
      </c>
      <c r="D83" s="133" t="e">
        <f t="shared" si="21"/>
        <v>#REF!</v>
      </c>
      <c r="E83" s="134" t="e">
        <f t="shared" si="21"/>
        <v>#REF!</v>
      </c>
      <c r="F83" s="9"/>
      <c r="G83" s="132">
        <f t="shared" si="22"/>
        <v>0</v>
      </c>
      <c r="H83" s="133" t="e">
        <f t="shared" si="22"/>
        <v>#REF!</v>
      </c>
      <c r="I83" s="134" t="e">
        <f t="shared" si="22"/>
        <v>#REF!</v>
      </c>
      <c r="J83" s="9"/>
      <c r="K83" s="132">
        <f t="shared" si="23"/>
        <v>0</v>
      </c>
      <c r="L83" s="133" t="e">
        <f t="shared" si="23"/>
        <v>#REF!</v>
      </c>
      <c r="M83" s="134" t="e">
        <f t="shared" si="23"/>
        <v>#REF!</v>
      </c>
      <c r="O83" s="132">
        <f t="shared" si="24"/>
        <v>0</v>
      </c>
      <c r="P83" s="133">
        <f t="shared" si="24"/>
        <v>0</v>
      </c>
      <c r="Q83" s="134">
        <f t="shared" si="20"/>
        <v>0</v>
      </c>
    </row>
    <row r="84" spans="1:18" ht="15" x14ac:dyDescent="0.25">
      <c r="A84" s="45">
        <v>456</v>
      </c>
      <c r="B84" s="117" t="s">
        <v>48</v>
      </c>
      <c r="C84" s="132">
        <f t="shared" si="21"/>
        <v>0</v>
      </c>
      <c r="D84" s="133" t="e">
        <f t="shared" si="21"/>
        <v>#REF!</v>
      </c>
      <c r="E84" s="134" t="e">
        <f t="shared" si="21"/>
        <v>#REF!</v>
      </c>
      <c r="F84" s="9"/>
      <c r="G84" s="132">
        <f t="shared" si="22"/>
        <v>0</v>
      </c>
      <c r="H84" s="133" t="e">
        <f t="shared" si="22"/>
        <v>#REF!</v>
      </c>
      <c r="I84" s="134" t="e">
        <f t="shared" si="22"/>
        <v>#REF!</v>
      </c>
      <c r="J84" s="9"/>
      <c r="K84" s="132">
        <f t="shared" si="23"/>
        <v>0</v>
      </c>
      <c r="L84" s="133" t="e">
        <f t="shared" si="23"/>
        <v>#REF!</v>
      </c>
      <c r="M84" s="134" t="e">
        <f t="shared" si="23"/>
        <v>#REF!</v>
      </c>
      <c r="O84" s="132">
        <f t="shared" si="24"/>
        <v>0</v>
      </c>
      <c r="P84" s="133">
        <f t="shared" si="24"/>
        <v>0</v>
      </c>
      <c r="Q84" s="134">
        <f t="shared" si="20"/>
        <v>0</v>
      </c>
    </row>
    <row r="85" spans="1:18" ht="15" x14ac:dyDescent="0.25">
      <c r="A85" s="45">
        <v>557</v>
      </c>
      <c r="B85" s="117" t="s">
        <v>40</v>
      </c>
      <c r="C85" s="132">
        <f t="shared" si="21"/>
        <v>0</v>
      </c>
      <c r="D85" s="133">
        <f t="shared" si="21"/>
        <v>16711.586023277483</v>
      </c>
      <c r="E85" s="134">
        <f t="shared" si="21"/>
        <v>16711.586023277483</v>
      </c>
      <c r="F85" s="9"/>
      <c r="G85" s="132">
        <f t="shared" si="22"/>
        <v>0</v>
      </c>
      <c r="H85" s="133">
        <f t="shared" si="22"/>
        <v>14722.501100000007</v>
      </c>
      <c r="I85" s="134">
        <f t="shared" si="22"/>
        <v>14722.501100000007</v>
      </c>
      <c r="J85" s="9"/>
      <c r="K85" s="132">
        <f t="shared" si="23"/>
        <v>0</v>
      </c>
      <c r="L85" s="133">
        <f t="shared" si="23"/>
        <v>1989.0849232774763</v>
      </c>
      <c r="M85" s="134">
        <f t="shared" si="23"/>
        <v>1989.0849232774763</v>
      </c>
      <c r="O85" s="132">
        <f t="shared" si="24"/>
        <v>0</v>
      </c>
      <c r="P85" s="133">
        <f t="shared" si="24"/>
        <v>0</v>
      </c>
      <c r="Q85" s="134">
        <f t="shared" si="20"/>
        <v>0</v>
      </c>
    </row>
    <row r="86" spans="1:18" ht="15" x14ac:dyDescent="0.25">
      <c r="B86" s="117" t="s">
        <v>5</v>
      </c>
      <c r="C86" s="186">
        <f>SUM(C76:C85)</f>
        <v>561384.61150190991</v>
      </c>
      <c r="D86" s="187" t="e">
        <f>SUM(D76:D85)</f>
        <v>#REF!</v>
      </c>
      <c r="E86" s="188" t="e">
        <f>SUM(E76:E85)</f>
        <v>#REF!</v>
      </c>
      <c r="F86" s="139"/>
      <c r="G86" s="186">
        <f>SUM(G76:G85)</f>
        <v>493239.67119162338</v>
      </c>
      <c r="H86" s="187" t="e">
        <f>SUM(H76:H85)</f>
        <v>#REF!</v>
      </c>
      <c r="I86" s="188" t="e">
        <f>SUM(I76:I85)</f>
        <v>#REF!</v>
      </c>
      <c r="J86" s="139"/>
      <c r="K86" s="186">
        <f>SUM(K76:K85)</f>
        <v>68144.940310286591</v>
      </c>
      <c r="L86" s="187" t="e">
        <f>SUM(L76:L85)</f>
        <v>#REF!</v>
      </c>
      <c r="M86" s="188" t="e">
        <f>SUM(M76:M85)</f>
        <v>#REF!</v>
      </c>
      <c r="O86" s="189">
        <f>SUM(O76:O85)</f>
        <v>21350789.371666078</v>
      </c>
      <c r="P86" s="383">
        <f>SUM(P76:P85)</f>
        <v>20803205.018951166</v>
      </c>
      <c r="Q86" s="190">
        <f t="shared" si="20"/>
        <v>547584.3527149111</v>
      </c>
    </row>
    <row r="87" spans="1:18" ht="6" customHeight="1" x14ac:dyDescent="0.25">
      <c r="B87" s="117"/>
      <c r="C87" s="183"/>
      <c r="D87" s="183"/>
      <c r="E87" s="183"/>
      <c r="F87" s="139"/>
      <c r="G87" s="183"/>
      <c r="H87" s="183"/>
      <c r="I87" s="183"/>
      <c r="J87" s="139"/>
      <c r="K87" s="183"/>
      <c r="L87" s="183"/>
      <c r="M87" s="183"/>
      <c r="O87" s="184"/>
      <c r="P87" s="184"/>
      <c r="Q87" s="184"/>
    </row>
    <row r="88" spans="1:18" ht="15" x14ac:dyDescent="0.25">
      <c r="B88" s="117"/>
      <c r="C88" s="183"/>
      <c r="D88" s="183"/>
      <c r="E88" s="183"/>
      <c r="F88" s="139"/>
      <c r="G88" s="183"/>
      <c r="H88" s="183"/>
      <c r="I88" s="183"/>
      <c r="J88" s="139"/>
      <c r="K88" s="432" t="s">
        <v>131</v>
      </c>
      <c r="L88" s="433"/>
      <c r="M88" s="433"/>
      <c r="N88" s="239"/>
      <c r="O88" s="432" t="s">
        <v>79</v>
      </c>
      <c r="P88" s="433"/>
      <c r="Q88" s="437"/>
      <c r="R88" s="340"/>
    </row>
    <row r="89" spans="1:18" ht="16.350000000000001" customHeight="1" x14ac:dyDescent="0.25">
      <c r="A89" s="32" t="s">
        <v>130</v>
      </c>
      <c r="C89" s="75"/>
      <c r="D89" s="75"/>
      <c r="G89" s="265"/>
      <c r="K89" s="205">
        <f>K86/$G$86</f>
        <v>0.13815786582140574</v>
      </c>
      <c r="L89" s="206" t="e">
        <f>L86/$H$86</f>
        <v>#REF!</v>
      </c>
      <c r="M89" s="207" t="e">
        <f>M86/$I$86</f>
        <v>#REF!</v>
      </c>
      <c r="O89" s="192" t="e">
        <f>E86*1000/O86</f>
        <v>#REF!</v>
      </c>
      <c r="P89" s="191" t="e">
        <f>I86*1000/P86</f>
        <v>#REF!</v>
      </c>
      <c r="Q89" s="364" t="e">
        <f>O89-P89</f>
        <v>#REF!</v>
      </c>
    </row>
    <row r="90" spans="1:18" ht="16.350000000000001" customHeight="1" x14ac:dyDescent="0.25">
      <c r="A90" s="37" t="s">
        <v>153</v>
      </c>
      <c r="C90" s="75"/>
      <c r="D90" s="75"/>
      <c r="K90" s="185"/>
      <c r="L90" s="185"/>
      <c r="M90" s="185"/>
      <c r="O90" s="194"/>
      <c r="P90" s="194"/>
      <c r="Q90" s="185"/>
    </row>
    <row r="91" spans="1:18" ht="15" x14ac:dyDescent="0.25">
      <c r="C91" s="75"/>
      <c r="D91" s="75"/>
      <c r="K91" s="193"/>
      <c r="L91" s="193"/>
      <c r="M91" s="185"/>
      <c r="O91" s="194"/>
      <c r="P91" s="194"/>
      <c r="Q91" s="194"/>
    </row>
    <row r="92" spans="1:18" x14ac:dyDescent="0.2">
      <c r="O92" s="26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1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F309"/>
  <sheetViews>
    <sheetView zoomScale="80" zoomScaleNormal="80" zoomScaleSheetLayoutView="100" workbookViewId="0">
      <pane xSplit="3" ySplit="5" topLeftCell="D6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9.140625" defaultRowHeight="15.75" x14ac:dyDescent="0.25"/>
  <cols>
    <col min="1" max="1" width="6.85546875" style="47" customWidth="1"/>
    <col min="2" max="2" width="6.85546875" style="28" bestFit="1" customWidth="1"/>
    <col min="3" max="3" width="25.140625" style="48" bestFit="1" customWidth="1"/>
    <col min="4" max="12" width="13.42578125" style="49" bestFit="1" customWidth="1"/>
    <col min="13" max="15" width="13.42578125" style="50" bestFit="1" customWidth="1"/>
    <col min="16" max="16" width="14" style="48" bestFit="1" customWidth="1"/>
    <col min="17" max="17" width="5.140625" style="50" bestFit="1" customWidth="1"/>
    <col min="18" max="25" width="13.42578125" style="29" bestFit="1" customWidth="1"/>
    <col min="26" max="27" width="13.42578125" style="32" bestFit="1" customWidth="1"/>
    <col min="28" max="29" width="13.42578125" style="38" bestFit="1" customWidth="1"/>
    <col min="30" max="30" width="11.140625" style="48" customWidth="1"/>
    <col min="31" max="31" width="1.140625" style="29" customWidth="1"/>
    <col min="32" max="32" width="12.85546875" style="48" customWidth="1"/>
    <col min="33" max="16384" width="9.140625" style="29"/>
  </cols>
  <sheetData>
    <row r="1" spans="1:32" ht="18.75" x14ac:dyDescent="0.3">
      <c r="A1" s="149" t="s">
        <v>66</v>
      </c>
      <c r="R1" s="32"/>
    </row>
    <row r="2" spans="1:32" ht="20.85" customHeight="1" x14ac:dyDescent="0.35">
      <c r="A2" s="122" t="s">
        <v>118</v>
      </c>
      <c r="B2" s="29"/>
      <c r="C2" s="2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9"/>
      <c r="Q2" s="260"/>
      <c r="R2" s="31"/>
      <c r="S2" s="30"/>
      <c r="X2" s="35"/>
      <c r="AB2" s="32"/>
      <c r="AC2" s="32"/>
      <c r="AD2" s="29"/>
      <c r="AF2" s="29"/>
    </row>
    <row r="3" spans="1:32" x14ac:dyDescent="0.2">
      <c r="A3" s="18" t="s">
        <v>126</v>
      </c>
      <c r="B3" s="29"/>
      <c r="C3" s="29"/>
      <c r="D3" s="279">
        <f>YEAR(D5)</f>
        <v>2023</v>
      </c>
      <c r="E3" s="279">
        <f t="shared" ref="E3:O3" si="0">YEAR(E5)</f>
        <v>2023</v>
      </c>
      <c r="F3" s="279">
        <f t="shared" si="0"/>
        <v>2023</v>
      </c>
      <c r="G3" s="279">
        <f t="shared" si="0"/>
        <v>2023</v>
      </c>
      <c r="H3" s="279">
        <f t="shared" si="0"/>
        <v>2023</v>
      </c>
      <c r="I3" s="279">
        <f t="shared" si="0"/>
        <v>2023</v>
      </c>
      <c r="J3" s="279">
        <f t="shared" si="0"/>
        <v>2023</v>
      </c>
      <c r="K3" s="279">
        <f t="shared" si="0"/>
        <v>2023</v>
      </c>
      <c r="L3" s="279">
        <f t="shared" si="0"/>
        <v>2023</v>
      </c>
      <c r="M3" s="279">
        <f t="shared" si="0"/>
        <v>2023</v>
      </c>
      <c r="N3" s="279">
        <f t="shared" si="0"/>
        <v>2023</v>
      </c>
      <c r="O3" s="279">
        <f t="shared" si="0"/>
        <v>2023</v>
      </c>
      <c r="P3" s="2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9"/>
      <c r="AF3" s="29"/>
    </row>
    <row r="4" spans="1:32" ht="19.5" customHeight="1" x14ac:dyDescent="0.25">
      <c r="A4" s="18"/>
      <c r="B4" s="29"/>
      <c r="C4" s="29"/>
      <c r="D4" s="434" t="s">
        <v>127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6"/>
      <c r="R4" s="434" t="s">
        <v>124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6"/>
      <c r="AF4" s="29"/>
    </row>
    <row r="5" spans="1:32" ht="27" customHeight="1" x14ac:dyDescent="0.2">
      <c r="A5" s="267" t="s">
        <v>92</v>
      </c>
      <c r="D5" s="261">
        <v>44927</v>
      </c>
      <c r="E5" s="262">
        <v>44958</v>
      </c>
      <c r="F5" s="262">
        <v>44986</v>
      </c>
      <c r="G5" s="262">
        <v>45017</v>
      </c>
      <c r="H5" s="262">
        <v>45047</v>
      </c>
      <c r="I5" s="262">
        <v>45078</v>
      </c>
      <c r="J5" s="262">
        <v>45108</v>
      </c>
      <c r="K5" s="262">
        <v>45139</v>
      </c>
      <c r="L5" s="262">
        <v>45170</v>
      </c>
      <c r="M5" s="262">
        <v>45200</v>
      </c>
      <c r="N5" s="262">
        <v>45231</v>
      </c>
      <c r="O5" s="262">
        <v>45261</v>
      </c>
      <c r="P5" s="385" t="s">
        <v>127</v>
      </c>
      <c r="Q5" s="259"/>
      <c r="R5" s="261">
        <v>44348</v>
      </c>
      <c r="S5" s="262">
        <v>44378</v>
      </c>
      <c r="T5" s="262">
        <v>44409</v>
      </c>
      <c r="U5" s="262">
        <v>44440</v>
      </c>
      <c r="V5" s="262">
        <v>44470</v>
      </c>
      <c r="W5" s="262">
        <v>44501</v>
      </c>
      <c r="X5" s="262">
        <v>44531</v>
      </c>
      <c r="Y5" s="262">
        <v>44562</v>
      </c>
      <c r="Z5" s="262">
        <v>44593</v>
      </c>
      <c r="AA5" s="262">
        <v>44621</v>
      </c>
      <c r="AB5" s="262">
        <v>44652</v>
      </c>
      <c r="AC5" s="400">
        <v>44682</v>
      </c>
      <c r="AD5" s="386" t="s">
        <v>123</v>
      </c>
      <c r="AF5" s="386" t="s">
        <v>67</v>
      </c>
    </row>
    <row r="6" spans="1:32" ht="14.1" customHeight="1" x14ac:dyDescent="0.25">
      <c r="A6" s="233" t="s">
        <v>60</v>
      </c>
      <c r="B6" s="234" t="s">
        <v>73</v>
      </c>
      <c r="C6" s="264" t="s">
        <v>68</v>
      </c>
      <c r="D6" s="263"/>
      <c r="E6" s="50"/>
      <c r="F6" s="50"/>
      <c r="G6" s="50"/>
      <c r="H6" s="50"/>
      <c r="I6" s="50"/>
      <c r="J6" s="50"/>
      <c r="K6" s="50"/>
      <c r="L6" s="50"/>
      <c r="P6" s="387"/>
      <c r="R6" s="171"/>
      <c r="S6" s="32"/>
      <c r="T6" s="32"/>
      <c r="U6" s="32"/>
      <c r="V6" s="32"/>
      <c r="W6" s="32"/>
      <c r="X6" s="32"/>
      <c r="Y6" s="32"/>
      <c r="AD6" s="387"/>
      <c r="AF6" s="387"/>
    </row>
    <row r="7" spans="1:32" s="49" customFormat="1" x14ac:dyDescent="0.25">
      <c r="A7" s="158" t="s">
        <v>7</v>
      </c>
      <c r="B7" s="159" t="s">
        <v>0</v>
      </c>
      <c r="C7" s="118" t="s">
        <v>8</v>
      </c>
      <c r="D7" s="282">
        <v>0</v>
      </c>
      <c r="E7" s="280">
        <v>0</v>
      </c>
      <c r="F7" s="280">
        <v>0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300">
        <f t="shared" ref="P7:P38" si="1">SUM(D7:O7)</f>
        <v>0</v>
      </c>
      <c r="Q7" s="281"/>
      <c r="R7" s="282">
        <v>0</v>
      </c>
      <c r="S7" s="280">
        <v>0</v>
      </c>
      <c r="T7" s="280">
        <v>0</v>
      </c>
      <c r="U7" s="280">
        <v>0</v>
      </c>
      <c r="V7" s="280">
        <v>0</v>
      </c>
      <c r="W7" s="280">
        <v>0</v>
      </c>
      <c r="X7" s="280">
        <v>0</v>
      </c>
      <c r="Y7" s="280">
        <v>0</v>
      </c>
      <c r="Z7" s="280">
        <v>0</v>
      </c>
      <c r="AA7" s="280">
        <v>0</v>
      </c>
      <c r="AB7" s="280">
        <v>0</v>
      </c>
      <c r="AC7" s="280">
        <v>0</v>
      </c>
      <c r="AD7" s="300">
        <f t="shared" ref="AD7:AD38" si="2">SUM(R7:AC7)</f>
        <v>0</v>
      </c>
      <c r="AF7" s="300">
        <f t="shared" ref="AF7:AF38" si="3">P7-AD7</f>
        <v>0</v>
      </c>
    </row>
    <row r="8" spans="1:32" s="49" customFormat="1" x14ac:dyDescent="0.25">
      <c r="A8" s="158" t="s">
        <v>7</v>
      </c>
      <c r="B8" s="159" t="s">
        <v>0</v>
      </c>
      <c r="C8" s="119" t="s">
        <v>9</v>
      </c>
      <c r="D8" s="282">
        <v>0</v>
      </c>
      <c r="E8" s="280">
        <v>0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300">
        <f t="shared" si="1"/>
        <v>0</v>
      </c>
      <c r="Q8" s="281"/>
      <c r="R8" s="282">
        <v>0</v>
      </c>
      <c r="S8" s="280">
        <v>0</v>
      </c>
      <c r="T8" s="280">
        <v>0</v>
      </c>
      <c r="U8" s="280">
        <v>0</v>
      </c>
      <c r="V8" s="280">
        <v>0</v>
      </c>
      <c r="W8" s="280">
        <v>0</v>
      </c>
      <c r="X8" s="280">
        <v>0</v>
      </c>
      <c r="Y8" s="280">
        <v>0</v>
      </c>
      <c r="Z8" s="280">
        <v>0</v>
      </c>
      <c r="AA8" s="280">
        <v>0</v>
      </c>
      <c r="AB8" s="280">
        <v>0</v>
      </c>
      <c r="AC8" s="280">
        <v>0</v>
      </c>
      <c r="AD8" s="300">
        <f t="shared" si="2"/>
        <v>0</v>
      </c>
      <c r="AF8" s="300">
        <f t="shared" si="3"/>
        <v>0</v>
      </c>
    </row>
    <row r="9" spans="1:32" s="49" customFormat="1" x14ac:dyDescent="0.25">
      <c r="A9" s="158" t="s">
        <v>7</v>
      </c>
      <c r="B9" s="159" t="s">
        <v>0</v>
      </c>
      <c r="C9" s="119" t="s">
        <v>71</v>
      </c>
      <c r="D9" s="282">
        <v>0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300">
        <f t="shared" si="1"/>
        <v>0</v>
      </c>
      <c r="Q9" s="281"/>
      <c r="R9" s="282">
        <v>0</v>
      </c>
      <c r="S9" s="280">
        <v>0</v>
      </c>
      <c r="T9" s="280">
        <v>0</v>
      </c>
      <c r="U9" s="280">
        <v>0</v>
      </c>
      <c r="V9" s="280">
        <v>0</v>
      </c>
      <c r="W9" s="280">
        <v>0</v>
      </c>
      <c r="X9" s="280">
        <v>0</v>
      </c>
      <c r="Y9" s="280">
        <v>0</v>
      </c>
      <c r="Z9" s="280">
        <v>0</v>
      </c>
      <c r="AA9" s="280">
        <v>0</v>
      </c>
      <c r="AB9" s="280">
        <v>0</v>
      </c>
      <c r="AC9" s="280">
        <v>0</v>
      </c>
      <c r="AD9" s="300">
        <f t="shared" si="2"/>
        <v>0</v>
      </c>
      <c r="AF9" s="300">
        <f t="shared" si="3"/>
        <v>0</v>
      </c>
    </row>
    <row r="10" spans="1:32" s="49" customFormat="1" x14ac:dyDescent="0.25">
      <c r="A10" s="158" t="s">
        <v>7</v>
      </c>
      <c r="B10" s="159" t="s">
        <v>0</v>
      </c>
      <c r="C10" s="119" t="s">
        <v>21</v>
      </c>
      <c r="D10" s="282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300">
        <f t="shared" si="1"/>
        <v>0</v>
      </c>
      <c r="Q10" s="281"/>
      <c r="R10" s="282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280">
        <v>0</v>
      </c>
      <c r="Z10" s="280">
        <v>0</v>
      </c>
      <c r="AA10" s="280">
        <v>0</v>
      </c>
      <c r="AB10" s="280">
        <v>0</v>
      </c>
      <c r="AC10" s="280">
        <v>0</v>
      </c>
      <c r="AD10" s="300">
        <f t="shared" si="2"/>
        <v>0</v>
      </c>
      <c r="AF10" s="300">
        <f t="shared" si="3"/>
        <v>0</v>
      </c>
    </row>
    <row r="11" spans="1:32" s="49" customFormat="1" x14ac:dyDescent="0.25">
      <c r="A11" s="158" t="s">
        <v>7</v>
      </c>
      <c r="B11" s="159" t="s">
        <v>0</v>
      </c>
      <c r="C11" s="119" t="s">
        <v>32</v>
      </c>
      <c r="D11" s="282">
        <v>0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300">
        <f t="shared" si="1"/>
        <v>0</v>
      </c>
      <c r="Q11" s="281"/>
      <c r="R11" s="282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280">
        <v>0</v>
      </c>
      <c r="Z11" s="280">
        <v>0</v>
      </c>
      <c r="AA11" s="280">
        <v>0</v>
      </c>
      <c r="AB11" s="280">
        <v>0</v>
      </c>
      <c r="AC11" s="280">
        <v>0</v>
      </c>
      <c r="AD11" s="300">
        <f t="shared" si="2"/>
        <v>0</v>
      </c>
      <c r="AF11" s="300">
        <f t="shared" si="3"/>
        <v>0</v>
      </c>
    </row>
    <row r="12" spans="1:32" s="49" customFormat="1" x14ac:dyDescent="0.25">
      <c r="A12" s="158" t="s">
        <v>7</v>
      </c>
      <c r="B12" s="159" t="s">
        <v>0</v>
      </c>
      <c r="C12" s="119" t="s">
        <v>26</v>
      </c>
      <c r="D12" s="282">
        <v>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300">
        <f t="shared" si="1"/>
        <v>0</v>
      </c>
      <c r="Q12" s="281"/>
      <c r="R12" s="282">
        <v>0</v>
      </c>
      <c r="S12" s="280">
        <v>0</v>
      </c>
      <c r="T12" s="280">
        <v>0</v>
      </c>
      <c r="U12" s="280">
        <v>0</v>
      </c>
      <c r="V12" s="280">
        <v>0</v>
      </c>
      <c r="W12" s="280">
        <v>0</v>
      </c>
      <c r="X12" s="280">
        <v>0</v>
      </c>
      <c r="Y12" s="280">
        <v>0</v>
      </c>
      <c r="Z12" s="280">
        <v>0</v>
      </c>
      <c r="AA12" s="280">
        <v>0</v>
      </c>
      <c r="AB12" s="280">
        <v>0</v>
      </c>
      <c r="AC12" s="280">
        <v>0</v>
      </c>
      <c r="AD12" s="300">
        <f t="shared" si="2"/>
        <v>0</v>
      </c>
      <c r="AF12" s="300">
        <f t="shared" si="3"/>
        <v>0</v>
      </c>
    </row>
    <row r="13" spans="1:32" s="49" customFormat="1" x14ac:dyDescent="0.25">
      <c r="A13" s="158" t="s">
        <v>7</v>
      </c>
      <c r="B13" s="159" t="s">
        <v>0</v>
      </c>
      <c r="C13" s="119" t="s">
        <v>25</v>
      </c>
      <c r="D13" s="282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300">
        <f t="shared" si="1"/>
        <v>0</v>
      </c>
      <c r="Q13" s="281"/>
      <c r="R13" s="282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280">
        <v>0</v>
      </c>
      <c r="AB13" s="280">
        <v>0</v>
      </c>
      <c r="AC13" s="280">
        <v>0</v>
      </c>
      <c r="AD13" s="300">
        <f t="shared" si="2"/>
        <v>0</v>
      </c>
      <c r="AF13" s="300">
        <f t="shared" si="3"/>
        <v>0</v>
      </c>
    </row>
    <row r="14" spans="1:32" s="49" customFormat="1" ht="16.5" thickBot="1" x14ac:dyDescent="0.3">
      <c r="A14" s="158" t="s">
        <v>7</v>
      </c>
      <c r="B14" s="159" t="s">
        <v>0</v>
      </c>
      <c r="C14" s="119" t="s">
        <v>27</v>
      </c>
      <c r="D14" s="284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300">
        <f t="shared" si="1"/>
        <v>0</v>
      </c>
      <c r="Q14" s="281"/>
      <c r="R14" s="284">
        <v>0</v>
      </c>
      <c r="S14" s="283">
        <v>0</v>
      </c>
      <c r="T14" s="283">
        <v>0</v>
      </c>
      <c r="U14" s="283">
        <v>0</v>
      </c>
      <c r="V14" s="283">
        <v>0</v>
      </c>
      <c r="W14" s="283">
        <v>0</v>
      </c>
      <c r="X14" s="283">
        <v>0</v>
      </c>
      <c r="Y14" s="283">
        <v>0</v>
      </c>
      <c r="Z14" s="283">
        <v>0</v>
      </c>
      <c r="AA14" s="283">
        <v>0</v>
      </c>
      <c r="AB14" s="283">
        <v>0</v>
      </c>
      <c r="AC14" s="283">
        <v>0</v>
      </c>
      <c r="AD14" s="300">
        <f t="shared" si="2"/>
        <v>0</v>
      </c>
      <c r="AF14" s="300">
        <f t="shared" si="3"/>
        <v>0</v>
      </c>
    </row>
    <row r="15" spans="1:32" s="49" customFormat="1" ht="16.5" thickTop="1" x14ac:dyDescent="0.25">
      <c r="A15" s="158" t="s">
        <v>7</v>
      </c>
      <c r="B15" s="159">
        <v>501</v>
      </c>
      <c r="C15" s="119" t="s">
        <v>28</v>
      </c>
      <c r="D15" s="292">
        <v>4251.1962800000001</v>
      </c>
      <c r="E15" s="293">
        <v>3812.5568800000001</v>
      </c>
      <c r="F15" s="293">
        <v>3767.0153799999998</v>
      </c>
      <c r="G15" s="293">
        <v>3378.47093</v>
      </c>
      <c r="H15" s="293">
        <v>3065.85302</v>
      </c>
      <c r="I15" s="293">
        <v>3232.8117699999998</v>
      </c>
      <c r="J15" s="293">
        <v>4254.98632</v>
      </c>
      <c r="K15" s="293">
        <v>4283.4120000000003</v>
      </c>
      <c r="L15" s="293">
        <v>4108.1325699999998</v>
      </c>
      <c r="M15" s="293">
        <v>4249.3012600000002</v>
      </c>
      <c r="N15" s="293">
        <v>4129.4731400000001</v>
      </c>
      <c r="O15" s="293">
        <v>4280.56934</v>
      </c>
      <c r="P15" s="301">
        <f t="shared" si="1"/>
        <v>46813.778890000001</v>
      </c>
      <c r="Q15" s="281"/>
      <c r="R15" s="292">
        <v>1127.48992344625</v>
      </c>
      <c r="S15" s="293">
        <v>3502.3306643624992</v>
      </c>
      <c r="T15" s="293">
        <v>4225.8176508750021</v>
      </c>
      <c r="U15" s="293">
        <v>4159.6221591250032</v>
      </c>
      <c r="V15" s="293">
        <v>4229.764125624999</v>
      </c>
      <c r="W15" s="293">
        <v>4074.9455057500013</v>
      </c>
      <c r="X15" s="293">
        <v>4282.4761330000038</v>
      </c>
      <c r="Y15" s="293">
        <v>4205.1562342499965</v>
      </c>
      <c r="Z15" s="293">
        <v>3767.2673429999995</v>
      </c>
      <c r="AA15" s="293">
        <v>3525.5511658024998</v>
      </c>
      <c r="AB15" s="293">
        <v>2792.6009439874997</v>
      </c>
      <c r="AC15" s="293">
        <v>1331.1007416149998</v>
      </c>
      <c r="AD15" s="301">
        <f t="shared" si="2"/>
        <v>41224.12259083875</v>
      </c>
      <c r="AF15" s="366">
        <f t="shared" si="3"/>
        <v>5589.6562991612518</v>
      </c>
    </row>
    <row r="16" spans="1:32" s="49" customFormat="1" x14ac:dyDescent="0.25">
      <c r="A16" s="158" t="s">
        <v>7</v>
      </c>
      <c r="B16" s="159">
        <v>547</v>
      </c>
      <c r="C16" s="118" t="s">
        <v>10</v>
      </c>
      <c r="D16" s="285">
        <v>5109.335</v>
      </c>
      <c r="E16" s="286">
        <v>4570.5727500000003</v>
      </c>
      <c r="F16" s="286">
        <v>1438.9582499999999</v>
      </c>
      <c r="G16" s="286">
        <v>1519.14148</v>
      </c>
      <c r="H16" s="286">
        <v>1059.5242900000001</v>
      </c>
      <c r="I16" s="286">
        <v>1476.6417200000001</v>
      </c>
      <c r="J16" s="286">
        <v>3693.9714399999998</v>
      </c>
      <c r="K16" s="286">
        <v>3769.0859999999998</v>
      </c>
      <c r="L16" s="286">
        <v>4059.6752900000001</v>
      </c>
      <c r="M16" s="286">
        <v>4154.0385699999997</v>
      </c>
      <c r="N16" s="286">
        <v>4383.9326199999996</v>
      </c>
      <c r="O16" s="286">
        <v>5657.9736300000004</v>
      </c>
      <c r="P16" s="302">
        <f t="shared" si="1"/>
        <v>40892.851040000001</v>
      </c>
      <c r="Q16" s="281"/>
      <c r="R16" s="285">
        <v>1195.3189851225002</v>
      </c>
      <c r="S16" s="286">
        <v>2724.5319357500002</v>
      </c>
      <c r="T16" s="286">
        <v>3762.1470546249984</v>
      </c>
      <c r="U16" s="286">
        <v>3900.0594637499989</v>
      </c>
      <c r="V16" s="286">
        <v>3869.6052522500004</v>
      </c>
      <c r="W16" s="286">
        <v>3443.1633099999999</v>
      </c>
      <c r="X16" s="286">
        <v>4875.3289358749971</v>
      </c>
      <c r="Y16" s="286">
        <v>4959.1761168750027</v>
      </c>
      <c r="Z16" s="286">
        <v>4212.4780677499975</v>
      </c>
      <c r="AA16" s="286">
        <v>3098.2839979250016</v>
      </c>
      <c r="AB16" s="286">
        <v>1907.1584984875001</v>
      </c>
      <c r="AC16" s="286">
        <v>0</v>
      </c>
      <c r="AD16" s="302">
        <f t="shared" si="2"/>
        <v>37947.251618409995</v>
      </c>
      <c r="AF16" s="367">
        <f t="shared" si="3"/>
        <v>2945.5994215900064</v>
      </c>
    </row>
    <row r="17" spans="1:32" s="49" customFormat="1" x14ac:dyDescent="0.25">
      <c r="A17" s="77" t="s">
        <v>7</v>
      </c>
      <c r="B17" s="159">
        <v>547</v>
      </c>
      <c r="C17" s="120" t="s">
        <v>11</v>
      </c>
      <c r="D17" s="285">
        <v>4862.12842</v>
      </c>
      <c r="E17" s="286">
        <v>3762.50513</v>
      </c>
      <c r="F17" s="286">
        <v>1373.6256100000001</v>
      </c>
      <c r="G17" s="286">
        <v>203.721756</v>
      </c>
      <c r="H17" s="286">
        <v>1066.6564900000001</v>
      </c>
      <c r="I17" s="286">
        <v>1512.16553</v>
      </c>
      <c r="J17" s="286">
        <v>3261.86328</v>
      </c>
      <c r="K17" s="286">
        <v>4093.3232400000002</v>
      </c>
      <c r="L17" s="286">
        <v>4453.7659999999996</v>
      </c>
      <c r="M17" s="286">
        <v>176.782974</v>
      </c>
      <c r="N17" s="286">
        <v>2504.21045</v>
      </c>
      <c r="O17" s="286">
        <v>5496.1469999999999</v>
      </c>
      <c r="P17" s="302">
        <f t="shared" si="1"/>
        <v>32766.895880000004</v>
      </c>
      <c r="Q17" s="281"/>
      <c r="R17" s="285">
        <v>836.40886757750036</v>
      </c>
      <c r="S17" s="286">
        <v>2137.1305489499996</v>
      </c>
      <c r="T17" s="286">
        <v>2913.7686208750001</v>
      </c>
      <c r="U17" s="286">
        <v>3039.1091231249993</v>
      </c>
      <c r="V17" s="286">
        <v>1584.1725272624999</v>
      </c>
      <c r="W17" s="286">
        <v>631.6718165474997</v>
      </c>
      <c r="X17" s="286">
        <v>1488.3577027600004</v>
      </c>
      <c r="Y17" s="286">
        <v>3599.6351161000007</v>
      </c>
      <c r="Z17" s="286">
        <v>3189.7166596250004</v>
      </c>
      <c r="AA17" s="286">
        <v>2356.3869815375006</v>
      </c>
      <c r="AB17" s="286">
        <v>777.32029013999977</v>
      </c>
      <c r="AC17" s="286">
        <v>709.39756048000004</v>
      </c>
      <c r="AD17" s="302">
        <f t="shared" si="2"/>
        <v>23263.075814980002</v>
      </c>
      <c r="AF17" s="367">
        <f t="shared" si="3"/>
        <v>9503.8200650200015</v>
      </c>
    </row>
    <row r="18" spans="1:32" s="49" customFormat="1" x14ac:dyDescent="0.25">
      <c r="A18" s="77" t="s">
        <v>7</v>
      </c>
      <c r="B18" s="159">
        <v>547</v>
      </c>
      <c r="C18" s="119" t="s">
        <v>12</v>
      </c>
      <c r="D18" s="285">
        <v>634.18039999999996</v>
      </c>
      <c r="E18" s="286">
        <v>1156.3429000000001</v>
      </c>
      <c r="F18" s="286">
        <v>518.46090000000004</v>
      </c>
      <c r="G18" s="286">
        <v>709.957764</v>
      </c>
      <c r="H18" s="286">
        <v>0</v>
      </c>
      <c r="I18" s="286">
        <v>352.13674900000001</v>
      </c>
      <c r="J18" s="286">
        <v>1450.46741</v>
      </c>
      <c r="K18" s="286">
        <v>1941.2896699999999</v>
      </c>
      <c r="L18" s="286">
        <v>2056.5219999999999</v>
      </c>
      <c r="M18" s="286">
        <v>2128.1</v>
      </c>
      <c r="N18" s="286">
        <v>1990.211</v>
      </c>
      <c r="O18" s="286">
        <v>2510.0876499999999</v>
      </c>
      <c r="P18" s="302">
        <f t="shared" si="1"/>
        <v>15447.756442999998</v>
      </c>
      <c r="Q18" s="281"/>
      <c r="R18" s="285">
        <v>184.70365242624993</v>
      </c>
      <c r="S18" s="286">
        <v>517.11329516625005</v>
      </c>
      <c r="T18" s="286">
        <v>655.54896900000006</v>
      </c>
      <c r="U18" s="286">
        <v>736.70265760249981</v>
      </c>
      <c r="V18" s="286">
        <v>475.13550647500006</v>
      </c>
      <c r="W18" s="286">
        <v>46.256356361250013</v>
      </c>
      <c r="X18" s="286">
        <v>256.03857795250002</v>
      </c>
      <c r="Y18" s="286">
        <v>601.46815835125017</v>
      </c>
      <c r="Z18" s="286">
        <v>830.35356706250002</v>
      </c>
      <c r="AA18" s="286">
        <v>760.55461681137513</v>
      </c>
      <c r="AB18" s="286">
        <v>532.78958753250004</v>
      </c>
      <c r="AC18" s="286">
        <v>81.031715305000006</v>
      </c>
      <c r="AD18" s="302">
        <f t="shared" si="2"/>
        <v>5677.6966600463757</v>
      </c>
      <c r="AF18" s="367">
        <f t="shared" si="3"/>
        <v>9770.0597829536237</v>
      </c>
    </row>
    <row r="19" spans="1:32" s="49" customFormat="1" x14ac:dyDescent="0.25">
      <c r="A19" s="77" t="s">
        <v>7</v>
      </c>
      <c r="B19" s="159">
        <v>547</v>
      </c>
      <c r="C19" s="118" t="s">
        <v>20</v>
      </c>
      <c r="D19" s="285">
        <v>943.66769999999997</v>
      </c>
      <c r="E19" s="286">
        <v>1956.70081</v>
      </c>
      <c r="F19" s="286">
        <v>495.70211799999998</v>
      </c>
      <c r="G19" s="286">
        <v>403.38069999999999</v>
      </c>
      <c r="H19" s="286">
        <v>591.67070000000001</v>
      </c>
      <c r="I19" s="286">
        <v>487.52600000000001</v>
      </c>
      <c r="J19" s="286">
        <v>1883.6962900000001</v>
      </c>
      <c r="K19" s="286">
        <v>1878.26721</v>
      </c>
      <c r="L19" s="286">
        <v>1958.4716800000001</v>
      </c>
      <c r="M19" s="286">
        <v>2013.08215</v>
      </c>
      <c r="N19" s="286">
        <v>2233.85034</v>
      </c>
      <c r="O19" s="286">
        <v>2881.9856</v>
      </c>
      <c r="P19" s="302">
        <f t="shared" si="1"/>
        <v>17728.001298000003</v>
      </c>
      <c r="Q19" s="281"/>
      <c r="R19" s="285">
        <v>362.57606546</v>
      </c>
      <c r="S19" s="286">
        <v>987.36142966750026</v>
      </c>
      <c r="T19" s="286">
        <v>1478.7797656625003</v>
      </c>
      <c r="U19" s="286">
        <v>1685.7549698375001</v>
      </c>
      <c r="V19" s="286">
        <v>1062.7981197875001</v>
      </c>
      <c r="W19" s="286">
        <v>182.80948648750001</v>
      </c>
      <c r="X19" s="286">
        <v>648.65203352499998</v>
      </c>
      <c r="Y19" s="286">
        <v>1451.2967394749999</v>
      </c>
      <c r="Z19" s="286">
        <v>1410.2416023624992</v>
      </c>
      <c r="AA19" s="286">
        <v>1135.5104201700001</v>
      </c>
      <c r="AB19" s="286">
        <v>338.79911050249996</v>
      </c>
      <c r="AC19" s="286">
        <v>248.19072221000005</v>
      </c>
      <c r="AD19" s="302">
        <f t="shared" si="2"/>
        <v>10992.7704651475</v>
      </c>
      <c r="AF19" s="367">
        <f t="shared" si="3"/>
        <v>6735.2308328525032</v>
      </c>
    </row>
    <row r="20" spans="1:32" s="49" customFormat="1" x14ac:dyDescent="0.25">
      <c r="A20" s="77" t="s">
        <v>7</v>
      </c>
      <c r="B20" s="159">
        <v>547</v>
      </c>
      <c r="C20" s="119" t="s">
        <v>13</v>
      </c>
      <c r="D20" s="285">
        <v>287.92755099999999</v>
      </c>
      <c r="E20" s="286">
        <v>693.66876200000002</v>
      </c>
      <c r="F20" s="286">
        <v>235.93862899999999</v>
      </c>
      <c r="G20" s="286">
        <v>0</v>
      </c>
      <c r="H20" s="286">
        <v>1.9829455600000001</v>
      </c>
      <c r="I20" s="286">
        <v>310.22085600000003</v>
      </c>
      <c r="J20" s="286">
        <v>1404.472</v>
      </c>
      <c r="K20" s="286">
        <v>1700.98975</v>
      </c>
      <c r="L20" s="286">
        <v>2321.6280000000002</v>
      </c>
      <c r="M20" s="286">
        <v>453.728973</v>
      </c>
      <c r="N20" s="286">
        <v>462.96203600000001</v>
      </c>
      <c r="O20" s="286">
        <v>981.43899999999996</v>
      </c>
      <c r="P20" s="302">
        <f t="shared" si="1"/>
        <v>8854.9585025600009</v>
      </c>
      <c r="Q20" s="281"/>
      <c r="R20" s="285">
        <v>126.09092296499998</v>
      </c>
      <c r="S20" s="286">
        <v>292.56562236999997</v>
      </c>
      <c r="T20" s="286">
        <v>269.63776096375</v>
      </c>
      <c r="U20" s="286">
        <v>243.92056682875</v>
      </c>
      <c r="V20" s="286">
        <v>12.800268509999999</v>
      </c>
      <c r="W20" s="286">
        <v>2.5671793525000002</v>
      </c>
      <c r="X20" s="286">
        <v>16.547001883749996</v>
      </c>
      <c r="Y20" s="286">
        <v>203.76014156749994</v>
      </c>
      <c r="Z20" s="286">
        <v>474.05830427499995</v>
      </c>
      <c r="AA20" s="286">
        <v>537.88510752874993</v>
      </c>
      <c r="AB20" s="286">
        <v>1.2426629662500002</v>
      </c>
      <c r="AC20" s="286">
        <v>44.814181492499998</v>
      </c>
      <c r="AD20" s="302">
        <f t="shared" si="2"/>
        <v>2225.8897207037498</v>
      </c>
      <c r="AF20" s="367">
        <f t="shared" si="3"/>
        <v>6629.068781856251</v>
      </c>
    </row>
    <row r="21" spans="1:32" s="49" customFormat="1" x14ac:dyDescent="0.25">
      <c r="A21" s="77" t="s">
        <v>7</v>
      </c>
      <c r="B21" s="159">
        <v>547</v>
      </c>
      <c r="C21" s="118" t="s">
        <v>14</v>
      </c>
      <c r="D21" s="285">
        <v>0</v>
      </c>
      <c r="E21" s="286">
        <v>173.24878999999999</v>
      </c>
      <c r="F21" s="286">
        <v>114.07064</v>
      </c>
      <c r="G21" s="286">
        <v>97.454149999999998</v>
      </c>
      <c r="H21" s="286">
        <v>0</v>
      </c>
      <c r="I21" s="286">
        <v>0</v>
      </c>
      <c r="J21" s="286">
        <v>56.538011499999996</v>
      </c>
      <c r="K21" s="286">
        <v>2530.7458500000002</v>
      </c>
      <c r="L21" s="286">
        <v>0</v>
      </c>
      <c r="M21" s="286">
        <v>0</v>
      </c>
      <c r="N21" s="286">
        <v>122.61508180000001</v>
      </c>
      <c r="O21" s="286">
        <v>0</v>
      </c>
      <c r="P21" s="302">
        <f t="shared" si="1"/>
        <v>3094.6725233000002</v>
      </c>
      <c r="Q21" s="281"/>
      <c r="R21" s="285">
        <v>13.854013652499994</v>
      </c>
      <c r="S21" s="286">
        <v>101.29816075374998</v>
      </c>
      <c r="T21" s="286">
        <v>41.359587271250007</v>
      </c>
      <c r="U21" s="286">
        <v>6.4528658425000005</v>
      </c>
      <c r="V21" s="286">
        <v>0</v>
      </c>
      <c r="W21" s="286">
        <v>0.36669883749999999</v>
      </c>
      <c r="X21" s="286">
        <v>0</v>
      </c>
      <c r="Y21" s="286">
        <v>84.967352063749999</v>
      </c>
      <c r="Z21" s="286">
        <v>237.61233415625006</v>
      </c>
      <c r="AA21" s="286">
        <v>324.6847062475</v>
      </c>
      <c r="AB21" s="286">
        <v>166.89499985625002</v>
      </c>
      <c r="AC21" s="286">
        <v>2.8900747037499999</v>
      </c>
      <c r="AD21" s="302">
        <f t="shared" si="2"/>
        <v>980.38079338500006</v>
      </c>
      <c r="AF21" s="367">
        <f t="shared" si="3"/>
        <v>2114.2917299150004</v>
      </c>
    </row>
    <row r="22" spans="1:32" s="49" customFormat="1" x14ac:dyDescent="0.25">
      <c r="A22" s="77" t="s">
        <v>7</v>
      </c>
      <c r="B22" s="159">
        <v>547</v>
      </c>
      <c r="C22" s="118" t="s">
        <v>15</v>
      </c>
      <c r="D22" s="285">
        <v>232.80493200000001</v>
      </c>
      <c r="E22" s="286">
        <v>354.23976199999998</v>
      </c>
      <c r="F22" s="286">
        <v>154.77294999999998</v>
      </c>
      <c r="G22" s="286">
        <v>0</v>
      </c>
      <c r="H22" s="286">
        <v>24.497544300000001</v>
      </c>
      <c r="I22" s="286">
        <v>39.783729600000001</v>
      </c>
      <c r="J22" s="286">
        <v>10.74768948</v>
      </c>
      <c r="K22" s="286">
        <v>309.34629899999999</v>
      </c>
      <c r="L22" s="286">
        <v>271.00486799999999</v>
      </c>
      <c r="M22" s="286">
        <v>4.82662177</v>
      </c>
      <c r="N22" s="286">
        <v>155.6303661</v>
      </c>
      <c r="O22" s="286">
        <v>229.68999500000001</v>
      </c>
      <c r="P22" s="302">
        <f t="shared" si="1"/>
        <v>1787.3447572499997</v>
      </c>
      <c r="Q22" s="281"/>
      <c r="R22" s="285">
        <v>47.591769372874992</v>
      </c>
      <c r="S22" s="286">
        <v>94.209894047250003</v>
      </c>
      <c r="T22" s="286">
        <v>126.0929439375</v>
      </c>
      <c r="U22" s="286">
        <v>152.69759831375001</v>
      </c>
      <c r="V22" s="286">
        <v>150.65838872250001</v>
      </c>
      <c r="W22" s="286">
        <v>77.488705895625003</v>
      </c>
      <c r="X22" s="286">
        <v>147.09973787774996</v>
      </c>
      <c r="Y22" s="286">
        <v>289.93353590625009</v>
      </c>
      <c r="Z22" s="286">
        <v>271.41815600874997</v>
      </c>
      <c r="AA22" s="286">
        <v>120.55460236000003</v>
      </c>
      <c r="AB22" s="286">
        <v>35.588284519000005</v>
      </c>
      <c r="AC22" s="286">
        <v>11.219595893749998</v>
      </c>
      <c r="AD22" s="302">
        <f t="shared" si="2"/>
        <v>1524.5532128549999</v>
      </c>
      <c r="AF22" s="367">
        <f t="shared" si="3"/>
        <v>262.79154439499985</v>
      </c>
    </row>
    <row r="23" spans="1:32" s="49" customFormat="1" x14ac:dyDescent="0.25">
      <c r="A23" s="77" t="s">
        <v>7</v>
      </c>
      <c r="B23" s="159">
        <v>547</v>
      </c>
      <c r="C23" s="118" t="s">
        <v>16</v>
      </c>
      <c r="D23" s="285">
        <v>1038.0610730000001</v>
      </c>
      <c r="E23" s="286">
        <v>219.43853750000002</v>
      </c>
      <c r="F23" s="286">
        <v>342.75234999999998</v>
      </c>
      <c r="G23" s="286">
        <v>108.8024285</v>
      </c>
      <c r="H23" s="286">
        <v>78.32580759999999</v>
      </c>
      <c r="I23" s="286">
        <v>111.57888</v>
      </c>
      <c r="J23" s="286">
        <v>43.480937100000006</v>
      </c>
      <c r="K23" s="286">
        <v>1783.744201</v>
      </c>
      <c r="L23" s="286">
        <v>117.34623000000001</v>
      </c>
      <c r="M23" s="286">
        <v>31.904923400000001</v>
      </c>
      <c r="N23" s="286">
        <v>92.90467799999999</v>
      </c>
      <c r="O23" s="286">
        <v>0</v>
      </c>
      <c r="P23" s="302">
        <f t="shared" si="1"/>
        <v>3968.3400460999997</v>
      </c>
      <c r="Q23" s="281"/>
      <c r="R23" s="285">
        <v>379.87139530624995</v>
      </c>
      <c r="S23" s="286">
        <v>551.06317138750001</v>
      </c>
      <c r="T23" s="286">
        <v>257.30998044500006</v>
      </c>
      <c r="U23" s="286">
        <v>49.534790236500001</v>
      </c>
      <c r="V23" s="286">
        <v>99.042923897624988</v>
      </c>
      <c r="W23" s="286">
        <v>442.73444252249993</v>
      </c>
      <c r="X23" s="286">
        <v>483.80503624625004</v>
      </c>
      <c r="Y23" s="286">
        <v>748.67769257625014</v>
      </c>
      <c r="Z23" s="286">
        <v>527.5568357300001</v>
      </c>
      <c r="AA23" s="286">
        <v>459.30370584250016</v>
      </c>
      <c r="AB23" s="286">
        <v>508.44424664473706</v>
      </c>
      <c r="AC23" s="286">
        <v>314.29538606749992</v>
      </c>
      <c r="AD23" s="302">
        <f t="shared" si="2"/>
        <v>4821.6396069026123</v>
      </c>
      <c r="AF23" s="367">
        <f t="shared" si="3"/>
        <v>-853.29956080261263</v>
      </c>
    </row>
    <row r="24" spans="1:32" s="49" customFormat="1" x14ac:dyDescent="0.25">
      <c r="A24" s="77" t="s">
        <v>7</v>
      </c>
      <c r="B24" s="159">
        <v>547</v>
      </c>
      <c r="C24" s="119" t="s">
        <v>17</v>
      </c>
      <c r="D24" s="285">
        <v>423.126644</v>
      </c>
      <c r="E24" s="286">
        <v>219.54504000000003</v>
      </c>
      <c r="F24" s="286">
        <v>908.05675799999995</v>
      </c>
      <c r="G24" s="286">
        <v>59.381017999999997</v>
      </c>
      <c r="H24" s="286">
        <v>164.33839540000002</v>
      </c>
      <c r="I24" s="286">
        <v>185.07421199999999</v>
      </c>
      <c r="J24" s="286">
        <v>43.575392800000003</v>
      </c>
      <c r="K24" s="286">
        <v>1920.0078570000001</v>
      </c>
      <c r="L24" s="286">
        <v>122.2478275</v>
      </c>
      <c r="M24" s="286">
        <v>16.553632700000001</v>
      </c>
      <c r="N24" s="286">
        <v>121.64722270000001</v>
      </c>
      <c r="O24" s="286">
        <v>0</v>
      </c>
      <c r="P24" s="302">
        <f t="shared" si="1"/>
        <v>4183.5540000999999</v>
      </c>
      <c r="Q24" s="281"/>
      <c r="R24" s="285">
        <v>44.025149343186357</v>
      </c>
      <c r="S24" s="286">
        <v>114.17161741750002</v>
      </c>
      <c r="T24" s="286">
        <v>6.6836399116250007</v>
      </c>
      <c r="U24" s="286">
        <v>2.18690670875</v>
      </c>
      <c r="V24" s="286">
        <v>42.028002866750001</v>
      </c>
      <c r="W24" s="286">
        <v>96.531623492500003</v>
      </c>
      <c r="X24" s="286">
        <v>99.785650792500007</v>
      </c>
      <c r="Y24" s="286">
        <v>112.26932007437499</v>
      </c>
      <c r="Z24" s="286">
        <v>118.31784966000002</v>
      </c>
      <c r="AA24" s="286">
        <v>479.69802872125001</v>
      </c>
      <c r="AB24" s="286">
        <v>102.68015690021991</v>
      </c>
      <c r="AC24" s="286">
        <v>29.891240455941762</v>
      </c>
      <c r="AD24" s="302">
        <f t="shared" si="2"/>
        <v>1248.2691863445982</v>
      </c>
      <c r="AF24" s="367">
        <f t="shared" si="3"/>
        <v>2935.284813755402</v>
      </c>
    </row>
    <row r="25" spans="1:32" s="49" customFormat="1" x14ac:dyDescent="0.25">
      <c r="A25" s="77" t="s">
        <v>7</v>
      </c>
      <c r="B25" s="159">
        <v>547</v>
      </c>
      <c r="C25" s="118" t="s">
        <v>18</v>
      </c>
      <c r="D25" s="285">
        <v>1823.4311499999999</v>
      </c>
      <c r="E25" s="286">
        <v>2337.5764199999999</v>
      </c>
      <c r="F25" s="286">
        <v>957.27980000000002</v>
      </c>
      <c r="G25" s="286">
        <v>0</v>
      </c>
      <c r="H25" s="286">
        <v>217.00704999999999</v>
      </c>
      <c r="I25" s="286">
        <v>799.04690000000005</v>
      </c>
      <c r="J25" s="286">
        <v>2256.62158</v>
      </c>
      <c r="K25" s="286">
        <v>3420.7558600000002</v>
      </c>
      <c r="L25" s="286">
        <v>4281.22559</v>
      </c>
      <c r="M25" s="286">
        <v>3736.1525900000001</v>
      </c>
      <c r="N25" s="286">
        <v>2639.20532</v>
      </c>
      <c r="O25" s="286">
        <v>3398.3903799999998</v>
      </c>
      <c r="P25" s="302">
        <f t="shared" si="1"/>
        <v>25866.692640000001</v>
      </c>
      <c r="Q25" s="281"/>
      <c r="R25" s="285">
        <v>195.76996376500003</v>
      </c>
      <c r="S25" s="286">
        <v>970.54821688874983</v>
      </c>
      <c r="T25" s="286">
        <v>1168.3190110749997</v>
      </c>
      <c r="U25" s="286">
        <v>1222.9189484374997</v>
      </c>
      <c r="V25" s="286">
        <v>997.36423569999988</v>
      </c>
      <c r="W25" s="286">
        <v>193.40920941875001</v>
      </c>
      <c r="X25" s="286">
        <v>619.60106685999995</v>
      </c>
      <c r="Y25" s="286">
        <v>1602.62277365</v>
      </c>
      <c r="Z25" s="286">
        <v>1854.0885689124993</v>
      </c>
      <c r="AA25" s="286">
        <v>1532.7145655874997</v>
      </c>
      <c r="AB25" s="286">
        <v>1030.57040315625</v>
      </c>
      <c r="AC25" s="286">
        <v>373.89935578500001</v>
      </c>
      <c r="AD25" s="302">
        <f t="shared" si="2"/>
        <v>11761.82631923625</v>
      </c>
      <c r="AF25" s="367">
        <f t="shared" si="3"/>
        <v>14104.866320763751</v>
      </c>
    </row>
    <row r="26" spans="1:32" s="49" customFormat="1" x14ac:dyDescent="0.25">
      <c r="A26" s="77" t="s">
        <v>7</v>
      </c>
      <c r="B26" s="159">
        <v>548</v>
      </c>
      <c r="C26" s="119" t="s">
        <v>23</v>
      </c>
      <c r="D26" s="285">
        <v>0</v>
      </c>
      <c r="E26" s="286">
        <v>0.164728656</v>
      </c>
      <c r="F26" s="286">
        <v>0</v>
      </c>
      <c r="G26" s="286">
        <v>0</v>
      </c>
      <c r="H26" s="286">
        <v>0</v>
      </c>
      <c r="I26" s="286">
        <v>5.9675336799999996E-3</v>
      </c>
      <c r="J26" s="286">
        <v>0</v>
      </c>
      <c r="K26" s="286">
        <v>0</v>
      </c>
      <c r="L26" s="286">
        <v>0</v>
      </c>
      <c r="M26" s="286">
        <v>0</v>
      </c>
      <c r="N26" s="286">
        <v>0</v>
      </c>
      <c r="O26" s="286">
        <v>0</v>
      </c>
      <c r="P26" s="302">
        <f t="shared" si="1"/>
        <v>0.17069618968</v>
      </c>
      <c r="Q26" s="281"/>
      <c r="R26" s="285">
        <v>0</v>
      </c>
      <c r="S26" s="286">
        <v>0</v>
      </c>
      <c r="T26" s="286">
        <v>0</v>
      </c>
      <c r="U26" s="286">
        <v>0</v>
      </c>
      <c r="V26" s="286">
        <v>0</v>
      </c>
      <c r="W26" s="286">
        <v>0</v>
      </c>
      <c r="X26" s="286">
        <v>0</v>
      </c>
      <c r="Y26" s="286">
        <v>0</v>
      </c>
      <c r="Z26" s="286">
        <v>0</v>
      </c>
      <c r="AA26" s="286">
        <v>0</v>
      </c>
      <c r="AB26" s="286">
        <v>0</v>
      </c>
      <c r="AC26" s="286">
        <v>0</v>
      </c>
      <c r="AD26" s="302">
        <f t="shared" si="2"/>
        <v>0</v>
      </c>
      <c r="AF26" s="367">
        <f t="shared" si="3"/>
        <v>0.17069618968</v>
      </c>
    </row>
    <row r="27" spans="1:32" s="49" customFormat="1" x14ac:dyDescent="0.25">
      <c r="A27" s="77" t="s">
        <v>7</v>
      </c>
      <c r="B27" s="159">
        <v>555</v>
      </c>
      <c r="C27" s="119" t="s">
        <v>22</v>
      </c>
      <c r="D27" s="285">
        <v>16287.499</v>
      </c>
      <c r="E27" s="286">
        <v>14711.29</v>
      </c>
      <c r="F27" s="286">
        <v>16287.499</v>
      </c>
      <c r="G27" s="286">
        <v>15762.0957</v>
      </c>
      <c r="H27" s="286">
        <v>16287.499</v>
      </c>
      <c r="I27" s="286">
        <v>15762.0957</v>
      </c>
      <c r="J27" s="286">
        <v>16287.499</v>
      </c>
      <c r="K27" s="286">
        <v>16287.499</v>
      </c>
      <c r="L27" s="286">
        <v>15762.0957</v>
      </c>
      <c r="M27" s="286">
        <v>16287.499</v>
      </c>
      <c r="N27" s="286">
        <v>15762.0957</v>
      </c>
      <c r="O27" s="286">
        <v>16694.6152</v>
      </c>
      <c r="P27" s="302">
        <f t="shared" si="1"/>
        <v>192179.28200000001</v>
      </c>
      <c r="Q27" s="281"/>
      <c r="R27" s="285">
        <v>15001.488300000003</v>
      </c>
      <c r="S27" s="286">
        <v>15501.538100000002</v>
      </c>
      <c r="T27" s="286">
        <v>15501.538100000002</v>
      </c>
      <c r="U27" s="286">
        <v>15001.488300000003</v>
      </c>
      <c r="V27" s="286">
        <v>15501.538100000002</v>
      </c>
      <c r="W27" s="286">
        <v>15001.488300000003</v>
      </c>
      <c r="X27" s="286">
        <v>15888.86430000001</v>
      </c>
      <c r="Y27" s="286">
        <v>15888.86430000001</v>
      </c>
      <c r="Z27" s="286">
        <v>14351.232399999997</v>
      </c>
      <c r="AA27" s="286">
        <v>15888.86430000001</v>
      </c>
      <c r="AB27" s="286">
        <v>15376.319999999989</v>
      </c>
      <c r="AC27" s="286">
        <v>15888.86430000001</v>
      </c>
      <c r="AD27" s="302">
        <f t="shared" si="2"/>
        <v>184792.08880000006</v>
      </c>
      <c r="AF27" s="367">
        <f t="shared" si="3"/>
        <v>7387.1931999999506</v>
      </c>
    </row>
    <row r="28" spans="1:32" s="49" customFormat="1" x14ac:dyDescent="0.25">
      <c r="A28" s="77" t="s">
        <v>7</v>
      </c>
      <c r="B28" s="159" t="s">
        <v>80</v>
      </c>
      <c r="C28" s="119" t="s">
        <v>101</v>
      </c>
      <c r="D28" s="285">
        <v>0</v>
      </c>
      <c r="E28" s="286">
        <v>0</v>
      </c>
      <c r="F28" s="286">
        <v>0</v>
      </c>
      <c r="G28" s="286">
        <v>0</v>
      </c>
      <c r="H28" s="286">
        <v>0</v>
      </c>
      <c r="I28" s="286">
        <v>0</v>
      </c>
      <c r="J28" s="286">
        <v>0</v>
      </c>
      <c r="K28" s="286">
        <v>0</v>
      </c>
      <c r="L28" s="286">
        <v>0</v>
      </c>
      <c r="M28" s="286">
        <v>0</v>
      </c>
      <c r="N28" s="286">
        <v>0</v>
      </c>
      <c r="O28" s="286">
        <v>0</v>
      </c>
      <c r="P28" s="302">
        <f t="shared" si="1"/>
        <v>0</v>
      </c>
      <c r="Q28" s="281"/>
      <c r="R28" s="285">
        <v>0</v>
      </c>
      <c r="S28" s="286">
        <v>0</v>
      </c>
      <c r="T28" s="286">
        <v>0</v>
      </c>
      <c r="U28" s="286">
        <v>0</v>
      </c>
      <c r="V28" s="286">
        <v>0</v>
      </c>
      <c r="W28" s="286">
        <v>0</v>
      </c>
      <c r="X28" s="286">
        <v>0</v>
      </c>
      <c r="Y28" s="286">
        <v>0</v>
      </c>
      <c r="Z28" s="286">
        <v>0</v>
      </c>
      <c r="AA28" s="286">
        <v>0</v>
      </c>
      <c r="AB28" s="286">
        <v>0</v>
      </c>
      <c r="AC28" s="286">
        <v>0</v>
      </c>
      <c r="AD28" s="302">
        <f t="shared" si="2"/>
        <v>0</v>
      </c>
      <c r="AF28" s="367">
        <f t="shared" si="3"/>
        <v>0</v>
      </c>
    </row>
    <row r="29" spans="1:32" s="49" customFormat="1" x14ac:dyDescent="0.25">
      <c r="A29" s="77" t="s">
        <v>7</v>
      </c>
      <c r="B29" s="159" t="s">
        <v>80</v>
      </c>
      <c r="C29" s="119" t="s">
        <v>105</v>
      </c>
      <c r="D29" s="285">
        <v>0</v>
      </c>
      <c r="E29" s="286">
        <v>0</v>
      </c>
      <c r="F29" s="286">
        <v>0</v>
      </c>
      <c r="G29" s="286">
        <v>0</v>
      </c>
      <c r="H29" s="286">
        <v>0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286">
        <v>0</v>
      </c>
      <c r="P29" s="302">
        <f t="shared" si="1"/>
        <v>0</v>
      </c>
      <c r="Q29" s="281"/>
      <c r="R29" s="285">
        <v>0</v>
      </c>
      <c r="S29" s="286">
        <v>0</v>
      </c>
      <c r="T29" s="286">
        <v>0</v>
      </c>
      <c r="U29" s="286">
        <v>0</v>
      </c>
      <c r="V29" s="286">
        <v>0</v>
      </c>
      <c r="W29" s="286">
        <v>0</v>
      </c>
      <c r="X29" s="286">
        <v>0</v>
      </c>
      <c r="Y29" s="286">
        <v>0</v>
      </c>
      <c r="Z29" s="286">
        <v>0</v>
      </c>
      <c r="AA29" s="286">
        <v>0</v>
      </c>
      <c r="AB29" s="286">
        <v>0</v>
      </c>
      <c r="AC29" s="286">
        <v>0</v>
      </c>
      <c r="AD29" s="302">
        <f t="shared" si="2"/>
        <v>0</v>
      </c>
      <c r="AF29" s="367">
        <f t="shared" si="3"/>
        <v>0</v>
      </c>
    </row>
    <row r="30" spans="1:32" s="49" customFormat="1" x14ac:dyDescent="0.25">
      <c r="A30" s="77" t="s">
        <v>7</v>
      </c>
      <c r="B30" s="159" t="s">
        <v>80</v>
      </c>
      <c r="C30" s="119" t="s">
        <v>97</v>
      </c>
      <c r="D30" s="285">
        <v>0</v>
      </c>
      <c r="E30" s="286">
        <v>0</v>
      </c>
      <c r="F30" s="286">
        <v>0</v>
      </c>
      <c r="G30" s="286">
        <v>0</v>
      </c>
      <c r="H30" s="286">
        <v>0</v>
      </c>
      <c r="I30" s="286">
        <v>0</v>
      </c>
      <c r="J30" s="286">
        <v>0</v>
      </c>
      <c r="K30" s="286">
        <v>0</v>
      </c>
      <c r="L30" s="286">
        <v>0</v>
      </c>
      <c r="M30" s="286">
        <v>0</v>
      </c>
      <c r="N30" s="286">
        <v>0</v>
      </c>
      <c r="O30" s="286">
        <v>0</v>
      </c>
      <c r="P30" s="302">
        <f t="shared" si="1"/>
        <v>0</v>
      </c>
      <c r="Q30" s="281"/>
      <c r="R30" s="285">
        <v>0</v>
      </c>
      <c r="S30" s="286">
        <v>0</v>
      </c>
      <c r="T30" s="286">
        <v>0</v>
      </c>
      <c r="U30" s="286">
        <v>0</v>
      </c>
      <c r="V30" s="286">
        <v>0</v>
      </c>
      <c r="W30" s="286">
        <v>0</v>
      </c>
      <c r="X30" s="286">
        <v>0</v>
      </c>
      <c r="Y30" s="286">
        <v>0</v>
      </c>
      <c r="Z30" s="286">
        <v>0</v>
      </c>
      <c r="AA30" s="286">
        <v>0</v>
      </c>
      <c r="AB30" s="286">
        <v>0</v>
      </c>
      <c r="AC30" s="286">
        <v>0</v>
      </c>
      <c r="AD30" s="302">
        <f t="shared" si="2"/>
        <v>0</v>
      </c>
      <c r="AF30" s="367">
        <f t="shared" si="3"/>
        <v>0</v>
      </c>
    </row>
    <row r="31" spans="1:32" s="49" customFormat="1" x14ac:dyDescent="0.25">
      <c r="A31" s="77" t="s">
        <v>7</v>
      </c>
      <c r="B31" s="159" t="s">
        <v>80</v>
      </c>
      <c r="C31" s="119" t="s">
        <v>51</v>
      </c>
      <c r="D31" s="285">
        <v>0</v>
      </c>
      <c r="E31" s="286">
        <v>0</v>
      </c>
      <c r="F31" s="286">
        <v>0</v>
      </c>
      <c r="G31" s="286">
        <v>0</v>
      </c>
      <c r="H31" s="286">
        <v>0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0</v>
      </c>
      <c r="O31" s="286">
        <v>0</v>
      </c>
      <c r="P31" s="302">
        <f t="shared" si="1"/>
        <v>0</v>
      </c>
      <c r="Q31" s="281"/>
      <c r="R31" s="285">
        <v>0</v>
      </c>
      <c r="S31" s="286">
        <v>0</v>
      </c>
      <c r="T31" s="286">
        <v>0</v>
      </c>
      <c r="U31" s="286">
        <v>0</v>
      </c>
      <c r="V31" s="286">
        <v>0</v>
      </c>
      <c r="W31" s="286">
        <v>0</v>
      </c>
      <c r="X31" s="286">
        <v>0</v>
      </c>
      <c r="Y31" s="286">
        <v>0</v>
      </c>
      <c r="Z31" s="286">
        <v>0</v>
      </c>
      <c r="AA31" s="286">
        <v>0</v>
      </c>
      <c r="AB31" s="286">
        <v>0</v>
      </c>
      <c r="AC31" s="286">
        <v>0</v>
      </c>
      <c r="AD31" s="302">
        <f t="shared" si="2"/>
        <v>0</v>
      </c>
      <c r="AF31" s="367">
        <f t="shared" si="3"/>
        <v>0</v>
      </c>
    </row>
    <row r="32" spans="1:32" s="49" customFormat="1" ht="17.100000000000001" customHeight="1" x14ac:dyDescent="0.25">
      <c r="A32" s="77" t="s">
        <v>7</v>
      </c>
      <c r="B32" s="159" t="s">
        <v>80</v>
      </c>
      <c r="C32" s="119" t="s">
        <v>109</v>
      </c>
      <c r="D32" s="285">
        <v>0</v>
      </c>
      <c r="E32" s="286">
        <v>0</v>
      </c>
      <c r="F32" s="286">
        <v>0</v>
      </c>
      <c r="G32" s="286">
        <v>0</v>
      </c>
      <c r="H32" s="286">
        <v>0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6">
        <v>0</v>
      </c>
      <c r="O32" s="286">
        <v>0</v>
      </c>
      <c r="P32" s="302">
        <f t="shared" si="1"/>
        <v>0</v>
      </c>
      <c r="Q32" s="281"/>
      <c r="R32" s="285">
        <v>0</v>
      </c>
      <c r="S32" s="286">
        <v>0</v>
      </c>
      <c r="T32" s="286">
        <v>0</v>
      </c>
      <c r="U32" s="286">
        <v>0</v>
      </c>
      <c r="V32" s="286">
        <v>0</v>
      </c>
      <c r="W32" s="286">
        <v>0</v>
      </c>
      <c r="X32" s="286">
        <v>0</v>
      </c>
      <c r="Y32" s="286">
        <v>0</v>
      </c>
      <c r="Z32" s="286">
        <v>0</v>
      </c>
      <c r="AA32" s="286">
        <v>0</v>
      </c>
      <c r="AB32" s="286">
        <v>0</v>
      </c>
      <c r="AC32" s="286">
        <v>0</v>
      </c>
      <c r="AD32" s="302">
        <f t="shared" si="2"/>
        <v>0</v>
      </c>
      <c r="AF32" s="367">
        <f t="shared" si="3"/>
        <v>0</v>
      </c>
    </row>
    <row r="33" spans="1:32" s="49" customFormat="1" x14ac:dyDescent="0.25">
      <c r="A33" s="77" t="s">
        <v>7</v>
      </c>
      <c r="B33" s="159" t="s">
        <v>80</v>
      </c>
      <c r="C33" s="119" t="s">
        <v>102</v>
      </c>
      <c r="D33" s="285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86">
        <v>0</v>
      </c>
      <c r="L33" s="286">
        <v>0</v>
      </c>
      <c r="M33" s="286">
        <v>0</v>
      </c>
      <c r="N33" s="286">
        <v>0</v>
      </c>
      <c r="O33" s="286">
        <v>0</v>
      </c>
      <c r="P33" s="302">
        <f t="shared" si="1"/>
        <v>0</v>
      </c>
      <c r="Q33" s="281"/>
      <c r="R33" s="285">
        <v>0</v>
      </c>
      <c r="S33" s="286">
        <v>0</v>
      </c>
      <c r="T33" s="286">
        <v>0</v>
      </c>
      <c r="U33" s="286">
        <v>0</v>
      </c>
      <c r="V33" s="286">
        <v>0</v>
      </c>
      <c r="W33" s="286">
        <v>0</v>
      </c>
      <c r="X33" s="286">
        <v>0</v>
      </c>
      <c r="Y33" s="286">
        <v>0</v>
      </c>
      <c r="Z33" s="286">
        <v>0</v>
      </c>
      <c r="AA33" s="286">
        <v>0</v>
      </c>
      <c r="AB33" s="286">
        <v>0</v>
      </c>
      <c r="AC33" s="286">
        <v>0</v>
      </c>
      <c r="AD33" s="302">
        <f t="shared" si="2"/>
        <v>0</v>
      </c>
      <c r="AF33" s="367">
        <f t="shared" si="3"/>
        <v>0</v>
      </c>
    </row>
    <row r="34" spans="1:32" s="49" customFormat="1" x14ac:dyDescent="0.25">
      <c r="A34" s="77" t="s">
        <v>7</v>
      </c>
      <c r="B34" s="159" t="s">
        <v>80</v>
      </c>
      <c r="C34" s="119" t="s">
        <v>99</v>
      </c>
      <c r="D34" s="285">
        <v>327.09054600000002</v>
      </c>
      <c r="E34" s="286">
        <v>562.67240000000004</v>
      </c>
      <c r="F34" s="286">
        <v>667.7183</v>
      </c>
      <c r="G34" s="286">
        <v>956.77340000000004</v>
      </c>
      <c r="H34" s="286">
        <v>1046.01575</v>
      </c>
      <c r="I34" s="286">
        <v>1177.6931199999999</v>
      </c>
      <c r="J34" s="286">
        <v>1235.67175</v>
      </c>
      <c r="K34" s="286">
        <v>1010.53278</v>
      </c>
      <c r="L34" s="286">
        <v>706.22753899999998</v>
      </c>
      <c r="M34" s="286">
        <v>520.40980000000002</v>
      </c>
      <c r="N34" s="286">
        <v>565.44889999999998</v>
      </c>
      <c r="O34" s="286">
        <v>522.96844499999997</v>
      </c>
      <c r="P34" s="302">
        <f t="shared" si="1"/>
        <v>9299.2227299999977</v>
      </c>
      <c r="Q34" s="281"/>
      <c r="R34" s="285">
        <v>1152.9741199999994</v>
      </c>
      <c r="S34" s="286">
        <v>1126.1696800000011</v>
      </c>
      <c r="T34" s="286">
        <v>1042.351439999999</v>
      </c>
      <c r="U34" s="286">
        <v>679.70434599999919</v>
      </c>
      <c r="V34" s="286">
        <v>481.6479000000005</v>
      </c>
      <c r="W34" s="286">
        <v>506.45297199999931</v>
      </c>
      <c r="X34" s="286">
        <v>479.5451000000001</v>
      </c>
      <c r="Y34" s="286">
        <v>452.28643799999975</v>
      </c>
      <c r="Z34" s="286">
        <v>507.38748199999901</v>
      </c>
      <c r="AA34" s="286">
        <v>708.00146500000074</v>
      </c>
      <c r="AB34" s="286">
        <v>994.79034399999944</v>
      </c>
      <c r="AC34" s="286">
        <v>1030.3679199999999</v>
      </c>
      <c r="AD34" s="302">
        <f t="shared" si="2"/>
        <v>9161.6792069999992</v>
      </c>
      <c r="AF34" s="367">
        <f t="shared" si="3"/>
        <v>137.54352299999846</v>
      </c>
    </row>
    <row r="35" spans="1:32" s="49" customFormat="1" x14ac:dyDescent="0.25">
      <c r="A35" s="77" t="s">
        <v>7</v>
      </c>
      <c r="B35" s="159" t="s">
        <v>80</v>
      </c>
      <c r="C35" s="119" t="s">
        <v>96</v>
      </c>
      <c r="D35" s="285">
        <v>2130.4633800000001</v>
      </c>
      <c r="E35" s="286">
        <v>2384.25659</v>
      </c>
      <c r="F35" s="286">
        <v>1559.3927000000001</v>
      </c>
      <c r="G35" s="286">
        <v>2648.38184</v>
      </c>
      <c r="H35" s="286">
        <v>2580.0866700000001</v>
      </c>
      <c r="I35" s="286">
        <v>2976.82764</v>
      </c>
      <c r="J35" s="286">
        <v>3213.2914999999998</v>
      </c>
      <c r="K35" s="286">
        <v>2555.17065</v>
      </c>
      <c r="L35" s="286">
        <v>2137.3745100000001</v>
      </c>
      <c r="M35" s="286">
        <v>1921.3359399999999</v>
      </c>
      <c r="N35" s="286">
        <v>2410.0322299999998</v>
      </c>
      <c r="O35" s="286">
        <v>2187.4924299999998</v>
      </c>
      <c r="P35" s="302">
        <f t="shared" si="1"/>
        <v>28704.106080000001</v>
      </c>
      <c r="Q35" s="281"/>
      <c r="R35" s="285">
        <v>0</v>
      </c>
      <c r="S35" s="286">
        <v>0</v>
      </c>
      <c r="T35" s="286">
        <v>0</v>
      </c>
      <c r="U35" s="286">
        <v>0</v>
      </c>
      <c r="V35" s="286">
        <v>0</v>
      </c>
      <c r="W35" s="286">
        <v>0</v>
      </c>
      <c r="X35" s="286">
        <v>0</v>
      </c>
      <c r="Y35" s="286">
        <v>2670</v>
      </c>
      <c r="Z35" s="286">
        <v>2347.2000000000021</v>
      </c>
      <c r="AA35" s="286">
        <v>0</v>
      </c>
      <c r="AB35" s="286">
        <v>0</v>
      </c>
      <c r="AC35" s="286">
        <v>0</v>
      </c>
      <c r="AD35" s="302">
        <f t="shared" si="2"/>
        <v>5017.2000000000025</v>
      </c>
      <c r="AF35" s="367">
        <f t="shared" si="3"/>
        <v>23686.906080000001</v>
      </c>
    </row>
    <row r="36" spans="1:32" s="49" customFormat="1" x14ac:dyDescent="0.25">
      <c r="A36" s="77" t="s">
        <v>7</v>
      </c>
      <c r="B36" s="159" t="s">
        <v>80</v>
      </c>
      <c r="C36" s="119" t="s">
        <v>125</v>
      </c>
      <c r="D36" s="285">
        <v>4087.8150000000001</v>
      </c>
      <c r="E36" s="286">
        <v>3040.3198200000002</v>
      </c>
      <c r="F36" s="286">
        <v>3295.8793900000001</v>
      </c>
      <c r="G36" s="286">
        <v>3339.029</v>
      </c>
      <c r="H36" s="286">
        <v>3335.8415500000001</v>
      </c>
      <c r="I36" s="286">
        <v>3074.3560000000002</v>
      </c>
      <c r="J36" s="286">
        <v>2793.4259999999999</v>
      </c>
      <c r="K36" s="286">
        <v>2795.7773400000001</v>
      </c>
      <c r="L36" s="286">
        <v>2914.0703100000001</v>
      </c>
      <c r="M36" s="286">
        <v>3474.7824700000001</v>
      </c>
      <c r="N36" s="286">
        <v>3624.1228000000001</v>
      </c>
      <c r="O36" s="286">
        <v>3830.2487799999999</v>
      </c>
      <c r="P36" s="302">
        <f t="shared" si="1"/>
        <v>39605.668460000001</v>
      </c>
      <c r="Q36" s="281"/>
      <c r="R36" s="285">
        <v>0</v>
      </c>
      <c r="S36" s="286">
        <v>0</v>
      </c>
      <c r="T36" s="286">
        <v>0</v>
      </c>
      <c r="U36" s="286">
        <v>0</v>
      </c>
      <c r="V36" s="286">
        <v>0</v>
      </c>
      <c r="W36" s="286">
        <v>0</v>
      </c>
      <c r="X36" s="286">
        <v>0</v>
      </c>
      <c r="Y36" s="286">
        <v>0</v>
      </c>
      <c r="Z36" s="286">
        <v>0</v>
      </c>
      <c r="AA36" s="286">
        <v>0</v>
      </c>
      <c r="AB36" s="286">
        <v>0</v>
      </c>
      <c r="AC36" s="286">
        <v>0</v>
      </c>
      <c r="AD36" s="302">
        <f t="shared" si="2"/>
        <v>0</v>
      </c>
      <c r="AF36" s="367">
        <f t="shared" si="3"/>
        <v>39605.668460000001</v>
      </c>
    </row>
    <row r="37" spans="1:32" s="49" customFormat="1" x14ac:dyDescent="0.25">
      <c r="A37" s="77" t="s">
        <v>7</v>
      </c>
      <c r="B37" s="159" t="s">
        <v>0</v>
      </c>
      <c r="C37" s="119" t="s">
        <v>98</v>
      </c>
      <c r="D37" s="285">
        <v>0</v>
      </c>
      <c r="E37" s="286">
        <v>0</v>
      </c>
      <c r="F37" s="286">
        <v>0</v>
      </c>
      <c r="G37" s="286">
        <v>0</v>
      </c>
      <c r="H37" s="286">
        <v>0</v>
      </c>
      <c r="I37" s="286">
        <v>0</v>
      </c>
      <c r="J37" s="286">
        <v>0</v>
      </c>
      <c r="K37" s="286">
        <v>0</v>
      </c>
      <c r="L37" s="286">
        <v>0</v>
      </c>
      <c r="M37" s="286">
        <v>0</v>
      </c>
      <c r="N37" s="286">
        <v>0</v>
      </c>
      <c r="O37" s="286">
        <v>0</v>
      </c>
      <c r="P37" s="302">
        <f t="shared" si="1"/>
        <v>0</v>
      </c>
      <c r="Q37" s="281"/>
      <c r="R37" s="285">
        <v>991.07759999999962</v>
      </c>
      <c r="S37" s="286">
        <v>1039.583499999999</v>
      </c>
      <c r="T37" s="286">
        <v>949.341858</v>
      </c>
      <c r="U37" s="286">
        <v>672.19610000000057</v>
      </c>
      <c r="V37" s="286">
        <v>623.95635999999888</v>
      </c>
      <c r="W37" s="286">
        <v>789.96765099999936</v>
      </c>
      <c r="X37" s="286">
        <v>838.47359999999901</v>
      </c>
      <c r="Y37" s="286">
        <v>866.80163599999855</v>
      </c>
      <c r="Z37" s="286">
        <v>688.87200000000098</v>
      </c>
      <c r="AA37" s="286">
        <v>795.44909999999948</v>
      </c>
      <c r="AB37" s="286">
        <v>852.65050000000156</v>
      </c>
      <c r="AC37" s="286">
        <v>1001.5787399999987</v>
      </c>
      <c r="AD37" s="302">
        <f t="shared" si="2"/>
        <v>10109.948644999997</v>
      </c>
      <c r="AF37" s="367">
        <f t="shared" si="3"/>
        <v>-10109.948644999997</v>
      </c>
    </row>
    <row r="38" spans="1:32" s="49" customFormat="1" x14ac:dyDescent="0.25">
      <c r="A38" s="77" t="s">
        <v>7</v>
      </c>
      <c r="B38" s="159" t="s">
        <v>0</v>
      </c>
      <c r="C38" s="119" t="s">
        <v>95</v>
      </c>
      <c r="D38" s="285">
        <v>1413.6</v>
      </c>
      <c r="E38" s="286">
        <v>1276.8</v>
      </c>
      <c r="F38" s="286">
        <v>1413.6</v>
      </c>
      <c r="G38" s="286">
        <v>1368</v>
      </c>
      <c r="H38" s="286">
        <v>1413.6</v>
      </c>
      <c r="I38" s="286">
        <v>1368</v>
      </c>
      <c r="J38" s="286">
        <v>1413.6</v>
      </c>
      <c r="K38" s="286">
        <v>1413.6</v>
      </c>
      <c r="L38" s="286">
        <v>1368</v>
      </c>
      <c r="M38" s="286">
        <v>1413.6</v>
      </c>
      <c r="N38" s="286">
        <v>1368</v>
      </c>
      <c r="O38" s="286">
        <v>1413.6</v>
      </c>
      <c r="P38" s="302">
        <f t="shared" si="1"/>
        <v>16644</v>
      </c>
      <c r="Q38" s="281"/>
      <c r="R38" s="285">
        <v>1368</v>
      </c>
      <c r="S38" s="286">
        <v>1413.6000000000017</v>
      </c>
      <c r="T38" s="286">
        <v>1413.6000000000017</v>
      </c>
      <c r="U38" s="286">
        <v>1368</v>
      </c>
      <c r="V38" s="286">
        <v>1413.6000000000017</v>
      </c>
      <c r="W38" s="286">
        <v>1368</v>
      </c>
      <c r="X38" s="286">
        <v>1413.6000000000017</v>
      </c>
      <c r="Y38" s="286">
        <v>1413.6000000000017</v>
      </c>
      <c r="Z38" s="286">
        <v>1276.8000000000018</v>
      </c>
      <c r="AA38" s="286">
        <v>1413.6000000000017</v>
      </c>
      <c r="AB38" s="286">
        <v>1368</v>
      </c>
      <c r="AC38" s="286">
        <v>1413.6000000000017</v>
      </c>
      <c r="AD38" s="302">
        <f t="shared" si="2"/>
        <v>16644.000000000015</v>
      </c>
      <c r="AF38" s="367">
        <f t="shared" si="3"/>
        <v>0</v>
      </c>
    </row>
    <row r="39" spans="1:32" s="49" customFormat="1" x14ac:dyDescent="0.25">
      <c r="A39" s="77" t="s">
        <v>7</v>
      </c>
      <c r="B39" s="159">
        <v>555</v>
      </c>
      <c r="C39" s="119" t="s">
        <v>106</v>
      </c>
      <c r="D39" s="285">
        <v>522.37823500000002</v>
      </c>
      <c r="E39" s="286">
        <v>471.82547</v>
      </c>
      <c r="F39" s="286">
        <v>522.37823500000002</v>
      </c>
      <c r="G39" s="286">
        <v>505.52730000000003</v>
      </c>
      <c r="H39" s="286">
        <v>368.737549</v>
      </c>
      <c r="I39" s="286">
        <v>356.84280000000001</v>
      </c>
      <c r="J39" s="286">
        <v>522.37823500000002</v>
      </c>
      <c r="K39" s="286">
        <v>522.37823500000002</v>
      </c>
      <c r="L39" s="286">
        <v>505.52730000000003</v>
      </c>
      <c r="M39" s="286">
        <v>522.37823500000002</v>
      </c>
      <c r="N39" s="286">
        <v>505.52730000000003</v>
      </c>
      <c r="O39" s="286">
        <v>522.37823500000002</v>
      </c>
      <c r="P39" s="302">
        <f t="shared" ref="P39:P59" si="4">SUM(D39:O39)</f>
        <v>5848.2571290000005</v>
      </c>
      <c r="Q39" s="281"/>
      <c r="R39" s="285">
        <v>339.65999999999991</v>
      </c>
      <c r="S39" s="286">
        <v>497.22449999999952</v>
      </c>
      <c r="T39" s="286">
        <v>497.22449999999952</v>
      </c>
      <c r="U39" s="286">
        <v>481.18500000000012</v>
      </c>
      <c r="V39" s="286">
        <v>497.22449999999952</v>
      </c>
      <c r="W39" s="286">
        <v>481.18500000000012</v>
      </c>
      <c r="X39" s="286">
        <v>497.22449999999952</v>
      </c>
      <c r="Y39" s="286">
        <v>509.62585400000023</v>
      </c>
      <c r="Z39" s="286">
        <v>460.3072199999998</v>
      </c>
      <c r="AA39" s="286">
        <v>509.62585400000023</v>
      </c>
      <c r="AB39" s="286">
        <v>493.18630000000059</v>
      </c>
      <c r="AC39" s="286">
        <v>359.73589999999979</v>
      </c>
      <c r="AD39" s="302">
        <f t="shared" ref="AD39:AD59" si="5">SUM(R39:AC39)</f>
        <v>5623.4091279999984</v>
      </c>
      <c r="AF39" s="367">
        <f t="shared" ref="AF39:AF59" si="6">P39-AD39</f>
        <v>224.84800100000211</v>
      </c>
    </row>
    <row r="40" spans="1:32" s="49" customFormat="1" ht="16.5" thickBot="1" x14ac:dyDescent="0.3">
      <c r="A40" s="77" t="s">
        <v>7</v>
      </c>
      <c r="B40" s="159">
        <v>555</v>
      </c>
      <c r="C40" s="119" t="s">
        <v>93</v>
      </c>
      <c r="D40" s="287">
        <v>1898</v>
      </c>
      <c r="E40" s="288">
        <v>1822.08</v>
      </c>
      <c r="F40" s="288">
        <v>2049.84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1973.92</v>
      </c>
      <c r="N40" s="288">
        <v>1898</v>
      </c>
      <c r="O40" s="288">
        <v>1898</v>
      </c>
      <c r="P40" s="303">
        <f t="shared" si="4"/>
        <v>11539.84</v>
      </c>
      <c r="Q40" s="281"/>
      <c r="R40" s="287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1898</v>
      </c>
      <c r="Z40" s="288">
        <v>1822.08</v>
      </c>
      <c r="AA40" s="288">
        <v>2049.8399999999974</v>
      </c>
      <c r="AB40" s="288">
        <v>0</v>
      </c>
      <c r="AC40" s="288">
        <v>0</v>
      </c>
      <c r="AD40" s="303">
        <f t="shared" si="5"/>
        <v>5769.9199999999973</v>
      </c>
      <c r="AF40" s="368">
        <f t="shared" si="6"/>
        <v>5769.9200000000028</v>
      </c>
    </row>
    <row r="41" spans="1:32" s="49" customFormat="1" ht="17.25" thickTop="1" thickBot="1" x14ac:dyDescent="0.3">
      <c r="A41" s="77" t="s">
        <v>7</v>
      </c>
      <c r="B41" s="159">
        <v>555</v>
      </c>
      <c r="C41" s="119" t="s">
        <v>19</v>
      </c>
      <c r="D41" s="282">
        <v>0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389">
        <v>0</v>
      </c>
      <c r="P41" s="300">
        <f t="shared" si="4"/>
        <v>0</v>
      </c>
      <c r="Q41" s="281"/>
      <c r="R41" s="284">
        <v>0</v>
      </c>
      <c r="S41" s="280">
        <v>0</v>
      </c>
      <c r="T41" s="280">
        <v>0</v>
      </c>
      <c r="U41" s="280">
        <v>0</v>
      </c>
      <c r="V41" s="280">
        <v>0</v>
      </c>
      <c r="W41" s="280">
        <v>0</v>
      </c>
      <c r="X41" s="280">
        <v>0</v>
      </c>
      <c r="Y41" s="280">
        <v>0</v>
      </c>
      <c r="Z41" s="280">
        <v>0</v>
      </c>
      <c r="AA41" s="280">
        <v>0</v>
      </c>
      <c r="AB41" s="280">
        <v>0</v>
      </c>
      <c r="AC41" s="280">
        <v>0</v>
      </c>
      <c r="AD41" s="300">
        <f t="shared" si="5"/>
        <v>0</v>
      </c>
      <c r="AF41" s="300">
        <f t="shared" si="6"/>
        <v>0</v>
      </c>
    </row>
    <row r="42" spans="1:32" s="49" customFormat="1" ht="17.25" thickTop="1" thickBot="1" x14ac:dyDescent="0.3">
      <c r="A42" s="77" t="s">
        <v>7</v>
      </c>
      <c r="B42" s="159">
        <v>555</v>
      </c>
      <c r="C42" s="119" t="s">
        <v>24</v>
      </c>
      <c r="D42" s="289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290">
        <v>0</v>
      </c>
      <c r="K42" s="290">
        <v>0</v>
      </c>
      <c r="L42" s="290">
        <v>0</v>
      </c>
      <c r="M42" s="290">
        <v>0</v>
      </c>
      <c r="N42" s="290">
        <v>0</v>
      </c>
      <c r="O42" s="290">
        <v>0</v>
      </c>
      <c r="P42" s="304">
        <f t="shared" si="4"/>
        <v>0</v>
      </c>
      <c r="Q42" s="281"/>
      <c r="R42" s="289">
        <v>0</v>
      </c>
      <c r="S42" s="290">
        <v>0</v>
      </c>
      <c r="T42" s="290">
        <v>0</v>
      </c>
      <c r="U42" s="290">
        <v>0</v>
      </c>
      <c r="V42" s="290">
        <v>0</v>
      </c>
      <c r="W42" s="290">
        <v>0</v>
      </c>
      <c r="X42" s="290">
        <v>0</v>
      </c>
      <c r="Y42" s="290">
        <v>0</v>
      </c>
      <c r="Z42" s="290">
        <v>0</v>
      </c>
      <c r="AA42" s="290">
        <v>0</v>
      </c>
      <c r="AB42" s="290">
        <v>0</v>
      </c>
      <c r="AC42" s="290">
        <v>0</v>
      </c>
      <c r="AD42" s="304">
        <f t="shared" si="5"/>
        <v>0</v>
      </c>
      <c r="AF42" s="369">
        <f t="shared" si="6"/>
        <v>0</v>
      </c>
    </row>
    <row r="43" spans="1:32" s="49" customFormat="1" ht="17.25" thickTop="1" thickBot="1" x14ac:dyDescent="0.3">
      <c r="A43" s="77" t="s">
        <v>7</v>
      </c>
      <c r="B43" s="159">
        <v>555</v>
      </c>
      <c r="C43" s="119" t="s">
        <v>4</v>
      </c>
      <c r="D43" s="282">
        <v>0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J43" s="280">
        <v>0</v>
      </c>
      <c r="K43" s="280">
        <v>0</v>
      </c>
      <c r="L43" s="280">
        <v>0</v>
      </c>
      <c r="M43" s="280">
        <v>0</v>
      </c>
      <c r="N43" s="280">
        <v>0</v>
      </c>
      <c r="O43" s="389">
        <v>0</v>
      </c>
      <c r="P43" s="300">
        <f t="shared" si="4"/>
        <v>0</v>
      </c>
      <c r="Q43" s="305"/>
      <c r="R43" s="291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300">
        <f t="shared" si="5"/>
        <v>0</v>
      </c>
      <c r="AF43" s="300">
        <f t="shared" si="6"/>
        <v>0</v>
      </c>
    </row>
    <row r="44" spans="1:32" s="49" customFormat="1" ht="17.25" thickTop="1" thickBot="1" x14ac:dyDescent="0.3">
      <c r="A44" s="77" t="s">
        <v>7</v>
      </c>
      <c r="B44" s="159">
        <v>555</v>
      </c>
      <c r="C44" s="119" t="s">
        <v>157</v>
      </c>
      <c r="D44" s="289">
        <v>0</v>
      </c>
      <c r="E44" s="290">
        <v>0</v>
      </c>
      <c r="F44" s="290">
        <v>0</v>
      </c>
      <c r="G44" s="290">
        <v>0</v>
      </c>
      <c r="H44" s="290">
        <v>0</v>
      </c>
      <c r="I44" s="290">
        <v>12558</v>
      </c>
      <c r="J44" s="290">
        <v>12976.6</v>
      </c>
      <c r="K44" s="290">
        <v>12976.6</v>
      </c>
      <c r="L44" s="290">
        <v>12558</v>
      </c>
      <c r="M44" s="290">
        <v>0</v>
      </c>
      <c r="N44" s="290">
        <v>0</v>
      </c>
      <c r="O44" s="290">
        <v>0</v>
      </c>
      <c r="P44" s="304">
        <f t="shared" si="4"/>
        <v>51069.2</v>
      </c>
      <c r="Q44" s="281"/>
      <c r="R44" s="289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304">
        <f t="shared" si="5"/>
        <v>0</v>
      </c>
      <c r="AF44" s="369">
        <f t="shared" si="6"/>
        <v>51069.2</v>
      </c>
    </row>
    <row r="45" spans="1:32" s="49" customFormat="1" ht="16.5" thickTop="1" x14ac:dyDescent="0.25">
      <c r="A45" s="77" t="s">
        <v>7</v>
      </c>
      <c r="B45" s="159">
        <v>555</v>
      </c>
      <c r="C45" s="119" t="s">
        <v>103</v>
      </c>
      <c r="D45" s="282">
        <v>133.491455</v>
      </c>
      <c r="E45" s="280">
        <v>107.29555499999999</v>
      </c>
      <c r="F45" s="280">
        <v>108.46180699999999</v>
      </c>
      <c r="G45" s="280">
        <v>84.585599999999999</v>
      </c>
      <c r="H45" s="280">
        <v>72.307869999999994</v>
      </c>
      <c r="I45" s="280">
        <v>64.208160000000007</v>
      </c>
      <c r="J45" s="280">
        <v>70.718689999999995</v>
      </c>
      <c r="K45" s="280">
        <v>70.321389999999994</v>
      </c>
      <c r="L45" s="280">
        <v>66.130560000000003</v>
      </c>
      <c r="M45" s="280">
        <v>79.061904900000002</v>
      </c>
      <c r="N45" s="280">
        <v>110.34575700000001</v>
      </c>
      <c r="O45" s="390">
        <v>135.87522899999999</v>
      </c>
      <c r="P45" s="300">
        <f t="shared" si="4"/>
        <v>1102.8039779000001</v>
      </c>
      <c r="Q45" s="305"/>
      <c r="R45" s="282">
        <v>64.208160000000063</v>
      </c>
      <c r="S45" s="280">
        <v>70.718689999999953</v>
      </c>
      <c r="T45" s="280">
        <v>70.321390000000036</v>
      </c>
      <c r="U45" s="280">
        <v>66.130559999999946</v>
      </c>
      <c r="V45" s="280">
        <v>79.061904899999945</v>
      </c>
      <c r="W45" s="280">
        <v>110.34575699999998</v>
      </c>
      <c r="X45" s="280">
        <v>135.87522899999993</v>
      </c>
      <c r="Y45" s="280">
        <v>133.49145499999997</v>
      </c>
      <c r="Z45" s="280">
        <v>107.29555499999989</v>
      </c>
      <c r="AA45" s="280">
        <v>108.46180699999987</v>
      </c>
      <c r="AB45" s="280">
        <v>84.585600000000085</v>
      </c>
      <c r="AC45" s="280">
        <v>72.307869999999937</v>
      </c>
      <c r="AD45" s="300">
        <f t="shared" si="5"/>
        <v>1102.8039778999996</v>
      </c>
      <c r="AF45" s="300">
        <f t="shared" si="6"/>
        <v>0</v>
      </c>
    </row>
    <row r="46" spans="1:32" s="49" customFormat="1" x14ac:dyDescent="0.25">
      <c r="A46" s="77" t="s">
        <v>7</v>
      </c>
      <c r="B46" s="159" t="s">
        <v>0</v>
      </c>
      <c r="C46" s="119" t="s">
        <v>100</v>
      </c>
      <c r="D46" s="282">
        <v>258.482147</v>
      </c>
      <c r="E46" s="280">
        <v>148.47264100000001</v>
      </c>
      <c r="F46" s="280">
        <v>146.17034899999999</v>
      </c>
      <c r="G46" s="280">
        <v>293.94183299999997</v>
      </c>
      <c r="H46" s="280">
        <v>588.38819999999998</v>
      </c>
      <c r="I46" s="280">
        <v>551.42804000000001</v>
      </c>
      <c r="J46" s="280">
        <v>375.01420000000002</v>
      </c>
      <c r="K46" s="280">
        <v>170.62989999999999</v>
      </c>
      <c r="L46" s="280">
        <v>169.29422</v>
      </c>
      <c r="M46" s="280">
        <v>312.13897700000001</v>
      </c>
      <c r="N46" s="280">
        <v>317.23217799999998</v>
      </c>
      <c r="O46" s="280">
        <v>181.6943</v>
      </c>
      <c r="P46" s="300">
        <f t="shared" si="4"/>
        <v>3512.8869850000001</v>
      </c>
      <c r="Q46" s="305"/>
      <c r="R46" s="282">
        <v>544.46075399999984</v>
      </c>
      <c r="S46" s="280">
        <v>370.18896500000039</v>
      </c>
      <c r="T46" s="280">
        <v>168.434448</v>
      </c>
      <c r="U46" s="280">
        <v>167.11595200000008</v>
      </c>
      <c r="V46" s="280">
        <v>308.12274199999968</v>
      </c>
      <c r="W46" s="280">
        <v>313.1504209999996</v>
      </c>
      <c r="X46" s="280">
        <v>179.35649100000032</v>
      </c>
      <c r="Y46" s="280">
        <v>256.82885700000031</v>
      </c>
      <c r="Z46" s="280">
        <v>147.52297999999988</v>
      </c>
      <c r="AA46" s="280">
        <v>145.23541300000016</v>
      </c>
      <c r="AB46" s="280">
        <v>292.06169999999963</v>
      </c>
      <c r="AC46" s="280">
        <v>584.62475599999948</v>
      </c>
      <c r="AD46" s="300">
        <f t="shared" si="5"/>
        <v>3477.1034789999994</v>
      </c>
      <c r="AF46" s="300">
        <f t="shared" si="6"/>
        <v>35.783506000000671</v>
      </c>
    </row>
    <row r="47" spans="1:32" s="49" customFormat="1" x14ac:dyDescent="0.25">
      <c r="A47" s="77" t="s">
        <v>7</v>
      </c>
      <c r="B47" s="159" t="s">
        <v>0</v>
      </c>
      <c r="C47" s="119" t="s">
        <v>107</v>
      </c>
      <c r="D47" s="282">
        <v>594.72753899999998</v>
      </c>
      <c r="E47" s="280">
        <v>520.20860000000005</v>
      </c>
      <c r="F47" s="280">
        <v>555.477844</v>
      </c>
      <c r="G47" s="280">
        <v>805.52880000000005</v>
      </c>
      <c r="H47" s="280">
        <v>831.77710000000002</v>
      </c>
      <c r="I47" s="280">
        <v>530.63639999999998</v>
      </c>
      <c r="J47" s="280">
        <v>154.54368600000001</v>
      </c>
      <c r="K47" s="280">
        <v>6.5509199999999996</v>
      </c>
      <c r="L47" s="280">
        <v>89.575199999999995</v>
      </c>
      <c r="M47" s="280">
        <v>311.53140000000002</v>
      </c>
      <c r="N47" s="280">
        <v>528.20640000000003</v>
      </c>
      <c r="O47" s="280">
        <v>470.56139999999999</v>
      </c>
      <c r="P47" s="300">
        <f t="shared" si="4"/>
        <v>5399.3252889999994</v>
      </c>
      <c r="Q47" s="305"/>
      <c r="R47" s="282">
        <v>530.63640000000044</v>
      </c>
      <c r="S47" s="280">
        <v>154.54368600000029</v>
      </c>
      <c r="T47" s="280">
        <v>6.5509200000000076</v>
      </c>
      <c r="U47" s="280">
        <v>89.575200000000152</v>
      </c>
      <c r="V47" s="280">
        <v>311.53139999999991</v>
      </c>
      <c r="W47" s="280">
        <v>528.20640000000014</v>
      </c>
      <c r="X47" s="280">
        <v>470.56139999999931</v>
      </c>
      <c r="Y47" s="280">
        <v>594.72753899999964</v>
      </c>
      <c r="Z47" s="280">
        <v>520.20860000000027</v>
      </c>
      <c r="AA47" s="280">
        <v>555.47784400000069</v>
      </c>
      <c r="AB47" s="280">
        <v>805.52880000000005</v>
      </c>
      <c r="AC47" s="280">
        <v>831.77709999999956</v>
      </c>
      <c r="AD47" s="300">
        <f t="shared" si="5"/>
        <v>5399.3252890000003</v>
      </c>
      <c r="AF47" s="300">
        <f t="shared" si="6"/>
        <v>0</v>
      </c>
    </row>
    <row r="48" spans="1:32" s="49" customFormat="1" x14ac:dyDescent="0.25">
      <c r="A48" s="77" t="s">
        <v>7</v>
      </c>
      <c r="B48" s="159" t="s">
        <v>0</v>
      </c>
      <c r="C48" s="119" t="s">
        <v>108</v>
      </c>
      <c r="D48" s="282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300">
        <f t="shared" si="4"/>
        <v>0</v>
      </c>
      <c r="Q48" s="305"/>
      <c r="R48" s="282">
        <v>101.51114700000011</v>
      </c>
      <c r="S48" s="280">
        <v>29.441196400000042</v>
      </c>
      <c r="T48" s="280">
        <v>0.98051759999999921</v>
      </c>
      <c r="U48" s="280">
        <v>4.4985239999999944</v>
      </c>
      <c r="V48" s="280">
        <v>48.1788367999999</v>
      </c>
      <c r="W48" s="280">
        <v>95.765655500000122</v>
      </c>
      <c r="X48" s="280">
        <v>85.54630999999992</v>
      </c>
      <c r="Y48" s="280">
        <v>110.013046</v>
      </c>
      <c r="Z48" s="280">
        <v>95.281600000000068</v>
      </c>
      <c r="AA48" s="280">
        <v>103.2674939999999</v>
      </c>
      <c r="AB48" s="280">
        <v>154.98918199999983</v>
      </c>
      <c r="AC48" s="280">
        <v>163.52570000000009</v>
      </c>
      <c r="AD48" s="300">
        <f t="shared" si="5"/>
        <v>992.99920930000008</v>
      </c>
      <c r="AF48" s="300">
        <f t="shared" si="6"/>
        <v>-992.99920930000008</v>
      </c>
    </row>
    <row r="49" spans="1:32" s="49" customFormat="1" ht="16.5" thickBot="1" x14ac:dyDescent="0.3">
      <c r="A49" s="77" t="s">
        <v>7</v>
      </c>
      <c r="B49" s="159">
        <v>555</v>
      </c>
      <c r="C49" s="119" t="s">
        <v>104</v>
      </c>
      <c r="D49" s="282">
        <v>661.88650749999999</v>
      </c>
      <c r="E49" s="280">
        <v>644.97266400000001</v>
      </c>
      <c r="F49" s="280">
        <v>765.65058799999997</v>
      </c>
      <c r="G49" s="280">
        <v>779.23583499999995</v>
      </c>
      <c r="H49" s="280">
        <v>879.53387500000008</v>
      </c>
      <c r="I49" s="280">
        <v>865.58929499999999</v>
      </c>
      <c r="J49" s="280">
        <v>900.42840000000001</v>
      </c>
      <c r="K49" s="280">
        <v>824.57780000000002</v>
      </c>
      <c r="L49" s="280">
        <v>732.71295099999998</v>
      </c>
      <c r="M49" s="280">
        <v>684.86854599999992</v>
      </c>
      <c r="N49" s="280">
        <v>662.29638199999999</v>
      </c>
      <c r="O49" s="283">
        <v>637.03975519999995</v>
      </c>
      <c r="P49" s="300">
        <f t="shared" si="4"/>
        <v>9038.7925986999999</v>
      </c>
      <c r="Q49" s="305"/>
      <c r="R49" s="284">
        <v>1380.9272499999975</v>
      </c>
      <c r="S49" s="280">
        <v>1440.6932399999973</v>
      </c>
      <c r="T49" s="280">
        <v>1391.2708699999971</v>
      </c>
      <c r="U49" s="280">
        <v>1217.7246100000009</v>
      </c>
      <c r="V49" s="280">
        <v>1146.1112100000014</v>
      </c>
      <c r="W49" s="280">
        <v>1075.3806199999976</v>
      </c>
      <c r="X49" s="280">
        <v>1011.4799199999991</v>
      </c>
      <c r="Y49" s="280">
        <v>556.37329999999952</v>
      </c>
      <c r="Z49" s="280">
        <v>540.82130000000052</v>
      </c>
      <c r="AA49" s="280">
        <v>687.47320000000025</v>
      </c>
      <c r="AB49" s="280">
        <v>747.38464399999953</v>
      </c>
      <c r="AC49" s="280">
        <v>834.05914299999915</v>
      </c>
      <c r="AD49" s="300">
        <f t="shared" si="5"/>
        <v>12029.69930699999</v>
      </c>
      <c r="AF49" s="300">
        <f t="shared" si="6"/>
        <v>-2990.90670829999</v>
      </c>
    </row>
    <row r="50" spans="1:32" s="49" customFormat="1" ht="16.5" thickTop="1" x14ac:dyDescent="0.25">
      <c r="A50" s="77" t="s">
        <v>7</v>
      </c>
      <c r="B50" s="159">
        <v>447</v>
      </c>
      <c r="C50" s="119" t="s">
        <v>74</v>
      </c>
      <c r="D50" s="292">
        <v>0</v>
      </c>
      <c r="E50" s="293">
        <v>0</v>
      </c>
      <c r="F50" s="293">
        <v>0</v>
      </c>
      <c r="G50" s="293">
        <v>0</v>
      </c>
      <c r="H50" s="293">
        <v>0</v>
      </c>
      <c r="I50" s="293">
        <v>0</v>
      </c>
      <c r="J50" s="293">
        <v>0</v>
      </c>
      <c r="K50" s="293">
        <v>0</v>
      </c>
      <c r="L50" s="293">
        <v>0</v>
      </c>
      <c r="M50" s="293">
        <v>0</v>
      </c>
      <c r="N50" s="293">
        <v>0</v>
      </c>
      <c r="O50" s="293">
        <v>0</v>
      </c>
      <c r="P50" s="301">
        <f t="shared" si="4"/>
        <v>0</v>
      </c>
      <c r="Q50" s="281"/>
      <c r="R50" s="292">
        <v>-8159.0926600000084</v>
      </c>
      <c r="S50" s="293">
        <v>-3347.457810000004</v>
      </c>
      <c r="T50" s="293">
        <v>-768.26000000000022</v>
      </c>
      <c r="U50" s="293">
        <v>-742</v>
      </c>
      <c r="V50" s="293">
        <v>-5705.4439999999922</v>
      </c>
      <c r="W50" s="293">
        <v>-3745.4981100000055</v>
      </c>
      <c r="X50" s="293">
        <v>-4689.5439999999981</v>
      </c>
      <c r="Y50" s="293">
        <v>-1814.1999999999989</v>
      </c>
      <c r="Z50" s="293">
        <v>-1044</v>
      </c>
      <c r="AA50" s="293">
        <v>-1174.5</v>
      </c>
      <c r="AB50" s="293">
        <v>0</v>
      </c>
      <c r="AC50" s="293">
        <v>0</v>
      </c>
      <c r="AD50" s="301">
        <f t="shared" si="5"/>
        <v>-31189.996580000006</v>
      </c>
      <c r="AF50" s="366">
        <f t="shared" si="6"/>
        <v>31189.996580000006</v>
      </c>
    </row>
    <row r="51" spans="1:32" s="49" customFormat="1" x14ac:dyDescent="0.25">
      <c r="A51" s="77" t="s">
        <v>7</v>
      </c>
      <c r="B51" s="159">
        <v>555</v>
      </c>
      <c r="C51" s="119" t="s">
        <v>75</v>
      </c>
      <c r="D51" s="285">
        <v>567.5</v>
      </c>
      <c r="E51" s="286">
        <v>544.79999999999995</v>
      </c>
      <c r="F51" s="286">
        <v>612.9</v>
      </c>
      <c r="G51" s="286">
        <v>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N51" s="286">
        <v>0</v>
      </c>
      <c r="O51" s="286">
        <v>0</v>
      </c>
      <c r="P51" s="302">
        <f t="shared" si="4"/>
        <v>1725.1999999999998</v>
      </c>
      <c r="Q51" s="281"/>
      <c r="R51" s="285">
        <v>6932.8843900000038</v>
      </c>
      <c r="S51" s="286">
        <v>3146.1521499999985</v>
      </c>
      <c r="T51" s="286">
        <v>566.95000000000027</v>
      </c>
      <c r="U51" s="286">
        <v>548</v>
      </c>
      <c r="V51" s="286">
        <v>7069.1050000000096</v>
      </c>
      <c r="W51" s="286">
        <v>10787.702149999997</v>
      </c>
      <c r="X51" s="286">
        <v>11957.388390000004</v>
      </c>
      <c r="Y51" s="286">
        <v>7440.1659999999993</v>
      </c>
      <c r="Z51" s="286">
        <v>4970.2424699999974</v>
      </c>
      <c r="AA51" s="286">
        <v>8006.8886500000062</v>
      </c>
      <c r="AB51" s="286">
        <v>980.72000000000082</v>
      </c>
      <c r="AC51" s="286">
        <v>548.00099999999918</v>
      </c>
      <c r="AD51" s="302">
        <f t="shared" si="5"/>
        <v>62954.200200000014</v>
      </c>
      <c r="AF51" s="367">
        <f t="shared" si="6"/>
        <v>-61229.000200000017</v>
      </c>
    </row>
    <row r="52" spans="1:32" s="49" customFormat="1" x14ac:dyDescent="0.25">
      <c r="A52" s="77" t="s">
        <v>7</v>
      </c>
      <c r="B52" s="159" t="s">
        <v>2</v>
      </c>
      <c r="C52" s="119" t="s">
        <v>135</v>
      </c>
      <c r="D52" s="285">
        <v>21610.32</v>
      </c>
      <c r="E52" s="286">
        <v>10756.843800000001</v>
      </c>
      <c r="F52" s="286">
        <v>14177.2227</v>
      </c>
      <c r="G52" s="286">
        <v>7204.5450000000001</v>
      </c>
      <c r="H52" s="286">
        <v>3868.5414999999998</v>
      </c>
      <c r="I52" s="286">
        <v>1288.17822</v>
      </c>
      <c r="J52" s="286">
        <v>351.25662199999999</v>
      </c>
      <c r="K52" s="286">
        <v>509.02429999999998</v>
      </c>
      <c r="L52" s="286">
        <v>68.92165</v>
      </c>
      <c r="M52" s="286">
        <v>1922.8099400000001</v>
      </c>
      <c r="N52" s="286">
        <v>9036.2070000000003</v>
      </c>
      <c r="O52" s="286">
        <v>12690.2178</v>
      </c>
      <c r="P52" s="302">
        <f t="shared" si="4"/>
        <v>83484.088531999994</v>
      </c>
      <c r="Q52" s="281"/>
      <c r="R52" s="285">
        <v>4055.6556754999997</v>
      </c>
      <c r="S52" s="286">
        <v>4648.9815478750015</v>
      </c>
      <c r="T52" s="286">
        <v>4647.23897425</v>
      </c>
      <c r="U52" s="286">
        <v>4721.8399272499983</v>
      </c>
      <c r="V52" s="286">
        <v>8499.6830593750019</v>
      </c>
      <c r="W52" s="286">
        <v>10652.011804499994</v>
      </c>
      <c r="X52" s="286">
        <v>14848.022993999999</v>
      </c>
      <c r="Y52" s="286">
        <v>9905.1380564999999</v>
      </c>
      <c r="Z52" s="286">
        <v>6264.1190936249996</v>
      </c>
      <c r="AA52" s="286">
        <v>5122.8350178749997</v>
      </c>
      <c r="AB52" s="286">
        <v>4822.4081727499997</v>
      </c>
      <c r="AC52" s="286">
        <v>4515.9150472500023</v>
      </c>
      <c r="AD52" s="302">
        <f t="shared" si="5"/>
        <v>82703.849370750002</v>
      </c>
      <c r="AF52" s="367">
        <f t="shared" si="6"/>
        <v>780.23916124999232</v>
      </c>
    </row>
    <row r="53" spans="1:32" s="49" customFormat="1" x14ac:dyDescent="0.25">
      <c r="A53" s="77" t="s">
        <v>7</v>
      </c>
      <c r="B53" s="159">
        <v>447</v>
      </c>
      <c r="C53" s="119" t="s">
        <v>134</v>
      </c>
      <c r="D53" s="285">
        <v>-296.96469999999999</v>
      </c>
      <c r="E53" s="286">
        <v>-5384.0119999999997</v>
      </c>
      <c r="F53" s="286">
        <v>-1743.4010000000001</v>
      </c>
      <c r="G53" s="286">
        <v>-2005.53027</v>
      </c>
      <c r="H53" s="286">
        <v>-553.36559999999997</v>
      </c>
      <c r="I53" s="286">
        <v>-4476.1357399999997</v>
      </c>
      <c r="J53" s="286">
        <v>-13061.949199999999</v>
      </c>
      <c r="K53" s="286">
        <v>-17993.033200000002</v>
      </c>
      <c r="L53" s="286">
        <v>-18316.439999999999</v>
      </c>
      <c r="M53" s="286">
        <v>-9839.5589999999993</v>
      </c>
      <c r="N53" s="286">
        <v>-5732.4116199999999</v>
      </c>
      <c r="O53" s="286">
        <v>-3483.4929999999999</v>
      </c>
      <c r="P53" s="302">
        <f t="shared" si="4"/>
        <v>-82886.295329999994</v>
      </c>
      <c r="Q53" s="281"/>
      <c r="R53" s="285">
        <v>-1024.8351395425</v>
      </c>
      <c r="S53" s="286">
        <v>-1983.732241234</v>
      </c>
      <c r="T53" s="286">
        <v>-2094.3438609999998</v>
      </c>
      <c r="U53" s="286">
        <v>-1380.5950033375002</v>
      </c>
      <c r="V53" s="286">
        <v>-478.84120431249994</v>
      </c>
      <c r="W53" s="286">
        <v>-396.63657830250003</v>
      </c>
      <c r="X53" s="286">
        <v>-178.92964840500002</v>
      </c>
      <c r="Y53" s="286">
        <v>-607.74929800000029</v>
      </c>
      <c r="Z53" s="286">
        <v>-2122.7107570000003</v>
      </c>
      <c r="AA53" s="286">
        <v>-3169.251293511426</v>
      </c>
      <c r="AB53" s="286">
        <v>-1153.2138999174999</v>
      </c>
      <c r="AC53" s="286">
        <v>-425.19590561352999</v>
      </c>
      <c r="AD53" s="302">
        <f t="shared" si="5"/>
        <v>-15016.034830176457</v>
      </c>
      <c r="AF53" s="367">
        <f t="shared" si="6"/>
        <v>-67870.260499823533</v>
      </c>
    </row>
    <row r="54" spans="1:32" s="49" customFormat="1" x14ac:dyDescent="0.25">
      <c r="A54" s="77" t="s">
        <v>7</v>
      </c>
      <c r="B54" s="159" t="s">
        <v>2</v>
      </c>
      <c r="C54" s="119" t="s">
        <v>132</v>
      </c>
      <c r="D54" s="285">
        <v>2147.4562999999998</v>
      </c>
      <c r="E54" s="286">
        <v>4772.6480000000001</v>
      </c>
      <c r="F54" s="286">
        <v>2689.61816</v>
      </c>
      <c r="G54" s="286">
        <v>1260.3894</v>
      </c>
      <c r="H54" s="286">
        <v>803.04250000000002</v>
      </c>
      <c r="I54" s="286">
        <v>1037.96</v>
      </c>
      <c r="J54" s="286">
        <v>1810.2394999999999</v>
      </c>
      <c r="K54" s="286">
        <v>2372.3879999999999</v>
      </c>
      <c r="L54" s="286">
        <v>3748.7446300000001</v>
      </c>
      <c r="M54" s="286">
        <v>5139.8095700000003</v>
      </c>
      <c r="N54" s="286">
        <v>1841.21533</v>
      </c>
      <c r="O54" s="286">
        <v>1738.78223</v>
      </c>
      <c r="P54" s="302">
        <f t="shared" si="4"/>
        <v>29362.29362</v>
      </c>
      <c r="Q54" s="281"/>
      <c r="R54" s="285">
        <v>0</v>
      </c>
      <c r="S54" s="286">
        <v>0</v>
      </c>
      <c r="T54" s="286">
        <v>0</v>
      </c>
      <c r="U54" s="286">
        <v>0</v>
      </c>
      <c r="V54" s="286">
        <v>0</v>
      </c>
      <c r="W54" s="286">
        <v>0</v>
      </c>
      <c r="X54" s="286">
        <v>0</v>
      </c>
      <c r="Y54" s="286">
        <v>0</v>
      </c>
      <c r="Z54" s="286">
        <v>0</v>
      </c>
      <c r="AA54" s="286">
        <v>0</v>
      </c>
      <c r="AB54" s="286">
        <v>0</v>
      </c>
      <c r="AC54" s="286">
        <v>0</v>
      </c>
      <c r="AD54" s="302">
        <f t="shared" si="5"/>
        <v>0</v>
      </c>
      <c r="AF54" s="367">
        <f t="shared" si="6"/>
        <v>29362.29362</v>
      </c>
    </row>
    <row r="55" spans="1:32" s="49" customFormat="1" x14ac:dyDescent="0.25">
      <c r="A55" s="77" t="s">
        <v>7</v>
      </c>
      <c r="B55" s="159">
        <v>447</v>
      </c>
      <c r="C55" s="119" t="s">
        <v>133</v>
      </c>
      <c r="D55" s="285">
        <v>-8752.2960000000003</v>
      </c>
      <c r="E55" s="286">
        <v>-3250.4540000000002</v>
      </c>
      <c r="F55" s="286">
        <v>-1373.37024</v>
      </c>
      <c r="G55" s="286">
        <v>-1822.6345200000001</v>
      </c>
      <c r="H55" s="286">
        <v>-3572.9872999999998</v>
      </c>
      <c r="I55" s="286">
        <v>-2276.5140000000001</v>
      </c>
      <c r="J55" s="286">
        <v>-3186.10718</v>
      </c>
      <c r="K55" s="286">
        <v>-3487.3447299999998</v>
      </c>
      <c r="L55" s="286">
        <v>-1737.54675</v>
      </c>
      <c r="M55" s="286">
        <v>-667.3125</v>
      </c>
      <c r="N55" s="286">
        <v>-6770.7553699999999</v>
      </c>
      <c r="O55" s="286">
        <v>-8751.5840000000007</v>
      </c>
      <c r="P55" s="302">
        <f t="shared" si="4"/>
        <v>-45648.906590000006</v>
      </c>
      <c r="Q55" s="281"/>
      <c r="R55" s="285">
        <v>0</v>
      </c>
      <c r="S55" s="286">
        <v>0</v>
      </c>
      <c r="T55" s="286">
        <v>0</v>
      </c>
      <c r="U55" s="286">
        <v>0</v>
      </c>
      <c r="V55" s="286">
        <v>0</v>
      </c>
      <c r="W55" s="286">
        <v>0</v>
      </c>
      <c r="X55" s="286">
        <v>0</v>
      </c>
      <c r="Y55" s="286">
        <v>0</v>
      </c>
      <c r="Z55" s="286">
        <v>0</v>
      </c>
      <c r="AA55" s="286">
        <v>0</v>
      </c>
      <c r="AB55" s="286">
        <v>0</v>
      </c>
      <c r="AC55" s="286">
        <v>0</v>
      </c>
      <c r="AD55" s="302">
        <f t="shared" si="5"/>
        <v>0</v>
      </c>
      <c r="AF55" s="367">
        <f t="shared" si="6"/>
        <v>-45648.906590000006</v>
      </c>
    </row>
    <row r="56" spans="1:32" s="49" customFormat="1" ht="15.75" customHeight="1" x14ac:dyDescent="0.25">
      <c r="A56" s="77" t="s">
        <v>7</v>
      </c>
      <c r="B56" s="159" t="s">
        <v>2</v>
      </c>
      <c r="C56" s="119" t="s">
        <v>158</v>
      </c>
      <c r="D56" s="285">
        <v>0</v>
      </c>
      <c r="E56" s="286">
        <v>0</v>
      </c>
      <c r="F56" s="286">
        <v>0</v>
      </c>
      <c r="G56" s="286">
        <v>0</v>
      </c>
      <c r="H56" s="286">
        <v>0</v>
      </c>
      <c r="I56" s="286">
        <v>0</v>
      </c>
      <c r="J56" s="286">
        <v>0</v>
      </c>
      <c r="K56" s="286">
        <v>0</v>
      </c>
      <c r="L56" s="286">
        <v>0</v>
      </c>
      <c r="M56" s="286">
        <v>0</v>
      </c>
      <c r="N56" s="286">
        <v>0</v>
      </c>
      <c r="O56" s="286">
        <v>0</v>
      </c>
      <c r="P56" s="302">
        <f t="shared" si="4"/>
        <v>0</v>
      </c>
      <c r="Q56" s="281"/>
      <c r="R56" s="285">
        <v>-666.66666666666663</v>
      </c>
      <c r="S56" s="286">
        <v>-666.66666666666663</v>
      </c>
      <c r="T56" s="286">
        <v>-666.66666666666663</v>
      </c>
      <c r="U56" s="286">
        <v>-666.66666666666663</v>
      </c>
      <c r="V56" s="286">
        <v>-666.66666666666663</v>
      </c>
      <c r="W56" s="286">
        <v>-666.66666666666663</v>
      </c>
      <c r="X56" s="286">
        <v>-666.66666666666663</v>
      </c>
      <c r="Y56" s="286">
        <v>-666.66666666666663</v>
      </c>
      <c r="Z56" s="286">
        <v>-666.66666666666663</v>
      </c>
      <c r="AA56" s="286">
        <v>-666.66666666666663</v>
      </c>
      <c r="AB56" s="286">
        <v>-666.66666666666663</v>
      </c>
      <c r="AC56" s="286">
        <v>-666.66666666666663</v>
      </c>
      <c r="AD56" s="302">
        <f t="shared" si="5"/>
        <v>-8000.0000000000009</v>
      </c>
      <c r="AF56" s="367">
        <f t="shared" si="6"/>
        <v>8000.0000000000009</v>
      </c>
    </row>
    <row r="57" spans="1:32" s="49" customFormat="1" x14ac:dyDescent="0.25">
      <c r="A57" s="77" t="s">
        <v>7</v>
      </c>
      <c r="B57" s="159" t="s">
        <v>2</v>
      </c>
      <c r="C57" s="119" t="s">
        <v>159</v>
      </c>
      <c r="D57" s="294">
        <v>0</v>
      </c>
      <c r="E57" s="295">
        <v>0</v>
      </c>
      <c r="F57" s="295">
        <v>0</v>
      </c>
      <c r="G57" s="295">
        <v>0</v>
      </c>
      <c r="H57" s="295">
        <v>0</v>
      </c>
      <c r="I57" s="295">
        <v>0</v>
      </c>
      <c r="J57" s="295">
        <v>0</v>
      </c>
      <c r="K57" s="295">
        <v>0</v>
      </c>
      <c r="L57" s="295">
        <v>0</v>
      </c>
      <c r="M57" s="295">
        <v>0</v>
      </c>
      <c r="N57" s="295">
        <v>0</v>
      </c>
      <c r="O57" s="295">
        <v>0</v>
      </c>
      <c r="P57" s="302">
        <f t="shared" si="4"/>
        <v>0</v>
      </c>
      <c r="Q57" s="281"/>
      <c r="R57" s="294">
        <v>0</v>
      </c>
      <c r="S57" s="295">
        <v>0</v>
      </c>
      <c r="T57" s="295">
        <v>0</v>
      </c>
      <c r="U57" s="295">
        <v>0</v>
      </c>
      <c r="V57" s="295">
        <v>0</v>
      </c>
      <c r="W57" s="295">
        <v>0</v>
      </c>
      <c r="X57" s="295">
        <v>0</v>
      </c>
      <c r="Y57" s="295">
        <v>0</v>
      </c>
      <c r="Z57" s="295">
        <v>0</v>
      </c>
      <c r="AA57" s="295">
        <v>0</v>
      </c>
      <c r="AB57" s="295">
        <v>0</v>
      </c>
      <c r="AC57" s="295">
        <v>0</v>
      </c>
      <c r="AD57" s="302">
        <f t="shared" si="5"/>
        <v>0</v>
      </c>
      <c r="AF57" s="367">
        <f t="shared" si="6"/>
        <v>0</v>
      </c>
    </row>
    <row r="58" spans="1:32" s="312" customFormat="1" x14ac:dyDescent="0.25">
      <c r="A58" s="160" t="s">
        <v>7</v>
      </c>
      <c r="B58" s="309"/>
      <c r="C58" s="299" t="s">
        <v>5</v>
      </c>
      <c r="D58" s="308">
        <f>SUM(D7:D57)</f>
        <v>63197.308559500001</v>
      </c>
      <c r="E58" s="296">
        <f t="shared" ref="E58:O58" si="7">SUM(E7:E57)</f>
        <v>52386.580050156008</v>
      </c>
      <c r="F58" s="296">
        <f t="shared" si="7"/>
        <v>52041.671217999996</v>
      </c>
      <c r="G58" s="296">
        <f t="shared" si="7"/>
        <v>37660.179144499998</v>
      </c>
      <c r="H58" s="296">
        <f t="shared" si="7"/>
        <v>34218.874906860008</v>
      </c>
      <c r="I58" s="296">
        <f t="shared" si="7"/>
        <v>43366.157949133682</v>
      </c>
      <c r="J58" s="296">
        <f t="shared" si="7"/>
        <v>44217.031553879991</v>
      </c>
      <c r="K58" s="296">
        <f t="shared" si="7"/>
        <v>47665.640321999999</v>
      </c>
      <c r="L58" s="296">
        <f t="shared" si="7"/>
        <v>44522.707875500004</v>
      </c>
      <c r="M58" s="296">
        <f t="shared" si="7"/>
        <v>41021.745977769991</v>
      </c>
      <c r="N58" s="296">
        <f t="shared" si="7"/>
        <v>44962.205241600008</v>
      </c>
      <c r="O58" s="296">
        <f t="shared" si="7"/>
        <v>56124.679399199988</v>
      </c>
      <c r="P58" s="310">
        <f t="shared" si="4"/>
        <v>561384.78219809965</v>
      </c>
      <c r="Q58" s="306"/>
      <c r="R58" s="308">
        <f t="shared" ref="R58:AC58" si="8">SUM(R7:R57)</f>
        <v>27126.590038728133</v>
      </c>
      <c r="S58" s="296">
        <f t="shared" si="8"/>
        <v>35433.303094135335</v>
      </c>
      <c r="T58" s="296">
        <f t="shared" si="8"/>
        <v>37631.997474824951</v>
      </c>
      <c r="U58" s="296">
        <f t="shared" si="8"/>
        <v>37427.156899053589</v>
      </c>
      <c r="V58" s="296">
        <f t="shared" si="8"/>
        <v>41652.178493192732</v>
      </c>
      <c r="W58" s="296">
        <f t="shared" si="8"/>
        <v>46092.799710696447</v>
      </c>
      <c r="X58" s="296">
        <f t="shared" si="8"/>
        <v>55188.489795701098</v>
      </c>
      <c r="Y58" s="296">
        <f t="shared" si="8"/>
        <v>57466.263697722716</v>
      </c>
      <c r="Z58" s="296">
        <f t="shared" si="8"/>
        <v>47159.102565500842</v>
      </c>
      <c r="AA58" s="296">
        <f t="shared" si="8"/>
        <v>45415.730083230796</v>
      </c>
      <c r="AB58" s="296">
        <f t="shared" si="8"/>
        <v>33346.833860858533</v>
      </c>
      <c r="AC58" s="401">
        <f t="shared" si="8"/>
        <v>29299.225477978256</v>
      </c>
      <c r="AD58" s="310">
        <f t="shared" si="5"/>
        <v>493239.67119162338</v>
      </c>
      <c r="AF58" s="370">
        <f t="shared" si="6"/>
        <v>68145.111006476276</v>
      </c>
    </row>
    <row r="59" spans="1:32" s="49" customFormat="1" ht="16.5" thickBot="1" x14ac:dyDescent="0.3">
      <c r="A59" s="77"/>
      <c r="B59" s="159"/>
      <c r="C59" s="278" t="s">
        <v>43</v>
      </c>
      <c r="D59" s="297">
        <f>SUM(D7:D57)</f>
        <v>63197.308559500001</v>
      </c>
      <c r="E59" s="298">
        <f t="shared" ref="E59:O59" si="9">SUM(E7:E57)</f>
        <v>52386.580050156008</v>
      </c>
      <c r="F59" s="298">
        <f t="shared" si="9"/>
        <v>52041.671217999996</v>
      </c>
      <c r="G59" s="298">
        <f t="shared" si="9"/>
        <v>37660.179144499998</v>
      </c>
      <c r="H59" s="298">
        <f t="shared" si="9"/>
        <v>34218.874906860008</v>
      </c>
      <c r="I59" s="298">
        <f t="shared" si="9"/>
        <v>43366.157949133682</v>
      </c>
      <c r="J59" s="298">
        <f t="shared" si="9"/>
        <v>44217.031553879991</v>
      </c>
      <c r="K59" s="298">
        <f t="shared" si="9"/>
        <v>47665.640321999999</v>
      </c>
      <c r="L59" s="298">
        <f t="shared" si="9"/>
        <v>44522.707875500004</v>
      </c>
      <c r="M59" s="298">
        <f t="shared" si="9"/>
        <v>41021.745977769991</v>
      </c>
      <c r="N59" s="298">
        <f t="shared" si="9"/>
        <v>44962.205241600008</v>
      </c>
      <c r="O59" s="298">
        <f t="shared" si="9"/>
        <v>56124.679399199988</v>
      </c>
      <c r="P59" s="303">
        <f t="shared" si="4"/>
        <v>561384.78219809965</v>
      </c>
      <c r="Q59" s="281"/>
      <c r="R59" s="297">
        <f t="shared" ref="R59:AC59" si="10">SUM(R7:R57)</f>
        <v>27126.590038728133</v>
      </c>
      <c r="S59" s="298">
        <f t="shared" si="10"/>
        <v>35433.303094135335</v>
      </c>
      <c r="T59" s="298">
        <f t="shared" si="10"/>
        <v>37631.997474824951</v>
      </c>
      <c r="U59" s="298">
        <f t="shared" si="10"/>
        <v>37427.156899053589</v>
      </c>
      <c r="V59" s="298">
        <f t="shared" si="10"/>
        <v>41652.178493192732</v>
      </c>
      <c r="W59" s="298">
        <f t="shared" si="10"/>
        <v>46092.799710696447</v>
      </c>
      <c r="X59" s="298">
        <f t="shared" si="10"/>
        <v>55188.489795701098</v>
      </c>
      <c r="Y59" s="298">
        <f t="shared" si="10"/>
        <v>57466.263697722716</v>
      </c>
      <c r="Z59" s="298">
        <f t="shared" si="10"/>
        <v>47159.102565500842</v>
      </c>
      <c r="AA59" s="298">
        <f t="shared" si="10"/>
        <v>45415.730083230796</v>
      </c>
      <c r="AB59" s="298">
        <f t="shared" si="10"/>
        <v>33346.833860858533</v>
      </c>
      <c r="AC59" s="298">
        <f t="shared" si="10"/>
        <v>29299.225477978256</v>
      </c>
      <c r="AD59" s="303">
        <f t="shared" si="5"/>
        <v>493239.67119162338</v>
      </c>
      <c r="AF59" s="368">
        <f t="shared" si="6"/>
        <v>68145.111006476276</v>
      </c>
    </row>
    <row r="60" spans="1:32" s="254" customFormat="1" ht="12" thickTop="1" x14ac:dyDescent="0.2">
      <c r="A60" s="251"/>
      <c r="B60" s="252"/>
      <c r="C60" s="247" t="s">
        <v>90</v>
      </c>
      <c r="D60" s="248">
        <f t="shared" ref="D60:N60" si="11">D58-D59</f>
        <v>0</v>
      </c>
      <c r="E60" s="248">
        <f t="shared" si="11"/>
        <v>0</v>
      </c>
      <c r="F60" s="248">
        <f t="shared" si="11"/>
        <v>0</v>
      </c>
      <c r="G60" s="248">
        <f t="shared" si="11"/>
        <v>0</v>
      </c>
      <c r="H60" s="248">
        <f t="shared" si="11"/>
        <v>0</v>
      </c>
      <c r="I60" s="248">
        <f t="shared" si="11"/>
        <v>0</v>
      </c>
      <c r="J60" s="248">
        <f t="shared" si="11"/>
        <v>0</v>
      </c>
      <c r="K60" s="248">
        <f t="shared" si="11"/>
        <v>0</v>
      </c>
      <c r="L60" s="248">
        <f t="shared" si="11"/>
        <v>0</v>
      </c>
      <c r="M60" s="248">
        <f t="shared" si="11"/>
        <v>0</v>
      </c>
      <c r="N60" s="248">
        <f t="shared" si="11"/>
        <v>0</v>
      </c>
      <c r="O60" s="248"/>
      <c r="P60" s="247"/>
      <c r="Q60" s="253"/>
      <c r="R60" s="248">
        <v>-5.6575463531771675E-4</v>
      </c>
      <c r="S60" s="248">
        <v>-1.9239456196373794E-3</v>
      </c>
      <c r="T60" s="248">
        <v>7.5481624298845418E-4</v>
      </c>
      <c r="U60" s="248">
        <v>1.2673751189140603E-4</v>
      </c>
      <c r="V60" s="248">
        <v>-2.0949937461409718E-3</v>
      </c>
      <c r="W60" s="248">
        <v>9.6476236649323255E-5</v>
      </c>
      <c r="X60" s="248">
        <v>-2.5757999901543371E-3</v>
      </c>
      <c r="Y60" s="248">
        <v>-1.1927749583264813E-3</v>
      </c>
      <c r="Z60" s="248">
        <v>-2.7670023700920865E-4</v>
      </c>
      <c r="AA60" s="248">
        <v>4.7980250383261591E-4</v>
      </c>
      <c r="AB60" s="248">
        <v>6.2951700238045305E-4</v>
      </c>
      <c r="AC60" s="307">
        <v>-3.5983362322440371E-3</v>
      </c>
      <c r="AD60" s="247"/>
      <c r="AF60" s="247"/>
    </row>
    <row r="61" spans="1:32" ht="15" x14ac:dyDescent="0.25">
      <c r="A61" s="77"/>
      <c r="B61" s="162"/>
      <c r="C61" s="255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255"/>
      <c r="Q61" s="142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255"/>
      <c r="AF61" s="255"/>
    </row>
    <row r="62" spans="1:32" thickBot="1" x14ac:dyDescent="0.3">
      <c r="A62" s="233" t="s">
        <v>60</v>
      </c>
      <c r="B62" s="234" t="s">
        <v>73</v>
      </c>
      <c r="C62" s="256" t="s">
        <v>88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256"/>
      <c r="Q62" s="218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256"/>
      <c r="AF62" s="256"/>
    </row>
    <row r="63" spans="1:32" thickTop="1" x14ac:dyDescent="0.25">
      <c r="A63" s="77" t="s">
        <v>87</v>
      </c>
      <c r="B63" s="159" t="s">
        <v>0</v>
      </c>
      <c r="C63" s="118" t="s">
        <v>8</v>
      </c>
      <c r="D63" s="343">
        <v>24344.127</v>
      </c>
      <c r="E63" s="344">
        <v>16964.386699999999</v>
      </c>
      <c r="F63" s="344">
        <v>18641.355500000001</v>
      </c>
      <c r="G63" s="344">
        <v>18578.05</v>
      </c>
      <c r="H63" s="344">
        <v>24485.599999999999</v>
      </c>
      <c r="I63" s="344">
        <v>45276.19</v>
      </c>
      <c r="J63" s="344">
        <v>41636.9375</v>
      </c>
      <c r="K63" s="344">
        <v>29519.89</v>
      </c>
      <c r="L63" s="344">
        <v>21014.398399999998</v>
      </c>
      <c r="M63" s="344">
        <v>31199.3652</v>
      </c>
      <c r="N63" s="344">
        <v>39366.667999999998</v>
      </c>
      <c r="O63" s="344">
        <v>29198.06</v>
      </c>
      <c r="P63" s="391">
        <f t="shared" ref="P63:P94" si="12">SUM(D63:O63)</f>
        <v>340225.02830000001</v>
      </c>
      <c r="Q63" s="313"/>
      <c r="R63" s="343">
        <v>43179.380017500014</v>
      </c>
      <c r="S63" s="344">
        <v>45133.179927500001</v>
      </c>
      <c r="T63" s="344">
        <v>30727.67145875001</v>
      </c>
      <c r="U63" s="344">
        <v>22302.715103749993</v>
      </c>
      <c r="V63" s="344">
        <v>30978.713390000001</v>
      </c>
      <c r="W63" s="344">
        <v>38558.589945</v>
      </c>
      <c r="X63" s="344">
        <v>31590.295844999979</v>
      </c>
      <c r="Y63" s="344">
        <v>26807.526522499997</v>
      </c>
      <c r="Z63" s="344">
        <v>20938.676620624996</v>
      </c>
      <c r="AA63" s="344">
        <v>19479.086044750005</v>
      </c>
      <c r="AB63" s="344">
        <v>19758.567563749999</v>
      </c>
      <c r="AC63" s="344">
        <v>24293.151430750004</v>
      </c>
      <c r="AD63" s="391">
        <f t="shared" ref="AD63:AD94" si="13">SUM(R63:AC63)</f>
        <v>353747.55386987503</v>
      </c>
      <c r="AF63" s="371">
        <f t="shared" ref="AF63:AF94" si="14">P63-AD63</f>
        <v>-13522.525569875026</v>
      </c>
    </row>
    <row r="64" spans="1:32" ht="15" x14ac:dyDescent="0.25">
      <c r="A64" s="77" t="s">
        <v>87</v>
      </c>
      <c r="B64" s="159" t="s">
        <v>0</v>
      </c>
      <c r="C64" s="119" t="s">
        <v>9</v>
      </c>
      <c r="D64" s="314">
        <v>21076.162100000001</v>
      </c>
      <c r="E64" s="345">
        <v>16264.824199999999</v>
      </c>
      <c r="F64" s="345">
        <v>14907.983399999999</v>
      </c>
      <c r="G64" s="345">
        <v>14704.4668</v>
      </c>
      <c r="H64" s="345">
        <v>24471.757799999999</v>
      </c>
      <c r="I64" s="345">
        <v>43906.265599999999</v>
      </c>
      <c r="J64" s="345">
        <v>40498.175799999997</v>
      </c>
      <c r="K64" s="345">
        <v>23638.9434</v>
      </c>
      <c r="L64" s="345">
        <v>20547.9512</v>
      </c>
      <c r="M64" s="345">
        <v>33601.74</v>
      </c>
      <c r="N64" s="345">
        <v>37745.78</v>
      </c>
      <c r="O64" s="345">
        <v>25145.367200000001</v>
      </c>
      <c r="P64" s="392">
        <f t="shared" si="12"/>
        <v>316509.41749999998</v>
      </c>
      <c r="Q64" s="313"/>
      <c r="R64" s="314">
        <v>19282.076241749994</v>
      </c>
      <c r="S64" s="345">
        <v>24162.675029000005</v>
      </c>
      <c r="T64" s="345">
        <v>23805.472416249999</v>
      </c>
      <c r="U64" s="345">
        <v>20893.231251250003</v>
      </c>
      <c r="V64" s="345">
        <v>27568.920032499998</v>
      </c>
      <c r="W64" s="345">
        <v>30016.700449999997</v>
      </c>
      <c r="X64" s="345">
        <v>19972.017809999994</v>
      </c>
      <c r="Y64" s="345">
        <v>18821.566345624997</v>
      </c>
      <c r="Z64" s="345">
        <v>15825.952693374997</v>
      </c>
      <c r="AA64" s="345">
        <v>16013.351935000004</v>
      </c>
      <c r="AB64" s="345">
        <v>14685.766300000003</v>
      </c>
      <c r="AC64" s="345">
        <v>12514.797206624997</v>
      </c>
      <c r="AD64" s="392">
        <f t="shared" si="13"/>
        <v>243562.52771137498</v>
      </c>
      <c r="AF64" s="372">
        <f t="shared" si="14"/>
        <v>72946.889788625005</v>
      </c>
    </row>
    <row r="65" spans="1:32" thickBot="1" x14ac:dyDescent="0.3">
      <c r="A65" s="77" t="s">
        <v>87</v>
      </c>
      <c r="B65" s="159" t="s">
        <v>0</v>
      </c>
      <c r="C65" s="119" t="s">
        <v>71</v>
      </c>
      <c r="D65" s="346">
        <v>26855.0579</v>
      </c>
      <c r="E65" s="347">
        <v>23843.422000000002</v>
      </c>
      <c r="F65" s="347">
        <v>25896.4575</v>
      </c>
      <c r="G65" s="347">
        <v>30449.919910000001</v>
      </c>
      <c r="H65" s="347">
        <v>28444.269</v>
      </c>
      <c r="I65" s="347">
        <v>24444.343710000001</v>
      </c>
      <c r="J65" s="347">
        <v>18710.821</v>
      </c>
      <c r="K65" s="347">
        <v>6025.6826199999996</v>
      </c>
      <c r="L65" s="347">
        <v>7702.7817400000004</v>
      </c>
      <c r="M65" s="347">
        <v>17940.134299999998</v>
      </c>
      <c r="N65" s="347">
        <v>26637.20752</v>
      </c>
      <c r="O65" s="347">
        <v>28390.5615</v>
      </c>
      <c r="P65" s="393">
        <f t="shared" si="12"/>
        <v>265340.65870000003</v>
      </c>
      <c r="Q65" s="313"/>
      <c r="R65" s="346">
        <v>23860.155878874997</v>
      </c>
      <c r="S65" s="347">
        <v>20001.078831999999</v>
      </c>
      <c r="T65" s="347">
        <v>8902.5499565499995</v>
      </c>
      <c r="U65" s="347">
        <v>9781.9409454624983</v>
      </c>
      <c r="V65" s="347">
        <v>17724.671185337502</v>
      </c>
      <c r="W65" s="347">
        <v>25338.541894499998</v>
      </c>
      <c r="X65" s="347">
        <v>28161.258222374996</v>
      </c>
      <c r="Y65" s="347">
        <v>26079.585509250002</v>
      </c>
      <c r="Z65" s="347">
        <v>23149.731252625003</v>
      </c>
      <c r="AA65" s="347">
        <v>26788.845496875008</v>
      </c>
      <c r="AB65" s="347">
        <v>27910.02300624999</v>
      </c>
      <c r="AC65" s="347">
        <v>25387.283469625007</v>
      </c>
      <c r="AD65" s="393">
        <f t="shared" si="13"/>
        <v>263085.66564972501</v>
      </c>
      <c r="AF65" s="373">
        <f t="shared" si="14"/>
        <v>2254.9930502750212</v>
      </c>
    </row>
    <row r="66" spans="1:32" thickTop="1" x14ac:dyDescent="0.25">
      <c r="A66" s="77" t="s">
        <v>87</v>
      </c>
      <c r="B66" s="159" t="s">
        <v>0</v>
      </c>
      <c r="C66" s="119" t="s">
        <v>21</v>
      </c>
      <c r="D66" s="348">
        <v>-19078.642599999999</v>
      </c>
      <c r="E66" s="349">
        <v>-17516.855500000001</v>
      </c>
      <c r="F66" s="349">
        <v>-20282.456999999999</v>
      </c>
      <c r="G66" s="349">
        <v>-19488.527300000002</v>
      </c>
      <c r="H66" s="349">
        <v>-21047.61</v>
      </c>
      <c r="I66" s="349">
        <v>-20268.0684</v>
      </c>
      <c r="J66" s="349">
        <v>-20268.0684</v>
      </c>
      <c r="K66" s="349">
        <v>-21047.61</v>
      </c>
      <c r="L66" s="349">
        <v>-19633.706999999999</v>
      </c>
      <c r="M66" s="349">
        <v>-19633.706999999999</v>
      </c>
      <c r="N66" s="349">
        <v>-19633.706999999999</v>
      </c>
      <c r="O66" s="349">
        <v>-19078.642599999999</v>
      </c>
      <c r="P66" s="316">
        <f t="shared" si="12"/>
        <v>-236977.60279999996</v>
      </c>
      <c r="Q66" s="316"/>
      <c r="R66" s="348">
        <v>-17660.28520000002</v>
      </c>
      <c r="S66" s="349">
        <v>-18339.52729999998</v>
      </c>
      <c r="T66" s="349">
        <v>-17660.28520000002</v>
      </c>
      <c r="U66" s="349">
        <v>-16810.867199999986</v>
      </c>
      <c r="V66" s="349">
        <v>-15872.788100000002</v>
      </c>
      <c r="W66" s="349">
        <v>-15877.313500000004</v>
      </c>
      <c r="X66" s="349">
        <v>-15691.293900000004</v>
      </c>
      <c r="Y66" s="349">
        <v>-15037.068399999993</v>
      </c>
      <c r="Z66" s="349">
        <v>-13801.870000000004</v>
      </c>
      <c r="AA66" s="349">
        <v>-16334.887700000003</v>
      </c>
      <c r="AB66" s="349">
        <v>-16585.205099999992</v>
      </c>
      <c r="AC66" s="349">
        <v>-16585.205099999992</v>
      </c>
      <c r="AD66" s="317">
        <f t="shared" si="13"/>
        <v>-196256.59669999999</v>
      </c>
      <c r="AF66" s="316">
        <f t="shared" si="14"/>
        <v>-40721.00609999997</v>
      </c>
    </row>
    <row r="67" spans="1:32" ht="15" x14ac:dyDescent="0.25">
      <c r="A67" s="77" t="s">
        <v>87</v>
      </c>
      <c r="B67" s="159" t="s">
        <v>0</v>
      </c>
      <c r="C67" s="119" t="s">
        <v>32</v>
      </c>
      <c r="D67" s="350">
        <v>46219.798000000003</v>
      </c>
      <c r="E67" s="349">
        <v>40190.764800000004</v>
      </c>
      <c r="F67" s="349">
        <v>34200.132799999999</v>
      </c>
      <c r="G67" s="349">
        <v>33746.460999999996</v>
      </c>
      <c r="H67" s="349">
        <v>45433.839899999999</v>
      </c>
      <c r="I67" s="349">
        <v>44348.361399999994</v>
      </c>
      <c r="J67" s="349">
        <v>46301.503899999996</v>
      </c>
      <c r="K67" s="349">
        <v>37035.061199999996</v>
      </c>
      <c r="L67" s="349">
        <v>27385.280299999999</v>
      </c>
      <c r="M67" s="349">
        <v>28261.71</v>
      </c>
      <c r="N67" s="349">
        <v>36709.357000000004</v>
      </c>
      <c r="O67" s="349">
        <v>41726.448499999999</v>
      </c>
      <c r="P67" s="316">
        <f t="shared" si="12"/>
        <v>461558.71879999997</v>
      </c>
      <c r="Q67" s="316"/>
      <c r="R67" s="350">
        <v>36168.858887499991</v>
      </c>
      <c r="S67" s="349">
        <v>35342.019263749986</v>
      </c>
      <c r="T67" s="349">
        <v>37825.792181249992</v>
      </c>
      <c r="U67" s="349">
        <v>27928.416626249993</v>
      </c>
      <c r="V67" s="349">
        <v>27812.132131375001</v>
      </c>
      <c r="W67" s="349">
        <v>35335.898144999999</v>
      </c>
      <c r="X67" s="349">
        <v>38036.689092500004</v>
      </c>
      <c r="Y67" s="349">
        <v>39588.185878749995</v>
      </c>
      <c r="Z67" s="349">
        <v>33790.308620000003</v>
      </c>
      <c r="AA67" s="349">
        <v>33514.364632500008</v>
      </c>
      <c r="AB67" s="349">
        <v>32558.208282624997</v>
      </c>
      <c r="AC67" s="349">
        <v>35909.335544999994</v>
      </c>
      <c r="AD67" s="317">
        <f t="shared" si="13"/>
        <v>413810.2092865</v>
      </c>
      <c r="AF67" s="316">
        <f t="shared" si="14"/>
        <v>47748.509513499972</v>
      </c>
    </row>
    <row r="68" spans="1:32" ht="15" x14ac:dyDescent="0.25">
      <c r="A68" s="77" t="s">
        <v>87</v>
      </c>
      <c r="B68" s="159" t="s">
        <v>0</v>
      </c>
      <c r="C68" s="119" t="s">
        <v>26</v>
      </c>
      <c r="D68" s="350">
        <v>80316.56</v>
      </c>
      <c r="E68" s="349">
        <v>67753.414099999995</v>
      </c>
      <c r="F68" s="349">
        <v>58564.832000000002</v>
      </c>
      <c r="G68" s="349">
        <v>51864.816400000003</v>
      </c>
      <c r="H68" s="349">
        <v>54904.503900000003</v>
      </c>
      <c r="I68" s="349">
        <v>43943.22</v>
      </c>
      <c r="J68" s="349">
        <v>69280.399999999994</v>
      </c>
      <c r="K68" s="349">
        <v>55436.97</v>
      </c>
      <c r="L68" s="349">
        <v>47952.38</v>
      </c>
      <c r="M68" s="349">
        <v>47680.453099999999</v>
      </c>
      <c r="N68" s="349">
        <v>61522.105499999998</v>
      </c>
      <c r="O68" s="349">
        <v>67693.77</v>
      </c>
      <c r="P68" s="316">
        <f t="shared" si="12"/>
        <v>706913.42500000005</v>
      </c>
      <c r="Q68" s="316"/>
      <c r="R68" s="350">
        <v>51682.939623749982</v>
      </c>
      <c r="S68" s="349">
        <v>51171.307138750009</v>
      </c>
      <c r="T68" s="349">
        <v>53096.138767499979</v>
      </c>
      <c r="U68" s="349">
        <v>40337.140857499988</v>
      </c>
      <c r="V68" s="349">
        <v>40639.079291250004</v>
      </c>
      <c r="W68" s="349">
        <v>50183.065685000016</v>
      </c>
      <c r="X68" s="349">
        <v>54284.092692500002</v>
      </c>
      <c r="Y68" s="349">
        <v>59342.747672500016</v>
      </c>
      <c r="Z68" s="349">
        <v>51801.614877499982</v>
      </c>
      <c r="AA68" s="349">
        <v>48583.680963750012</v>
      </c>
      <c r="AB68" s="349">
        <v>47920.999228749992</v>
      </c>
      <c r="AC68" s="349">
        <v>54563.947148749998</v>
      </c>
      <c r="AD68" s="317">
        <f t="shared" si="13"/>
        <v>603606.75394749991</v>
      </c>
      <c r="AF68" s="316">
        <f t="shared" si="14"/>
        <v>103306.67105250014</v>
      </c>
    </row>
    <row r="69" spans="1:32" ht="15" x14ac:dyDescent="0.25">
      <c r="A69" s="77" t="s">
        <v>87</v>
      </c>
      <c r="B69" s="159" t="s">
        <v>0</v>
      </c>
      <c r="C69" s="119" t="s">
        <v>25</v>
      </c>
      <c r="D69" s="350">
        <v>175088.56299999999</v>
      </c>
      <c r="E69" s="349">
        <v>148842.57800000001</v>
      </c>
      <c r="F69" s="349">
        <v>128195.656</v>
      </c>
      <c r="G69" s="349">
        <v>142348.625</v>
      </c>
      <c r="H69" s="349">
        <v>179959.21900000001</v>
      </c>
      <c r="I69" s="349">
        <v>185966.21900000001</v>
      </c>
      <c r="J69" s="349">
        <v>182017.109</v>
      </c>
      <c r="K69" s="349">
        <v>154559.375</v>
      </c>
      <c r="L69" s="349">
        <v>104219.359</v>
      </c>
      <c r="M69" s="349">
        <v>107327.164</v>
      </c>
      <c r="N69" s="349">
        <v>138842.70000000001</v>
      </c>
      <c r="O69" s="349">
        <v>152883.484</v>
      </c>
      <c r="P69" s="316">
        <f t="shared" si="12"/>
        <v>1800250.051</v>
      </c>
      <c r="Q69" s="316"/>
      <c r="R69" s="350">
        <v>155764.65116249997</v>
      </c>
      <c r="S69" s="349">
        <v>142357.93271250001</v>
      </c>
      <c r="T69" s="349">
        <v>134841.1570375</v>
      </c>
      <c r="U69" s="349">
        <v>88788.724422499974</v>
      </c>
      <c r="V69" s="349">
        <v>89308.017344999986</v>
      </c>
      <c r="W69" s="349">
        <v>115455.13176000005</v>
      </c>
      <c r="X69" s="349">
        <v>126770.33655500002</v>
      </c>
      <c r="Y69" s="349">
        <v>146418.58486249999</v>
      </c>
      <c r="Z69" s="349">
        <v>125601.69834125</v>
      </c>
      <c r="AA69" s="349">
        <v>112488.41141499998</v>
      </c>
      <c r="AB69" s="349">
        <v>121713.67270750002</v>
      </c>
      <c r="AC69" s="349">
        <v>156350.33734999999</v>
      </c>
      <c r="AD69" s="317">
        <f t="shared" si="13"/>
        <v>1515858.6556712498</v>
      </c>
      <c r="AF69" s="316">
        <f t="shared" si="14"/>
        <v>284391.39532875014</v>
      </c>
    </row>
    <row r="70" spans="1:32" thickBot="1" x14ac:dyDescent="0.3">
      <c r="A70" s="77" t="s">
        <v>87</v>
      </c>
      <c r="B70" s="159" t="s">
        <v>0</v>
      </c>
      <c r="C70" s="119" t="s">
        <v>27</v>
      </c>
      <c r="D70" s="350">
        <v>115038.69500000001</v>
      </c>
      <c r="E70" s="349">
        <v>90713.05</v>
      </c>
      <c r="F70" s="349">
        <v>98261.55</v>
      </c>
      <c r="G70" s="349">
        <v>104543.133</v>
      </c>
      <c r="H70" s="349">
        <v>137040.79999999999</v>
      </c>
      <c r="I70" s="349">
        <v>142166.56299999999</v>
      </c>
      <c r="J70" s="349">
        <v>155010.20000000001</v>
      </c>
      <c r="K70" s="349">
        <v>132494.1</v>
      </c>
      <c r="L70" s="349">
        <v>83792.875</v>
      </c>
      <c r="M70" s="349">
        <v>84344.77</v>
      </c>
      <c r="N70" s="349">
        <v>92412.69</v>
      </c>
      <c r="O70" s="349">
        <v>98427.71</v>
      </c>
      <c r="P70" s="316">
        <f t="shared" si="12"/>
        <v>1334246.1359999999</v>
      </c>
      <c r="Q70" s="316"/>
      <c r="R70" s="350">
        <v>135054.50232500001</v>
      </c>
      <c r="S70" s="349">
        <v>130946.91800499998</v>
      </c>
      <c r="T70" s="349">
        <v>123987.62774999999</v>
      </c>
      <c r="U70" s="349">
        <v>72471.923768750014</v>
      </c>
      <c r="V70" s="349">
        <v>58233.993393750003</v>
      </c>
      <c r="W70" s="349">
        <v>72749.349016250024</v>
      </c>
      <c r="X70" s="349">
        <v>63614.484962500006</v>
      </c>
      <c r="Y70" s="349">
        <v>70226.291662500022</v>
      </c>
      <c r="Z70" s="349">
        <v>60926.965784999986</v>
      </c>
      <c r="AA70" s="349">
        <v>68735.049172499988</v>
      </c>
      <c r="AB70" s="349">
        <v>86010.657193750041</v>
      </c>
      <c r="AC70" s="349">
        <v>105609.01570375</v>
      </c>
      <c r="AD70" s="317">
        <f t="shared" si="13"/>
        <v>1048566.7787387501</v>
      </c>
      <c r="AF70" s="316">
        <f t="shared" si="14"/>
        <v>285679.3572612498</v>
      </c>
    </row>
    <row r="71" spans="1:32" thickTop="1" x14ac:dyDescent="0.25">
      <c r="A71" s="77" t="s">
        <v>87</v>
      </c>
      <c r="B71" s="159">
        <v>501</v>
      </c>
      <c r="C71" s="119" t="s">
        <v>28</v>
      </c>
      <c r="D71" s="343">
        <v>243129.266</v>
      </c>
      <c r="E71" s="344">
        <v>217865.64</v>
      </c>
      <c r="F71" s="344">
        <v>212283.2</v>
      </c>
      <c r="G71" s="344">
        <v>188423.6244</v>
      </c>
      <c r="H71" s="344">
        <v>167613.76000000001</v>
      </c>
      <c r="I71" s="344">
        <v>179144.02409999998</v>
      </c>
      <c r="J71" s="344">
        <v>243370.71799999999</v>
      </c>
      <c r="K71" s="344">
        <v>245181.64</v>
      </c>
      <c r="L71" s="344">
        <v>234908.70299999998</v>
      </c>
      <c r="M71" s="344">
        <v>243008.53200000001</v>
      </c>
      <c r="N71" s="344">
        <v>236268.255</v>
      </c>
      <c r="O71" s="344">
        <v>245000.546</v>
      </c>
      <c r="P71" s="394">
        <f t="shared" si="12"/>
        <v>2656197.9084999999</v>
      </c>
      <c r="Q71" s="313"/>
      <c r="R71" s="343">
        <v>63388.347609375014</v>
      </c>
      <c r="S71" s="344">
        <v>200023.04257099997</v>
      </c>
      <c r="T71" s="344">
        <v>242501.80428749986</v>
      </c>
      <c r="U71" s="344">
        <v>238779.61239999987</v>
      </c>
      <c r="V71" s="344">
        <v>242361.54351250001</v>
      </c>
      <c r="W71" s="344">
        <v>233450.95990750002</v>
      </c>
      <c r="X71" s="344">
        <v>245774.41511249999</v>
      </c>
      <c r="Y71" s="344">
        <v>242726.43862499989</v>
      </c>
      <c r="Z71" s="344">
        <v>217106.16547249985</v>
      </c>
      <c r="AA71" s="344">
        <v>200902.90581500001</v>
      </c>
      <c r="AB71" s="344">
        <v>158063.36806250003</v>
      </c>
      <c r="AC71" s="344">
        <v>73584.194816149975</v>
      </c>
      <c r="AD71" s="394">
        <f t="shared" si="13"/>
        <v>2358662.7981915241</v>
      </c>
      <c r="AF71" s="374">
        <f t="shared" si="14"/>
        <v>297535.11030847579</v>
      </c>
    </row>
    <row r="72" spans="1:32" ht="15" x14ac:dyDescent="0.25">
      <c r="A72" s="77" t="s">
        <v>87</v>
      </c>
      <c r="B72" s="159">
        <v>547</v>
      </c>
      <c r="C72" s="118" t="s">
        <v>10</v>
      </c>
      <c r="D72" s="314">
        <v>143785.06299999999</v>
      </c>
      <c r="E72" s="345">
        <v>133214.29999999999</v>
      </c>
      <c r="F72" s="345">
        <v>47907.742200000001</v>
      </c>
      <c r="G72" s="345">
        <v>72783.625</v>
      </c>
      <c r="H72" s="345">
        <v>54213.93</v>
      </c>
      <c r="I72" s="345">
        <v>73442.13</v>
      </c>
      <c r="J72" s="345">
        <v>167724.32800000001</v>
      </c>
      <c r="K72" s="345">
        <v>168622.81299999999</v>
      </c>
      <c r="L72" s="345">
        <v>182677.56299999999</v>
      </c>
      <c r="M72" s="345">
        <v>195615.34400000001</v>
      </c>
      <c r="N72" s="345">
        <v>162918.34400000001</v>
      </c>
      <c r="O72" s="345">
        <v>189438.125</v>
      </c>
      <c r="P72" s="395">
        <f t="shared" si="12"/>
        <v>1592343.3071999999</v>
      </c>
      <c r="Q72" s="313"/>
      <c r="R72" s="314">
        <v>59484.95637449999</v>
      </c>
      <c r="S72" s="345">
        <v>126051.34807624997</v>
      </c>
      <c r="T72" s="345">
        <v>166722.49592874997</v>
      </c>
      <c r="U72" s="345">
        <v>177893.30272500002</v>
      </c>
      <c r="V72" s="345">
        <v>185898.76534999994</v>
      </c>
      <c r="W72" s="345">
        <v>137058.40304624999</v>
      </c>
      <c r="X72" s="345">
        <v>174318.24445000006</v>
      </c>
      <c r="Y72" s="345">
        <v>176871.09351624994</v>
      </c>
      <c r="Z72" s="345">
        <v>156372.21586625004</v>
      </c>
      <c r="AA72" s="345">
        <v>130718.45532362498</v>
      </c>
      <c r="AB72" s="345">
        <v>110621.4664295</v>
      </c>
      <c r="AC72" s="345">
        <v>0</v>
      </c>
      <c r="AD72" s="395">
        <f t="shared" si="13"/>
        <v>1602010.7470863746</v>
      </c>
      <c r="AF72" s="375">
        <f t="shared" si="14"/>
        <v>-9667.4398863746319</v>
      </c>
    </row>
    <row r="73" spans="1:32" ht="15" x14ac:dyDescent="0.25">
      <c r="A73" s="77" t="s">
        <v>87</v>
      </c>
      <c r="B73" s="159">
        <v>547</v>
      </c>
      <c r="C73" s="120" t="s">
        <v>11</v>
      </c>
      <c r="D73" s="314">
        <v>110418.781</v>
      </c>
      <c r="E73" s="345">
        <v>90404.2</v>
      </c>
      <c r="F73" s="345">
        <v>38918.234400000001</v>
      </c>
      <c r="G73" s="345">
        <v>8208.7379999999994</v>
      </c>
      <c r="H73" s="345">
        <v>46351.5625</v>
      </c>
      <c r="I73" s="345">
        <v>64013.57</v>
      </c>
      <c r="J73" s="345">
        <v>125933.05499999999</v>
      </c>
      <c r="K73" s="345">
        <v>160099.17199999999</v>
      </c>
      <c r="L73" s="345">
        <v>173530.9</v>
      </c>
      <c r="M73" s="345">
        <v>6913.7206999999999</v>
      </c>
      <c r="N73" s="345">
        <v>73776.210000000006</v>
      </c>
      <c r="O73" s="345">
        <v>146586.29999999999</v>
      </c>
      <c r="P73" s="396">
        <f t="shared" si="12"/>
        <v>1045154.4435999999</v>
      </c>
      <c r="Q73" s="313"/>
      <c r="R73" s="314">
        <v>34768.272260875005</v>
      </c>
      <c r="S73" s="345">
        <v>81415.83911825002</v>
      </c>
      <c r="T73" s="345">
        <v>104147.79045874999</v>
      </c>
      <c r="U73" s="345">
        <v>110020.55366874996</v>
      </c>
      <c r="V73" s="345">
        <v>53184.805669000001</v>
      </c>
      <c r="W73" s="345">
        <v>18033.736716374995</v>
      </c>
      <c r="X73" s="345">
        <v>37273.181489152827</v>
      </c>
      <c r="Y73" s="345">
        <v>98389.033401249995</v>
      </c>
      <c r="Z73" s="345">
        <v>94909.413511249979</v>
      </c>
      <c r="AA73" s="345">
        <v>85045.503507343034</v>
      </c>
      <c r="AB73" s="345">
        <v>38567.996948328961</v>
      </c>
      <c r="AC73" s="345">
        <v>38382.519463999997</v>
      </c>
      <c r="AD73" s="396">
        <f t="shared" si="13"/>
        <v>794138.64621332474</v>
      </c>
      <c r="AF73" s="376">
        <f t="shared" si="14"/>
        <v>251015.79738667514</v>
      </c>
    </row>
    <row r="74" spans="1:32" ht="15" x14ac:dyDescent="0.25">
      <c r="A74" s="77" t="s">
        <v>87</v>
      </c>
      <c r="B74" s="159">
        <v>547</v>
      </c>
      <c r="C74" s="119" t="s">
        <v>12</v>
      </c>
      <c r="D74" s="314">
        <v>13479.737300000001</v>
      </c>
      <c r="E74" s="345">
        <v>26456.43</v>
      </c>
      <c r="F74" s="345">
        <v>14073.4355</v>
      </c>
      <c r="G74" s="345">
        <v>28568.71</v>
      </c>
      <c r="H74" s="345">
        <v>0</v>
      </c>
      <c r="I74" s="345">
        <v>15398.7852</v>
      </c>
      <c r="J74" s="345">
        <v>55247.44</v>
      </c>
      <c r="K74" s="345">
        <v>74828.22</v>
      </c>
      <c r="L74" s="345">
        <v>78879.73</v>
      </c>
      <c r="M74" s="345">
        <v>81448.054699999993</v>
      </c>
      <c r="N74" s="345">
        <v>55343.72</v>
      </c>
      <c r="O74" s="345">
        <v>62485.863299999997</v>
      </c>
      <c r="P74" s="392">
        <f t="shared" si="12"/>
        <v>506210.12599999993</v>
      </c>
      <c r="Q74" s="313"/>
      <c r="R74" s="314">
        <v>7551.9607094875</v>
      </c>
      <c r="S74" s="345">
        <v>19033.035064250002</v>
      </c>
      <c r="T74" s="345">
        <v>22378.741280499999</v>
      </c>
      <c r="U74" s="345">
        <v>25382.486330250005</v>
      </c>
      <c r="V74" s="345">
        <v>15593.483229374997</v>
      </c>
      <c r="W74" s="345">
        <v>1296.4161297500004</v>
      </c>
      <c r="X74" s="345">
        <v>6118.5305097625005</v>
      </c>
      <c r="Y74" s="345">
        <v>15570.946805</v>
      </c>
      <c r="Z74" s="345">
        <v>23344.471804875004</v>
      </c>
      <c r="AA74" s="345">
        <v>26818.87932223839</v>
      </c>
      <c r="AB74" s="345">
        <v>27134.585479624999</v>
      </c>
      <c r="AC74" s="345">
        <v>4544.1994034999998</v>
      </c>
      <c r="AD74" s="392">
        <f t="shared" si="13"/>
        <v>194767.73606861339</v>
      </c>
      <c r="AF74" s="372">
        <f t="shared" si="14"/>
        <v>311442.38993138657</v>
      </c>
    </row>
    <row r="75" spans="1:32" ht="15" x14ac:dyDescent="0.25">
      <c r="A75" s="77" t="s">
        <v>87</v>
      </c>
      <c r="B75" s="159">
        <v>547</v>
      </c>
      <c r="C75" s="118" t="s">
        <v>20</v>
      </c>
      <c r="D75" s="314">
        <v>23749.845700000002</v>
      </c>
      <c r="E75" s="345">
        <v>52799.62</v>
      </c>
      <c r="F75" s="345">
        <v>15829.421899999999</v>
      </c>
      <c r="G75" s="345">
        <v>19052.89</v>
      </c>
      <c r="H75" s="345">
        <v>30722.3262</v>
      </c>
      <c r="I75" s="345">
        <v>24640.2441</v>
      </c>
      <c r="J75" s="345">
        <v>84073.38</v>
      </c>
      <c r="K75" s="345">
        <v>83176.05</v>
      </c>
      <c r="L75" s="345">
        <v>86027.74</v>
      </c>
      <c r="M75" s="345">
        <v>89170.12</v>
      </c>
      <c r="N75" s="345">
        <v>74194.38</v>
      </c>
      <c r="O75" s="345">
        <v>85437.05</v>
      </c>
      <c r="P75" s="395">
        <f t="shared" si="12"/>
        <v>668873.06790000014</v>
      </c>
      <c r="Q75" s="313"/>
      <c r="R75" s="314">
        <v>17893.152613875009</v>
      </c>
      <c r="S75" s="345">
        <v>43378.473722000002</v>
      </c>
      <c r="T75" s="345">
        <v>60879.745804374994</v>
      </c>
      <c r="U75" s="345">
        <v>70599.207958500032</v>
      </c>
      <c r="V75" s="345">
        <v>41749.441324749991</v>
      </c>
      <c r="W75" s="345">
        <v>6038.6520176250006</v>
      </c>
      <c r="X75" s="345">
        <v>18488.440861749998</v>
      </c>
      <c r="Y75" s="345">
        <v>44958.295422874988</v>
      </c>
      <c r="Z75" s="345">
        <v>47499.275162999991</v>
      </c>
      <c r="AA75" s="345">
        <v>48115.068914125011</v>
      </c>
      <c r="AB75" s="345">
        <v>20086.626378624998</v>
      </c>
      <c r="AC75" s="345">
        <v>16292.120602375002</v>
      </c>
      <c r="AD75" s="395">
        <f t="shared" si="13"/>
        <v>435978.500783875</v>
      </c>
      <c r="AF75" s="375">
        <f t="shared" si="14"/>
        <v>232894.56711612514</v>
      </c>
    </row>
    <row r="76" spans="1:32" ht="15" x14ac:dyDescent="0.25">
      <c r="A76" s="77" t="s">
        <v>87</v>
      </c>
      <c r="B76" s="159">
        <v>547</v>
      </c>
      <c r="C76" s="119" t="s">
        <v>13</v>
      </c>
      <c r="D76" s="314">
        <v>4854.27441</v>
      </c>
      <c r="E76" s="345">
        <v>13239.8848</v>
      </c>
      <c r="F76" s="345">
        <v>5149.6396500000001</v>
      </c>
      <c r="G76" s="345">
        <v>0</v>
      </c>
      <c r="H76" s="345">
        <v>6.2395570000000002E-6</v>
      </c>
      <c r="I76" s="345">
        <v>10864.4287</v>
      </c>
      <c r="J76" s="345">
        <v>44669.67</v>
      </c>
      <c r="K76" s="345">
        <v>54483.83</v>
      </c>
      <c r="L76" s="345">
        <v>75233.69</v>
      </c>
      <c r="M76" s="345">
        <v>14691.0254</v>
      </c>
      <c r="N76" s="345">
        <v>9628.9920000000002</v>
      </c>
      <c r="O76" s="345">
        <v>18527.1973</v>
      </c>
      <c r="P76" s="392">
        <f t="shared" si="12"/>
        <v>251342.63226623955</v>
      </c>
      <c r="Q76" s="313"/>
      <c r="R76" s="314">
        <v>4003.6241086624987</v>
      </c>
      <c r="S76" s="345">
        <v>8556.0528580874998</v>
      </c>
      <c r="T76" s="345">
        <v>6954.1892377343229</v>
      </c>
      <c r="U76" s="345">
        <v>6525.1362263749998</v>
      </c>
      <c r="V76" s="345">
        <v>306.11854577499997</v>
      </c>
      <c r="W76" s="345">
        <v>50.150274810549391</v>
      </c>
      <c r="X76" s="345">
        <v>284.90185019609805</v>
      </c>
      <c r="Y76" s="345">
        <v>4073.5652429874995</v>
      </c>
      <c r="Z76" s="345">
        <v>11122.647511124998</v>
      </c>
      <c r="AA76" s="345">
        <v>14584.714292424997</v>
      </c>
      <c r="AB76" s="345">
        <v>38.886755387500003</v>
      </c>
      <c r="AC76" s="345">
        <v>1850.7509436875</v>
      </c>
      <c r="AD76" s="392">
        <f t="shared" si="13"/>
        <v>58350.737847253462</v>
      </c>
      <c r="AF76" s="372">
        <f t="shared" si="14"/>
        <v>192991.89441898611</v>
      </c>
    </row>
    <row r="77" spans="1:32" ht="15" x14ac:dyDescent="0.25">
      <c r="A77" s="77" t="s">
        <v>87</v>
      </c>
      <c r="B77" s="159">
        <v>547</v>
      </c>
      <c r="C77" s="118" t="s">
        <v>14</v>
      </c>
      <c r="D77" s="314">
        <v>0</v>
      </c>
      <c r="E77" s="345">
        <v>2782.9521399999999</v>
      </c>
      <c r="F77" s="345">
        <v>2143.7398599999997</v>
      </c>
      <c r="G77" s="345">
        <v>2521.8880600000002</v>
      </c>
      <c r="H77" s="345">
        <v>0</v>
      </c>
      <c r="I77" s="345">
        <v>0</v>
      </c>
      <c r="J77" s="345">
        <v>1446.2881</v>
      </c>
      <c r="K77" s="345">
        <v>64630.58</v>
      </c>
      <c r="L77" s="345">
        <v>0</v>
      </c>
      <c r="M77" s="345">
        <v>0</v>
      </c>
      <c r="N77" s="345">
        <v>2417.7525599999999</v>
      </c>
      <c r="O77" s="345">
        <v>0</v>
      </c>
      <c r="P77" s="395">
        <f t="shared" si="12"/>
        <v>75943.200719999993</v>
      </c>
      <c r="Q77" s="313"/>
      <c r="R77" s="314">
        <v>322.33573363750008</v>
      </c>
      <c r="S77" s="345">
        <v>2101.9493991249997</v>
      </c>
      <c r="T77" s="345">
        <v>758.73354704999997</v>
      </c>
      <c r="U77" s="345">
        <v>120.8041438875</v>
      </c>
      <c r="V77" s="345">
        <v>0</v>
      </c>
      <c r="W77" s="345">
        <v>6.1581165374999998</v>
      </c>
      <c r="X77" s="345">
        <v>0</v>
      </c>
      <c r="Y77" s="345">
        <v>1358.4700467</v>
      </c>
      <c r="Z77" s="345">
        <v>4339.9832539375002</v>
      </c>
      <c r="AA77" s="345">
        <v>6528.5544307500004</v>
      </c>
      <c r="AB77" s="345">
        <v>5004.273618074998</v>
      </c>
      <c r="AC77" s="345">
        <v>89.171723749999998</v>
      </c>
      <c r="AD77" s="395">
        <f t="shared" si="13"/>
        <v>20630.434013449998</v>
      </c>
      <c r="AF77" s="375">
        <f t="shared" si="14"/>
        <v>55312.766706549999</v>
      </c>
    </row>
    <row r="78" spans="1:32" ht="15" x14ac:dyDescent="0.25">
      <c r="A78" s="77" t="s">
        <v>87</v>
      </c>
      <c r="B78" s="159">
        <v>547</v>
      </c>
      <c r="C78" s="118" t="s">
        <v>15</v>
      </c>
      <c r="D78" s="314">
        <v>4338.12219</v>
      </c>
      <c r="E78" s="345">
        <v>7004.8000499999998</v>
      </c>
      <c r="F78" s="345">
        <v>3586.25092</v>
      </c>
      <c r="G78" s="345">
        <v>0</v>
      </c>
      <c r="H78" s="345">
        <v>897.16296299999999</v>
      </c>
      <c r="I78" s="345">
        <v>1441.8942870000001</v>
      </c>
      <c r="J78" s="345">
        <v>339.17858899999999</v>
      </c>
      <c r="K78" s="345">
        <v>9713.5173099999993</v>
      </c>
      <c r="L78" s="345">
        <v>8482.1024600000001</v>
      </c>
      <c r="M78" s="345">
        <v>151.16771540000002</v>
      </c>
      <c r="N78" s="345">
        <v>3753.2602500000003</v>
      </c>
      <c r="O78" s="345">
        <v>4907.2831499999993</v>
      </c>
      <c r="P78" s="395">
        <f t="shared" si="12"/>
        <v>44614.739884399998</v>
      </c>
      <c r="Q78" s="313"/>
      <c r="R78" s="314">
        <v>1696.1648599599998</v>
      </c>
      <c r="S78" s="345">
        <v>2922.60987381</v>
      </c>
      <c r="T78" s="345">
        <v>3679.3313999625007</v>
      </c>
      <c r="U78" s="345">
        <v>4541.931076249999</v>
      </c>
      <c r="V78" s="345">
        <v>4332.6040546249997</v>
      </c>
      <c r="W78" s="345">
        <v>1927.7544972125002</v>
      </c>
      <c r="X78" s="345">
        <v>3106.9848651850002</v>
      </c>
      <c r="Y78" s="345">
        <v>6555.5786143750011</v>
      </c>
      <c r="Z78" s="345">
        <v>6646.5705562500007</v>
      </c>
      <c r="AA78" s="345">
        <v>3700.9854324375001</v>
      </c>
      <c r="AB78" s="345">
        <v>1508.4921309750002</v>
      </c>
      <c r="AC78" s="345">
        <v>521.49179459125003</v>
      </c>
      <c r="AD78" s="395">
        <f t="shared" si="13"/>
        <v>41140.499155633755</v>
      </c>
      <c r="AF78" s="375">
        <f t="shared" si="14"/>
        <v>3474.2407287662427</v>
      </c>
    </row>
    <row r="79" spans="1:32" ht="15" x14ac:dyDescent="0.25">
      <c r="A79" s="77" t="s">
        <v>87</v>
      </c>
      <c r="B79" s="159">
        <v>547</v>
      </c>
      <c r="C79" s="118" t="s">
        <v>16</v>
      </c>
      <c r="D79" s="314">
        <v>4706.7993999999999</v>
      </c>
      <c r="E79" s="345">
        <v>1706.0821559999999</v>
      </c>
      <c r="F79" s="345">
        <v>2376.377</v>
      </c>
      <c r="G79" s="345">
        <v>1607.0745849999998</v>
      </c>
      <c r="H79" s="345">
        <v>690.79348379999999</v>
      </c>
      <c r="I79" s="345">
        <v>945.2285730000001</v>
      </c>
      <c r="J79" s="345">
        <v>1124.0257449999999</v>
      </c>
      <c r="K79" s="345">
        <v>43813.906300000002</v>
      </c>
      <c r="L79" s="345">
        <v>2950.3413799999998</v>
      </c>
      <c r="M79" s="345">
        <v>806.17950399999995</v>
      </c>
      <c r="N79" s="345">
        <v>1682.4141</v>
      </c>
      <c r="O79" s="345">
        <v>0</v>
      </c>
      <c r="P79" s="395">
        <f t="shared" si="12"/>
        <v>62409.222226800004</v>
      </c>
      <c r="Q79" s="313"/>
      <c r="R79" s="314">
        <v>2620.9009042500002</v>
      </c>
      <c r="S79" s="345">
        <v>3467.0330890799996</v>
      </c>
      <c r="T79" s="345">
        <v>1263.9677812274999</v>
      </c>
      <c r="U79" s="345">
        <v>257.29716644749999</v>
      </c>
      <c r="V79" s="345">
        <v>539.18148827000016</v>
      </c>
      <c r="W79" s="345">
        <v>1798.6372294724995</v>
      </c>
      <c r="X79" s="345">
        <v>1524.6917990949999</v>
      </c>
      <c r="Y79" s="345">
        <v>2717.4448078449996</v>
      </c>
      <c r="Z79" s="345">
        <v>2539.4425326250002</v>
      </c>
      <c r="AA79" s="345">
        <v>3798.4110893441148</v>
      </c>
      <c r="AB79" s="345">
        <v>7803.4464788349997</v>
      </c>
      <c r="AC79" s="345">
        <v>3636.3446290624997</v>
      </c>
      <c r="AD79" s="395">
        <f t="shared" si="13"/>
        <v>31966.798995554112</v>
      </c>
      <c r="AF79" s="375">
        <f t="shared" si="14"/>
        <v>30442.423231245892</v>
      </c>
    </row>
    <row r="80" spans="1:32" ht="15" x14ac:dyDescent="0.25">
      <c r="A80" s="77" t="s">
        <v>87</v>
      </c>
      <c r="B80" s="159">
        <v>547</v>
      </c>
      <c r="C80" s="119" t="s">
        <v>17</v>
      </c>
      <c r="D80" s="314">
        <v>5164.0102100000004</v>
      </c>
      <c r="E80" s="345">
        <v>2599.9769299999998</v>
      </c>
      <c r="F80" s="345">
        <v>9379.7365500000014</v>
      </c>
      <c r="G80" s="345">
        <v>1215.567229</v>
      </c>
      <c r="H80" s="345">
        <v>3410.3633199999999</v>
      </c>
      <c r="I80" s="345">
        <v>2603.19787</v>
      </c>
      <c r="J80" s="345">
        <v>1129.8526999999999</v>
      </c>
      <c r="K80" s="345">
        <v>48668.359400000001</v>
      </c>
      <c r="L80" s="345">
        <v>3094.5765499999998</v>
      </c>
      <c r="M80" s="345">
        <v>421.31240000000003</v>
      </c>
      <c r="N80" s="345">
        <v>2149.92634</v>
      </c>
      <c r="O80" s="345">
        <v>0</v>
      </c>
      <c r="P80" s="392">
        <f t="shared" si="12"/>
        <v>79836.879499000002</v>
      </c>
      <c r="Q80" s="313"/>
      <c r="R80" s="314">
        <v>509.2430360175573</v>
      </c>
      <c r="S80" s="345">
        <v>1301.0677776413459</v>
      </c>
      <c r="T80" s="345">
        <v>38.554075918750009</v>
      </c>
      <c r="U80" s="345">
        <v>13.083716669999998</v>
      </c>
      <c r="V80" s="345">
        <v>332.00299079750005</v>
      </c>
      <c r="W80" s="345">
        <v>522.10061626875006</v>
      </c>
      <c r="X80" s="345">
        <v>522.5232644324999</v>
      </c>
      <c r="Y80" s="345">
        <v>973.4914061574998</v>
      </c>
      <c r="Z80" s="345">
        <v>1464.9068420374999</v>
      </c>
      <c r="AA80" s="345">
        <v>6646.5637263512517</v>
      </c>
      <c r="AB80" s="345">
        <v>1531.1921838315527</v>
      </c>
      <c r="AC80" s="345">
        <v>609.75903919551092</v>
      </c>
      <c r="AD80" s="392">
        <f t="shared" si="13"/>
        <v>14464.488675319717</v>
      </c>
      <c r="AF80" s="375">
        <f t="shared" si="14"/>
        <v>65372.390823680282</v>
      </c>
    </row>
    <row r="81" spans="1:32" ht="15" x14ac:dyDescent="0.25">
      <c r="A81" s="77" t="s">
        <v>87</v>
      </c>
      <c r="B81" s="159">
        <v>547</v>
      </c>
      <c r="C81" s="118" t="s">
        <v>18</v>
      </c>
      <c r="D81" s="314">
        <v>35327.882799999999</v>
      </c>
      <c r="E81" s="345">
        <v>49379.886700000003</v>
      </c>
      <c r="F81" s="345">
        <v>23788.224600000001</v>
      </c>
      <c r="G81" s="345">
        <v>0</v>
      </c>
      <c r="H81" s="345">
        <v>8325.2960000000003</v>
      </c>
      <c r="I81" s="345">
        <v>30207.613300000001</v>
      </c>
      <c r="J81" s="345">
        <v>75867.06</v>
      </c>
      <c r="K81" s="345">
        <v>118006.133</v>
      </c>
      <c r="L81" s="345">
        <v>148146.68799999999</v>
      </c>
      <c r="M81" s="345">
        <v>128424.859</v>
      </c>
      <c r="N81" s="345">
        <v>66534.539999999994</v>
      </c>
      <c r="O81" s="345">
        <v>76486</v>
      </c>
      <c r="P81" s="395">
        <f t="shared" si="12"/>
        <v>760494.18339999998</v>
      </c>
      <c r="Q81" s="313"/>
      <c r="R81" s="314">
        <v>6818.8684815000015</v>
      </c>
      <c r="S81" s="345">
        <v>30901.857344625005</v>
      </c>
      <c r="T81" s="345">
        <v>34447.148852500002</v>
      </c>
      <c r="U81" s="345">
        <v>37000.155324999985</v>
      </c>
      <c r="V81" s="345">
        <v>29375.632985875003</v>
      </c>
      <c r="W81" s="345">
        <v>4732.3561166184218</v>
      </c>
      <c r="X81" s="345">
        <v>13279.1107142125</v>
      </c>
      <c r="Y81" s="345">
        <v>37240.722311250007</v>
      </c>
      <c r="Z81" s="345">
        <v>47537.825040000003</v>
      </c>
      <c r="AA81" s="345">
        <v>48261.191229125012</v>
      </c>
      <c r="AB81" s="345">
        <v>45430.898516874993</v>
      </c>
      <c r="AC81" s="345">
        <v>17556.786919499998</v>
      </c>
      <c r="AD81" s="395">
        <f t="shared" si="13"/>
        <v>352582.55383708089</v>
      </c>
      <c r="AF81" s="375">
        <f t="shared" si="14"/>
        <v>407911.62956291909</v>
      </c>
    </row>
    <row r="82" spans="1:32" ht="15" x14ac:dyDescent="0.25">
      <c r="A82" s="77" t="s">
        <v>87</v>
      </c>
      <c r="B82" s="159">
        <v>548</v>
      </c>
      <c r="C82" s="119" t="s">
        <v>23</v>
      </c>
      <c r="D82" s="314">
        <v>0</v>
      </c>
      <c r="E82" s="345">
        <v>0.53187499999999999</v>
      </c>
      <c r="F82" s="345">
        <v>0</v>
      </c>
      <c r="G82" s="345">
        <v>0</v>
      </c>
      <c r="H82" s="345">
        <v>0</v>
      </c>
      <c r="I82" s="345">
        <v>1.8538195600000001E-2</v>
      </c>
      <c r="J82" s="345">
        <v>0</v>
      </c>
      <c r="K82" s="345">
        <v>0</v>
      </c>
      <c r="L82" s="345">
        <v>0</v>
      </c>
      <c r="M82" s="345">
        <v>0</v>
      </c>
      <c r="N82" s="345">
        <v>0</v>
      </c>
      <c r="O82" s="345">
        <v>0</v>
      </c>
      <c r="P82" s="392">
        <f t="shared" si="12"/>
        <v>0.55041319560000002</v>
      </c>
      <c r="Q82" s="313"/>
      <c r="R82" s="314">
        <v>0</v>
      </c>
      <c r="S82" s="345">
        <v>0</v>
      </c>
      <c r="T82" s="345">
        <v>0</v>
      </c>
      <c r="U82" s="345">
        <v>0</v>
      </c>
      <c r="V82" s="345">
        <v>0</v>
      </c>
      <c r="W82" s="345">
        <v>0</v>
      </c>
      <c r="X82" s="345">
        <v>0</v>
      </c>
      <c r="Y82" s="345">
        <v>0</v>
      </c>
      <c r="Z82" s="345">
        <v>0</v>
      </c>
      <c r="AA82" s="345">
        <v>0</v>
      </c>
      <c r="AB82" s="345">
        <v>0</v>
      </c>
      <c r="AC82" s="345">
        <v>0</v>
      </c>
      <c r="AD82" s="392">
        <f t="shared" si="13"/>
        <v>0</v>
      </c>
      <c r="AF82" s="372">
        <f t="shared" si="14"/>
        <v>0.55041319560000002</v>
      </c>
    </row>
    <row r="83" spans="1:32" ht="15" x14ac:dyDescent="0.25">
      <c r="A83" s="77" t="s">
        <v>87</v>
      </c>
      <c r="B83" s="159">
        <v>555</v>
      </c>
      <c r="C83" s="119" t="s">
        <v>22</v>
      </c>
      <c r="D83" s="314">
        <v>282720</v>
      </c>
      <c r="E83" s="345">
        <v>255360</v>
      </c>
      <c r="F83" s="345">
        <v>282720</v>
      </c>
      <c r="G83" s="345">
        <v>273600</v>
      </c>
      <c r="H83" s="345">
        <v>282720</v>
      </c>
      <c r="I83" s="345">
        <v>273600</v>
      </c>
      <c r="J83" s="345">
        <v>282720</v>
      </c>
      <c r="K83" s="345">
        <v>282720</v>
      </c>
      <c r="L83" s="345">
        <v>273600</v>
      </c>
      <c r="M83" s="345">
        <v>282720</v>
      </c>
      <c r="N83" s="345">
        <v>273600</v>
      </c>
      <c r="O83" s="345">
        <v>282720</v>
      </c>
      <c r="P83" s="392">
        <f t="shared" si="12"/>
        <v>3328800</v>
      </c>
      <c r="Q83" s="313"/>
      <c r="R83" s="314">
        <v>273600</v>
      </c>
      <c r="S83" s="345">
        <v>282720</v>
      </c>
      <c r="T83" s="345">
        <v>282720</v>
      </c>
      <c r="U83" s="345">
        <v>273600</v>
      </c>
      <c r="V83" s="345">
        <v>282720</v>
      </c>
      <c r="W83" s="345">
        <v>273600</v>
      </c>
      <c r="X83" s="345">
        <v>282720</v>
      </c>
      <c r="Y83" s="345">
        <v>282720</v>
      </c>
      <c r="Z83" s="345">
        <v>255360</v>
      </c>
      <c r="AA83" s="345">
        <v>282720</v>
      </c>
      <c r="AB83" s="345">
        <v>273600</v>
      </c>
      <c r="AC83" s="345">
        <v>282720</v>
      </c>
      <c r="AD83" s="392">
        <f t="shared" si="13"/>
        <v>3328800</v>
      </c>
      <c r="AF83" s="372">
        <f t="shared" si="14"/>
        <v>0</v>
      </c>
    </row>
    <row r="84" spans="1:32" ht="15" x14ac:dyDescent="0.25">
      <c r="A84" s="77" t="s">
        <v>87</v>
      </c>
      <c r="B84" s="159" t="s">
        <v>80</v>
      </c>
      <c r="C84" s="119" t="s">
        <v>101</v>
      </c>
      <c r="D84" s="314">
        <v>0</v>
      </c>
      <c r="E84" s="345">
        <v>0</v>
      </c>
      <c r="F84" s="345">
        <v>0</v>
      </c>
      <c r="G84" s="345">
        <v>0</v>
      </c>
      <c r="H84" s="345">
        <v>0</v>
      </c>
      <c r="I84" s="345">
        <v>0</v>
      </c>
      <c r="J84" s="345">
        <v>0</v>
      </c>
      <c r="K84" s="345">
        <v>0</v>
      </c>
      <c r="L84" s="345">
        <v>0</v>
      </c>
      <c r="M84" s="345">
        <v>0</v>
      </c>
      <c r="N84" s="345">
        <v>0</v>
      </c>
      <c r="O84" s="345">
        <v>0</v>
      </c>
      <c r="P84" s="392">
        <f t="shared" si="12"/>
        <v>0</v>
      </c>
      <c r="Q84" s="313"/>
      <c r="R84" s="314">
        <v>0</v>
      </c>
      <c r="S84" s="345">
        <v>0</v>
      </c>
      <c r="T84" s="345">
        <v>0</v>
      </c>
      <c r="U84" s="345">
        <v>0</v>
      </c>
      <c r="V84" s="345">
        <v>0</v>
      </c>
      <c r="W84" s="345">
        <v>0</v>
      </c>
      <c r="X84" s="345">
        <v>0</v>
      </c>
      <c r="Y84" s="345">
        <v>0</v>
      </c>
      <c r="Z84" s="345">
        <v>0</v>
      </c>
      <c r="AA84" s="345">
        <v>0</v>
      </c>
      <c r="AB84" s="345">
        <v>0</v>
      </c>
      <c r="AC84" s="345">
        <v>0</v>
      </c>
      <c r="AD84" s="392">
        <f t="shared" si="13"/>
        <v>0</v>
      </c>
      <c r="AF84" s="372">
        <f t="shared" si="14"/>
        <v>0</v>
      </c>
    </row>
    <row r="85" spans="1:32" ht="15" x14ac:dyDescent="0.25">
      <c r="A85" s="77" t="s">
        <v>87</v>
      </c>
      <c r="B85" s="159" t="s">
        <v>80</v>
      </c>
      <c r="C85" s="119" t="s">
        <v>105</v>
      </c>
      <c r="D85" s="314">
        <v>0</v>
      </c>
      <c r="E85" s="345">
        <v>0</v>
      </c>
      <c r="F85" s="345">
        <v>0</v>
      </c>
      <c r="G85" s="345">
        <v>0</v>
      </c>
      <c r="H85" s="345">
        <v>0</v>
      </c>
      <c r="I85" s="345">
        <v>0</v>
      </c>
      <c r="J85" s="345">
        <v>0</v>
      </c>
      <c r="K85" s="345">
        <v>0</v>
      </c>
      <c r="L85" s="345">
        <v>0</v>
      </c>
      <c r="M85" s="345">
        <v>0</v>
      </c>
      <c r="N85" s="345">
        <v>0</v>
      </c>
      <c r="O85" s="345">
        <v>0</v>
      </c>
      <c r="P85" s="392">
        <f t="shared" si="12"/>
        <v>0</v>
      </c>
      <c r="Q85" s="313"/>
      <c r="R85" s="314">
        <v>0</v>
      </c>
      <c r="S85" s="345">
        <v>0</v>
      </c>
      <c r="T85" s="345">
        <v>0</v>
      </c>
      <c r="U85" s="345">
        <v>0</v>
      </c>
      <c r="V85" s="345">
        <v>0</v>
      </c>
      <c r="W85" s="345">
        <v>0</v>
      </c>
      <c r="X85" s="345">
        <v>0</v>
      </c>
      <c r="Y85" s="345">
        <v>0</v>
      </c>
      <c r="Z85" s="345">
        <v>0</v>
      </c>
      <c r="AA85" s="345">
        <v>0</v>
      </c>
      <c r="AB85" s="345">
        <v>0</v>
      </c>
      <c r="AC85" s="345">
        <v>0</v>
      </c>
      <c r="AD85" s="392">
        <f t="shared" si="13"/>
        <v>0</v>
      </c>
      <c r="AF85" s="372">
        <f t="shared" si="14"/>
        <v>0</v>
      </c>
    </row>
    <row r="86" spans="1:32" ht="15" x14ac:dyDescent="0.25">
      <c r="A86" s="77" t="s">
        <v>87</v>
      </c>
      <c r="B86" s="159" t="s">
        <v>80</v>
      </c>
      <c r="C86" s="119" t="s">
        <v>97</v>
      </c>
      <c r="D86" s="314">
        <v>35259.355499999998</v>
      </c>
      <c r="E86" s="345">
        <v>31212.203099999999</v>
      </c>
      <c r="F86" s="345">
        <v>44789.964800000002</v>
      </c>
      <c r="G86" s="345">
        <v>41023.800000000003</v>
      </c>
      <c r="H86" s="345">
        <v>38657.19</v>
      </c>
      <c r="I86" s="345">
        <v>38258.519999999997</v>
      </c>
      <c r="J86" s="345">
        <v>29117.0566</v>
      </c>
      <c r="K86" s="345">
        <v>28861.1211</v>
      </c>
      <c r="L86" s="345">
        <v>26803.4512</v>
      </c>
      <c r="M86" s="345">
        <v>30779.748</v>
      </c>
      <c r="N86" s="345">
        <v>33106.15</v>
      </c>
      <c r="O86" s="345">
        <v>34889.386700000003</v>
      </c>
      <c r="P86" s="392">
        <f t="shared" si="12"/>
        <v>412757.94700000004</v>
      </c>
      <c r="Q86" s="313"/>
      <c r="R86" s="314">
        <v>38089.146769999978</v>
      </c>
      <c r="S86" s="345">
        <v>28965.784988750023</v>
      </c>
      <c r="T86" s="345">
        <v>28860.613300000019</v>
      </c>
      <c r="U86" s="345">
        <v>26780.808600000048</v>
      </c>
      <c r="V86" s="345">
        <v>30789.736299999997</v>
      </c>
      <c r="W86" s="345">
        <v>33101.200000000012</v>
      </c>
      <c r="X86" s="345">
        <v>34900.02999999997</v>
      </c>
      <c r="Y86" s="345">
        <v>35253.683600000062</v>
      </c>
      <c r="Z86" s="345">
        <v>31222.877000000015</v>
      </c>
      <c r="AA86" s="345">
        <v>44584.378761250002</v>
      </c>
      <c r="AB86" s="345">
        <v>40961.22307374997</v>
      </c>
      <c r="AC86" s="345">
        <v>37931.890957500014</v>
      </c>
      <c r="AD86" s="392">
        <f t="shared" si="13"/>
        <v>411441.37335125013</v>
      </c>
      <c r="AF86" s="372">
        <f t="shared" si="14"/>
        <v>1316.5736487499089</v>
      </c>
    </row>
    <row r="87" spans="1:32" ht="15" x14ac:dyDescent="0.25">
      <c r="A87" s="77" t="s">
        <v>87</v>
      </c>
      <c r="B87" s="159" t="s">
        <v>80</v>
      </c>
      <c r="C87" s="119" t="s">
        <v>51</v>
      </c>
      <c r="D87" s="314">
        <v>47185.214</v>
      </c>
      <c r="E87" s="345">
        <v>42466.311999999998</v>
      </c>
      <c r="F87" s="345">
        <v>56075.269499999995</v>
      </c>
      <c r="G87" s="345">
        <v>56745.515299999999</v>
      </c>
      <c r="H87" s="345">
        <v>56526.4395</v>
      </c>
      <c r="I87" s="345">
        <v>54351.007299999997</v>
      </c>
      <c r="J87" s="345">
        <v>50229.208900000005</v>
      </c>
      <c r="K87" s="345">
        <v>45967.059300000001</v>
      </c>
      <c r="L87" s="345">
        <v>42032.949500000002</v>
      </c>
      <c r="M87" s="345">
        <v>47980.620500000005</v>
      </c>
      <c r="N87" s="345">
        <v>46655.776599999997</v>
      </c>
      <c r="O87" s="345">
        <v>44393.5841</v>
      </c>
      <c r="P87" s="392">
        <f t="shared" si="12"/>
        <v>590608.95650000009</v>
      </c>
      <c r="Q87" s="313"/>
      <c r="R87" s="314">
        <v>54011.752118749973</v>
      </c>
      <c r="S87" s="345">
        <v>49960.271623749963</v>
      </c>
      <c r="T87" s="345">
        <v>45828.996100000069</v>
      </c>
      <c r="U87" s="345">
        <v>41912.668000000034</v>
      </c>
      <c r="V87" s="345">
        <v>47907.839999999953</v>
      </c>
      <c r="W87" s="345">
        <v>46605.277300000067</v>
      </c>
      <c r="X87" s="345">
        <v>44358.229999999989</v>
      </c>
      <c r="Y87" s="345">
        <v>47183.200000000063</v>
      </c>
      <c r="Z87" s="345">
        <v>42401.574200000039</v>
      </c>
      <c r="AA87" s="345">
        <v>55782.847148749999</v>
      </c>
      <c r="AB87" s="345">
        <v>56605.428107500004</v>
      </c>
      <c r="AC87" s="345">
        <v>55619.153299999984</v>
      </c>
      <c r="AD87" s="392">
        <f t="shared" si="13"/>
        <v>588177.23789875011</v>
      </c>
      <c r="AF87" s="372">
        <f t="shared" si="14"/>
        <v>2431.7186012499733</v>
      </c>
    </row>
    <row r="88" spans="1:32" ht="14.85" customHeight="1" x14ac:dyDescent="0.25">
      <c r="A88" s="77" t="s">
        <v>87</v>
      </c>
      <c r="B88" s="159" t="s">
        <v>80</v>
      </c>
      <c r="C88" s="119" t="s">
        <v>109</v>
      </c>
      <c r="D88" s="314">
        <v>8055.2036099999996</v>
      </c>
      <c r="E88" s="345">
        <v>6975.2753899999998</v>
      </c>
      <c r="F88" s="345">
        <v>8858.23</v>
      </c>
      <c r="G88" s="345">
        <v>8919.0720000000001</v>
      </c>
      <c r="H88" s="345">
        <v>8842.8439999999991</v>
      </c>
      <c r="I88" s="345">
        <v>7536.94</v>
      </c>
      <c r="J88" s="345">
        <v>7044.1490000000003</v>
      </c>
      <c r="K88" s="345">
        <v>6037.7675799999997</v>
      </c>
      <c r="L88" s="345">
        <v>6672.6225599999998</v>
      </c>
      <c r="M88" s="345">
        <v>7339.5609999999997</v>
      </c>
      <c r="N88" s="345">
        <v>7104.6084000000001</v>
      </c>
      <c r="O88" s="345">
        <v>7290.585</v>
      </c>
      <c r="P88" s="392">
        <f t="shared" si="12"/>
        <v>90676.858540000001</v>
      </c>
      <c r="Q88" s="313"/>
      <c r="R88" s="314">
        <v>7499.5985897500041</v>
      </c>
      <c r="S88" s="345">
        <v>7018.0204716249982</v>
      </c>
      <c r="T88" s="345">
        <v>6037.5786100000105</v>
      </c>
      <c r="U88" s="345">
        <v>6671.5659999999943</v>
      </c>
      <c r="V88" s="345">
        <v>7341.0480000000007</v>
      </c>
      <c r="W88" s="345">
        <v>7102.2954100000088</v>
      </c>
      <c r="X88" s="345">
        <v>7290.4526399999932</v>
      </c>
      <c r="Y88" s="345">
        <v>8061.1780000000017</v>
      </c>
      <c r="Z88" s="345">
        <v>6973.7399999999934</v>
      </c>
      <c r="AA88" s="345">
        <v>8829.9884485000021</v>
      </c>
      <c r="AB88" s="345">
        <v>8910.4535061250099</v>
      </c>
      <c r="AC88" s="345">
        <v>8756.7438248750004</v>
      </c>
      <c r="AD88" s="392">
        <f t="shared" si="13"/>
        <v>90492.663500875002</v>
      </c>
      <c r="AF88" s="372">
        <f t="shared" si="14"/>
        <v>184.19503912499931</v>
      </c>
    </row>
    <row r="89" spans="1:32" ht="15" x14ac:dyDescent="0.25">
      <c r="A89" s="77" t="s">
        <v>87</v>
      </c>
      <c r="B89" s="159" t="s">
        <v>80</v>
      </c>
      <c r="C89" s="119" t="s">
        <v>102</v>
      </c>
      <c r="D89" s="314">
        <v>64039.835899999998</v>
      </c>
      <c r="E89" s="345">
        <v>62348.597699999998</v>
      </c>
      <c r="F89" s="345">
        <v>90930.53</v>
      </c>
      <c r="G89" s="345">
        <v>81231.414099999995</v>
      </c>
      <c r="H89" s="345">
        <v>78521.7</v>
      </c>
      <c r="I89" s="345">
        <v>78847.520000000004</v>
      </c>
      <c r="J89" s="345">
        <v>65941.585900000005</v>
      </c>
      <c r="K89" s="345">
        <v>65656.259999999995</v>
      </c>
      <c r="L89" s="345">
        <v>61645.035199999998</v>
      </c>
      <c r="M89" s="345">
        <v>68372.89</v>
      </c>
      <c r="N89" s="345">
        <v>63737.632799999999</v>
      </c>
      <c r="O89" s="345">
        <v>68664.25</v>
      </c>
      <c r="P89" s="392">
        <f t="shared" si="12"/>
        <v>849937.25160000008</v>
      </c>
      <c r="Q89" s="313"/>
      <c r="R89" s="314">
        <v>78598.426875000063</v>
      </c>
      <c r="S89" s="345">
        <v>65736.483046250069</v>
      </c>
      <c r="T89" s="345">
        <v>65654.91409999998</v>
      </c>
      <c r="U89" s="345">
        <v>61594.156299999937</v>
      </c>
      <c r="V89" s="345">
        <v>68400.625</v>
      </c>
      <c r="W89" s="345">
        <v>63729.110000000022</v>
      </c>
      <c r="X89" s="345">
        <v>68684.445299999876</v>
      </c>
      <c r="Y89" s="345">
        <v>64025.167999999961</v>
      </c>
      <c r="Z89" s="345">
        <v>62369.207000000031</v>
      </c>
      <c r="AA89" s="345">
        <v>90474.850507499912</v>
      </c>
      <c r="AB89" s="345">
        <v>81107.200696249944</v>
      </c>
      <c r="AC89" s="345">
        <v>77547.756018749991</v>
      </c>
      <c r="AD89" s="392">
        <f t="shared" si="13"/>
        <v>847922.34284374979</v>
      </c>
      <c r="AF89" s="372">
        <f t="shared" si="14"/>
        <v>2014.9087562502827</v>
      </c>
    </row>
    <row r="90" spans="1:32" ht="15" x14ac:dyDescent="0.25">
      <c r="A90" s="77" t="s">
        <v>87</v>
      </c>
      <c r="B90" s="159" t="s">
        <v>80</v>
      </c>
      <c r="C90" s="119" t="s">
        <v>99</v>
      </c>
      <c r="D90" s="314">
        <v>4497.9449999999997</v>
      </c>
      <c r="E90" s="345">
        <v>7737.52</v>
      </c>
      <c r="F90" s="345">
        <v>9182.0450000000001</v>
      </c>
      <c r="G90" s="345">
        <v>13156.95</v>
      </c>
      <c r="H90" s="345">
        <v>14384.1553</v>
      </c>
      <c r="I90" s="345">
        <v>16194.9</v>
      </c>
      <c r="J90" s="345">
        <v>16992.1855</v>
      </c>
      <c r="K90" s="345">
        <v>13896.2148</v>
      </c>
      <c r="L90" s="345">
        <v>9711.6</v>
      </c>
      <c r="M90" s="345">
        <v>7156.35</v>
      </c>
      <c r="N90" s="345">
        <v>7775.7</v>
      </c>
      <c r="O90" s="345">
        <v>7191.5349999999999</v>
      </c>
      <c r="P90" s="392">
        <f t="shared" si="12"/>
        <v>127877.10060000002</v>
      </c>
      <c r="Q90" s="313"/>
      <c r="R90" s="314">
        <v>16697.669999999995</v>
      </c>
      <c r="S90" s="345">
        <v>16309.481400000004</v>
      </c>
      <c r="T90" s="345">
        <v>15095.603499999988</v>
      </c>
      <c r="U90" s="345">
        <v>9843.655000000017</v>
      </c>
      <c r="V90" s="345">
        <v>6975.349609999992</v>
      </c>
      <c r="W90" s="345">
        <v>7334.5829999999942</v>
      </c>
      <c r="X90" s="345">
        <v>6944.8964799999976</v>
      </c>
      <c r="Y90" s="345">
        <v>6396.3574200000112</v>
      </c>
      <c r="Z90" s="345">
        <v>7175.6113299999897</v>
      </c>
      <c r="AA90" s="345">
        <v>10012.748000000012</v>
      </c>
      <c r="AB90" s="345">
        <v>14068.594700000011</v>
      </c>
      <c r="AC90" s="345">
        <v>14571.743200000008</v>
      </c>
      <c r="AD90" s="392">
        <f t="shared" si="13"/>
        <v>131426.29364000002</v>
      </c>
      <c r="AF90" s="372">
        <f t="shared" si="14"/>
        <v>-3549.1930399999983</v>
      </c>
    </row>
    <row r="91" spans="1:32" ht="15" x14ac:dyDescent="0.25">
      <c r="A91" s="77" t="s">
        <v>87</v>
      </c>
      <c r="B91" s="159" t="s">
        <v>80</v>
      </c>
      <c r="C91" s="119" t="s">
        <v>96</v>
      </c>
      <c r="D91" s="314">
        <v>50725.32</v>
      </c>
      <c r="E91" s="345">
        <v>56768.015599999999</v>
      </c>
      <c r="F91" s="345">
        <v>37128.400000000001</v>
      </c>
      <c r="G91" s="345">
        <v>63056.707000000002</v>
      </c>
      <c r="H91" s="345">
        <v>61430.636700000003</v>
      </c>
      <c r="I91" s="345">
        <v>70876.850000000006</v>
      </c>
      <c r="J91" s="345">
        <v>76506.94</v>
      </c>
      <c r="K91" s="345">
        <v>60837.4</v>
      </c>
      <c r="L91" s="345">
        <v>50889.867200000001</v>
      </c>
      <c r="M91" s="345">
        <v>45746.093800000002</v>
      </c>
      <c r="N91" s="345">
        <v>57381.72</v>
      </c>
      <c r="O91" s="345">
        <v>52083.156300000002</v>
      </c>
      <c r="P91" s="392">
        <f t="shared" si="12"/>
        <v>683431.10660000006</v>
      </c>
      <c r="Q91" s="313"/>
      <c r="R91" s="314">
        <v>0</v>
      </c>
      <c r="S91" s="345">
        <v>0</v>
      </c>
      <c r="T91" s="345">
        <v>0</v>
      </c>
      <c r="U91" s="345">
        <v>0</v>
      </c>
      <c r="V91" s="345">
        <v>0</v>
      </c>
      <c r="W91" s="345">
        <v>0</v>
      </c>
      <c r="X91" s="345">
        <v>0</v>
      </c>
      <c r="Y91" s="345">
        <v>60000</v>
      </c>
      <c r="Z91" s="345">
        <v>57600</v>
      </c>
      <c r="AA91" s="345">
        <v>0</v>
      </c>
      <c r="AB91" s="345">
        <v>0</v>
      </c>
      <c r="AC91" s="345">
        <v>0</v>
      </c>
      <c r="AD91" s="392">
        <f t="shared" si="13"/>
        <v>117600</v>
      </c>
      <c r="AF91" s="372">
        <f t="shared" si="14"/>
        <v>565831.10660000006</v>
      </c>
    </row>
    <row r="92" spans="1:32" ht="15" x14ac:dyDescent="0.25">
      <c r="A92" s="77" t="s">
        <v>87</v>
      </c>
      <c r="B92" s="159" t="s">
        <v>80</v>
      </c>
      <c r="C92" s="119" t="s">
        <v>125</v>
      </c>
      <c r="D92" s="314">
        <v>142726.56053999998</v>
      </c>
      <c r="E92" s="345">
        <v>106153.14428000001</v>
      </c>
      <c r="F92" s="345">
        <v>115076.041</v>
      </c>
      <c r="G92" s="345">
        <v>116582.617</v>
      </c>
      <c r="H92" s="345">
        <v>116471.32012999999</v>
      </c>
      <c r="I92" s="345">
        <v>107341.52247</v>
      </c>
      <c r="J92" s="345">
        <v>97532.823440000007</v>
      </c>
      <c r="K92" s="345">
        <v>97614.913260000001</v>
      </c>
      <c r="L92" s="345">
        <v>101745.13282</v>
      </c>
      <c r="M92" s="345">
        <v>121322.46350000001</v>
      </c>
      <c r="N92" s="345">
        <v>126536.70020000001</v>
      </c>
      <c r="O92" s="345">
        <v>133733.61499999999</v>
      </c>
      <c r="P92" s="392">
        <f t="shared" si="12"/>
        <v>1382836.8536400001</v>
      </c>
      <c r="Q92" s="313"/>
      <c r="R92" s="314">
        <v>0</v>
      </c>
      <c r="S92" s="345">
        <v>0</v>
      </c>
      <c r="T92" s="345">
        <v>0</v>
      </c>
      <c r="U92" s="345">
        <v>0</v>
      </c>
      <c r="V92" s="345">
        <v>0</v>
      </c>
      <c r="W92" s="345">
        <v>0</v>
      </c>
      <c r="X92" s="345">
        <v>0</v>
      </c>
      <c r="Y92" s="345">
        <v>0</v>
      </c>
      <c r="Z92" s="345">
        <v>0</v>
      </c>
      <c r="AA92" s="345">
        <v>0</v>
      </c>
      <c r="AB92" s="345">
        <v>0</v>
      </c>
      <c r="AC92" s="345">
        <v>0</v>
      </c>
      <c r="AD92" s="392">
        <f t="shared" si="13"/>
        <v>0</v>
      </c>
      <c r="AF92" s="372">
        <f t="shared" si="14"/>
        <v>1382836.8536400001</v>
      </c>
    </row>
    <row r="93" spans="1:32" ht="15" x14ac:dyDescent="0.25">
      <c r="A93" s="77" t="s">
        <v>87</v>
      </c>
      <c r="B93" s="159" t="s">
        <v>0</v>
      </c>
      <c r="C93" s="119" t="s">
        <v>98</v>
      </c>
      <c r="D93" s="314">
        <v>0</v>
      </c>
      <c r="E93" s="345">
        <v>0</v>
      </c>
      <c r="F93" s="345">
        <v>0</v>
      </c>
      <c r="G93" s="345">
        <v>0</v>
      </c>
      <c r="H93" s="345">
        <v>0</v>
      </c>
      <c r="I93" s="345">
        <v>0</v>
      </c>
      <c r="J93" s="345">
        <v>0</v>
      </c>
      <c r="K93" s="345">
        <v>0</v>
      </c>
      <c r="L93" s="345">
        <v>0</v>
      </c>
      <c r="M93" s="345">
        <v>0</v>
      </c>
      <c r="N93" s="345">
        <v>0</v>
      </c>
      <c r="O93" s="345">
        <v>0</v>
      </c>
      <c r="P93" s="392">
        <f t="shared" si="12"/>
        <v>0</v>
      </c>
      <c r="Q93" s="313"/>
      <c r="R93" s="314">
        <v>14299.199999999979</v>
      </c>
      <c r="S93" s="345">
        <v>14999.040000000017</v>
      </c>
      <c r="T93" s="345">
        <v>13697.040000000014</v>
      </c>
      <c r="U93" s="345">
        <v>9698.4000000000124</v>
      </c>
      <c r="V93" s="345">
        <v>9002.4000000000124</v>
      </c>
      <c r="W93" s="345">
        <v>11397.599999999986</v>
      </c>
      <c r="X93" s="345">
        <v>12097.439999999975</v>
      </c>
      <c r="Y93" s="345">
        <v>12201.599999999984</v>
      </c>
      <c r="Z93" s="345">
        <v>9696.9599999999937</v>
      </c>
      <c r="AA93" s="345">
        <v>11197.199999999986</v>
      </c>
      <c r="AB93" s="345">
        <v>12002.400000000016</v>
      </c>
      <c r="AC93" s="345">
        <v>14098.800000000021</v>
      </c>
      <c r="AD93" s="392">
        <f t="shared" si="13"/>
        <v>144388.07999999999</v>
      </c>
      <c r="AF93" s="372">
        <f t="shared" si="14"/>
        <v>-144388.07999999999</v>
      </c>
    </row>
    <row r="94" spans="1:32" ht="15" x14ac:dyDescent="0.25">
      <c r="A94" s="77" t="s">
        <v>87</v>
      </c>
      <c r="B94" s="159">
        <v>555</v>
      </c>
      <c r="C94" s="119" t="s">
        <v>95</v>
      </c>
      <c r="D94" s="314">
        <v>29760</v>
      </c>
      <c r="E94" s="345">
        <v>26880</v>
      </c>
      <c r="F94" s="345">
        <v>29760</v>
      </c>
      <c r="G94" s="345">
        <v>28800</v>
      </c>
      <c r="H94" s="345">
        <v>29760</v>
      </c>
      <c r="I94" s="345">
        <v>28800</v>
      </c>
      <c r="J94" s="345">
        <v>29760</v>
      </c>
      <c r="K94" s="345">
        <v>29760</v>
      </c>
      <c r="L94" s="345">
        <v>28800</v>
      </c>
      <c r="M94" s="345">
        <v>29760</v>
      </c>
      <c r="N94" s="345">
        <v>28800</v>
      </c>
      <c r="O94" s="345">
        <v>29760</v>
      </c>
      <c r="P94" s="392">
        <f t="shared" si="12"/>
        <v>350400</v>
      </c>
      <c r="Q94" s="313"/>
      <c r="R94" s="314">
        <v>28800</v>
      </c>
      <c r="S94" s="345">
        <v>29760</v>
      </c>
      <c r="T94" s="345">
        <v>29760</v>
      </c>
      <c r="U94" s="345">
        <v>28800</v>
      </c>
      <c r="V94" s="345">
        <v>29760</v>
      </c>
      <c r="W94" s="345">
        <v>28800</v>
      </c>
      <c r="X94" s="345">
        <v>29760</v>
      </c>
      <c r="Y94" s="345">
        <v>29760</v>
      </c>
      <c r="Z94" s="345">
        <v>26880</v>
      </c>
      <c r="AA94" s="345">
        <v>29760</v>
      </c>
      <c r="AB94" s="345">
        <v>28800</v>
      </c>
      <c r="AC94" s="345">
        <v>29760</v>
      </c>
      <c r="AD94" s="392">
        <f t="shared" si="13"/>
        <v>350400</v>
      </c>
      <c r="AF94" s="372">
        <f t="shared" si="14"/>
        <v>0</v>
      </c>
    </row>
    <row r="95" spans="1:32" ht="15" x14ac:dyDescent="0.25">
      <c r="A95" s="77" t="s">
        <v>87</v>
      </c>
      <c r="B95" s="159">
        <v>555</v>
      </c>
      <c r="C95" s="119" t="s">
        <v>106</v>
      </c>
      <c r="D95" s="314">
        <v>11699.4</v>
      </c>
      <c r="E95" s="345">
        <v>10567.2</v>
      </c>
      <c r="F95" s="345">
        <v>11699.4</v>
      </c>
      <c r="G95" s="345">
        <v>11322</v>
      </c>
      <c r="H95" s="345">
        <v>8258.4</v>
      </c>
      <c r="I95" s="345">
        <v>7992</v>
      </c>
      <c r="J95" s="345">
        <v>11699.4</v>
      </c>
      <c r="K95" s="345">
        <v>11699.4</v>
      </c>
      <c r="L95" s="345">
        <v>11322</v>
      </c>
      <c r="M95" s="345">
        <v>11699.4</v>
      </c>
      <c r="N95" s="345">
        <v>11322</v>
      </c>
      <c r="O95" s="345">
        <v>11699.4</v>
      </c>
      <c r="P95" s="392">
        <f t="shared" ref="P95:P114" si="15">SUM(D95:O95)</f>
        <v>130979.99999999999</v>
      </c>
      <c r="Q95" s="313"/>
      <c r="R95" s="314">
        <v>7992</v>
      </c>
      <c r="S95" s="345">
        <v>11699.400000000014</v>
      </c>
      <c r="T95" s="345">
        <v>11699.400000000014</v>
      </c>
      <c r="U95" s="345">
        <v>11322</v>
      </c>
      <c r="V95" s="345">
        <v>11699.400000000014</v>
      </c>
      <c r="W95" s="345">
        <v>11322</v>
      </c>
      <c r="X95" s="345">
        <v>11699.400000000014</v>
      </c>
      <c r="Y95" s="345">
        <v>11699.400000000014</v>
      </c>
      <c r="Z95" s="345">
        <v>10567.199999999986</v>
      </c>
      <c r="AA95" s="345">
        <v>11699.400000000014</v>
      </c>
      <c r="AB95" s="345">
        <v>11322</v>
      </c>
      <c r="AC95" s="345">
        <v>8258.4000000000124</v>
      </c>
      <c r="AD95" s="392">
        <f t="shared" ref="AD95:AD114" si="16">SUM(R95:AC95)</f>
        <v>130980.00000000006</v>
      </c>
      <c r="AF95" s="372">
        <f t="shared" ref="AF95:AF114" si="17">P95-AD95</f>
        <v>0</v>
      </c>
    </row>
    <row r="96" spans="1:32" thickBot="1" x14ac:dyDescent="0.3">
      <c r="A96" s="77" t="s">
        <v>87</v>
      </c>
      <c r="B96" s="159">
        <v>555</v>
      </c>
      <c r="C96" s="119" t="s">
        <v>93</v>
      </c>
      <c r="D96" s="314">
        <v>40000</v>
      </c>
      <c r="E96" s="345">
        <v>38400</v>
      </c>
      <c r="F96" s="345">
        <v>43200</v>
      </c>
      <c r="G96" s="345">
        <v>0</v>
      </c>
      <c r="H96" s="345">
        <v>0</v>
      </c>
      <c r="I96" s="345">
        <v>0</v>
      </c>
      <c r="J96" s="345">
        <v>0</v>
      </c>
      <c r="K96" s="345">
        <v>0</v>
      </c>
      <c r="L96" s="345">
        <v>0</v>
      </c>
      <c r="M96" s="345">
        <v>41600</v>
      </c>
      <c r="N96" s="345">
        <v>40000</v>
      </c>
      <c r="O96" s="345">
        <v>40000</v>
      </c>
      <c r="P96" s="393">
        <f t="shared" si="15"/>
        <v>243200</v>
      </c>
      <c r="Q96" s="313"/>
      <c r="R96" s="346">
        <v>0</v>
      </c>
      <c r="S96" s="347">
        <v>0</v>
      </c>
      <c r="T96" s="347">
        <v>0</v>
      </c>
      <c r="U96" s="347">
        <v>0</v>
      </c>
      <c r="V96" s="347">
        <v>0</v>
      </c>
      <c r="W96" s="347">
        <v>0</v>
      </c>
      <c r="X96" s="347">
        <v>0</v>
      </c>
      <c r="Y96" s="347">
        <v>40000</v>
      </c>
      <c r="Z96" s="347">
        <v>38400</v>
      </c>
      <c r="AA96" s="347">
        <v>43200</v>
      </c>
      <c r="AB96" s="347">
        <v>0</v>
      </c>
      <c r="AC96" s="347">
        <v>0</v>
      </c>
      <c r="AD96" s="393">
        <f t="shared" si="16"/>
        <v>121600</v>
      </c>
      <c r="AF96" s="373">
        <f t="shared" si="17"/>
        <v>121600</v>
      </c>
    </row>
    <row r="97" spans="1:32" ht="16.5" thickTop="1" thickBot="1" x14ac:dyDescent="0.3">
      <c r="A97" s="77" t="s">
        <v>87</v>
      </c>
      <c r="B97" s="159">
        <v>555</v>
      </c>
      <c r="C97" s="119" t="s">
        <v>19</v>
      </c>
      <c r="D97" s="351">
        <v>1750.03772</v>
      </c>
      <c r="E97" s="349">
        <v>1750.0224599999999</v>
      </c>
      <c r="F97" s="349">
        <v>0</v>
      </c>
      <c r="G97" s="349">
        <v>0</v>
      </c>
      <c r="H97" s="349">
        <v>0</v>
      </c>
      <c r="I97" s="349">
        <v>0</v>
      </c>
      <c r="J97" s="349">
        <v>0</v>
      </c>
      <c r="K97" s="349">
        <v>0</v>
      </c>
      <c r="L97" s="349">
        <v>0</v>
      </c>
      <c r="M97" s="349">
        <v>0</v>
      </c>
      <c r="N97" s="349">
        <v>1750.0328400000001</v>
      </c>
      <c r="O97" s="349">
        <v>1750.03772</v>
      </c>
      <c r="P97" s="318">
        <f t="shared" si="15"/>
        <v>7000.1307400000005</v>
      </c>
      <c r="Q97" s="317"/>
      <c r="R97" s="352">
        <v>0</v>
      </c>
      <c r="S97" s="349">
        <v>0</v>
      </c>
      <c r="T97" s="349">
        <v>0</v>
      </c>
      <c r="U97" s="349">
        <v>0</v>
      </c>
      <c r="V97" s="349">
        <v>0</v>
      </c>
      <c r="W97" s="349">
        <v>1750</v>
      </c>
      <c r="X97" s="349">
        <v>1750</v>
      </c>
      <c r="Y97" s="349">
        <v>1750</v>
      </c>
      <c r="Z97" s="349">
        <v>1750</v>
      </c>
      <c r="AA97" s="349">
        <v>0</v>
      </c>
      <c r="AB97" s="349">
        <v>0</v>
      </c>
      <c r="AC97" s="349">
        <v>0</v>
      </c>
      <c r="AD97" s="402">
        <f t="shared" si="16"/>
        <v>7000</v>
      </c>
      <c r="AF97" s="316">
        <f t="shared" si="17"/>
        <v>0.13074000000051456</v>
      </c>
    </row>
    <row r="98" spans="1:32" ht="16.5" thickTop="1" thickBot="1" x14ac:dyDescent="0.3">
      <c r="A98" s="77" t="s">
        <v>87</v>
      </c>
      <c r="B98" s="159">
        <v>555</v>
      </c>
      <c r="C98" s="119" t="s">
        <v>24</v>
      </c>
      <c r="D98" s="353">
        <v>-5.1226553900000003</v>
      </c>
      <c r="E98" s="354">
        <v>-61.610462200000001</v>
      </c>
      <c r="F98" s="354">
        <v>-51.382862099999997</v>
      </c>
      <c r="G98" s="354">
        <v>-36.854377700000001</v>
      </c>
      <c r="H98" s="354">
        <v>-15.578341500000001</v>
      </c>
      <c r="I98" s="354">
        <v>-6.8104276700000002</v>
      </c>
      <c r="J98" s="354">
        <v>-14.8490038</v>
      </c>
      <c r="K98" s="354">
        <v>-15.7356386</v>
      </c>
      <c r="L98" s="354">
        <v>-55.365242000000002</v>
      </c>
      <c r="M98" s="354">
        <v>-20.3144779</v>
      </c>
      <c r="N98" s="354">
        <v>1.543728</v>
      </c>
      <c r="O98" s="354">
        <v>5.3321804999999998</v>
      </c>
      <c r="P98" s="397">
        <f t="shared" si="15"/>
        <v>-276.74758035999997</v>
      </c>
      <c r="Q98" s="313"/>
      <c r="R98" s="353">
        <v>-24.684579128125005</v>
      </c>
      <c r="S98" s="354">
        <v>-1.5161065113124998</v>
      </c>
      <c r="T98" s="354">
        <v>-19.307852482375001</v>
      </c>
      <c r="U98" s="354">
        <v>-4.7243701917874983</v>
      </c>
      <c r="V98" s="354">
        <v>-10.707634778125001</v>
      </c>
      <c r="W98" s="354">
        <v>-3.8299211952724987</v>
      </c>
      <c r="X98" s="354">
        <v>-4.0430363414312493</v>
      </c>
      <c r="Y98" s="354">
        <v>-12.901650154399997</v>
      </c>
      <c r="Z98" s="354">
        <v>-12.021380514375002</v>
      </c>
      <c r="AA98" s="354">
        <v>-20.408788235749999</v>
      </c>
      <c r="AB98" s="354">
        <v>-4.9488876277600005</v>
      </c>
      <c r="AC98" s="354">
        <v>-11.585323953253752</v>
      </c>
      <c r="AD98" s="397">
        <f t="shared" si="16"/>
        <v>-130.6795311139675</v>
      </c>
      <c r="AF98" s="377">
        <f t="shared" si="17"/>
        <v>-146.06804924603247</v>
      </c>
    </row>
    <row r="99" spans="1:32" ht="16.5" thickTop="1" thickBot="1" x14ac:dyDescent="0.3">
      <c r="A99" s="77" t="s">
        <v>87</v>
      </c>
      <c r="B99" s="159">
        <v>555</v>
      </c>
      <c r="C99" s="119" t="s">
        <v>4</v>
      </c>
      <c r="D99" s="348">
        <v>52526.162899999996</v>
      </c>
      <c r="E99" s="349">
        <v>45478.853499999997</v>
      </c>
      <c r="F99" s="349">
        <v>0</v>
      </c>
      <c r="G99" s="349">
        <v>0</v>
      </c>
      <c r="H99" s="349">
        <v>0</v>
      </c>
      <c r="I99" s="349">
        <v>-56223.744400000003</v>
      </c>
      <c r="J99" s="349">
        <v>-105486.395</v>
      </c>
      <c r="K99" s="349">
        <v>-136797.25</v>
      </c>
      <c r="L99" s="349">
        <v>-114492.6056</v>
      </c>
      <c r="M99" s="349">
        <v>0</v>
      </c>
      <c r="N99" s="349">
        <v>129936.2775</v>
      </c>
      <c r="O99" s="349">
        <v>185058.70500000002</v>
      </c>
      <c r="P99" s="316">
        <f t="shared" si="15"/>
        <v>3.8999999815132469E-3</v>
      </c>
      <c r="Q99" s="316"/>
      <c r="R99" s="348">
        <v>-56223.745400000087</v>
      </c>
      <c r="S99" s="349">
        <v>-105486.39699999988</v>
      </c>
      <c r="T99" s="349">
        <v>-136797.25360000017</v>
      </c>
      <c r="U99" s="349">
        <v>-114492.60150000008</v>
      </c>
      <c r="V99" s="349">
        <v>0</v>
      </c>
      <c r="W99" s="349">
        <v>129936.27749999991</v>
      </c>
      <c r="X99" s="349">
        <v>185058.70500000005</v>
      </c>
      <c r="Y99" s="349">
        <v>52526.158199999954</v>
      </c>
      <c r="Z99" s="349">
        <v>45478.853500000063</v>
      </c>
      <c r="AA99" s="349">
        <v>0</v>
      </c>
      <c r="AB99" s="349">
        <v>0</v>
      </c>
      <c r="AC99" s="349">
        <v>0</v>
      </c>
      <c r="AD99" s="317">
        <f t="shared" si="16"/>
        <v>-3.300000200397335E-3</v>
      </c>
      <c r="AF99" s="316">
        <f t="shared" si="17"/>
        <v>7.2000001819105819E-3</v>
      </c>
    </row>
    <row r="100" spans="1:32" ht="16.5" thickTop="1" thickBot="1" x14ac:dyDescent="0.3">
      <c r="A100" s="77" t="s">
        <v>87</v>
      </c>
      <c r="B100" s="159">
        <v>555</v>
      </c>
      <c r="C100" s="119" t="s">
        <v>157</v>
      </c>
      <c r="D100" s="353">
        <v>0</v>
      </c>
      <c r="E100" s="354">
        <v>0</v>
      </c>
      <c r="F100" s="354">
        <v>0</v>
      </c>
      <c r="G100" s="354">
        <v>0</v>
      </c>
      <c r="H100" s="354">
        <v>0</v>
      </c>
      <c r="I100" s="354">
        <v>120000</v>
      </c>
      <c r="J100" s="354">
        <v>124000</v>
      </c>
      <c r="K100" s="354">
        <v>124000</v>
      </c>
      <c r="L100" s="354">
        <v>120000</v>
      </c>
      <c r="M100" s="354">
        <v>0</v>
      </c>
      <c r="N100" s="354">
        <v>0</v>
      </c>
      <c r="O100" s="354">
        <v>0</v>
      </c>
      <c r="P100" s="397">
        <f t="shared" si="15"/>
        <v>488000</v>
      </c>
      <c r="Q100" s="313"/>
      <c r="R100" s="353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4"/>
      <c r="AD100" s="397">
        <f t="shared" si="16"/>
        <v>0</v>
      </c>
      <c r="AF100" s="377">
        <f t="shared" si="17"/>
        <v>488000</v>
      </c>
    </row>
    <row r="101" spans="1:32" thickTop="1" x14ac:dyDescent="0.25">
      <c r="A101" s="77" t="s">
        <v>87</v>
      </c>
      <c r="B101" s="159">
        <v>555</v>
      </c>
      <c r="C101" s="119" t="s">
        <v>103</v>
      </c>
      <c r="D101" s="350">
        <v>2499.84</v>
      </c>
      <c r="E101" s="349">
        <v>2009.28</v>
      </c>
      <c r="F101" s="349">
        <v>2031.12</v>
      </c>
      <c r="G101" s="349">
        <v>1584</v>
      </c>
      <c r="H101" s="349">
        <v>1354.08</v>
      </c>
      <c r="I101" s="349">
        <v>1202.4000000000001</v>
      </c>
      <c r="J101" s="349">
        <v>1324.32</v>
      </c>
      <c r="K101" s="349">
        <v>1316.88</v>
      </c>
      <c r="L101" s="349">
        <v>1238.4000000000001</v>
      </c>
      <c r="M101" s="349">
        <v>1480.56</v>
      </c>
      <c r="N101" s="349">
        <v>2066.4</v>
      </c>
      <c r="O101" s="349">
        <v>2544.48</v>
      </c>
      <c r="P101" s="316">
        <f t="shared" si="15"/>
        <v>20651.759999999998</v>
      </c>
      <c r="Q101" s="316"/>
      <c r="R101" s="350">
        <v>1202.399999999999</v>
      </c>
      <c r="S101" s="349">
        <v>1324.3200000000027</v>
      </c>
      <c r="T101" s="349">
        <v>1316.8800000000012</v>
      </c>
      <c r="U101" s="349">
        <v>1238.3999999999987</v>
      </c>
      <c r="V101" s="349">
        <v>1480.5599999999986</v>
      </c>
      <c r="W101" s="349">
        <v>2066.3999999999969</v>
      </c>
      <c r="X101" s="349">
        <v>2544.4800000000027</v>
      </c>
      <c r="Y101" s="349">
        <v>2499.8399999999974</v>
      </c>
      <c r="Z101" s="349">
        <v>2009.2799999999993</v>
      </c>
      <c r="AA101" s="349">
        <v>2031.1199999999976</v>
      </c>
      <c r="AB101" s="349">
        <v>1584</v>
      </c>
      <c r="AC101" s="349">
        <v>1354.0800000000013</v>
      </c>
      <c r="AD101" s="317">
        <f t="shared" si="16"/>
        <v>20651.759999999998</v>
      </c>
      <c r="AF101" s="316">
        <f t="shared" si="17"/>
        <v>0</v>
      </c>
    </row>
    <row r="102" spans="1:32" ht="15" x14ac:dyDescent="0.25">
      <c r="A102" s="77" t="s">
        <v>87</v>
      </c>
      <c r="B102" s="159" t="s">
        <v>0</v>
      </c>
      <c r="C102" s="119" t="s">
        <v>100</v>
      </c>
      <c r="D102" s="350">
        <v>3037.49316</v>
      </c>
      <c r="E102" s="349">
        <v>1744.74182</v>
      </c>
      <c r="F102" s="349">
        <v>1717.6868899999999</v>
      </c>
      <c r="G102" s="349">
        <v>3454.18921</v>
      </c>
      <c r="H102" s="349">
        <v>6914.3076199999996</v>
      </c>
      <c r="I102" s="349">
        <v>6479.9785199999997</v>
      </c>
      <c r="J102" s="349">
        <v>4378.1940000000004</v>
      </c>
      <c r="K102" s="349">
        <v>1992.06</v>
      </c>
      <c r="L102" s="349">
        <v>1976.4661900000001</v>
      </c>
      <c r="M102" s="349">
        <v>3644.14185</v>
      </c>
      <c r="N102" s="349">
        <v>3703.60376</v>
      </c>
      <c r="O102" s="349">
        <v>2121.2341299999998</v>
      </c>
      <c r="P102" s="316">
        <f t="shared" si="15"/>
        <v>41164.097150000001</v>
      </c>
      <c r="Q102" s="316"/>
      <c r="R102" s="350">
        <v>6479.9785200000033</v>
      </c>
      <c r="S102" s="349">
        <v>4378.1940000000013</v>
      </c>
      <c r="T102" s="349">
        <v>1992.0599999999984</v>
      </c>
      <c r="U102" s="349">
        <v>1976.4661900000035</v>
      </c>
      <c r="V102" s="349">
        <v>3644.1418500000082</v>
      </c>
      <c r="W102" s="349">
        <v>3703.6037600000018</v>
      </c>
      <c r="X102" s="349">
        <v>2121.234129999998</v>
      </c>
      <c r="Y102" s="349">
        <v>3037.493160000005</v>
      </c>
      <c r="Z102" s="349">
        <v>1744.7418199999981</v>
      </c>
      <c r="AA102" s="349">
        <v>1717.6868899999986</v>
      </c>
      <c r="AB102" s="349">
        <v>3454.1892100000032</v>
      </c>
      <c r="AC102" s="349">
        <v>6914.3076199999905</v>
      </c>
      <c r="AD102" s="317">
        <f t="shared" si="16"/>
        <v>41164.097150000009</v>
      </c>
      <c r="AF102" s="316">
        <f t="shared" si="17"/>
        <v>0</v>
      </c>
    </row>
    <row r="103" spans="1:32" ht="15" x14ac:dyDescent="0.25">
      <c r="A103" s="77" t="s">
        <v>87</v>
      </c>
      <c r="B103" s="159" t="s">
        <v>0</v>
      </c>
      <c r="C103" s="119" t="s">
        <v>107</v>
      </c>
      <c r="D103" s="350">
        <v>7929.7006799999999</v>
      </c>
      <c r="E103" s="349">
        <v>6936.1149999999998</v>
      </c>
      <c r="F103" s="349">
        <v>7406.3710000000001</v>
      </c>
      <c r="G103" s="349">
        <v>10740.3838</v>
      </c>
      <c r="H103" s="349">
        <v>11090.3613</v>
      </c>
      <c r="I103" s="349">
        <v>7075.152</v>
      </c>
      <c r="J103" s="349">
        <v>2060.5825199999999</v>
      </c>
      <c r="K103" s="349">
        <v>87.345600000000005</v>
      </c>
      <c r="L103" s="349">
        <v>1194.336</v>
      </c>
      <c r="M103" s="349">
        <v>4153.7520000000004</v>
      </c>
      <c r="N103" s="349">
        <v>7042.7520000000004</v>
      </c>
      <c r="O103" s="349">
        <v>6274.152</v>
      </c>
      <c r="P103" s="316">
        <f t="shared" si="15"/>
        <v>71991.003900000011</v>
      </c>
      <c r="Q103" s="316"/>
      <c r="R103" s="350">
        <v>7075.152</v>
      </c>
      <c r="S103" s="349">
        <v>2060.5825199999972</v>
      </c>
      <c r="T103" s="349">
        <v>87.345599999999905</v>
      </c>
      <c r="U103" s="349">
        <v>1194.3359999999996</v>
      </c>
      <c r="V103" s="349">
        <v>4153.7520000000004</v>
      </c>
      <c r="W103" s="349">
        <v>7042.7519999999913</v>
      </c>
      <c r="X103" s="349">
        <v>6274.152000000001</v>
      </c>
      <c r="Y103" s="349">
        <v>7929.7006800000063</v>
      </c>
      <c r="Z103" s="349">
        <v>6936.1149999999934</v>
      </c>
      <c r="AA103" s="349">
        <v>7406.3710000000019</v>
      </c>
      <c r="AB103" s="349">
        <v>10740.383799999985</v>
      </c>
      <c r="AC103" s="349">
        <v>11090.361299999993</v>
      </c>
      <c r="AD103" s="317">
        <f t="shared" si="16"/>
        <v>71991.003899999967</v>
      </c>
      <c r="AF103" s="316">
        <f t="shared" si="17"/>
        <v>0</v>
      </c>
    </row>
    <row r="104" spans="1:32" ht="15" x14ac:dyDescent="0.25">
      <c r="A104" s="77" t="s">
        <v>87</v>
      </c>
      <c r="B104" s="159" t="s">
        <v>0</v>
      </c>
      <c r="C104" s="119" t="s">
        <v>108</v>
      </c>
      <c r="D104" s="350">
        <v>0</v>
      </c>
      <c r="E104" s="349">
        <v>0</v>
      </c>
      <c r="F104" s="349">
        <v>0</v>
      </c>
      <c r="G104" s="349">
        <v>0</v>
      </c>
      <c r="H104" s="349">
        <v>0</v>
      </c>
      <c r="I104" s="349">
        <v>0</v>
      </c>
      <c r="J104" s="349">
        <v>0</v>
      </c>
      <c r="K104" s="349">
        <v>0</v>
      </c>
      <c r="L104" s="349">
        <v>0</v>
      </c>
      <c r="M104" s="349">
        <v>0</v>
      </c>
      <c r="N104" s="349">
        <v>0</v>
      </c>
      <c r="O104" s="349">
        <v>0</v>
      </c>
      <c r="P104" s="316">
        <f t="shared" si="15"/>
        <v>0</v>
      </c>
      <c r="Q104" s="316"/>
      <c r="R104" s="350">
        <v>1353.4819299999986</v>
      </c>
      <c r="S104" s="349">
        <v>392.54929999999956</v>
      </c>
      <c r="T104" s="349">
        <v>13.07356830000001</v>
      </c>
      <c r="U104" s="349">
        <v>59.980319999999985</v>
      </c>
      <c r="V104" s="349">
        <v>642.38446000000067</v>
      </c>
      <c r="W104" s="349">
        <v>1276.8753699999986</v>
      </c>
      <c r="X104" s="349">
        <v>1140.6174299999989</v>
      </c>
      <c r="Y104" s="349">
        <v>1466.8407000000004</v>
      </c>
      <c r="Z104" s="349">
        <v>1270.421390000002</v>
      </c>
      <c r="AA104" s="349">
        <v>1376.8999999999983</v>
      </c>
      <c r="AB104" s="349">
        <v>2066.5224600000047</v>
      </c>
      <c r="AC104" s="349">
        <v>2180.3425299999972</v>
      </c>
      <c r="AD104" s="317">
        <f t="shared" si="16"/>
        <v>13239.989458300002</v>
      </c>
      <c r="AF104" s="316">
        <f t="shared" si="17"/>
        <v>-13239.989458300002</v>
      </c>
    </row>
    <row r="105" spans="1:32" thickBot="1" x14ac:dyDescent="0.3">
      <c r="A105" s="77" t="s">
        <v>87</v>
      </c>
      <c r="B105" s="159">
        <v>555</v>
      </c>
      <c r="C105" s="119" t="s">
        <v>104</v>
      </c>
      <c r="D105" s="352">
        <v>8730.1833999999999</v>
      </c>
      <c r="E105" s="349">
        <v>8423.7358899999999</v>
      </c>
      <c r="F105" s="349">
        <v>10277.69824</v>
      </c>
      <c r="G105" s="349">
        <v>10850.122460000001</v>
      </c>
      <c r="H105" s="349">
        <v>12301.17145</v>
      </c>
      <c r="I105" s="349">
        <v>11699.817999999999</v>
      </c>
      <c r="J105" s="349">
        <v>12114.465349999999</v>
      </c>
      <c r="K105" s="349">
        <v>11169.958589999998</v>
      </c>
      <c r="L105" s="349">
        <v>9865.4463400000004</v>
      </c>
      <c r="M105" s="349">
        <v>9207.9647800000002</v>
      </c>
      <c r="N105" s="349">
        <v>8760.2711899999995</v>
      </c>
      <c r="O105" s="349">
        <v>8289.3078000000005</v>
      </c>
      <c r="P105" s="316">
        <f t="shared" si="15"/>
        <v>121690.14348999997</v>
      </c>
      <c r="Q105" s="316"/>
      <c r="R105" s="352">
        <v>17186.399999999991</v>
      </c>
      <c r="S105" s="349">
        <v>17803.919999999991</v>
      </c>
      <c r="T105" s="349">
        <v>17089.68</v>
      </c>
      <c r="U105" s="349">
        <v>14961.599999999997</v>
      </c>
      <c r="V105" s="349">
        <v>13987.199999999979</v>
      </c>
      <c r="W105" s="349">
        <v>13111.199999999983</v>
      </c>
      <c r="X105" s="349">
        <v>12171.839999999993</v>
      </c>
      <c r="Y105" s="349">
        <v>7945.9200000000028</v>
      </c>
      <c r="Z105" s="349">
        <v>7647.3599999999888</v>
      </c>
      <c r="AA105" s="349">
        <v>9738.9599999999937</v>
      </c>
      <c r="AB105" s="349">
        <v>10735.199999999986</v>
      </c>
      <c r="AC105" s="349">
        <v>12082.560000000025</v>
      </c>
      <c r="AD105" s="317">
        <f t="shared" si="16"/>
        <v>154461.83999999994</v>
      </c>
      <c r="AF105" s="316">
        <f t="shared" si="17"/>
        <v>-32771.696509999965</v>
      </c>
    </row>
    <row r="106" spans="1:32" thickTop="1" x14ac:dyDescent="0.25">
      <c r="A106" s="77" t="s">
        <v>87</v>
      </c>
      <c r="B106" s="159">
        <v>447</v>
      </c>
      <c r="C106" s="119" t="s">
        <v>29</v>
      </c>
      <c r="D106" s="343">
        <v>0</v>
      </c>
      <c r="E106" s="344">
        <v>0</v>
      </c>
      <c r="F106" s="344">
        <v>0</v>
      </c>
      <c r="G106" s="344">
        <v>0</v>
      </c>
      <c r="H106" s="344">
        <v>0</v>
      </c>
      <c r="I106" s="344">
        <v>0</v>
      </c>
      <c r="J106" s="344">
        <v>0</v>
      </c>
      <c r="K106" s="344">
        <v>0</v>
      </c>
      <c r="L106" s="344">
        <v>0</v>
      </c>
      <c r="M106" s="344">
        <v>0</v>
      </c>
      <c r="N106" s="344">
        <v>0</v>
      </c>
      <c r="O106" s="344">
        <v>0</v>
      </c>
      <c r="P106" s="394">
        <f t="shared" si="15"/>
        <v>0</v>
      </c>
      <c r="Q106" s="313"/>
      <c r="R106" s="343">
        <v>-376960</v>
      </c>
      <c r="S106" s="344">
        <v>-81000</v>
      </c>
      <c r="T106" s="344">
        <v>-18600</v>
      </c>
      <c r="U106" s="344">
        <v>-18000</v>
      </c>
      <c r="V106" s="344">
        <v>-178400</v>
      </c>
      <c r="W106" s="344">
        <v>-102000</v>
      </c>
      <c r="X106" s="344">
        <v>-107800</v>
      </c>
      <c r="Y106" s="344">
        <v>-47200</v>
      </c>
      <c r="Z106" s="344">
        <v>-28800</v>
      </c>
      <c r="AA106" s="344">
        <v>-32400</v>
      </c>
      <c r="AB106" s="344">
        <v>0</v>
      </c>
      <c r="AC106" s="344">
        <v>0</v>
      </c>
      <c r="AD106" s="394">
        <f t="shared" si="16"/>
        <v>-991160</v>
      </c>
      <c r="AF106" s="374">
        <f t="shared" si="17"/>
        <v>991160</v>
      </c>
    </row>
    <row r="107" spans="1:32" ht="15" x14ac:dyDescent="0.25">
      <c r="A107" s="77" t="s">
        <v>87</v>
      </c>
      <c r="B107" s="159">
        <v>555</v>
      </c>
      <c r="C107" s="119" t="s">
        <v>30</v>
      </c>
      <c r="D107" s="314">
        <v>10000</v>
      </c>
      <c r="E107" s="345">
        <v>9600</v>
      </c>
      <c r="F107" s="345">
        <v>10800</v>
      </c>
      <c r="G107" s="345">
        <v>0</v>
      </c>
      <c r="H107" s="345">
        <v>0</v>
      </c>
      <c r="I107" s="345">
        <v>0</v>
      </c>
      <c r="J107" s="345">
        <v>0</v>
      </c>
      <c r="K107" s="345">
        <v>0</v>
      </c>
      <c r="L107" s="345">
        <v>0</v>
      </c>
      <c r="M107" s="345">
        <v>0</v>
      </c>
      <c r="N107" s="345">
        <v>0</v>
      </c>
      <c r="O107" s="345">
        <v>0</v>
      </c>
      <c r="P107" s="392">
        <f t="shared" si="15"/>
        <v>30400</v>
      </c>
      <c r="Q107" s="313"/>
      <c r="R107" s="314">
        <v>376960</v>
      </c>
      <c r="S107" s="345">
        <v>81000</v>
      </c>
      <c r="T107" s="345">
        <v>18600</v>
      </c>
      <c r="U107" s="345">
        <v>18000</v>
      </c>
      <c r="V107" s="345">
        <v>197000</v>
      </c>
      <c r="W107" s="345">
        <v>299987.55470000015</v>
      </c>
      <c r="X107" s="345">
        <v>318599.99199999985</v>
      </c>
      <c r="Y107" s="345">
        <v>208000.00800000015</v>
      </c>
      <c r="Z107" s="345">
        <v>137599.99610000008</v>
      </c>
      <c r="AA107" s="345">
        <v>246000</v>
      </c>
      <c r="AB107" s="345">
        <v>52000</v>
      </c>
      <c r="AC107" s="345">
        <v>30000</v>
      </c>
      <c r="AD107" s="392">
        <f t="shared" si="16"/>
        <v>1983747.5508000003</v>
      </c>
      <c r="AF107" s="372">
        <f t="shared" si="17"/>
        <v>-1953347.5508000003</v>
      </c>
    </row>
    <row r="108" spans="1:32" ht="15" x14ac:dyDescent="0.25">
      <c r="A108" s="77" t="s">
        <v>87</v>
      </c>
      <c r="B108" s="159" t="s">
        <v>2</v>
      </c>
      <c r="C108" s="119" t="s">
        <v>135</v>
      </c>
      <c r="D108" s="314">
        <v>519376.875</v>
      </c>
      <c r="E108" s="345">
        <v>264579.59999999998</v>
      </c>
      <c r="F108" s="345">
        <v>487774.6</v>
      </c>
      <c r="G108" s="345">
        <v>347063.93800000002</v>
      </c>
      <c r="H108" s="345">
        <v>251231.766</v>
      </c>
      <c r="I108" s="345">
        <v>64700.367200000001</v>
      </c>
      <c r="J108" s="345">
        <v>7949.7569999999996</v>
      </c>
      <c r="K108" s="345">
        <v>13294.5137</v>
      </c>
      <c r="L108" s="345">
        <v>2533.7595200000001</v>
      </c>
      <c r="M108" s="345">
        <v>52510.8</v>
      </c>
      <c r="N108" s="345">
        <v>260909.92199999999</v>
      </c>
      <c r="O108" s="345">
        <v>314595.43800000002</v>
      </c>
      <c r="P108" s="392">
        <f t="shared" si="15"/>
        <v>2586521.3364200001</v>
      </c>
      <c r="Q108" s="313"/>
      <c r="R108" s="314">
        <v>342484.17411874997</v>
      </c>
      <c r="S108" s="345">
        <v>251729.02149749995</v>
      </c>
      <c r="T108" s="345">
        <v>163937.88458749998</v>
      </c>
      <c r="U108" s="345">
        <v>162098.79724999995</v>
      </c>
      <c r="V108" s="345">
        <v>295765.98643749993</v>
      </c>
      <c r="W108" s="345">
        <v>353123.36511250009</v>
      </c>
      <c r="X108" s="345">
        <v>412390.95370000007</v>
      </c>
      <c r="Y108" s="345">
        <v>289032.27012499998</v>
      </c>
      <c r="Z108" s="345">
        <v>210295.71146749999</v>
      </c>
      <c r="AA108" s="345">
        <v>279978.057325</v>
      </c>
      <c r="AB108" s="345">
        <v>337907.6434375</v>
      </c>
      <c r="AC108" s="345">
        <v>419784.85282500007</v>
      </c>
      <c r="AD108" s="392">
        <f t="shared" si="16"/>
        <v>3518528.7178837494</v>
      </c>
      <c r="AF108" s="372">
        <f t="shared" si="17"/>
        <v>-932007.38146374933</v>
      </c>
    </row>
    <row r="109" spans="1:32" ht="15" x14ac:dyDescent="0.25">
      <c r="A109" s="77" t="s">
        <v>87</v>
      </c>
      <c r="B109" s="237">
        <v>447</v>
      </c>
      <c r="C109" s="119" t="s">
        <v>134</v>
      </c>
      <c r="D109" s="314">
        <v>-7120.3696300000001</v>
      </c>
      <c r="E109" s="345">
        <v>-117243.8</v>
      </c>
      <c r="F109" s="345">
        <v>-42506.265599999999</v>
      </c>
      <c r="G109" s="345">
        <v>-83534.84</v>
      </c>
      <c r="H109" s="345">
        <v>-55555.37</v>
      </c>
      <c r="I109" s="345">
        <v>-221595.375</v>
      </c>
      <c r="J109" s="345">
        <v>-416146.75</v>
      </c>
      <c r="K109" s="345">
        <v>-504104.7</v>
      </c>
      <c r="L109" s="345">
        <v>-470187.96899999998</v>
      </c>
      <c r="M109" s="345">
        <v>-306618.71899999998</v>
      </c>
      <c r="N109" s="345">
        <v>-160734.93799999999</v>
      </c>
      <c r="O109" s="345">
        <v>-91143.679999999993</v>
      </c>
      <c r="P109" s="392">
        <f t="shared" si="15"/>
        <v>-2476492.7762300004</v>
      </c>
      <c r="Q109" s="313"/>
      <c r="R109" s="314">
        <v>-39592.056223499996</v>
      </c>
      <c r="S109" s="345">
        <v>-62156.04189349994</v>
      </c>
      <c r="T109" s="345">
        <v>-66495.131566249998</v>
      </c>
      <c r="U109" s="345">
        <v>-42771.297591249997</v>
      </c>
      <c r="V109" s="345">
        <v>-14614.034334124997</v>
      </c>
      <c r="W109" s="345">
        <v>-12870.548999737501</v>
      </c>
      <c r="X109" s="345">
        <v>-5434.7440832374987</v>
      </c>
      <c r="Y109" s="345">
        <v>-13674.409331624998</v>
      </c>
      <c r="Z109" s="345">
        <v>-43897.622936250002</v>
      </c>
      <c r="AA109" s="345">
        <v>-72707.232178262522</v>
      </c>
      <c r="AB109" s="345">
        <v>-38764.211454099997</v>
      </c>
      <c r="AC109" s="345">
        <v>-17215.407095534996</v>
      </c>
      <c r="AD109" s="392">
        <f t="shared" si="16"/>
        <v>-430192.73768737243</v>
      </c>
      <c r="AF109" s="372">
        <f t="shared" si="17"/>
        <v>-2046300.0385426281</v>
      </c>
    </row>
    <row r="110" spans="1:32" ht="15" x14ac:dyDescent="0.25">
      <c r="A110" s="77" t="s">
        <v>87</v>
      </c>
      <c r="B110" s="159" t="s">
        <v>2</v>
      </c>
      <c r="C110" s="119" t="s">
        <v>132</v>
      </c>
      <c r="D110" s="314">
        <v>52711.6</v>
      </c>
      <c r="E110" s="345">
        <v>116316.04700000001</v>
      </c>
      <c r="F110" s="345">
        <v>80821.515599999999</v>
      </c>
      <c r="G110" s="345">
        <v>61990.976600000002</v>
      </c>
      <c r="H110" s="345">
        <v>49459.925799999997</v>
      </c>
      <c r="I110" s="345">
        <v>46495.617200000001</v>
      </c>
      <c r="J110" s="345">
        <v>42236.14</v>
      </c>
      <c r="K110" s="345">
        <v>64168.394500000002</v>
      </c>
      <c r="L110" s="345">
        <v>88780.479999999996</v>
      </c>
      <c r="M110" s="345">
        <v>140865.06299999999</v>
      </c>
      <c r="N110" s="345">
        <v>49499.28</v>
      </c>
      <c r="O110" s="345">
        <v>43205.414100000002</v>
      </c>
      <c r="P110" s="392">
        <f t="shared" si="15"/>
        <v>836550.45380000002</v>
      </c>
      <c r="Q110" s="313"/>
      <c r="R110" s="314">
        <v>0</v>
      </c>
      <c r="S110" s="345">
        <v>0</v>
      </c>
      <c r="T110" s="345">
        <v>0</v>
      </c>
      <c r="U110" s="345">
        <v>0</v>
      </c>
      <c r="V110" s="345">
        <v>0</v>
      </c>
      <c r="W110" s="345">
        <v>0</v>
      </c>
      <c r="X110" s="345">
        <v>0</v>
      </c>
      <c r="Y110" s="345">
        <v>0</v>
      </c>
      <c r="Z110" s="345">
        <v>0</v>
      </c>
      <c r="AA110" s="345">
        <v>0</v>
      </c>
      <c r="AB110" s="345">
        <v>0</v>
      </c>
      <c r="AC110" s="345">
        <v>0</v>
      </c>
      <c r="AD110" s="392">
        <f t="shared" si="16"/>
        <v>0</v>
      </c>
      <c r="AF110" s="372">
        <f t="shared" si="17"/>
        <v>836550.45380000002</v>
      </c>
    </row>
    <row r="111" spans="1:32" s="32" customFormat="1" ht="15" x14ac:dyDescent="0.25">
      <c r="A111" s="158" t="s">
        <v>87</v>
      </c>
      <c r="B111" s="237">
        <v>447</v>
      </c>
      <c r="C111" s="119" t="s">
        <v>133</v>
      </c>
      <c r="D111" s="314">
        <v>-179197.359</v>
      </c>
      <c r="E111" s="345">
        <v>-70334.149999999994</v>
      </c>
      <c r="F111" s="345">
        <v>-38858.720000000001</v>
      </c>
      <c r="G111" s="345">
        <v>-66292.070000000007</v>
      </c>
      <c r="H111" s="345">
        <v>-143066.92199999999</v>
      </c>
      <c r="I111" s="345">
        <v>-104812.891</v>
      </c>
      <c r="J111" s="345">
        <v>-112014.906</v>
      </c>
      <c r="K111" s="345">
        <v>-104250.242</v>
      </c>
      <c r="L111" s="345">
        <v>-50926.953099999999</v>
      </c>
      <c r="M111" s="345">
        <v>-21921.33</v>
      </c>
      <c r="N111" s="345">
        <v>-197000.03099999999</v>
      </c>
      <c r="O111" s="345">
        <v>-210726.07800000001</v>
      </c>
      <c r="P111" s="392">
        <f t="shared" si="15"/>
        <v>-1299401.6520999998</v>
      </c>
      <c r="Q111" s="313"/>
      <c r="R111" s="314">
        <v>0</v>
      </c>
      <c r="S111" s="345">
        <v>0</v>
      </c>
      <c r="T111" s="345">
        <v>0</v>
      </c>
      <c r="U111" s="345">
        <v>0</v>
      </c>
      <c r="V111" s="345">
        <v>0</v>
      </c>
      <c r="W111" s="345">
        <v>0</v>
      </c>
      <c r="X111" s="345">
        <v>0</v>
      </c>
      <c r="Y111" s="345">
        <v>0</v>
      </c>
      <c r="Z111" s="345">
        <v>0</v>
      </c>
      <c r="AA111" s="345">
        <v>0</v>
      </c>
      <c r="AB111" s="345">
        <v>0</v>
      </c>
      <c r="AC111" s="345">
        <v>0</v>
      </c>
      <c r="AD111" s="392">
        <f t="shared" si="16"/>
        <v>0</v>
      </c>
      <c r="AF111" s="372">
        <f t="shared" si="17"/>
        <v>-1299401.6520999998</v>
      </c>
    </row>
    <row r="112" spans="1:32" s="32" customFormat="1" ht="15" x14ac:dyDescent="0.25">
      <c r="A112" s="158" t="s">
        <v>61</v>
      </c>
      <c r="B112" s="237" t="s">
        <v>2</v>
      </c>
      <c r="C112" s="119" t="s">
        <v>115</v>
      </c>
      <c r="D112" s="314">
        <v>0</v>
      </c>
      <c r="E112" s="345">
        <v>0</v>
      </c>
      <c r="F112" s="345">
        <v>0</v>
      </c>
      <c r="G112" s="345">
        <v>0</v>
      </c>
      <c r="H112" s="345">
        <v>0</v>
      </c>
      <c r="I112" s="345">
        <v>0</v>
      </c>
      <c r="J112" s="345">
        <v>0</v>
      </c>
      <c r="K112" s="345">
        <v>0</v>
      </c>
      <c r="L112" s="345">
        <v>0</v>
      </c>
      <c r="M112" s="345">
        <v>0</v>
      </c>
      <c r="N112" s="345">
        <v>0</v>
      </c>
      <c r="O112" s="345">
        <v>0</v>
      </c>
      <c r="P112" s="392">
        <f t="shared" si="15"/>
        <v>0</v>
      </c>
      <c r="Q112" s="313"/>
      <c r="R112" s="314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92">
        <f t="shared" si="16"/>
        <v>0</v>
      </c>
      <c r="AF112" s="372">
        <f t="shared" si="17"/>
        <v>0</v>
      </c>
    </row>
    <row r="113" spans="1:32" ht="15" x14ac:dyDescent="0.25">
      <c r="A113" s="158" t="s">
        <v>87</v>
      </c>
      <c r="B113" s="163" t="s">
        <v>2</v>
      </c>
      <c r="C113" s="257" t="s">
        <v>116</v>
      </c>
      <c r="D113" s="355">
        <v>0</v>
      </c>
      <c r="E113" s="356">
        <v>0</v>
      </c>
      <c r="F113" s="356">
        <v>0</v>
      </c>
      <c r="G113" s="356">
        <v>0</v>
      </c>
      <c r="H113" s="356">
        <v>0</v>
      </c>
      <c r="I113" s="356">
        <v>0</v>
      </c>
      <c r="J113" s="356">
        <v>0</v>
      </c>
      <c r="K113" s="356">
        <v>0</v>
      </c>
      <c r="L113" s="356">
        <v>0</v>
      </c>
      <c r="M113" s="356">
        <v>0</v>
      </c>
      <c r="N113" s="356">
        <v>0</v>
      </c>
      <c r="O113" s="356">
        <v>0</v>
      </c>
      <c r="P113" s="398">
        <f t="shared" si="15"/>
        <v>0</v>
      </c>
      <c r="Q113" s="313"/>
      <c r="R113" s="355"/>
      <c r="S113" s="356"/>
      <c r="T113" s="356"/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98">
        <f t="shared" si="16"/>
        <v>0</v>
      </c>
      <c r="AF113" s="378">
        <f t="shared" si="17"/>
        <v>0</v>
      </c>
    </row>
    <row r="114" spans="1:32" thickBot="1" x14ac:dyDescent="0.3">
      <c r="A114" s="160" t="s">
        <v>91</v>
      </c>
      <c r="B114" s="161"/>
      <c r="C114" s="315" t="s">
        <v>5</v>
      </c>
      <c r="D114" s="361">
        <f>SUM(D63:D111)</f>
        <v>2247721.9785346095</v>
      </c>
      <c r="E114" s="362">
        <f t="shared" ref="E114:O114" si="18">SUM(E63:E111)</f>
        <v>1898576.9922288</v>
      </c>
      <c r="F114" s="362">
        <f t="shared" si="18"/>
        <v>1982654.0163478998</v>
      </c>
      <c r="G114" s="362">
        <f t="shared" si="18"/>
        <v>1679386.9831762998</v>
      </c>
      <c r="H114" s="362">
        <f t="shared" si="18"/>
        <v>1615204.0015315397</v>
      </c>
      <c r="I114" s="362">
        <f t="shared" si="18"/>
        <v>1471298.0008405251</v>
      </c>
      <c r="J114" s="362">
        <f t="shared" si="18"/>
        <v>1562055.9831401992</v>
      </c>
      <c r="K114" s="362">
        <f t="shared" si="18"/>
        <v>1602797.9940214001</v>
      </c>
      <c r="L114" s="362">
        <f t="shared" si="18"/>
        <v>1490062.0066180003</v>
      </c>
      <c r="M114" s="362">
        <f t="shared" si="18"/>
        <v>1669150.9899714999</v>
      </c>
      <c r="N114" s="362">
        <f t="shared" si="18"/>
        <v>1904225.9972879998</v>
      </c>
      <c r="O114" s="362">
        <f t="shared" si="18"/>
        <v>2227654.9783804994</v>
      </c>
      <c r="P114" s="399">
        <f t="shared" si="15"/>
        <v>21350789.922079273</v>
      </c>
      <c r="Q114" s="365"/>
      <c r="R114" s="361">
        <f t="shared" ref="R114:AC114" si="19">SUM(R63:R113)</f>
        <v>1445919.0003486362</v>
      </c>
      <c r="S114" s="362">
        <f t="shared" si="19"/>
        <v>1567141.0063504826</v>
      </c>
      <c r="T114" s="362">
        <f t="shared" si="19"/>
        <v>1519778.0033691353</v>
      </c>
      <c r="U114" s="362">
        <f t="shared" si="19"/>
        <v>1431311.006711151</v>
      </c>
      <c r="V114" s="362">
        <f t="shared" si="19"/>
        <v>1668311.9995087765</v>
      </c>
      <c r="W114" s="362">
        <f t="shared" si="19"/>
        <v>1936791.0032957378</v>
      </c>
      <c r="X114" s="362">
        <f t="shared" si="19"/>
        <v>2174696.9877565824</v>
      </c>
      <c r="Y114" s="362">
        <f t="shared" si="19"/>
        <v>2114284.007156536</v>
      </c>
      <c r="Z114" s="362">
        <f t="shared" si="19"/>
        <v>1821786.0002349608</v>
      </c>
      <c r="AA114" s="362">
        <f t="shared" si="19"/>
        <v>1915772.0021576404</v>
      </c>
      <c r="AB114" s="362">
        <f t="shared" si="19"/>
        <v>1656860.0008145799</v>
      </c>
      <c r="AC114" s="362">
        <f t="shared" si="19"/>
        <v>1550554.0012469485</v>
      </c>
      <c r="AD114" s="399">
        <f t="shared" si="16"/>
        <v>20803205.018951166</v>
      </c>
      <c r="AF114" s="379">
        <f t="shared" si="17"/>
        <v>547584.90312810615</v>
      </c>
    </row>
    <row r="115" spans="1:32" s="250" customFormat="1" ht="12" thickTop="1" x14ac:dyDescent="0.2">
      <c r="A115" s="245"/>
      <c r="B115" s="246" t="s">
        <v>6</v>
      </c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9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F115" s="247"/>
    </row>
    <row r="116" spans="1:32" x14ac:dyDescent="0.25">
      <c r="C116" s="258"/>
      <c r="H116" s="52"/>
      <c r="I116" s="52"/>
      <c r="J116" s="52"/>
      <c r="K116" s="52"/>
      <c r="L116" s="52"/>
      <c r="M116" s="53"/>
      <c r="N116" s="53"/>
      <c r="O116" s="53"/>
      <c r="P116" s="258"/>
      <c r="Q116" s="54"/>
      <c r="R116" s="30"/>
      <c r="S116" s="30"/>
      <c r="T116" s="31"/>
      <c r="U116" s="31"/>
      <c r="W116" s="45"/>
      <c r="Z116" s="29"/>
      <c r="AA116" s="30"/>
      <c r="AB116" s="55"/>
      <c r="AC116" s="55"/>
      <c r="AD116" s="258"/>
      <c r="AF116" s="258"/>
    </row>
    <row r="117" spans="1:32" x14ac:dyDescent="0.25">
      <c r="A117" s="32" t="s">
        <v>130</v>
      </c>
      <c r="C117" s="258"/>
      <c r="D117" s="56"/>
      <c r="E117" s="56"/>
      <c r="F117" s="56"/>
      <c r="G117" s="56"/>
      <c r="H117" s="56"/>
      <c r="I117" s="56"/>
      <c r="J117" s="56"/>
      <c r="K117" s="56"/>
      <c r="L117" s="56"/>
      <c r="M117" s="57"/>
      <c r="N117" s="57"/>
      <c r="O117" s="57"/>
      <c r="P117" s="258"/>
      <c r="Q117" s="57"/>
      <c r="R117" s="45"/>
      <c r="S117" s="45"/>
      <c r="T117" s="32"/>
      <c r="U117" s="32"/>
      <c r="V117" s="40"/>
      <c r="W117" s="45"/>
      <c r="Z117" s="29"/>
      <c r="AA117" s="45"/>
      <c r="AB117" s="45"/>
      <c r="AC117" s="45"/>
      <c r="AD117" s="258"/>
      <c r="AF117" s="258"/>
    </row>
    <row r="118" spans="1:32" x14ac:dyDescent="0.25">
      <c r="A118" s="37" t="s">
        <v>153</v>
      </c>
      <c r="C118" s="258"/>
      <c r="P118" s="258"/>
      <c r="R118" s="36"/>
      <c r="S118" s="36"/>
      <c r="T118" s="32"/>
      <c r="U118" s="32"/>
      <c r="V118" s="241"/>
      <c r="W118" s="36"/>
      <c r="Z118" s="29"/>
      <c r="AA118" s="36"/>
      <c r="AB118" s="36"/>
      <c r="AC118" s="36"/>
      <c r="AD118" s="258"/>
      <c r="AF118" s="258"/>
    </row>
    <row r="119" spans="1:32" x14ac:dyDescent="0.25">
      <c r="C119" s="258"/>
      <c r="P119" s="258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258"/>
      <c r="AF119" s="258"/>
    </row>
    <row r="120" spans="1:32" x14ac:dyDescent="0.25">
      <c r="C120" s="258"/>
      <c r="P120" s="258"/>
      <c r="Q120" s="49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258"/>
      <c r="AF120" s="258"/>
    </row>
    <row r="121" spans="1:32" x14ac:dyDescent="0.25">
      <c r="C121" s="258"/>
      <c r="P121" s="258"/>
      <c r="Q121" s="49"/>
      <c r="R121" s="277"/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58"/>
      <c r="AF121" s="258"/>
    </row>
    <row r="122" spans="1:32" x14ac:dyDescent="0.25">
      <c r="C122" s="258"/>
      <c r="P122" s="258"/>
      <c r="R122" s="277"/>
      <c r="S122" s="277"/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58"/>
      <c r="AF122" s="258"/>
    </row>
    <row r="123" spans="1:32" x14ac:dyDescent="0.25">
      <c r="C123" s="258"/>
      <c r="P123" s="258"/>
      <c r="R123" s="277"/>
      <c r="S123" s="277"/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58"/>
      <c r="AF123" s="258"/>
    </row>
    <row r="124" spans="1:32" x14ac:dyDescent="0.25">
      <c r="C124" s="258"/>
      <c r="P124" s="258"/>
      <c r="R124" s="277"/>
      <c r="S124" s="277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58"/>
      <c r="AF124" s="258"/>
    </row>
    <row r="125" spans="1:32" x14ac:dyDescent="0.25">
      <c r="C125" s="258"/>
      <c r="P125" s="258"/>
      <c r="R125" s="277"/>
      <c r="S125" s="277"/>
      <c r="T125" s="277"/>
      <c r="U125" s="277"/>
      <c r="V125" s="277"/>
      <c r="W125" s="277"/>
      <c r="X125" s="277"/>
      <c r="Y125" s="277"/>
      <c r="Z125" s="277"/>
      <c r="AA125" s="277"/>
      <c r="AB125" s="277"/>
      <c r="AC125" s="277"/>
      <c r="AD125" s="258"/>
      <c r="AF125" s="258"/>
    </row>
    <row r="126" spans="1:32" x14ac:dyDescent="0.25">
      <c r="C126" s="258"/>
      <c r="P126" s="258"/>
      <c r="R126" s="277"/>
      <c r="S126" s="277"/>
      <c r="T126" s="277"/>
      <c r="U126" s="277"/>
      <c r="V126" s="277"/>
      <c r="W126" s="277"/>
      <c r="X126" s="277"/>
      <c r="Y126" s="277"/>
      <c r="Z126" s="277"/>
      <c r="AA126" s="277"/>
      <c r="AB126" s="277"/>
      <c r="AC126" s="277"/>
      <c r="AD126" s="258"/>
      <c r="AF126" s="258"/>
    </row>
    <row r="127" spans="1:32" x14ac:dyDescent="0.25">
      <c r="C127" s="258"/>
      <c r="P127" s="258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58"/>
      <c r="AF127" s="258"/>
    </row>
    <row r="128" spans="1:32" x14ac:dyDescent="0.25">
      <c r="C128" s="258"/>
      <c r="P128" s="258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58"/>
      <c r="AF128" s="258"/>
    </row>
    <row r="129" spans="3:32" x14ac:dyDescent="0.25">
      <c r="C129" s="258"/>
      <c r="P129" s="258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58"/>
      <c r="AF129" s="258"/>
    </row>
    <row r="130" spans="3:32" x14ac:dyDescent="0.25">
      <c r="C130" s="258"/>
      <c r="P130" s="258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58"/>
      <c r="AF130" s="258"/>
    </row>
    <row r="131" spans="3:32" x14ac:dyDescent="0.25">
      <c r="C131" s="258"/>
      <c r="P131" s="258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258"/>
      <c r="AF131" s="258"/>
    </row>
    <row r="132" spans="3:32" x14ac:dyDescent="0.25">
      <c r="C132" s="258"/>
      <c r="P132" s="258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258"/>
      <c r="AF132" s="258"/>
    </row>
    <row r="133" spans="3:32" x14ac:dyDescent="0.25">
      <c r="C133" s="258"/>
      <c r="P133" s="258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258"/>
      <c r="AF133" s="258"/>
    </row>
    <row r="134" spans="3:32" x14ac:dyDescent="0.25">
      <c r="C134" s="258"/>
      <c r="P134" s="258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258"/>
      <c r="AF134" s="258"/>
    </row>
    <row r="135" spans="3:32" x14ac:dyDescent="0.25">
      <c r="C135" s="258"/>
      <c r="P135" s="258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258"/>
      <c r="AF135" s="258"/>
    </row>
    <row r="136" spans="3:32" x14ac:dyDescent="0.25">
      <c r="C136" s="258"/>
      <c r="P136" s="258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258"/>
      <c r="AF136" s="258"/>
    </row>
    <row r="137" spans="3:32" x14ac:dyDescent="0.25">
      <c r="C137" s="258"/>
      <c r="P137" s="258"/>
      <c r="T137" s="32"/>
      <c r="U137" s="32"/>
      <c r="V137" s="40"/>
      <c r="W137" s="45"/>
      <c r="Z137" s="29"/>
      <c r="AA137" s="29"/>
      <c r="AB137" s="29"/>
      <c r="AC137" s="29"/>
      <c r="AD137" s="258"/>
      <c r="AF137" s="258"/>
    </row>
    <row r="138" spans="3:32" x14ac:dyDescent="0.25">
      <c r="C138" s="258"/>
      <c r="P138" s="258"/>
      <c r="T138" s="32"/>
      <c r="U138" s="32"/>
      <c r="V138" s="40"/>
      <c r="W138" s="45"/>
      <c r="Z138" s="29"/>
      <c r="AA138" s="29"/>
      <c r="AB138" s="29"/>
      <c r="AC138" s="29"/>
      <c r="AD138" s="258"/>
      <c r="AF138" s="258"/>
    </row>
    <row r="139" spans="3:32" x14ac:dyDescent="0.25">
      <c r="C139" s="258"/>
      <c r="P139" s="258"/>
      <c r="T139" s="32"/>
      <c r="U139" s="32"/>
      <c r="V139" s="40"/>
      <c r="W139" s="45"/>
      <c r="Z139" s="29"/>
      <c r="AA139" s="29"/>
      <c r="AB139" s="29"/>
      <c r="AC139" s="29"/>
      <c r="AD139" s="258"/>
      <c r="AF139" s="258"/>
    </row>
    <row r="140" spans="3:32" x14ac:dyDescent="0.25">
      <c r="C140" s="258"/>
      <c r="P140" s="258"/>
      <c r="T140" s="32"/>
      <c r="U140" s="32"/>
      <c r="V140" s="40"/>
      <c r="W140" s="45"/>
      <c r="Z140" s="29"/>
      <c r="AA140" s="29"/>
      <c r="AB140" s="29"/>
      <c r="AC140" s="29"/>
      <c r="AD140" s="258"/>
      <c r="AF140" s="258"/>
    </row>
    <row r="141" spans="3:32" x14ac:dyDescent="0.25">
      <c r="C141" s="258"/>
      <c r="P141" s="258"/>
      <c r="T141" s="32"/>
      <c r="U141" s="32"/>
      <c r="V141" s="40"/>
      <c r="W141" s="45"/>
      <c r="Z141" s="29"/>
      <c r="AA141" s="29"/>
      <c r="AB141" s="29"/>
      <c r="AC141" s="29"/>
      <c r="AD141" s="258"/>
      <c r="AF141" s="258"/>
    </row>
    <row r="142" spans="3:32" x14ac:dyDescent="0.25">
      <c r="C142" s="258"/>
      <c r="P142" s="258"/>
      <c r="T142" s="32"/>
      <c r="U142" s="32"/>
      <c r="V142" s="40"/>
      <c r="W142" s="45"/>
      <c r="Z142" s="29"/>
      <c r="AA142" s="29"/>
      <c r="AB142" s="29"/>
      <c r="AC142" s="29"/>
      <c r="AD142" s="258"/>
      <c r="AF142" s="258"/>
    </row>
    <row r="143" spans="3:32" x14ac:dyDescent="0.25">
      <c r="C143" s="258"/>
      <c r="P143" s="258"/>
      <c r="T143" s="32"/>
      <c r="U143" s="32"/>
      <c r="V143" s="40"/>
      <c r="W143" s="45"/>
      <c r="Z143" s="29"/>
      <c r="AA143" s="29"/>
      <c r="AB143" s="29"/>
      <c r="AC143" s="29"/>
      <c r="AD143" s="258"/>
      <c r="AF143" s="258"/>
    </row>
    <row r="144" spans="3:32" x14ac:dyDescent="0.25">
      <c r="C144" s="258"/>
      <c r="P144" s="258"/>
      <c r="T144" s="32"/>
      <c r="U144" s="32"/>
      <c r="V144" s="40"/>
      <c r="W144" s="45"/>
      <c r="Z144" s="29"/>
      <c r="AA144" s="29"/>
      <c r="AB144" s="29"/>
      <c r="AC144" s="29"/>
      <c r="AD144" s="258"/>
      <c r="AF144" s="258"/>
    </row>
    <row r="145" spans="3:32" x14ac:dyDescent="0.25">
      <c r="C145" s="258"/>
      <c r="P145" s="258"/>
      <c r="T145" s="32"/>
      <c r="U145" s="32"/>
      <c r="V145" s="40"/>
      <c r="W145" s="45"/>
      <c r="Z145" s="29"/>
      <c r="AA145" s="29"/>
      <c r="AB145" s="29"/>
      <c r="AC145" s="29"/>
      <c r="AD145" s="258"/>
      <c r="AF145" s="258"/>
    </row>
    <row r="146" spans="3:32" x14ac:dyDescent="0.25">
      <c r="C146" s="258"/>
      <c r="P146" s="258"/>
      <c r="V146" s="32"/>
      <c r="W146" s="32"/>
      <c r="X146" s="38"/>
      <c r="Z146" s="29"/>
      <c r="AA146" s="29"/>
      <c r="AB146" s="29"/>
      <c r="AC146" s="29"/>
      <c r="AD146" s="258"/>
      <c r="AF146" s="258"/>
    </row>
    <row r="147" spans="3:32" x14ac:dyDescent="0.25">
      <c r="C147" s="258"/>
      <c r="P147" s="258"/>
      <c r="V147" s="32"/>
      <c r="W147" s="32"/>
      <c r="X147" s="38"/>
      <c r="Z147" s="29"/>
      <c r="AA147" s="29"/>
      <c r="AB147" s="29"/>
      <c r="AC147" s="29"/>
      <c r="AD147" s="258"/>
      <c r="AF147" s="258"/>
    </row>
    <row r="148" spans="3:32" x14ac:dyDescent="0.25">
      <c r="C148" s="258"/>
      <c r="P148" s="258"/>
      <c r="V148" s="32"/>
      <c r="W148" s="32"/>
      <c r="X148" s="38"/>
      <c r="Z148" s="29"/>
      <c r="AA148" s="29"/>
      <c r="AB148" s="29"/>
      <c r="AC148" s="29"/>
      <c r="AD148" s="258"/>
      <c r="AF148" s="258"/>
    </row>
    <row r="149" spans="3:32" x14ac:dyDescent="0.25">
      <c r="C149" s="258"/>
      <c r="P149" s="258"/>
      <c r="V149" s="32"/>
      <c r="W149" s="32"/>
      <c r="X149" s="38"/>
      <c r="Z149" s="29"/>
      <c r="AA149" s="29"/>
      <c r="AB149" s="29"/>
      <c r="AC149" s="29"/>
      <c r="AD149" s="258"/>
      <c r="AF149" s="258"/>
    </row>
    <row r="150" spans="3:32" x14ac:dyDescent="0.25">
      <c r="C150" s="258"/>
      <c r="P150" s="258"/>
      <c r="V150" s="32"/>
      <c r="W150" s="32"/>
      <c r="X150" s="38"/>
      <c r="Z150" s="29"/>
      <c r="AA150" s="29"/>
      <c r="AB150" s="29"/>
      <c r="AC150" s="29"/>
      <c r="AD150" s="258"/>
      <c r="AF150" s="258"/>
    </row>
    <row r="151" spans="3:32" x14ac:dyDescent="0.25">
      <c r="C151" s="258"/>
      <c r="P151" s="258"/>
      <c r="V151" s="32"/>
      <c r="W151" s="32"/>
      <c r="X151" s="38"/>
      <c r="Z151" s="29"/>
      <c r="AA151" s="29"/>
      <c r="AB151" s="29"/>
      <c r="AC151" s="29"/>
      <c r="AD151" s="258"/>
      <c r="AF151" s="258"/>
    </row>
    <row r="152" spans="3:32" x14ac:dyDescent="0.25">
      <c r="C152" s="258"/>
      <c r="P152" s="258"/>
      <c r="V152" s="32"/>
      <c r="W152" s="32"/>
      <c r="X152" s="38"/>
      <c r="Z152" s="29"/>
      <c r="AA152" s="29"/>
      <c r="AB152" s="29"/>
      <c r="AC152" s="29"/>
      <c r="AD152" s="258"/>
      <c r="AF152" s="258"/>
    </row>
    <row r="153" spans="3:32" x14ac:dyDescent="0.25">
      <c r="C153" s="258"/>
      <c r="P153" s="258"/>
      <c r="V153" s="32"/>
      <c r="W153" s="32"/>
      <c r="X153" s="38"/>
      <c r="Z153" s="29"/>
      <c r="AA153" s="29"/>
      <c r="AB153" s="29"/>
      <c r="AC153" s="29"/>
      <c r="AD153" s="258"/>
      <c r="AF153" s="258"/>
    </row>
    <row r="154" spans="3:32" x14ac:dyDescent="0.25">
      <c r="C154" s="258"/>
      <c r="P154" s="258"/>
      <c r="V154" s="32"/>
      <c r="W154" s="32"/>
      <c r="X154" s="38"/>
      <c r="Z154" s="29"/>
      <c r="AA154" s="29"/>
      <c r="AB154" s="29"/>
      <c r="AC154" s="29"/>
      <c r="AD154" s="258"/>
      <c r="AF154" s="258"/>
    </row>
    <row r="155" spans="3:32" x14ac:dyDescent="0.25">
      <c r="C155" s="258"/>
      <c r="P155" s="258"/>
      <c r="V155" s="32"/>
      <c r="W155" s="32"/>
      <c r="X155" s="38"/>
      <c r="Z155" s="29"/>
      <c r="AA155" s="29"/>
      <c r="AB155" s="29"/>
      <c r="AC155" s="29"/>
      <c r="AD155" s="258"/>
      <c r="AF155" s="258"/>
    </row>
    <row r="156" spans="3:32" x14ac:dyDescent="0.25">
      <c r="C156" s="258"/>
      <c r="P156" s="258"/>
      <c r="V156" s="32"/>
      <c r="W156" s="32"/>
      <c r="X156" s="38"/>
      <c r="Z156" s="29"/>
      <c r="AA156" s="29"/>
      <c r="AB156" s="29"/>
      <c r="AC156" s="29"/>
      <c r="AD156" s="258"/>
      <c r="AF156" s="258"/>
    </row>
    <row r="157" spans="3:32" x14ac:dyDescent="0.25">
      <c r="C157" s="258"/>
      <c r="P157" s="258"/>
      <c r="V157" s="32"/>
      <c r="W157" s="32"/>
      <c r="X157" s="38"/>
      <c r="Z157" s="29"/>
      <c r="AA157" s="29"/>
      <c r="AB157" s="29"/>
      <c r="AC157" s="29"/>
      <c r="AD157" s="258"/>
      <c r="AF157" s="258"/>
    </row>
    <row r="158" spans="3:32" x14ac:dyDescent="0.25">
      <c r="V158" s="32"/>
      <c r="W158" s="32"/>
      <c r="X158" s="38"/>
      <c r="Z158" s="29"/>
      <c r="AA158" s="29"/>
      <c r="AB158" s="29"/>
      <c r="AC158" s="29"/>
    </row>
    <row r="159" spans="3:32" x14ac:dyDescent="0.25">
      <c r="V159" s="32"/>
      <c r="W159" s="32"/>
      <c r="X159" s="38"/>
      <c r="Z159" s="29"/>
      <c r="AA159" s="29"/>
      <c r="AB159" s="29"/>
      <c r="AC159" s="29"/>
    </row>
    <row r="160" spans="3:32" x14ac:dyDescent="0.25">
      <c r="V160" s="32"/>
      <c r="W160" s="32"/>
      <c r="X160" s="38"/>
      <c r="Z160" s="29"/>
      <c r="AA160" s="29"/>
      <c r="AB160" s="29"/>
      <c r="AC160" s="29"/>
    </row>
    <row r="161" spans="22:29" x14ac:dyDescent="0.25">
      <c r="V161" s="32"/>
      <c r="W161" s="32"/>
      <c r="X161" s="38"/>
      <c r="Z161" s="29"/>
      <c r="AA161" s="29"/>
      <c r="AB161" s="29"/>
      <c r="AC161" s="29"/>
    </row>
    <row r="162" spans="22:29" x14ac:dyDescent="0.25">
      <c r="V162" s="32"/>
      <c r="W162" s="32"/>
      <c r="X162" s="38"/>
      <c r="Z162" s="29"/>
      <c r="AA162" s="29"/>
      <c r="AB162" s="29"/>
      <c r="AC162" s="29"/>
    </row>
    <row r="163" spans="22:29" x14ac:dyDescent="0.25">
      <c r="V163" s="32"/>
      <c r="W163" s="32"/>
      <c r="X163" s="38"/>
      <c r="Z163" s="29"/>
      <c r="AA163" s="29"/>
      <c r="AB163" s="29"/>
      <c r="AC163" s="29"/>
    </row>
    <row r="164" spans="22:29" x14ac:dyDescent="0.25">
      <c r="V164" s="32"/>
      <c r="W164" s="32"/>
      <c r="X164" s="38"/>
      <c r="Z164" s="29"/>
      <c r="AA164" s="29"/>
      <c r="AB164" s="29"/>
      <c r="AC164" s="29"/>
    </row>
    <row r="165" spans="22:29" x14ac:dyDescent="0.25">
      <c r="V165" s="32"/>
      <c r="W165" s="32"/>
      <c r="X165" s="38"/>
      <c r="Z165" s="29"/>
      <c r="AA165" s="29"/>
      <c r="AB165" s="29"/>
      <c r="AC165" s="29"/>
    </row>
    <row r="166" spans="22:29" x14ac:dyDescent="0.25">
      <c r="V166" s="32"/>
      <c r="W166" s="32"/>
      <c r="X166" s="38"/>
      <c r="Z166" s="29"/>
      <c r="AA166" s="29"/>
      <c r="AB166" s="29"/>
      <c r="AC166" s="29"/>
    </row>
    <row r="167" spans="22:29" x14ac:dyDescent="0.25">
      <c r="V167" s="32"/>
      <c r="W167" s="32"/>
      <c r="X167" s="38"/>
      <c r="Z167" s="29"/>
      <c r="AA167" s="29"/>
      <c r="AB167" s="29"/>
      <c r="AC167" s="29"/>
    </row>
    <row r="168" spans="22:29" x14ac:dyDescent="0.25">
      <c r="V168" s="32"/>
      <c r="W168" s="32"/>
      <c r="X168" s="38"/>
      <c r="Z168" s="29"/>
      <c r="AA168" s="29"/>
      <c r="AB168" s="29"/>
      <c r="AC168" s="29"/>
    </row>
    <row r="169" spans="22:29" x14ac:dyDescent="0.25">
      <c r="V169" s="32"/>
      <c r="W169" s="32"/>
      <c r="X169" s="38"/>
      <c r="Z169" s="29"/>
      <c r="AA169" s="29"/>
      <c r="AB169" s="29"/>
      <c r="AC169" s="29"/>
    </row>
    <row r="170" spans="22:29" x14ac:dyDescent="0.25">
      <c r="V170" s="32"/>
      <c r="W170" s="32"/>
      <c r="X170" s="38"/>
      <c r="Z170" s="29"/>
      <c r="AA170" s="29"/>
      <c r="AB170" s="29"/>
      <c r="AC170" s="29"/>
    </row>
    <row r="171" spans="22:29" x14ac:dyDescent="0.25">
      <c r="V171" s="32"/>
      <c r="W171" s="32"/>
      <c r="X171" s="38"/>
      <c r="Z171" s="29"/>
      <c r="AA171" s="29"/>
      <c r="AB171" s="29"/>
      <c r="AC171" s="29"/>
    </row>
    <row r="172" spans="22:29" x14ac:dyDescent="0.25">
      <c r="V172" s="32"/>
      <c r="W172" s="32"/>
      <c r="X172" s="38"/>
      <c r="Z172" s="29"/>
      <c r="AA172" s="29"/>
      <c r="AB172" s="29"/>
      <c r="AC172" s="29"/>
    </row>
    <row r="173" spans="22:29" x14ac:dyDescent="0.25">
      <c r="V173" s="32"/>
      <c r="W173" s="32"/>
      <c r="X173" s="38"/>
      <c r="Z173" s="29"/>
      <c r="AA173" s="29"/>
      <c r="AB173" s="29"/>
      <c r="AC173" s="29"/>
    </row>
    <row r="174" spans="22:29" x14ac:dyDescent="0.25">
      <c r="V174" s="32"/>
      <c r="W174" s="32"/>
      <c r="X174" s="38"/>
      <c r="Z174" s="29"/>
      <c r="AA174" s="29"/>
      <c r="AB174" s="29"/>
      <c r="AC174" s="29"/>
    </row>
    <row r="175" spans="22:29" x14ac:dyDescent="0.25">
      <c r="V175" s="32"/>
      <c r="W175" s="32"/>
      <c r="X175" s="38"/>
      <c r="Z175" s="29"/>
      <c r="AA175" s="29"/>
      <c r="AB175" s="29"/>
      <c r="AC175" s="29"/>
    </row>
    <row r="176" spans="22:29" x14ac:dyDescent="0.25">
      <c r="V176" s="32"/>
      <c r="W176" s="32"/>
      <c r="X176" s="38"/>
      <c r="Z176" s="29"/>
      <c r="AA176" s="29"/>
      <c r="AB176" s="29"/>
      <c r="AC176" s="29"/>
    </row>
    <row r="177" spans="22:29" x14ac:dyDescent="0.25">
      <c r="V177" s="32"/>
      <c r="W177" s="32"/>
      <c r="X177" s="38"/>
      <c r="Z177" s="29"/>
      <c r="AA177" s="29"/>
      <c r="AB177" s="29"/>
      <c r="AC177" s="29"/>
    </row>
    <row r="178" spans="22:29" x14ac:dyDescent="0.25">
      <c r="V178" s="32"/>
      <c r="W178" s="32"/>
      <c r="X178" s="38"/>
      <c r="Z178" s="29"/>
      <c r="AA178" s="29"/>
      <c r="AB178" s="29"/>
      <c r="AC178" s="29"/>
    </row>
    <row r="179" spans="22:29" x14ac:dyDescent="0.25">
      <c r="V179" s="32"/>
      <c r="W179" s="32"/>
      <c r="X179" s="38"/>
      <c r="Z179" s="29"/>
      <c r="AA179" s="29"/>
      <c r="AB179" s="29"/>
      <c r="AC179" s="29"/>
    </row>
    <row r="180" spans="22:29" x14ac:dyDescent="0.25">
      <c r="V180" s="32"/>
      <c r="W180" s="32"/>
      <c r="X180" s="38"/>
      <c r="Z180" s="29"/>
      <c r="AA180" s="29"/>
      <c r="AB180" s="29"/>
      <c r="AC180" s="29"/>
    </row>
    <row r="181" spans="22:29" x14ac:dyDescent="0.25">
      <c r="V181" s="32"/>
      <c r="W181" s="32"/>
      <c r="X181" s="38"/>
      <c r="Z181" s="29"/>
      <c r="AA181" s="29"/>
      <c r="AB181" s="29"/>
      <c r="AC181" s="29"/>
    </row>
    <row r="182" spans="22:29" x14ac:dyDescent="0.25">
      <c r="V182" s="32"/>
      <c r="W182" s="32"/>
      <c r="X182" s="38"/>
      <c r="Z182" s="29"/>
      <c r="AA182" s="29"/>
      <c r="AB182" s="29"/>
      <c r="AC182" s="29"/>
    </row>
    <row r="183" spans="22:29" x14ac:dyDescent="0.25">
      <c r="V183" s="32"/>
      <c r="W183" s="32"/>
      <c r="X183" s="38"/>
      <c r="Z183" s="29"/>
      <c r="AA183" s="29"/>
      <c r="AB183" s="29"/>
      <c r="AC183" s="29"/>
    </row>
    <row r="184" spans="22:29" x14ac:dyDescent="0.25">
      <c r="V184" s="32"/>
      <c r="W184" s="32"/>
      <c r="X184" s="38"/>
      <c r="Z184" s="29"/>
      <c r="AA184" s="29"/>
      <c r="AB184" s="29"/>
      <c r="AC184" s="29"/>
    </row>
    <row r="185" spans="22:29" x14ac:dyDescent="0.25">
      <c r="V185" s="32"/>
      <c r="W185" s="32"/>
      <c r="X185" s="38"/>
      <c r="Z185" s="29"/>
      <c r="AA185" s="29"/>
      <c r="AB185" s="29"/>
      <c r="AC185" s="29"/>
    </row>
    <row r="186" spans="22:29" x14ac:dyDescent="0.25">
      <c r="V186" s="32"/>
      <c r="W186" s="32"/>
      <c r="X186" s="38"/>
      <c r="Z186" s="29"/>
      <c r="AA186" s="29"/>
      <c r="AB186" s="29"/>
      <c r="AC186" s="29"/>
    </row>
    <row r="187" spans="22:29" x14ac:dyDescent="0.25">
      <c r="V187" s="32"/>
      <c r="W187" s="32"/>
      <c r="X187" s="38"/>
      <c r="Z187" s="29"/>
      <c r="AA187" s="29"/>
      <c r="AB187" s="29"/>
      <c r="AC187" s="29"/>
    </row>
    <row r="188" spans="22:29" x14ac:dyDescent="0.25">
      <c r="V188" s="32"/>
      <c r="W188" s="32"/>
      <c r="X188" s="38"/>
      <c r="Z188" s="29"/>
      <c r="AA188" s="29"/>
      <c r="AB188" s="29"/>
      <c r="AC188" s="29"/>
    </row>
    <row r="189" spans="22:29" x14ac:dyDescent="0.25">
      <c r="V189" s="32"/>
      <c r="W189" s="32"/>
      <c r="X189" s="38"/>
      <c r="Z189" s="29"/>
      <c r="AA189" s="29"/>
      <c r="AB189" s="29"/>
      <c r="AC189" s="29"/>
    </row>
    <row r="190" spans="22:29" x14ac:dyDescent="0.25">
      <c r="Z190" s="29"/>
      <c r="AA190" s="29"/>
      <c r="AB190" s="29"/>
      <c r="AC190" s="29"/>
    </row>
    <row r="191" spans="22:29" x14ac:dyDescent="0.25">
      <c r="Z191" s="29"/>
      <c r="AA191" s="29"/>
      <c r="AB191" s="29"/>
      <c r="AC191" s="29"/>
    </row>
    <row r="192" spans="22:29" x14ac:dyDescent="0.25">
      <c r="Z192" s="29"/>
      <c r="AA192" s="29"/>
      <c r="AB192" s="29"/>
      <c r="AC192" s="29"/>
    </row>
    <row r="193" spans="26:29" x14ac:dyDescent="0.25">
      <c r="Z193" s="29"/>
      <c r="AA193" s="29"/>
      <c r="AB193" s="29"/>
      <c r="AC193" s="29"/>
    </row>
    <row r="194" spans="26:29" x14ac:dyDescent="0.25">
      <c r="Z194" s="29"/>
      <c r="AA194" s="29"/>
      <c r="AB194" s="29"/>
      <c r="AC194" s="29"/>
    </row>
    <row r="195" spans="26:29" x14ac:dyDescent="0.25">
      <c r="Z195" s="29"/>
      <c r="AA195" s="29"/>
      <c r="AB195" s="29"/>
      <c r="AC195" s="29"/>
    </row>
    <row r="196" spans="26:29" x14ac:dyDescent="0.25">
      <c r="Z196" s="29"/>
      <c r="AA196" s="29"/>
      <c r="AB196" s="29"/>
      <c r="AC196" s="29"/>
    </row>
    <row r="197" spans="26:29" x14ac:dyDescent="0.25">
      <c r="Z197" s="29"/>
      <c r="AA197" s="29"/>
      <c r="AB197" s="29"/>
      <c r="AC197" s="29"/>
    </row>
    <row r="198" spans="26:29" x14ac:dyDescent="0.25">
      <c r="Z198" s="29"/>
      <c r="AA198" s="29"/>
      <c r="AB198" s="29"/>
      <c r="AC198" s="29"/>
    </row>
    <row r="199" spans="26:29" x14ac:dyDescent="0.25">
      <c r="Z199" s="29"/>
      <c r="AA199" s="29"/>
      <c r="AB199" s="29"/>
      <c r="AC199" s="29"/>
    </row>
    <row r="200" spans="26:29" x14ac:dyDescent="0.25">
      <c r="Z200" s="29"/>
      <c r="AA200" s="29"/>
      <c r="AB200" s="29"/>
      <c r="AC200" s="29"/>
    </row>
    <row r="201" spans="26:29" x14ac:dyDescent="0.25">
      <c r="Z201" s="29"/>
      <c r="AA201" s="29"/>
      <c r="AB201" s="29"/>
      <c r="AC201" s="29"/>
    </row>
    <row r="202" spans="26:29" x14ac:dyDescent="0.25">
      <c r="Z202" s="29"/>
      <c r="AA202" s="29"/>
      <c r="AB202" s="29"/>
      <c r="AC202" s="29"/>
    </row>
    <row r="203" spans="26:29" x14ac:dyDescent="0.25">
      <c r="Z203" s="29"/>
      <c r="AA203" s="29"/>
      <c r="AB203" s="29"/>
      <c r="AC203" s="29"/>
    </row>
    <row r="204" spans="26:29" x14ac:dyDescent="0.25">
      <c r="Z204" s="29"/>
      <c r="AA204" s="29"/>
      <c r="AB204" s="29"/>
      <c r="AC204" s="29"/>
    </row>
    <row r="205" spans="26:29" x14ac:dyDescent="0.25">
      <c r="Z205" s="29"/>
      <c r="AA205" s="29"/>
      <c r="AB205" s="29"/>
      <c r="AC205" s="29"/>
    </row>
    <row r="206" spans="26:29" x14ac:dyDescent="0.25">
      <c r="Z206" s="29"/>
      <c r="AA206" s="29"/>
      <c r="AB206" s="29"/>
      <c r="AC206" s="29"/>
    </row>
    <row r="207" spans="26:29" x14ac:dyDescent="0.25">
      <c r="Z207" s="29"/>
      <c r="AA207" s="29"/>
      <c r="AB207" s="29"/>
      <c r="AC207" s="29"/>
    </row>
    <row r="208" spans="26:29" x14ac:dyDescent="0.25">
      <c r="Z208" s="29"/>
      <c r="AA208" s="29"/>
      <c r="AB208" s="29"/>
      <c r="AC208" s="29"/>
    </row>
    <row r="209" spans="26:29" x14ac:dyDescent="0.25">
      <c r="Z209" s="29"/>
      <c r="AA209" s="29"/>
      <c r="AB209" s="29"/>
      <c r="AC209" s="29"/>
    </row>
    <row r="210" spans="26:29" x14ac:dyDescent="0.25">
      <c r="Z210" s="29"/>
      <c r="AA210" s="29"/>
      <c r="AB210" s="29"/>
      <c r="AC210" s="29"/>
    </row>
    <row r="211" spans="26:29" x14ac:dyDescent="0.25">
      <c r="Z211" s="29"/>
      <c r="AA211" s="29"/>
      <c r="AB211" s="29"/>
      <c r="AC211" s="29"/>
    </row>
    <row r="212" spans="26:29" x14ac:dyDescent="0.25">
      <c r="Z212" s="29"/>
      <c r="AA212" s="29"/>
      <c r="AB212" s="29"/>
      <c r="AC212" s="29"/>
    </row>
    <row r="213" spans="26:29" x14ac:dyDescent="0.25">
      <c r="Z213" s="29"/>
      <c r="AA213" s="29"/>
      <c r="AB213" s="29"/>
      <c r="AC213" s="29"/>
    </row>
    <row r="214" spans="26:29" x14ac:dyDescent="0.25">
      <c r="Z214" s="29"/>
      <c r="AA214" s="29"/>
      <c r="AB214" s="29"/>
      <c r="AC214" s="29"/>
    </row>
    <row r="215" spans="26:29" x14ac:dyDescent="0.25">
      <c r="Z215" s="29"/>
      <c r="AA215" s="29"/>
      <c r="AB215" s="29"/>
      <c r="AC215" s="29"/>
    </row>
    <row r="216" spans="26:29" x14ac:dyDescent="0.25">
      <c r="Z216" s="29"/>
      <c r="AA216" s="29"/>
      <c r="AB216" s="29"/>
      <c r="AC216" s="29"/>
    </row>
    <row r="217" spans="26:29" x14ac:dyDescent="0.25">
      <c r="Z217" s="29"/>
      <c r="AA217" s="29"/>
      <c r="AB217" s="29"/>
      <c r="AC217" s="29"/>
    </row>
    <row r="218" spans="26:29" x14ac:dyDescent="0.25">
      <c r="Z218" s="29"/>
      <c r="AA218" s="29"/>
      <c r="AB218" s="29"/>
      <c r="AC218" s="29"/>
    </row>
    <row r="219" spans="26:29" x14ac:dyDescent="0.25">
      <c r="Z219" s="29"/>
      <c r="AA219" s="29"/>
      <c r="AB219" s="29"/>
      <c r="AC219" s="29"/>
    </row>
    <row r="220" spans="26:29" x14ac:dyDescent="0.25">
      <c r="Z220" s="29"/>
      <c r="AA220" s="29"/>
      <c r="AB220" s="29"/>
      <c r="AC220" s="29"/>
    </row>
    <row r="221" spans="26:29" x14ac:dyDescent="0.25">
      <c r="Z221" s="29"/>
      <c r="AA221" s="29"/>
      <c r="AB221" s="29"/>
      <c r="AC221" s="29"/>
    </row>
    <row r="222" spans="26:29" x14ac:dyDescent="0.25">
      <c r="Z222" s="29"/>
      <c r="AA222" s="29"/>
      <c r="AB222" s="29"/>
      <c r="AC222" s="29"/>
    </row>
    <row r="223" spans="26:29" x14ac:dyDescent="0.25">
      <c r="Z223" s="29"/>
      <c r="AA223" s="29"/>
      <c r="AB223" s="29"/>
      <c r="AC223" s="29"/>
    </row>
    <row r="224" spans="26:29" x14ac:dyDescent="0.25">
      <c r="Z224" s="29"/>
      <c r="AA224" s="29"/>
      <c r="AB224" s="29"/>
      <c r="AC224" s="29"/>
    </row>
    <row r="225" spans="26:29" x14ac:dyDescent="0.25">
      <c r="Z225" s="29"/>
      <c r="AA225" s="29"/>
      <c r="AB225" s="29"/>
      <c r="AC225" s="29"/>
    </row>
    <row r="226" spans="26:29" x14ac:dyDescent="0.25">
      <c r="Z226" s="29"/>
      <c r="AA226" s="29"/>
      <c r="AB226" s="29"/>
      <c r="AC226" s="29"/>
    </row>
    <row r="227" spans="26:29" x14ac:dyDescent="0.25">
      <c r="Z227" s="29"/>
      <c r="AA227" s="29"/>
      <c r="AB227" s="29"/>
      <c r="AC227" s="29"/>
    </row>
    <row r="228" spans="26:29" x14ac:dyDescent="0.25">
      <c r="Z228" s="29"/>
      <c r="AA228" s="29"/>
      <c r="AB228" s="29"/>
      <c r="AC228" s="29"/>
    </row>
    <row r="229" spans="26:29" x14ac:dyDescent="0.25">
      <c r="Z229" s="29"/>
      <c r="AA229" s="29"/>
      <c r="AB229" s="29"/>
      <c r="AC229" s="29"/>
    </row>
    <row r="230" spans="26:29" x14ac:dyDescent="0.25">
      <c r="Z230" s="29"/>
      <c r="AA230" s="29"/>
      <c r="AB230" s="29"/>
      <c r="AC230" s="29"/>
    </row>
    <row r="231" spans="26:29" x14ac:dyDescent="0.25">
      <c r="Z231" s="29"/>
      <c r="AA231" s="29"/>
      <c r="AB231" s="29"/>
      <c r="AC231" s="29"/>
    </row>
    <row r="232" spans="26:29" x14ac:dyDescent="0.25">
      <c r="Z232" s="29"/>
      <c r="AA232" s="29"/>
      <c r="AB232" s="29"/>
      <c r="AC232" s="29"/>
    </row>
    <row r="233" spans="26:29" x14ac:dyDescent="0.25">
      <c r="Z233" s="29"/>
      <c r="AA233" s="29"/>
      <c r="AB233" s="29"/>
      <c r="AC233" s="29"/>
    </row>
    <row r="234" spans="26:29" x14ac:dyDescent="0.25">
      <c r="Z234" s="29"/>
      <c r="AA234" s="29"/>
      <c r="AB234" s="29"/>
      <c r="AC234" s="29"/>
    </row>
    <row r="235" spans="26:29" x14ac:dyDescent="0.25">
      <c r="Z235" s="29"/>
      <c r="AA235" s="29"/>
      <c r="AB235" s="29"/>
      <c r="AC235" s="29"/>
    </row>
    <row r="236" spans="26:29" x14ac:dyDescent="0.25">
      <c r="Z236" s="29"/>
      <c r="AA236" s="29"/>
      <c r="AB236" s="29"/>
      <c r="AC236" s="29"/>
    </row>
    <row r="237" spans="26:29" x14ac:dyDescent="0.25">
      <c r="Z237" s="29"/>
      <c r="AA237" s="29"/>
      <c r="AB237" s="29"/>
      <c r="AC237" s="29"/>
    </row>
    <row r="238" spans="26:29" x14ac:dyDescent="0.25">
      <c r="Z238" s="29"/>
      <c r="AA238" s="29"/>
      <c r="AB238" s="29"/>
      <c r="AC238" s="29"/>
    </row>
    <row r="239" spans="26:29" x14ac:dyDescent="0.25">
      <c r="Z239" s="29"/>
      <c r="AA239" s="29"/>
      <c r="AB239" s="29"/>
      <c r="AC239" s="29"/>
    </row>
    <row r="240" spans="26:29" x14ac:dyDescent="0.25">
      <c r="Z240" s="29"/>
      <c r="AA240" s="29"/>
      <c r="AB240" s="29"/>
      <c r="AC240" s="29"/>
    </row>
    <row r="241" spans="26:29" x14ac:dyDescent="0.25">
      <c r="Z241" s="29"/>
      <c r="AA241" s="29"/>
      <c r="AB241" s="29"/>
      <c r="AC241" s="29"/>
    </row>
    <row r="242" spans="26:29" x14ac:dyDescent="0.25">
      <c r="Z242" s="29"/>
      <c r="AA242" s="29"/>
      <c r="AB242" s="29"/>
      <c r="AC242" s="29"/>
    </row>
    <row r="243" spans="26:29" x14ac:dyDescent="0.25">
      <c r="Z243" s="29"/>
      <c r="AA243" s="29"/>
      <c r="AB243" s="29"/>
      <c r="AC243" s="29"/>
    </row>
    <row r="244" spans="26:29" x14ac:dyDescent="0.25">
      <c r="Z244" s="29"/>
      <c r="AA244" s="29"/>
      <c r="AB244" s="29"/>
      <c r="AC244" s="29"/>
    </row>
    <row r="245" spans="26:29" x14ac:dyDescent="0.25">
      <c r="Z245" s="29"/>
      <c r="AA245" s="29"/>
      <c r="AB245" s="29"/>
      <c r="AC245" s="29"/>
    </row>
    <row r="246" spans="26:29" x14ac:dyDescent="0.25">
      <c r="Z246" s="29"/>
      <c r="AA246" s="29"/>
      <c r="AB246" s="29"/>
      <c r="AC246" s="29"/>
    </row>
    <row r="247" spans="26:29" x14ac:dyDescent="0.25">
      <c r="Z247" s="29"/>
      <c r="AA247" s="29"/>
      <c r="AB247" s="29"/>
      <c r="AC247" s="29"/>
    </row>
    <row r="248" spans="26:29" x14ac:dyDescent="0.25">
      <c r="Z248" s="29"/>
      <c r="AA248" s="29"/>
      <c r="AB248" s="29"/>
      <c r="AC248" s="29"/>
    </row>
    <row r="249" spans="26:29" x14ac:dyDescent="0.25">
      <c r="Z249" s="29"/>
      <c r="AA249" s="29"/>
      <c r="AB249" s="29"/>
      <c r="AC249" s="29"/>
    </row>
    <row r="250" spans="26:29" x14ac:dyDescent="0.25">
      <c r="Z250" s="29"/>
      <c r="AA250" s="29"/>
      <c r="AB250" s="29"/>
      <c r="AC250" s="29"/>
    </row>
    <row r="251" spans="26:29" x14ac:dyDescent="0.25">
      <c r="Z251" s="29"/>
      <c r="AA251" s="29"/>
      <c r="AB251" s="29"/>
      <c r="AC251" s="29"/>
    </row>
    <row r="252" spans="26:29" x14ac:dyDescent="0.25">
      <c r="Z252" s="29"/>
      <c r="AA252" s="29"/>
      <c r="AB252" s="29"/>
      <c r="AC252" s="29"/>
    </row>
    <row r="253" spans="26:29" x14ac:dyDescent="0.25">
      <c r="Z253" s="29"/>
      <c r="AA253" s="29"/>
      <c r="AB253" s="29"/>
      <c r="AC253" s="29"/>
    </row>
    <row r="254" spans="26:29" x14ac:dyDescent="0.25">
      <c r="Z254" s="29"/>
      <c r="AA254" s="29"/>
      <c r="AB254" s="29"/>
      <c r="AC254" s="29"/>
    </row>
    <row r="255" spans="26:29" x14ac:dyDescent="0.25">
      <c r="Z255" s="29"/>
      <c r="AA255" s="29"/>
      <c r="AB255" s="29"/>
      <c r="AC255" s="29"/>
    </row>
    <row r="256" spans="26:29" x14ac:dyDescent="0.25">
      <c r="Z256" s="29"/>
      <c r="AA256" s="29"/>
      <c r="AB256" s="29"/>
      <c r="AC256" s="29"/>
    </row>
    <row r="257" spans="26:29" x14ac:dyDescent="0.25">
      <c r="Z257" s="29"/>
      <c r="AA257" s="29"/>
      <c r="AB257" s="29"/>
      <c r="AC257" s="29"/>
    </row>
    <row r="258" spans="26:29" x14ac:dyDescent="0.25">
      <c r="Z258" s="29"/>
      <c r="AA258" s="29"/>
      <c r="AB258" s="29"/>
      <c r="AC258" s="29"/>
    </row>
    <row r="259" spans="26:29" x14ac:dyDescent="0.25">
      <c r="Z259" s="29"/>
      <c r="AA259" s="29"/>
      <c r="AB259" s="29"/>
      <c r="AC259" s="29"/>
    </row>
    <row r="260" spans="26:29" x14ac:dyDescent="0.25">
      <c r="Z260" s="29"/>
      <c r="AA260" s="29"/>
      <c r="AB260" s="29"/>
      <c r="AC260" s="29"/>
    </row>
    <row r="261" spans="26:29" x14ac:dyDescent="0.25">
      <c r="Z261" s="29"/>
      <c r="AA261" s="29"/>
      <c r="AB261" s="29"/>
      <c r="AC261" s="29"/>
    </row>
    <row r="262" spans="26:29" x14ac:dyDescent="0.25">
      <c r="Z262" s="29"/>
      <c r="AA262" s="29"/>
      <c r="AB262" s="29"/>
      <c r="AC262" s="29"/>
    </row>
    <row r="263" spans="26:29" x14ac:dyDescent="0.25">
      <c r="Z263" s="29"/>
      <c r="AA263" s="29"/>
      <c r="AB263" s="29"/>
      <c r="AC263" s="29"/>
    </row>
    <row r="264" spans="26:29" x14ac:dyDescent="0.25">
      <c r="Z264" s="29"/>
      <c r="AA264" s="29"/>
      <c r="AB264" s="29"/>
      <c r="AC264" s="29"/>
    </row>
    <row r="265" spans="26:29" x14ac:dyDescent="0.25">
      <c r="Z265" s="29"/>
      <c r="AA265" s="29"/>
      <c r="AB265" s="29"/>
      <c r="AC265" s="29"/>
    </row>
    <row r="266" spans="26:29" x14ac:dyDescent="0.25">
      <c r="Z266" s="29"/>
      <c r="AA266" s="29"/>
      <c r="AB266" s="29"/>
      <c r="AC266" s="29"/>
    </row>
    <row r="267" spans="26:29" x14ac:dyDescent="0.25">
      <c r="Z267" s="29"/>
      <c r="AA267" s="29"/>
      <c r="AB267" s="29"/>
      <c r="AC267" s="29"/>
    </row>
    <row r="268" spans="26:29" x14ac:dyDescent="0.25">
      <c r="Z268" s="29"/>
      <c r="AA268" s="29"/>
      <c r="AB268" s="29"/>
      <c r="AC268" s="29"/>
    </row>
    <row r="269" spans="26:29" x14ac:dyDescent="0.25">
      <c r="Z269" s="29"/>
      <c r="AA269" s="29"/>
      <c r="AB269" s="29"/>
      <c r="AC269" s="29"/>
    </row>
    <row r="270" spans="26:29" x14ac:dyDescent="0.25">
      <c r="Z270" s="29"/>
      <c r="AA270" s="29"/>
      <c r="AB270" s="29"/>
      <c r="AC270" s="29"/>
    </row>
    <row r="271" spans="26:29" x14ac:dyDescent="0.25">
      <c r="Z271" s="29"/>
      <c r="AA271" s="29"/>
      <c r="AB271" s="29"/>
      <c r="AC271" s="29"/>
    </row>
    <row r="272" spans="26:29" x14ac:dyDescent="0.25">
      <c r="Z272" s="29"/>
      <c r="AA272" s="29"/>
      <c r="AB272" s="29"/>
      <c r="AC272" s="29"/>
    </row>
    <row r="273" spans="26:29" x14ac:dyDescent="0.25">
      <c r="Z273" s="29"/>
      <c r="AA273" s="29"/>
      <c r="AB273" s="29"/>
      <c r="AC273" s="29"/>
    </row>
    <row r="274" spans="26:29" x14ac:dyDescent="0.25">
      <c r="Z274" s="29"/>
      <c r="AA274" s="29"/>
      <c r="AB274" s="29"/>
      <c r="AC274" s="29"/>
    </row>
    <row r="275" spans="26:29" x14ac:dyDescent="0.25">
      <c r="Z275" s="29"/>
      <c r="AA275" s="29"/>
      <c r="AB275" s="29"/>
      <c r="AC275" s="29"/>
    </row>
    <row r="276" spans="26:29" x14ac:dyDescent="0.25">
      <c r="Z276" s="29"/>
      <c r="AA276" s="29"/>
      <c r="AB276" s="29"/>
      <c r="AC276" s="29"/>
    </row>
    <row r="277" spans="26:29" x14ac:dyDescent="0.25">
      <c r="Z277" s="29"/>
      <c r="AA277" s="29"/>
      <c r="AB277" s="29"/>
      <c r="AC277" s="29"/>
    </row>
    <row r="278" spans="26:29" x14ac:dyDescent="0.25">
      <c r="Z278" s="29"/>
      <c r="AA278" s="29"/>
      <c r="AB278" s="29"/>
      <c r="AC278" s="29"/>
    </row>
    <row r="279" spans="26:29" x14ac:dyDescent="0.25">
      <c r="Z279" s="29"/>
      <c r="AA279" s="29"/>
      <c r="AB279" s="29"/>
      <c r="AC279" s="29"/>
    </row>
    <row r="280" spans="26:29" x14ac:dyDescent="0.25">
      <c r="Z280" s="29"/>
      <c r="AA280" s="29"/>
      <c r="AB280" s="29"/>
      <c r="AC280" s="29"/>
    </row>
    <row r="281" spans="26:29" x14ac:dyDescent="0.25">
      <c r="Z281" s="29"/>
      <c r="AA281" s="29"/>
      <c r="AB281" s="29"/>
      <c r="AC281" s="29"/>
    </row>
    <row r="282" spans="26:29" x14ac:dyDescent="0.25">
      <c r="Z282" s="29"/>
      <c r="AA282" s="29"/>
      <c r="AB282" s="29"/>
      <c r="AC282" s="29"/>
    </row>
    <row r="283" spans="26:29" x14ac:dyDescent="0.25">
      <c r="Z283" s="29"/>
      <c r="AA283" s="29"/>
      <c r="AB283" s="29"/>
      <c r="AC283" s="29"/>
    </row>
    <row r="284" spans="26:29" x14ac:dyDescent="0.25">
      <c r="Z284" s="29"/>
      <c r="AA284" s="29"/>
      <c r="AB284" s="29"/>
      <c r="AC284" s="29"/>
    </row>
    <row r="285" spans="26:29" x14ac:dyDescent="0.25">
      <c r="Z285" s="29"/>
      <c r="AA285" s="29"/>
      <c r="AB285" s="29"/>
      <c r="AC285" s="29"/>
    </row>
    <row r="286" spans="26:29" x14ac:dyDescent="0.25">
      <c r="Z286" s="29"/>
      <c r="AA286" s="29"/>
      <c r="AB286" s="29"/>
      <c r="AC286" s="29"/>
    </row>
    <row r="287" spans="26:29" x14ac:dyDescent="0.25">
      <c r="Z287" s="29"/>
      <c r="AA287" s="29"/>
      <c r="AB287" s="29"/>
      <c r="AC287" s="29"/>
    </row>
    <row r="288" spans="26:29" x14ac:dyDescent="0.25">
      <c r="Z288" s="29"/>
      <c r="AA288" s="29"/>
      <c r="AB288" s="29"/>
      <c r="AC288" s="29"/>
    </row>
    <row r="289" spans="26:29" x14ac:dyDescent="0.25">
      <c r="Z289" s="29"/>
      <c r="AA289" s="29"/>
      <c r="AB289" s="29"/>
      <c r="AC289" s="29"/>
    </row>
    <row r="290" spans="26:29" x14ac:dyDescent="0.25">
      <c r="Z290" s="29"/>
      <c r="AA290" s="29"/>
      <c r="AB290" s="29"/>
      <c r="AC290" s="29"/>
    </row>
    <row r="291" spans="26:29" x14ac:dyDescent="0.25">
      <c r="Z291" s="29"/>
      <c r="AA291" s="29"/>
      <c r="AB291" s="29"/>
      <c r="AC291" s="29"/>
    </row>
    <row r="292" spans="26:29" x14ac:dyDescent="0.25">
      <c r="Z292" s="29"/>
      <c r="AA292" s="29"/>
      <c r="AB292" s="29"/>
      <c r="AC292" s="29"/>
    </row>
    <row r="293" spans="26:29" x14ac:dyDescent="0.25">
      <c r="Z293" s="29"/>
      <c r="AA293" s="29"/>
      <c r="AB293" s="29"/>
      <c r="AC293" s="29"/>
    </row>
    <row r="294" spans="26:29" x14ac:dyDescent="0.25">
      <c r="Z294" s="29"/>
      <c r="AA294" s="29"/>
      <c r="AB294" s="29"/>
      <c r="AC294" s="29"/>
    </row>
    <row r="295" spans="26:29" x14ac:dyDescent="0.25">
      <c r="Z295" s="29"/>
      <c r="AA295" s="29"/>
      <c r="AB295" s="29"/>
      <c r="AC295" s="29"/>
    </row>
    <row r="296" spans="26:29" x14ac:dyDescent="0.25">
      <c r="Z296" s="29"/>
      <c r="AA296" s="29"/>
      <c r="AB296" s="29"/>
      <c r="AC296" s="29"/>
    </row>
    <row r="297" spans="26:29" x14ac:dyDescent="0.25">
      <c r="Z297" s="29"/>
      <c r="AA297" s="29"/>
      <c r="AB297" s="29"/>
      <c r="AC297" s="29"/>
    </row>
    <row r="298" spans="26:29" x14ac:dyDescent="0.25">
      <c r="Z298" s="29"/>
      <c r="AA298" s="29"/>
      <c r="AB298" s="29"/>
      <c r="AC298" s="29"/>
    </row>
    <row r="299" spans="26:29" x14ac:dyDescent="0.25">
      <c r="Z299" s="29"/>
      <c r="AA299" s="29"/>
      <c r="AB299" s="29"/>
      <c r="AC299" s="29"/>
    </row>
    <row r="300" spans="26:29" x14ac:dyDescent="0.25">
      <c r="Z300" s="29"/>
      <c r="AA300" s="29"/>
      <c r="AB300" s="29"/>
      <c r="AC300" s="29"/>
    </row>
    <row r="301" spans="26:29" x14ac:dyDescent="0.25">
      <c r="Z301" s="29"/>
      <c r="AA301" s="29"/>
      <c r="AB301" s="29"/>
      <c r="AC301" s="29"/>
    </row>
    <row r="302" spans="26:29" x14ac:dyDescent="0.25">
      <c r="Z302" s="29"/>
      <c r="AA302" s="29"/>
      <c r="AB302" s="29"/>
      <c r="AC302" s="29"/>
    </row>
    <row r="303" spans="26:29" x14ac:dyDescent="0.25">
      <c r="Z303" s="29"/>
      <c r="AA303" s="29"/>
      <c r="AB303" s="29"/>
      <c r="AC303" s="29"/>
    </row>
    <row r="304" spans="26:29" x14ac:dyDescent="0.25">
      <c r="Z304" s="29"/>
      <c r="AA304" s="29"/>
      <c r="AB304" s="29"/>
      <c r="AC304" s="29"/>
    </row>
    <row r="305" spans="26:29" x14ac:dyDescent="0.25">
      <c r="Z305" s="29"/>
      <c r="AA305" s="29"/>
      <c r="AB305" s="29"/>
      <c r="AC305" s="29"/>
    </row>
    <row r="306" spans="26:29" x14ac:dyDescent="0.25">
      <c r="Z306" s="29"/>
      <c r="AA306" s="29"/>
      <c r="AB306" s="29"/>
      <c r="AC306" s="29"/>
    </row>
    <row r="307" spans="26:29" x14ac:dyDescent="0.25">
      <c r="Z307" s="29"/>
      <c r="AA307" s="29"/>
      <c r="AB307" s="29"/>
      <c r="AC307" s="29"/>
    </row>
    <row r="308" spans="26:29" x14ac:dyDescent="0.25">
      <c r="Z308" s="29"/>
      <c r="AA308" s="29"/>
      <c r="AB308" s="29"/>
      <c r="AC308" s="29"/>
    </row>
    <row r="309" spans="26:29" x14ac:dyDescent="0.25">
      <c r="Z309" s="29"/>
      <c r="AA309" s="29"/>
      <c r="AB309" s="29"/>
      <c r="AC309" s="29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66"/>
  <sheetViews>
    <sheetView workbookViewId="0">
      <selection activeCell="H7" sqref="H7"/>
    </sheetView>
  </sheetViews>
  <sheetFormatPr defaultColWidth="8.85546875" defaultRowHeight="15" x14ac:dyDescent="0.25"/>
  <cols>
    <col min="1" max="1" width="7.42578125" style="26" customWidth="1"/>
    <col min="2" max="2" width="46.42578125" style="26" customWidth="1"/>
    <col min="3" max="3" width="11.140625" style="26" bestFit="1" customWidth="1"/>
    <col min="4" max="13" width="9" style="26" bestFit="1" customWidth="1"/>
    <col min="14" max="14" width="9" style="26" customWidth="1"/>
    <col min="15" max="16" width="13.140625" style="26" customWidth="1"/>
    <col min="17" max="17" width="12.140625" style="26" bestFit="1" customWidth="1"/>
    <col min="19" max="19" width="2.85546875" style="26" customWidth="1"/>
    <col min="20" max="16384" width="8.85546875" style="26"/>
  </cols>
  <sheetData>
    <row r="1" spans="1:19" ht="18.75" x14ac:dyDescent="0.3">
      <c r="A1" s="149" t="s">
        <v>66</v>
      </c>
      <c r="B1" s="39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39"/>
      <c r="P1" s="39"/>
      <c r="Q1" s="39"/>
    </row>
    <row r="2" spans="1:19" ht="21" x14ac:dyDescent="0.35">
      <c r="A2" s="122" t="s">
        <v>117</v>
      </c>
      <c r="B2" s="6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Q2" s="7"/>
    </row>
    <row r="3" spans="1:19" ht="14.85" customHeight="1" x14ac:dyDescent="0.25">
      <c r="A3" s="151" t="s">
        <v>126</v>
      </c>
      <c r="B3" s="8"/>
      <c r="O3" s="125"/>
      <c r="P3" s="125"/>
      <c r="Q3" s="125"/>
      <c r="S3" s="13"/>
    </row>
    <row r="4" spans="1:19" ht="14.85" customHeight="1" x14ac:dyDescent="0.25">
      <c r="A4" s="18"/>
      <c r="B4" s="8"/>
      <c r="O4" s="125"/>
      <c r="P4" s="125"/>
      <c r="Q4" s="125"/>
      <c r="S4" s="13"/>
    </row>
    <row r="5" spans="1:19" ht="14.85" customHeight="1" thickBot="1" x14ac:dyDescent="0.3">
      <c r="A5" s="18"/>
      <c r="B5" s="8"/>
      <c r="O5" s="125"/>
      <c r="P5" s="125"/>
      <c r="Q5" s="125"/>
      <c r="S5" s="13"/>
    </row>
    <row r="6" spans="1:19" ht="30.75" thickBot="1" x14ac:dyDescent="0.3">
      <c r="A6" s="236" t="s">
        <v>73</v>
      </c>
      <c r="B6" s="235" t="s">
        <v>68</v>
      </c>
      <c r="C6" s="62">
        <v>44927</v>
      </c>
      <c r="D6" s="62">
        <v>44958</v>
      </c>
      <c r="E6" s="62">
        <v>44986</v>
      </c>
      <c r="F6" s="62">
        <v>45017</v>
      </c>
      <c r="G6" s="62">
        <v>45047</v>
      </c>
      <c r="H6" s="62">
        <v>45078</v>
      </c>
      <c r="I6" s="62">
        <v>45108</v>
      </c>
      <c r="J6" s="62">
        <v>45139</v>
      </c>
      <c r="K6" s="62">
        <v>45170</v>
      </c>
      <c r="L6" s="62">
        <v>45200</v>
      </c>
      <c r="M6" s="62">
        <v>45231</v>
      </c>
      <c r="N6" s="62">
        <v>45261</v>
      </c>
      <c r="O6" s="238" t="s">
        <v>127</v>
      </c>
      <c r="P6" s="238" t="s">
        <v>124</v>
      </c>
      <c r="Q6" s="238" t="s">
        <v>67</v>
      </c>
      <c r="S6" s="13"/>
    </row>
    <row r="7" spans="1:19" ht="14.1" customHeight="1" thickTop="1" x14ac:dyDescent="0.25">
      <c r="A7" s="168">
        <v>501</v>
      </c>
      <c r="B7" s="26" t="s">
        <v>110</v>
      </c>
      <c r="C7" s="242" t="e">
        <f>#REF!</f>
        <v>#REF!</v>
      </c>
      <c r="D7" s="243" t="e">
        <f>#REF!</f>
        <v>#REF!</v>
      </c>
      <c r="E7" s="243" t="e">
        <f>#REF!</f>
        <v>#REF!</v>
      </c>
      <c r="F7" s="243" t="e">
        <f>#REF!</f>
        <v>#REF!</v>
      </c>
      <c r="G7" s="243" t="e">
        <f>#REF!</f>
        <v>#REF!</v>
      </c>
      <c r="H7" s="243" t="e">
        <f>#REF!</f>
        <v>#REF!</v>
      </c>
      <c r="I7" s="243" t="e">
        <f>#REF!</f>
        <v>#REF!</v>
      </c>
      <c r="J7" s="243" t="e">
        <f>#REF!</f>
        <v>#REF!</v>
      </c>
      <c r="K7" s="243" t="e">
        <f>#REF!</f>
        <v>#REF!</v>
      </c>
      <c r="L7" s="243" t="e">
        <f>#REF!</f>
        <v>#REF!</v>
      </c>
      <c r="M7" s="243" t="e">
        <f>#REF!</f>
        <v>#REF!</v>
      </c>
      <c r="N7" s="243" t="e">
        <f>#REF!</f>
        <v>#REF!</v>
      </c>
      <c r="O7" s="405" t="e">
        <f t="shared" ref="O7:O24" si="0">SUM(C7:N7)</f>
        <v>#REF!</v>
      </c>
      <c r="P7" s="405" t="e">
        <f>#REF!</f>
        <v>#REF!</v>
      </c>
      <c r="Q7" s="388" t="e">
        <f t="shared" ref="Q7:Q24" si="1">O7-P7</f>
        <v>#REF!</v>
      </c>
      <c r="S7" s="13"/>
    </row>
    <row r="8" spans="1:19" ht="14.1" customHeight="1" x14ac:dyDescent="0.25">
      <c r="A8" s="168">
        <v>555</v>
      </c>
      <c r="B8" s="26" t="s">
        <v>152</v>
      </c>
      <c r="C8" s="219">
        <f>'14 EIM GHG'!$F$13/12/1000</f>
        <v>-178.39235147541729</v>
      </c>
      <c r="D8" s="220">
        <f>'14 EIM GHG'!$F$13/12/1000</f>
        <v>-178.39235147541729</v>
      </c>
      <c r="E8" s="220">
        <f>'14 EIM GHG'!$F$13/12/1000</f>
        <v>-178.39235147541729</v>
      </c>
      <c r="F8" s="220">
        <f>'14 EIM GHG'!$F$13/12/1000</f>
        <v>-178.39235147541729</v>
      </c>
      <c r="G8" s="220">
        <f>'14 EIM GHG'!$F$13/12/1000</f>
        <v>-178.39235147541729</v>
      </c>
      <c r="H8" s="220">
        <f>'14 EIM GHG'!$F$13/12/1000</f>
        <v>-178.39235147541729</v>
      </c>
      <c r="I8" s="220">
        <f>'14 EIM GHG'!$F$13/12/1000</f>
        <v>-178.39235147541729</v>
      </c>
      <c r="J8" s="220">
        <f>'14 EIM GHG'!$F$13/12/1000</f>
        <v>-178.39235147541729</v>
      </c>
      <c r="K8" s="220">
        <f>'14 EIM GHG'!$F$13/12/1000</f>
        <v>-178.39235147541729</v>
      </c>
      <c r="L8" s="220">
        <f>'14 EIM GHG'!$F$13/12/1000</f>
        <v>-178.39235147541729</v>
      </c>
      <c r="M8" s="220">
        <f>'14 EIM GHG'!$F$13/12/1000</f>
        <v>-178.39235147541729</v>
      </c>
      <c r="N8" s="220">
        <f>'14 EIM GHG'!$F$13/12/1000</f>
        <v>-178.39235147541729</v>
      </c>
      <c r="O8" s="403">
        <f t="shared" si="0"/>
        <v>-2140.7082177050079</v>
      </c>
      <c r="P8" s="403">
        <v>0</v>
      </c>
      <c r="Q8" s="223">
        <f t="shared" si="1"/>
        <v>-2140.7082177050079</v>
      </c>
      <c r="R8" s="1"/>
      <c r="S8" s="13"/>
    </row>
    <row r="9" spans="1:19" ht="14.1" customHeight="1" x14ac:dyDescent="0.25">
      <c r="A9" s="169" t="s">
        <v>0</v>
      </c>
      <c r="B9" s="26" t="s">
        <v>35</v>
      </c>
      <c r="C9" s="221" t="e">
        <f>#REF!/1000+#REF!/2/1000</f>
        <v>#REF!</v>
      </c>
      <c r="D9" s="222" t="e">
        <f>#REF!/1000+#REF!/2/1000</f>
        <v>#REF!</v>
      </c>
      <c r="E9" s="222" t="e">
        <f>#REF!/1000+#REF!/2/1000</f>
        <v>#REF!</v>
      </c>
      <c r="F9" s="222" t="e">
        <f>#REF!/1000+#REF!/2/1000</f>
        <v>#REF!</v>
      </c>
      <c r="G9" s="222" t="e">
        <f>#REF!/1000+#REF!/2/1000</f>
        <v>#REF!</v>
      </c>
      <c r="H9" s="222" t="e">
        <f>#REF!/1000+#REF!/2/1000</f>
        <v>#REF!</v>
      </c>
      <c r="I9" s="222" t="e">
        <f>#REF!/1000+#REF!/2/1000</f>
        <v>#REF!</v>
      </c>
      <c r="J9" s="222" t="e">
        <f>#REF!/1000+#REF!/2/1000</f>
        <v>#REF!</v>
      </c>
      <c r="K9" s="222" t="e">
        <f>#REF!/1000+#REF!/2/1000</f>
        <v>#REF!</v>
      </c>
      <c r="L9" s="222" t="e">
        <f>#REF!/1000+#REF!/2/1000</f>
        <v>#REF!</v>
      </c>
      <c r="M9" s="222" t="e">
        <f>#REF!/1000+#REF!/2/1000</f>
        <v>#REF!</v>
      </c>
      <c r="N9" s="222" t="e">
        <f>#REF!/1000+#REF!/2/1000</f>
        <v>#REF!</v>
      </c>
      <c r="O9" s="404" t="e">
        <f t="shared" si="0"/>
        <v>#REF!</v>
      </c>
      <c r="P9" s="404" t="e">
        <f>#REF!/1000</f>
        <v>#REF!</v>
      </c>
      <c r="Q9" s="223" t="e">
        <f t="shared" si="1"/>
        <v>#REF!</v>
      </c>
      <c r="S9" s="13"/>
    </row>
    <row r="10" spans="1:19" ht="14.1" customHeight="1" x14ac:dyDescent="0.25">
      <c r="A10" s="167" t="s">
        <v>0</v>
      </c>
      <c r="B10" s="26" t="s">
        <v>36</v>
      </c>
      <c r="C10" s="221" t="e">
        <f>#REF!/1000+#REF!/2/1000</f>
        <v>#REF!</v>
      </c>
      <c r="D10" s="222" t="e">
        <f>#REF!/1000+#REF!/2/1000</f>
        <v>#REF!</v>
      </c>
      <c r="E10" s="222" t="e">
        <f>#REF!/1000+#REF!/2/1000</f>
        <v>#REF!</v>
      </c>
      <c r="F10" s="222" t="e">
        <f>#REF!/1000+#REF!/2/1000</f>
        <v>#REF!</v>
      </c>
      <c r="G10" s="222" t="e">
        <f>#REF!/1000+#REF!/2/1000</f>
        <v>#REF!</v>
      </c>
      <c r="H10" s="222" t="e">
        <f>#REF!/1000+#REF!/2/1000</f>
        <v>#REF!</v>
      </c>
      <c r="I10" s="222" t="e">
        <f>#REF!/1000+#REF!/2/1000</f>
        <v>#REF!</v>
      </c>
      <c r="J10" s="222" t="e">
        <f>#REF!/1000+#REF!/2/1000</f>
        <v>#REF!</v>
      </c>
      <c r="K10" s="222" t="e">
        <f>#REF!/1000+#REF!/2/1000</f>
        <v>#REF!</v>
      </c>
      <c r="L10" s="222" t="e">
        <f>#REF!/1000+#REF!/2/1000</f>
        <v>#REF!</v>
      </c>
      <c r="M10" s="222" t="e">
        <f>#REF!/1000+#REF!/2/1000</f>
        <v>#REF!</v>
      </c>
      <c r="N10" s="222" t="e">
        <f>#REF!/1000+#REF!/2/1000</f>
        <v>#REF!</v>
      </c>
      <c r="O10" s="404" t="e">
        <f t="shared" si="0"/>
        <v>#REF!</v>
      </c>
      <c r="P10" s="404" t="e">
        <f>#REF!/1000</f>
        <v>#REF!</v>
      </c>
      <c r="Q10" s="223" t="e">
        <f t="shared" si="1"/>
        <v>#REF!</v>
      </c>
      <c r="S10" s="13"/>
    </row>
    <row r="11" spans="1:19" ht="14.1" customHeight="1" x14ac:dyDescent="0.25">
      <c r="A11" s="167" t="s">
        <v>0</v>
      </c>
      <c r="B11" s="26" t="s">
        <v>38</v>
      </c>
      <c r="C11" s="221" t="e">
        <f>#REF!/1000</f>
        <v>#REF!</v>
      </c>
      <c r="D11" s="222" t="e">
        <f>#REF!/1000</f>
        <v>#REF!</v>
      </c>
      <c r="E11" s="222" t="e">
        <f>#REF!/1000</f>
        <v>#REF!</v>
      </c>
      <c r="F11" s="222" t="e">
        <f>#REF!/1000</f>
        <v>#REF!</v>
      </c>
      <c r="G11" s="222" t="e">
        <f>#REF!/1000</f>
        <v>#REF!</v>
      </c>
      <c r="H11" s="222" t="e">
        <f>#REF!/1000</f>
        <v>#REF!</v>
      </c>
      <c r="I11" s="222" t="e">
        <f>#REF!/1000</f>
        <v>#REF!</v>
      </c>
      <c r="J11" s="222" t="e">
        <f>#REF!/1000</f>
        <v>#REF!</v>
      </c>
      <c r="K11" s="222" t="e">
        <f>#REF!/1000</f>
        <v>#REF!</v>
      </c>
      <c r="L11" s="222" t="e">
        <f>#REF!/1000</f>
        <v>#REF!</v>
      </c>
      <c r="M11" s="222" t="e">
        <f>#REF!/1000</f>
        <v>#REF!</v>
      </c>
      <c r="N11" s="222" t="e">
        <f>#REF!/1000</f>
        <v>#REF!</v>
      </c>
      <c r="O11" s="404" t="e">
        <f t="shared" si="0"/>
        <v>#REF!</v>
      </c>
      <c r="P11" s="404" t="e">
        <f>#REF!/1000</f>
        <v>#REF!</v>
      </c>
      <c r="Q11" s="223" t="e">
        <f t="shared" si="1"/>
        <v>#REF!</v>
      </c>
      <c r="S11" s="13"/>
    </row>
    <row r="12" spans="1:19" ht="14.1" customHeight="1" x14ac:dyDescent="0.25">
      <c r="A12" s="167" t="s">
        <v>0</v>
      </c>
      <c r="B12" s="26" t="s">
        <v>39</v>
      </c>
      <c r="C12" s="221" t="e">
        <f>#REF!/1000</f>
        <v>#REF!</v>
      </c>
      <c r="D12" s="222" t="e">
        <f>#REF!/1000</f>
        <v>#REF!</v>
      </c>
      <c r="E12" s="222" t="e">
        <f>#REF!/1000</f>
        <v>#REF!</v>
      </c>
      <c r="F12" s="222" t="e">
        <f>#REF!/1000</f>
        <v>#REF!</v>
      </c>
      <c r="G12" s="222" t="e">
        <f>#REF!/1000</f>
        <v>#REF!</v>
      </c>
      <c r="H12" s="222" t="e">
        <f>#REF!/1000</f>
        <v>#REF!</v>
      </c>
      <c r="I12" s="222" t="e">
        <f>#REF!/1000</f>
        <v>#REF!</v>
      </c>
      <c r="J12" s="222" t="e">
        <f>#REF!/1000</f>
        <v>#REF!</v>
      </c>
      <c r="K12" s="222" t="e">
        <f>#REF!/1000</f>
        <v>#REF!</v>
      </c>
      <c r="L12" s="222" t="e">
        <f>#REF!/1000</f>
        <v>#REF!</v>
      </c>
      <c r="M12" s="222" t="e">
        <f>#REF!/1000</f>
        <v>#REF!</v>
      </c>
      <c r="N12" s="222" t="e">
        <f>#REF!/1000</f>
        <v>#REF!</v>
      </c>
      <c r="O12" s="404" t="e">
        <f t="shared" si="0"/>
        <v>#REF!</v>
      </c>
      <c r="P12" s="404" t="e">
        <f>#REF!/1000</f>
        <v>#REF!</v>
      </c>
      <c r="Q12" s="223" t="e">
        <f t="shared" si="1"/>
        <v>#REF!</v>
      </c>
      <c r="S12" s="13"/>
    </row>
    <row r="13" spans="1:19" ht="14.1" customHeight="1" x14ac:dyDescent="0.25">
      <c r="A13" s="167" t="s">
        <v>0</v>
      </c>
      <c r="B13" s="26" t="s">
        <v>70</v>
      </c>
      <c r="C13" s="221" t="e">
        <f>#REF!/1000</f>
        <v>#REF!</v>
      </c>
      <c r="D13" s="222" t="e">
        <f>#REF!/1000</f>
        <v>#REF!</v>
      </c>
      <c r="E13" s="222" t="e">
        <f>#REF!/1000</f>
        <v>#REF!</v>
      </c>
      <c r="F13" s="222" t="e">
        <f>#REF!/1000</f>
        <v>#REF!</v>
      </c>
      <c r="G13" s="222" t="e">
        <f>#REF!/1000</f>
        <v>#REF!</v>
      </c>
      <c r="H13" s="222" t="e">
        <f>#REF!/1000</f>
        <v>#REF!</v>
      </c>
      <c r="I13" s="222" t="e">
        <f>#REF!/1000</f>
        <v>#REF!</v>
      </c>
      <c r="J13" s="222" t="e">
        <f>#REF!/1000</f>
        <v>#REF!</v>
      </c>
      <c r="K13" s="222" t="e">
        <f>#REF!/1000</f>
        <v>#REF!</v>
      </c>
      <c r="L13" s="222" t="e">
        <f>#REF!/1000</f>
        <v>#REF!</v>
      </c>
      <c r="M13" s="222" t="e">
        <f>#REF!/1000</f>
        <v>#REF!</v>
      </c>
      <c r="N13" s="222" t="e">
        <f>#REF!/1000</f>
        <v>#REF!</v>
      </c>
      <c r="O13" s="404" t="e">
        <f t="shared" si="0"/>
        <v>#REF!</v>
      </c>
      <c r="P13" s="404" t="e">
        <f>#REF!/1000</f>
        <v>#REF!</v>
      </c>
      <c r="Q13" s="223" t="e">
        <f t="shared" si="1"/>
        <v>#REF!</v>
      </c>
      <c r="S13" s="13"/>
    </row>
    <row r="14" spans="1:19" ht="14.1" customHeight="1" x14ac:dyDescent="0.25">
      <c r="A14" s="167">
        <v>565</v>
      </c>
      <c r="B14" s="26" t="s">
        <v>114</v>
      </c>
      <c r="C14" s="221" t="e">
        <f>#REF!/1000</f>
        <v>#REF!</v>
      </c>
      <c r="D14" s="222" t="e">
        <f>#REF!/1000</f>
        <v>#REF!</v>
      </c>
      <c r="E14" s="222" t="e">
        <f>#REF!/1000</f>
        <v>#REF!</v>
      </c>
      <c r="F14" s="222" t="e">
        <f>#REF!/1000</f>
        <v>#REF!</v>
      </c>
      <c r="G14" s="222" t="e">
        <f>#REF!/1000</f>
        <v>#REF!</v>
      </c>
      <c r="H14" s="222" t="e">
        <f>#REF!/1000</f>
        <v>#REF!</v>
      </c>
      <c r="I14" s="222" t="e">
        <f>#REF!/1000</f>
        <v>#REF!</v>
      </c>
      <c r="J14" s="222" t="e">
        <f>#REF!/1000</f>
        <v>#REF!</v>
      </c>
      <c r="K14" s="222" t="e">
        <f>#REF!/1000</f>
        <v>#REF!</v>
      </c>
      <c r="L14" s="222" t="e">
        <f>#REF!/1000</f>
        <v>#REF!</v>
      </c>
      <c r="M14" s="222" t="e">
        <f>#REF!/1000</f>
        <v>#REF!</v>
      </c>
      <c r="N14" s="222" t="e">
        <f>#REF!/1000</f>
        <v>#REF!</v>
      </c>
      <c r="O14" s="404" t="e">
        <f t="shared" si="0"/>
        <v>#REF!</v>
      </c>
      <c r="P14" s="404" t="e">
        <f>#REF!/1000</f>
        <v>#REF!</v>
      </c>
      <c r="Q14" s="223" t="e">
        <f t="shared" si="1"/>
        <v>#REF!</v>
      </c>
      <c r="S14" s="13"/>
    </row>
    <row r="15" spans="1:19" ht="14.1" customHeight="1" x14ac:dyDescent="0.25">
      <c r="A15" s="167">
        <v>565</v>
      </c>
      <c r="B15" s="26" t="s">
        <v>37</v>
      </c>
      <c r="C15" s="221" t="e">
        <f>#REF!/1000</f>
        <v>#REF!</v>
      </c>
      <c r="D15" s="222" t="e">
        <f>#REF!/1000</f>
        <v>#REF!</v>
      </c>
      <c r="E15" s="222" t="e">
        <f>#REF!/1000</f>
        <v>#REF!</v>
      </c>
      <c r="F15" s="222" t="e">
        <f>#REF!/1000</f>
        <v>#REF!</v>
      </c>
      <c r="G15" s="222" t="e">
        <f>#REF!/1000</f>
        <v>#REF!</v>
      </c>
      <c r="H15" s="222" t="e">
        <f>#REF!/1000</f>
        <v>#REF!</v>
      </c>
      <c r="I15" s="222" t="e">
        <f>#REF!/1000</f>
        <v>#REF!</v>
      </c>
      <c r="J15" s="222" t="e">
        <f>#REF!/1000</f>
        <v>#REF!</v>
      </c>
      <c r="K15" s="222" t="e">
        <f>#REF!/1000</f>
        <v>#REF!</v>
      </c>
      <c r="L15" s="222" t="e">
        <f>#REF!/1000</f>
        <v>#REF!</v>
      </c>
      <c r="M15" s="222" t="e">
        <f>#REF!/1000</f>
        <v>#REF!</v>
      </c>
      <c r="N15" s="222" t="e">
        <f>#REF!/1000</f>
        <v>#REF!</v>
      </c>
      <c r="O15" s="404" t="e">
        <f t="shared" si="0"/>
        <v>#REF!</v>
      </c>
      <c r="P15" s="404" t="e">
        <f>#REF!/1000</f>
        <v>#REF!</v>
      </c>
      <c r="Q15" s="223" t="e">
        <f t="shared" si="1"/>
        <v>#REF!</v>
      </c>
      <c r="S15" s="13"/>
    </row>
    <row r="16" spans="1:19" ht="14.1" customHeight="1" x14ac:dyDescent="0.25">
      <c r="A16" s="169">
        <v>565</v>
      </c>
      <c r="B16" s="26" t="s">
        <v>50</v>
      </c>
      <c r="C16" s="221" t="e">
        <f>#REF!/1000</f>
        <v>#REF!</v>
      </c>
      <c r="D16" s="222" t="e">
        <f>#REF!/1000</f>
        <v>#REF!</v>
      </c>
      <c r="E16" s="222" t="e">
        <f>#REF!/1000</f>
        <v>#REF!</v>
      </c>
      <c r="F16" s="222" t="e">
        <f>#REF!/1000</f>
        <v>#REF!</v>
      </c>
      <c r="G16" s="222" t="e">
        <f>#REF!/1000</f>
        <v>#REF!</v>
      </c>
      <c r="H16" s="222" t="e">
        <f>#REF!/1000</f>
        <v>#REF!</v>
      </c>
      <c r="I16" s="222" t="e">
        <f>#REF!/1000</f>
        <v>#REF!</v>
      </c>
      <c r="J16" s="222" t="e">
        <f>#REF!/1000</f>
        <v>#REF!</v>
      </c>
      <c r="K16" s="222" t="e">
        <f>#REF!/1000</f>
        <v>#REF!</v>
      </c>
      <c r="L16" s="222" t="e">
        <f>#REF!/1000</f>
        <v>#REF!</v>
      </c>
      <c r="M16" s="222" t="e">
        <f>#REF!/1000</f>
        <v>#REF!</v>
      </c>
      <c r="N16" s="222" t="e">
        <f>#REF!/1000</f>
        <v>#REF!</v>
      </c>
      <c r="O16" s="404" t="e">
        <f t="shared" si="0"/>
        <v>#REF!</v>
      </c>
      <c r="P16" s="404" t="e">
        <f>#REF!/1000</f>
        <v>#REF!</v>
      </c>
      <c r="Q16" s="223" t="e">
        <f t="shared" si="1"/>
        <v>#REF!</v>
      </c>
      <c r="S16" s="13"/>
    </row>
    <row r="17" spans="1:22" s="16" customFormat="1" ht="14.1" customHeight="1" x14ac:dyDescent="0.25">
      <c r="A17" s="169">
        <v>456</v>
      </c>
      <c r="B17" s="26" t="s">
        <v>77</v>
      </c>
      <c r="C17" s="221" t="e">
        <f>#REF!/1000</f>
        <v>#REF!</v>
      </c>
      <c r="D17" s="222" t="e">
        <f>#REF!/1000</f>
        <v>#REF!</v>
      </c>
      <c r="E17" s="222" t="e">
        <f>#REF!/1000</f>
        <v>#REF!</v>
      </c>
      <c r="F17" s="222" t="e">
        <f>#REF!/1000</f>
        <v>#REF!</v>
      </c>
      <c r="G17" s="222" t="e">
        <f>#REF!/1000</f>
        <v>#REF!</v>
      </c>
      <c r="H17" s="222" t="e">
        <f>#REF!/1000</f>
        <v>#REF!</v>
      </c>
      <c r="I17" s="222" t="e">
        <f>#REF!/1000</f>
        <v>#REF!</v>
      </c>
      <c r="J17" s="222" t="e">
        <f>#REF!/1000</f>
        <v>#REF!</v>
      </c>
      <c r="K17" s="222" t="e">
        <f>#REF!/1000</f>
        <v>#REF!</v>
      </c>
      <c r="L17" s="222" t="e">
        <f>#REF!/1000</f>
        <v>#REF!</v>
      </c>
      <c r="M17" s="222" t="e">
        <f>#REF!/1000</f>
        <v>#REF!</v>
      </c>
      <c r="N17" s="222" t="e">
        <f>#REF!/1000</f>
        <v>#REF!</v>
      </c>
      <c r="O17" s="404" t="e">
        <f t="shared" si="0"/>
        <v>#REF!</v>
      </c>
      <c r="P17" s="404" t="e">
        <f>#REF!/1000</f>
        <v>#REF!</v>
      </c>
      <c r="Q17" s="223" t="e">
        <f t="shared" si="1"/>
        <v>#REF!</v>
      </c>
      <c r="S17" s="9"/>
    </row>
    <row r="18" spans="1:22" s="16" customFormat="1" ht="14.1" customHeight="1" x14ac:dyDescent="0.25">
      <c r="A18" s="169">
        <v>547</v>
      </c>
      <c r="B18" s="26" t="s">
        <v>34</v>
      </c>
      <c r="C18" s="221" t="e">
        <f>#REF!/1000</f>
        <v>#REF!</v>
      </c>
      <c r="D18" s="222" t="e">
        <f>#REF!/1000</f>
        <v>#REF!</v>
      </c>
      <c r="E18" s="222" t="e">
        <f>#REF!/1000</f>
        <v>#REF!</v>
      </c>
      <c r="F18" s="222" t="e">
        <f>#REF!/1000</f>
        <v>#REF!</v>
      </c>
      <c r="G18" s="222" t="e">
        <f>#REF!/1000</f>
        <v>#REF!</v>
      </c>
      <c r="H18" s="222" t="e">
        <f>#REF!/1000</f>
        <v>#REF!</v>
      </c>
      <c r="I18" s="222" t="e">
        <f>#REF!/1000</f>
        <v>#REF!</v>
      </c>
      <c r="J18" s="222" t="e">
        <f>#REF!/1000</f>
        <v>#REF!</v>
      </c>
      <c r="K18" s="222" t="e">
        <f>#REF!/1000</f>
        <v>#REF!</v>
      </c>
      <c r="L18" s="222" t="e">
        <f>#REF!/1000</f>
        <v>#REF!</v>
      </c>
      <c r="M18" s="222" t="e">
        <f>#REF!/1000</f>
        <v>#REF!</v>
      </c>
      <c r="N18" s="222" t="e">
        <f>#REF!/1000</f>
        <v>#REF!</v>
      </c>
      <c r="O18" s="404" t="e">
        <f t="shared" si="0"/>
        <v>#REF!</v>
      </c>
      <c r="P18" s="404" t="e">
        <f>#REF!/1000</f>
        <v>#REF!</v>
      </c>
      <c r="Q18" s="223" t="e">
        <f t="shared" si="1"/>
        <v>#REF!</v>
      </c>
      <c r="S18" s="9"/>
    </row>
    <row r="19" spans="1:22" s="16" customFormat="1" ht="14.1" customHeight="1" x14ac:dyDescent="0.25">
      <c r="A19" s="175" t="s">
        <v>2</v>
      </c>
      <c r="B19" s="26" t="s">
        <v>41</v>
      </c>
      <c r="C19" s="221" t="e">
        <f>#REF!/1000</f>
        <v>#REF!</v>
      </c>
      <c r="D19" s="222" t="e">
        <f>#REF!/1000</f>
        <v>#REF!</v>
      </c>
      <c r="E19" s="222" t="e">
        <f>#REF!/1000</f>
        <v>#REF!</v>
      </c>
      <c r="F19" s="222" t="e">
        <f>#REF!/1000</f>
        <v>#REF!</v>
      </c>
      <c r="G19" s="222" t="e">
        <f>#REF!/1000</f>
        <v>#REF!</v>
      </c>
      <c r="H19" s="222" t="e">
        <f>#REF!/1000</f>
        <v>#REF!</v>
      </c>
      <c r="I19" s="222" t="e">
        <f>#REF!/1000</f>
        <v>#REF!</v>
      </c>
      <c r="J19" s="222" t="e">
        <f>#REF!/1000</f>
        <v>#REF!</v>
      </c>
      <c r="K19" s="222" t="e">
        <f>#REF!/1000</f>
        <v>#REF!</v>
      </c>
      <c r="L19" s="222" t="e">
        <f>#REF!/1000</f>
        <v>#REF!</v>
      </c>
      <c r="M19" s="222" t="e">
        <f>#REF!/1000</f>
        <v>#REF!</v>
      </c>
      <c r="N19" s="222" t="e">
        <f>#REF!/1000</f>
        <v>#REF!</v>
      </c>
      <c r="O19" s="404" t="e">
        <f t="shared" si="0"/>
        <v>#REF!</v>
      </c>
      <c r="P19" s="404" t="e">
        <f>#REF!/1000</f>
        <v>#REF!</v>
      </c>
      <c r="Q19" s="223" t="e">
        <f t="shared" si="1"/>
        <v>#REF!</v>
      </c>
      <c r="S19" s="9"/>
    </row>
    <row r="20" spans="1:22" s="16" customFormat="1" ht="14.1" customHeight="1" x14ac:dyDescent="0.25">
      <c r="A20" s="169">
        <v>547</v>
      </c>
      <c r="B20" s="16" t="s">
        <v>89</v>
      </c>
      <c r="C20" s="221" t="e">
        <f>#REF!/1000</f>
        <v>#REF!</v>
      </c>
      <c r="D20" s="222" t="e">
        <f>#REF!/1000</f>
        <v>#REF!</v>
      </c>
      <c r="E20" s="222" t="e">
        <f>#REF!/1000</f>
        <v>#REF!</v>
      </c>
      <c r="F20" s="222" t="e">
        <f>#REF!/1000</f>
        <v>#REF!</v>
      </c>
      <c r="G20" s="222" t="e">
        <f>#REF!/1000</f>
        <v>#REF!</v>
      </c>
      <c r="H20" s="222" t="e">
        <f>#REF!/1000</f>
        <v>#REF!</v>
      </c>
      <c r="I20" s="222" t="e">
        <f>#REF!/1000</f>
        <v>#REF!</v>
      </c>
      <c r="J20" s="222" t="e">
        <f>#REF!/1000</f>
        <v>#REF!</v>
      </c>
      <c r="K20" s="222" t="e">
        <f>#REF!/1000</f>
        <v>#REF!</v>
      </c>
      <c r="L20" s="222" t="e">
        <f>#REF!/1000</f>
        <v>#REF!</v>
      </c>
      <c r="M20" s="222" t="e">
        <f>#REF!/1000</f>
        <v>#REF!</v>
      </c>
      <c r="N20" s="222" t="e">
        <f>#REF!/1000</f>
        <v>#REF!</v>
      </c>
      <c r="O20" s="404" t="e">
        <f t="shared" si="0"/>
        <v>#REF!</v>
      </c>
      <c r="P20" s="404" t="e">
        <f>#REF!/1000</f>
        <v>#REF!</v>
      </c>
      <c r="Q20" s="223" t="e">
        <f t="shared" si="1"/>
        <v>#REF!</v>
      </c>
      <c r="S20" s="9"/>
    </row>
    <row r="21" spans="1:22" ht="14.1" customHeight="1" x14ac:dyDescent="0.25">
      <c r="A21" s="167">
        <v>547</v>
      </c>
      <c r="B21" s="26" t="s">
        <v>42</v>
      </c>
      <c r="C21" s="221" t="e">
        <f>#REF!/1000</f>
        <v>#REF!</v>
      </c>
      <c r="D21" s="222" t="e">
        <f>#REF!/1000</f>
        <v>#REF!</v>
      </c>
      <c r="E21" s="222" t="e">
        <f>#REF!/1000</f>
        <v>#REF!</v>
      </c>
      <c r="F21" s="222" t="e">
        <f>#REF!/1000</f>
        <v>#REF!</v>
      </c>
      <c r="G21" s="222" t="e">
        <f>#REF!/1000</f>
        <v>#REF!</v>
      </c>
      <c r="H21" s="222" t="e">
        <f>#REF!/1000</f>
        <v>#REF!</v>
      </c>
      <c r="I21" s="222" t="e">
        <f>#REF!/1000</f>
        <v>#REF!</v>
      </c>
      <c r="J21" s="222" t="e">
        <f>#REF!/1000</f>
        <v>#REF!</v>
      </c>
      <c r="K21" s="222" t="e">
        <f>#REF!/1000</f>
        <v>#REF!</v>
      </c>
      <c r="L21" s="222" t="e">
        <f>#REF!/1000</f>
        <v>#REF!</v>
      </c>
      <c r="M21" s="222" t="e">
        <f>#REF!/1000</f>
        <v>#REF!</v>
      </c>
      <c r="N21" s="222" t="e">
        <f>#REF!/1000</f>
        <v>#REF!</v>
      </c>
      <c r="O21" s="404" t="e">
        <f t="shared" si="0"/>
        <v>#REF!</v>
      </c>
      <c r="P21" s="404" t="e">
        <f>#REF!/1000</f>
        <v>#REF!</v>
      </c>
      <c r="Q21" s="223" t="e">
        <f t="shared" si="1"/>
        <v>#REF!</v>
      </c>
      <c r="S21" s="13"/>
      <c r="T21" s="16"/>
      <c r="U21" s="16"/>
    </row>
    <row r="22" spans="1:22" ht="14.1" customHeight="1" x14ac:dyDescent="0.25">
      <c r="A22" s="169">
        <v>555</v>
      </c>
      <c r="B22" s="423" t="s">
        <v>168</v>
      </c>
      <c r="C22" s="221" t="e">
        <f>(#REF!+#REF!)/1000</f>
        <v>#REF!</v>
      </c>
      <c r="D22" s="222" t="e">
        <f>(#REF!+#REF!)/1000</f>
        <v>#REF!</v>
      </c>
      <c r="E22" s="222" t="e">
        <f>(#REF!+#REF!)/1000</f>
        <v>#REF!</v>
      </c>
      <c r="F22" s="222" t="e">
        <f>(#REF!+#REF!)/1000</f>
        <v>#REF!</v>
      </c>
      <c r="G22" s="222" t="e">
        <f>(#REF!+#REF!)/1000</f>
        <v>#REF!</v>
      </c>
      <c r="H22" s="222" t="e">
        <f>(#REF!+#REF!)/1000</f>
        <v>#REF!</v>
      </c>
      <c r="I22" s="222" t="e">
        <f>(#REF!+#REF!)/1000</f>
        <v>#REF!</v>
      </c>
      <c r="J22" s="222" t="e">
        <f>(#REF!+#REF!)/1000</f>
        <v>#REF!</v>
      </c>
      <c r="K22" s="222" t="e">
        <f>(#REF!+#REF!)/1000</f>
        <v>#REF!</v>
      </c>
      <c r="L22" s="222" t="e">
        <f>(#REF!+#REF!)/1000</f>
        <v>#REF!</v>
      </c>
      <c r="M22" s="222" t="e">
        <f>(#REF!+#REF!)/1000</f>
        <v>#REF!</v>
      </c>
      <c r="N22" s="222" t="e">
        <f>(#REF!+#REF!)/1000</f>
        <v>#REF!</v>
      </c>
      <c r="O22" s="404" t="e">
        <f t="shared" si="0"/>
        <v>#REF!</v>
      </c>
      <c r="P22" s="404">
        <v>3875</v>
      </c>
      <c r="Q22" s="223" t="e">
        <f t="shared" si="1"/>
        <v>#REF!</v>
      </c>
      <c r="S22" s="13"/>
      <c r="T22" s="16"/>
      <c r="U22" s="16"/>
    </row>
    <row r="23" spans="1:22" ht="14.1" customHeight="1" x14ac:dyDescent="0.25">
      <c r="A23" s="169">
        <v>555</v>
      </c>
      <c r="B23" s="26" t="s">
        <v>111</v>
      </c>
      <c r="C23" s="221" t="e">
        <f>#REF!/1000</f>
        <v>#REF!</v>
      </c>
      <c r="D23" s="222" t="e">
        <f>#REF!/1000</f>
        <v>#REF!</v>
      </c>
      <c r="E23" s="222" t="e">
        <f>#REF!/1000</f>
        <v>#REF!</v>
      </c>
      <c r="F23" s="222" t="e">
        <f>#REF!/1000</f>
        <v>#REF!</v>
      </c>
      <c r="G23" s="222" t="e">
        <f>#REF!/1000</f>
        <v>#REF!</v>
      </c>
      <c r="H23" s="222" t="e">
        <f>#REF!/1000</f>
        <v>#REF!</v>
      </c>
      <c r="I23" s="222" t="e">
        <f>#REF!/1000</f>
        <v>#REF!</v>
      </c>
      <c r="J23" s="222" t="e">
        <f>#REF!/1000</f>
        <v>#REF!</v>
      </c>
      <c r="K23" s="222" t="e">
        <f>#REF!/1000</f>
        <v>#REF!</v>
      </c>
      <c r="L23" s="222" t="e">
        <f>#REF!/1000</f>
        <v>#REF!</v>
      </c>
      <c r="M23" s="222" t="e">
        <f>#REF!/1000</f>
        <v>#REF!</v>
      </c>
      <c r="N23" s="222" t="e">
        <f>#REF!/1000</f>
        <v>#REF!</v>
      </c>
      <c r="O23" s="404" t="e">
        <f t="shared" si="0"/>
        <v>#REF!</v>
      </c>
      <c r="P23" s="404">
        <v>7194.3709999999992</v>
      </c>
      <c r="Q23" s="223" t="e">
        <f t="shared" si="1"/>
        <v>#REF!</v>
      </c>
      <c r="S23" s="13"/>
      <c r="T23" s="16"/>
      <c r="U23" s="16"/>
    </row>
    <row r="24" spans="1:22" ht="14.1" customHeight="1" thickBot="1" x14ac:dyDescent="0.3">
      <c r="A24" s="232">
        <v>557</v>
      </c>
      <c r="B24" s="336" t="s">
        <v>40</v>
      </c>
      <c r="C24" s="224">
        <f>'28 FERC 557 Costs'!$B$27/1000/12</f>
        <v>1392.6321686064568</v>
      </c>
      <c r="D24" s="225">
        <f>'28 FERC 557 Costs'!$B$27/1000/12</f>
        <v>1392.6321686064568</v>
      </c>
      <c r="E24" s="225">
        <f>'28 FERC 557 Costs'!$B$27/1000/12</f>
        <v>1392.6321686064568</v>
      </c>
      <c r="F24" s="225">
        <f>'28 FERC 557 Costs'!$B$27/1000/12</f>
        <v>1392.6321686064568</v>
      </c>
      <c r="G24" s="225">
        <f>'28 FERC 557 Costs'!$B$27/1000/12</f>
        <v>1392.6321686064568</v>
      </c>
      <c r="H24" s="225">
        <f>'28 FERC 557 Costs'!$B$27/1000/12</f>
        <v>1392.6321686064568</v>
      </c>
      <c r="I24" s="225">
        <f>'28 FERC 557 Costs'!$B$27/1000/12</f>
        <v>1392.6321686064568</v>
      </c>
      <c r="J24" s="225">
        <f>'28 FERC 557 Costs'!$B$27/1000/12</f>
        <v>1392.6321686064568</v>
      </c>
      <c r="K24" s="225">
        <f>'28 FERC 557 Costs'!$B$27/1000/12</f>
        <v>1392.6321686064568</v>
      </c>
      <c r="L24" s="225">
        <f>'28 FERC 557 Costs'!$B$27/1000/12</f>
        <v>1392.6321686064568</v>
      </c>
      <c r="M24" s="225">
        <f>'28 FERC 557 Costs'!$B$27/1000/12</f>
        <v>1392.6321686064568</v>
      </c>
      <c r="N24" s="225">
        <f>'28 FERC 557 Costs'!$B$27/1000/12</f>
        <v>1392.6321686064568</v>
      </c>
      <c r="O24" s="406">
        <f t="shared" si="0"/>
        <v>16711.586023277483</v>
      </c>
      <c r="P24" s="406">
        <f>'28 FERC 557 Costs'!C27/1000</f>
        <v>14722.501100000007</v>
      </c>
      <c r="Q24" s="226">
        <f t="shared" si="1"/>
        <v>1989.0849232774763</v>
      </c>
      <c r="S24" s="13"/>
    </row>
    <row r="25" spans="1:22" ht="15.75" thickTop="1" x14ac:dyDescent="0.25">
      <c r="A25" s="170"/>
      <c r="B25" s="17" t="s">
        <v>5</v>
      </c>
      <c r="C25" s="227" t="e">
        <f t="shared" ref="C25:M25" si="2">SUM(C$7:C$24)</f>
        <v>#REF!</v>
      </c>
      <c r="D25" s="227" t="e">
        <f t="shared" si="2"/>
        <v>#REF!</v>
      </c>
      <c r="E25" s="227" t="e">
        <f t="shared" si="2"/>
        <v>#REF!</v>
      </c>
      <c r="F25" s="227" t="e">
        <f t="shared" si="2"/>
        <v>#REF!</v>
      </c>
      <c r="G25" s="227" t="e">
        <f t="shared" si="2"/>
        <v>#REF!</v>
      </c>
      <c r="H25" s="227" t="e">
        <f t="shared" si="2"/>
        <v>#REF!</v>
      </c>
      <c r="I25" s="227" t="e">
        <f t="shared" si="2"/>
        <v>#REF!</v>
      </c>
      <c r="J25" s="227" t="e">
        <f t="shared" si="2"/>
        <v>#REF!</v>
      </c>
      <c r="K25" s="227" t="e">
        <f t="shared" si="2"/>
        <v>#REF!</v>
      </c>
      <c r="L25" s="227" t="e">
        <f t="shared" si="2"/>
        <v>#REF!</v>
      </c>
      <c r="M25" s="227" t="e">
        <f t="shared" si="2"/>
        <v>#REF!</v>
      </c>
      <c r="N25" s="227" t="e">
        <f t="shared" ref="N25" si="3">SUM(N$7:N$24)</f>
        <v>#REF!</v>
      </c>
      <c r="O25" s="228" t="e">
        <f>SUM(O$7:O$24)</f>
        <v>#REF!</v>
      </c>
      <c r="P25" s="228" t="e">
        <f>SUM(P7:P24)</f>
        <v>#REF!</v>
      </c>
      <c r="Q25" s="228" t="e">
        <f>SUM(Q7:Q24)</f>
        <v>#REF!</v>
      </c>
      <c r="S25" s="13"/>
    </row>
    <row r="26" spans="1:22" x14ac:dyDescent="0.25">
      <c r="A26" s="16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10"/>
      <c r="P26" s="10"/>
      <c r="Q26" s="10"/>
      <c r="S26" s="13"/>
    </row>
    <row r="27" spans="1:22" x14ac:dyDescent="0.25">
      <c r="A27" s="173" t="s">
        <v>119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  <c r="Q27" s="10">
        <f t="shared" ref="Q27:Q38" si="4">O27-P27</f>
        <v>0</v>
      </c>
    </row>
    <row r="28" spans="1:22" x14ac:dyDescent="0.25">
      <c r="A28" s="174">
        <v>501</v>
      </c>
      <c r="B28" s="68" t="s">
        <v>44</v>
      </c>
      <c r="C28" s="15" t="e">
        <f t="shared" ref="C28:L37" si="5">SUMIF($A$7:$A$24,$A28,C$7:C$24)</f>
        <v>#REF!</v>
      </c>
      <c r="D28" s="15" t="e">
        <f t="shared" si="5"/>
        <v>#REF!</v>
      </c>
      <c r="E28" s="15" t="e">
        <f t="shared" si="5"/>
        <v>#REF!</v>
      </c>
      <c r="F28" s="15" t="e">
        <f t="shared" si="5"/>
        <v>#REF!</v>
      </c>
      <c r="G28" s="15" t="e">
        <f t="shared" si="5"/>
        <v>#REF!</v>
      </c>
      <c r="H28" s="15" t="e">
        <f t="shared" si="5"/>
        <v>#REF!</v>
      </c>
      <c r="I28" s="15" t="e">
        <f t="shared" si="5"/>
        <v>#REF!</v>
      </c>
      <c r="J28" s="15" t="e">
        <f t="shared" si="5"/>
        <v>#REF!</v>
      </c>
      <c r="K28" s="15" t="e">
        <f t="shared" si="5"/>
        <v>#REF!</v>
      </c>
      <c r="L28" s="15" t="e">
        <f t="shared" si="5"/>
        <v>#REF!</v>
      </c>
      <c r="M28" s="15" t="e">
        <f t="shared" ref="M28:N37" si="6">SUMIF($A$7:$A$24,$A28,M$7:M$24)</f>
        <v>#REF!</v>
      </c>
      <c r="N28" s="15" t="e">
        <f t="shared" si="6"/>
        <v>#REF!</v>
      </c>
      <c r="O28" s="12" t="e">
        <f t="shared" ref="O28:O37" si="7">SUMIF($A$7:$A$24,$A28,O$7:O$24)</f>
        <v>#REF!</v>
      </c>
      <c r="P28" s="12" t="e">
        <f t="shared" ref="P28:P37" si="8">SUMIF($A$7:$A$24,A28,$P$7:$P$24)</f>
        <v>#REF!</v>
      </c>
      <c r="Q28" s="10" t="e">
        <f t="shared" si="4"/>
        <v>#REF!</v>
      </c>
      <c r="S28" s="13"/>
    </row>
    <row r="29" spans="1:22" x14ac:dyDescent="0.25">
      <c r="A29" s="174">
        <v>547</v>
      </c>
      <c r="B29" s="68" t="s">
        <v>58</v>
      </c>
      <c r="C29" s="15" t="e">
        <f t="shared" si="5"/>
        <v>#REF!</v>
      </c>
      <c r="D29" s="15" t="e">
        <f t="shared" si="5"/>
        <v>#REF!</v>
      </c>
      <c r="E29" s="15" t="e">
        <f t="shared" si="5"/>
        <v>#REF!</v>
      </c>
      <c r="F29" s="15" t="e">
        <f t="shared" si="5"/>
        <v>#REF!</v>
      </c>
      <c r="G29" s="15" t="e">
        <f t="shared" si="5"/>
        <v>#REF!</v>
      </c>
      <c r="H29" s="15" t="e">
        <f t="shared" si="5"/>
        <v>#REF!</v>
      </c>
      <c r="I29" s="15" t="e">
        <f t="shared" si="5"/>
        <v>#REF!</v>
      </c>
      <c r="J29" s="15" t="e">
        <f t="shared" si="5"/>
        <v>#REF!</v>
      </c>
      <c r="K29" s="15" t="e">
        <f t="shared" si="5"/>
        <v>#REF!</v>
      </c>
      <c r="L29" s="15" t="e">
        <f t="shared" si="5"/>
        <v>#REF!</v>
      </c>
      <c r="M29" s="15" t="e">
        <f t="shared" si="6"/>
        <v>#REF!</v>
      </c>
      <c r="N29" s="15" t="e">
        <f t="shared" si="6"/>
        <v>#REF!</v>
      </c>
      <c r="O29" s="12" t="e">
        <f t="shared" si="7"/>
        <v>#REF!</v>
      </c>
      <c r="P29" s="12" t="e">
        <f t="shared" si="8"/>
        <v>#REF!</v>
      </c>
      <c r="Q29" s="10" t="e">
        <f t="shared" si="4"/>
        <v>#REF!</v>
      </c>
    </row>
    <row r="30" spans="1:22" x14ac:dyDescent="0.25">
      <c r="A30" s="175" t="s">
        <v>80</v>
      </c>
      <c r="B30" s="68" t="s">
        <v>81</v>
      </c>
      <c r="C30" s="15">
        <f t="shared" si="5"/>
        <v>0</v>
      </c>
      <c r="D30" s="15">
        <f t="shared" si="5"/>
        <v>0</v>
      </c>
      <c r="E30" s="15">
        <f t="shared" si="5"/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15">
        <f t="shared" si="5"/>
        <v>0</v>
      </c>
      <c r="K30" s="15">
        <f t="shared" si="5"/>
        <v>0</v>
      </c>
      <c r="L30" s="15">
        <f t="shared" si="5"/>
        <v>0</v>
      </c>
      <c r="M30" s="15">
        <f t="shared" si="6"/>
        <v>0</v>
      </c>
      <c r="N30" s="15">
        <f t="shared" si="6"/>
        <v>0</v>
      </c>
      <c r="O30" s="12">
        <f t="shared" si="7"/>
        <v>0</v>
      </c>
      <c r="P30" s="12">
        <f t="shared" si="8"/>
        <v>0</v>
      </c>
      <c r="Q30" s="10">
        <f t="shared" si="4"/>
        <v>0</v>
      </c>
      <c r="S30" s="13"/>
    </row>
    <row r="31" spans="1:22" x14ac:dyDescent="0.25">
      <c r="A31" s="175" t="s">
        <v>0</v>
      </c>
      <c r="B31" s="68" t="s">
        <v>45</v>
      </c>
      <c r="C31" s="15" t="e">
        <f t="shared" si="5"/>
        <v>#REF!</v>
      </c>
      <c r="D31" s="15" t="e">
        <f t="shared" si="5"/>
        <v>#REF!</v>
      </c>
      <c r="E31" s="15" t="e">
        <f t="shared" si="5"/>
        <v>#REF!</v>
      </c>
      <c r="F31" s="15" t="e">
        <f t="shared" si="5"/>
        <v>#REF!</v>
      </c>
      <c r="G31" s="15" t="e">
        <f t="shared" si="5"/>
        <v>#REF!</v>
      </c>
      <c r="H31" s="15" t="e">
        <f t="shared" si="5"/>
        <v>#REF!</v>
      </c>
      <c r="I31" s="15" t="e">
        <f t="shared" si="5"/>
        <v>#REF!</v>
      </c>
      <c r="J31" s="15" t="e">
        <f t="shared" si="5"/>
        <v>#REF!</v>
      </c>
      <c r="K31" s="15" t="e">
        <f t="shared" si="5"/>
        <v>#REF!</v>
      </c>
      <c r="L31" s="15" t="e">
        <f t="shared" si="5"/>
        <v>#REF!</v>
      </c>
      <c r="M31" s="15" t="e">
        <f t="shared" si="6"/>
        <v>#REF!</v>
      </c>
      <c r="N31" s="15" t="e">
        <f t="shared" si="6"/>
        <v>#REF!</v>
      </c>
      <c r="O31" s="12" t="e">
        <f t="shared" si="7"/>
        <v>#REF!</v>
      </c>
      <c r="P31" s="12" t="e">
        <f t="shared" si="8"/>
        <v>#REF!</v>
      </c>
      <c r="Q31" s="10" t="e">
        <f t="shared" si="4"/>
        <v>#REF!</v>
      </c>
    </row>
    <row r="32" spans="1:22" x14ac:dyDescent="0.25">
      <c r="A32" s="175">
        <v>555</v>
      </c>
      <c r="B32" s="68" t="s">
        <v>49</v>
      </c>
      <c r="C32" s="15" t="e">
        <f t="shared" si="5"/>
        <v>#REF!</v>
      </c>
      <c r="D32" s="15" t="e">
        <f t="shared" si="5"/>
        <v>#REF!</v>
      </c>
      <c r="E32" s="15" t="e">
        <f t="shared" si="5"/>
        <v>#REF!</v>
      </c>
      <c r="F32" s="15" t="e">
        <f t="shared" si="5"/>
        <v>#REF!</v>
      </c>
      <c r="G32" s="15" t="e">
        <f t="shared" si="5"/>
        <v>#REF!</v>
      </c>
      <c r="H32" s="15" t="e">
        <f t="shared" si="5"/>
        <v>#REF!</v>
      </c>
      <c r="I32" s="15" t="e">
        <f t="shared" si="5"/>
        <v>#REF!</v>
      </c>
      <c r="J32" s="15" t="e">
        <f t="shared" si="5"/>
        <v>#REF!</v>
      </c>
      <c r="K32" s="15" t="e">
        <f t="shared" si="5"/>
        <v>#REF!</v>
      </c>
      <c r="L32" s="15" t="e">
        <f t="shared" si="5"/>
        <v>#REF!</v>
      </c>
      <c r="M32" s="15" t="e">
        <f t="shared" si="6"/>
        <v>#REF!</v>
      </c>
      <c r="N32" s="15" t="e">
        <f t="shared" si="6"/>
        <v>#REF!</v>
      </c>
      <c r="O32" s="12" t="e">
        <f t="shared" si="7"/>
        <v>#REF!</v>
      </c>
      <c r="P32" s="12">
        <f t="shared" si="8"/>
        <v>11069.370999999999</v>
      </c>
      <c r="Q32" s="10" t="e">
        <f t="shared" si="4"/>
        <v>#REF!</v>
      </c>
      <c r="V32" s="26" t="s">
        <v>113</v>
      </c>
    </row>
    <row r="33" spans="1:17" x14ac:dyDescent="0.25">
      <c r="A33" s="175" t="s">
        <v>2</v>
      </c>
      <c r="B33" s="68" t="s">
        <v>46</v>
      </c>
      <c r="C33" s="15" t="e">
        <f t="shared" si="5"/>
        <v>#REF!</v>
      </c>
      <c r="D33" s="15" t="e">
        <f t="shared" si="5"/>
        <v>#REF!</v>
      </c>
      <c r="E33" s="15" t="e">
        <f t="shared" si="5"/>
        <v>#REF!</v>
      </c>
      <c r="F33" s="15" t="e">
        <f t="shared" si="5"/>
        <v>#REF!</v>
      </c>
      <c r="G33" s="15" t="e">
        <f t="shared" si="5"/>
        <v>#REF!</v>
      </c>
      <c r="H33" s="15" t="e">
        <f t="shared" si="5"/>
        <v>#REF!</v>
      </c>
      <c r="I33" s="15" t="e">
        <f t="shared" si="5"/>
        <v>#REF!</v>
      </c>
      <c r="J33" s="15" t="e">
        <f t="shared" si="5"/>
        <v>#REF!</v>
      </c>
      <c r="K33" s="15" t="e">
        <f t="shared" si="5"/>
        <v>#REF!</v>
      </c>
      <c r="L33" s="15" t="e">
        <f t="shared" si="5"/>
        <v>#REF!</v>
      </c>
      <c r="M33" s="15" t="e">
        <f t="shared" si="6"/>
        <v>#REF!</v>
      </c>
      <c r="N33" s="15" t="e">
        <f t="shared" si="6"/>
        <v>#REF!</v>
      </c>
      <c r="O33" s="12" t="e">
        <f t="shared" si="7"/>
        <v>#REF!</v>
      </c>
      <c r="P33" s="12" t="e">
        <f t="shared" si="8"/>
        <v>#REF!</v>
      </c>
      <c r="Q33" s="10" t="e">
        <f t="shared" si="4"/>
        <v>#REF!</v>
      </c>
    </row>
    <row r="34" spans="1:17" x14ac:dyDescent="0.25">
      <c r="A34" s="175">
        <v>447</v>
      </c>
      <c r="B34" s="68" t="s">
        <v>47</v>
      </c>
      <c r="C34" s="15">
        <f t="shared" si="5"/>
        <v>0</v>
      </c>
      <c r="D34" s="15">
        <f t="shared" si="5"/>
        <v>0</v>
      </c>
      <c r="E34" s="15">
        <f t="shared" si="5"/>
        <v>0</v>
      </c>
      <c r="F34" s="15">
        <f t="shared" si="5"/>
        <v>0</v>
      </c>
      <c r="G34" s="15">
        <f t="shared" si="5"/>
        <v>0</v>
      </c>
      <c r="H34" s="15">
        <f t="shared" si="5"/>
        <v>0</v>
      </c>
      <c r="I34" s="15">
        <f t="shared" si="5"/>
        <v>0</v>
      </c>
      <c r="J34" s="15">
        <f t="shared" si="5"/>
        <v>0</v>
      </c>
      <c r="K34" s="15">
        <f t="shared" si="5"/>
        <v>0</v>
      </c>
      <c r="L34" s="15">
        <f t="shared" si="5"/>
        <v>0</v>
      </c>
      <c r="M34" s="15">
        <f t="shared" si="6"/>
        <v>0</v>
      </c>
      <c r="N34" s="15">
        <f t="shared" si="6"/>
        <v>0</v>
      </c>
      <c r="O34" s="12">
        <f t="shared" si="7"/>
        <v>0</v>
      </c>
      <c r="P34" s="12">
        <f t="shared" si="8"/>
        <v>0</v>
      </c>
      <c r="Q34" s="10">
        <f t="shared" si="4"/>
        <v>0</v>
      </c>
    </row>
    <row r="35" spans="1:17" x14ac:dyDescent="0.25">
      <c r="A35" s="174">
        <v>565</v>
      </c>
      <c r="B35" s="68" t="s">
        <v>1</v>
      </c>
      <c r="C35" s="15" t="e">
        <f t="shared" si="5"/>
        <v>#REF!</v>
      </c>
      <c r="D35" s="15" t="e">
        <f t="shared" si="5"/>
        <v>#REF!</v>
      </c>
      <c r="E35" s="15" t="e">
        <f t="shared" si="5"/>
        <v>#REF!</v>
      </c>
      <c r="F35" s="15" t="e">
        <f t="shared" si="5"/>
        <v>#REF!</v>
      </c>
      <c r="G35" s="15" t="e">
        <f t="shared" si="5"/>
        <v>#REF!</v>
      </c>
      <c r="H35" s="15" t="e">
        <f t="shared" si="5"/>
        <v>#REF!</v>
      </c>
      <c r="I35" s="15" t="e">
        <f t="shared" si="5"/>
        <v>#REF!</v>
      </c>
      <c r="J35" s="15" t="e">
        <f t="shared" si="5"/>
        <v>#REF!</v>
      </c>
      <c r="K35" s="15" t="e">
        <f t="shared" si="5"/>
        <v>#REF!</v>
      </c>
      <c r="L35" s="15" t="e">
        <f t="shared" si="5"/>
        <v>#REF!</v>
      </c>
      <c r="M35" s="15" t="e">
        <f t="shared" si="6"/>
        <v>#REF!</v>
      </c>
      <c r="N35" s="15" t="e">
        <f t="shared" si="6"/>
        <v>#REF!</v>
      </c>
      <c r="O35" s="12" t="e">
        <f t="shared" si="7"/>
        <v>#REF!</v>
      </c>
      <c r="P35" s="12" t="e">
        <f t="shared" si="8"/>
        <v>#REF!</v>
      </c>
      <c r="Q35" s="10" t="e">
        <f t="shared" si="4"/>
        <v>#REF!</v>
      </c>
    </row>
    <row r="36" spans="1:17" x14ac:dyDescent="0.25">
      <c r="A36" s="174">
        <v>456</v>
      </c>
      <c r="B36" s="68" t="s">
        <v>48</v>
      </c>
      <c r="C36" s="15" t="e">
        <f t="shared" si="5"/>
        <v>#REF!</v>
      </c>
      <c r="D36" s="15" t="e">
        <f t="shared" si="5"/>
        <v>#REF!</v>
      </c>
      <c r="E36" s="15" t="e">
        <f t="shared" si="5"/>
        <v>#REF!</v>
      </c>
      <c r="F36" s="15" t="e">
        <f t="shared" si="5"/>
        <v>#REF!</v>
      </c>
      <c r="G36" s="15" t="e">
        <f t="shared" si="5"/>
        <v>#REF!</v>
      </c>
      <c r="H36" s="15" t="e">
        <f t="shared" si="5"/>
        <v>#REF!</v>
      </c>
      <c r="I36" s="15" t="e">
        <f t="shared" si="5"/>
        <v>#REF!</v>
      </c>
      <c r="J36" s="15" t="e">
        <f t="shared" si="5"/>
        <v>#REF!</v>
      </c>
      <c r="K36" s="15" t="e">
        <f t="shared" si="5"/>
        <v>#REF!</v>
      </c>
      <c r="L36" s="15" t="e">
        <f t="shared" si="5"/>
        <v>#REF!</v>
      </c>
      <c r="M36" s="15" t="e">
        <f t="shared" si="6"/>
        <v>#REF!</v>
      </c>
      <c r="N36" s="15" t="e">
        <f t="shared" si="6"/>
        <v>#REF!</v>
      </c>
      <c r="O36" s="12" t="e">
        <f t="shared" si="7"/>
        <v>#REF!</v>
      </c>
      <c r="P36" s="12" t="e">
        <f t="shared" si="8"/>
        <v>#REF!</v>
      </c>
      <c r="Q36" s="10" t="e">
        <f t="shared" si="4"/>
        <v>#REF!</v>
      </c>
    </row>
    <row r="37" spans="1:17" ht="15.75" thickBot="1" x14ac:dyDescent="0.3">
      <c r="A37" s="176">
        <v>557</v>
      </c>
      <c r="B37" s="69" t="s">
        <v>40</v>
      </c>
      <c r="C37" s="64">
        <f t="shared" si="5"/>
        <v>1392.6321686064568</v>
      </c>
      <c r="D37" s="64">
        <f t="shared" si="5"/>
        <v>1392.6321686064568</v>
      </c>
      <c r="E37" s="64">
        <f t="shared" si="5"/>
        <v>1392.6321686064568</v>
      </c>
      <c r="F37" s="64">
        <f t="shared" si="5"/>
        <v>1392.6321686064568</v>
      </c>
      <c r="G37" s="64">
        <f t="shared" si="5"/>
        <v>1392.6321686064568</v>
      </c>
      <c r="H37" s="64">
        <f t="shared" si="5"/>
        <v>1392.6321686064568</v>
      </c>
      <c r="I37" s="64">
        <f t="shared" si="5"/>
        <v>1392.6321686064568</v>
      </c>
      <c r="J37" s="64">
        <f t="shared" si="5"/>
        <v>1392.6321686064568</v>
      </c>
      <c r="K37" s="64">
        <f t="shared" si="5"/>
        <v>1392.6321686064568</v>
      </c>
      <c r="L37" s="64">
        <f t="shared" si="5"/>
        <v>1392.6321686064568</v>
      </c>
      <c r="M37" s="64">
        <f t="shared" si="6"/>
        <v>1392.6321686064568</v>
      </c>
      <c r="N37" s="64">
        <f t="shared" si="6"/>
        <v>1392.6321686064568</v>
      </c>
      <c r="O37" s="12">
        <f t="shared" si="7"/>
        <v>16711.586023277483</v>
      </c>
      <c r="P37" s="65">
        <f t="shared" si="8"/>
        <v>14722.501100000007</v>
      </c>
      <c r="Q37" s="66">
        <f t="shared" si="4"/>
        <v>1989.0849232774763</v>
      </c>
    </row>
    <row r="38" spans="1:17" s="63" customFormat="1" ht="16.5" thickBot="1" x14ac:dyDescent="0.3">
      <c r="A38" s="231"/>
      <c r="B38" s="165" t="s">
        <v>120</v>
      </c>
      <c r="C38" s="166" t="e">
        <f>SUM(C28:C37)</f>
        <v>#REF!</v>
      </c>
      <c r="D38" s="166" t="e">
        <f t="shared" ref="D38:M38" si="9">SUM(D28:D37)</f>
        <v>#REF!</v>
      </c>
      <c r="E38" s="166" t="e">
        <f t="shared" si="9"/>
        <v>#REF!</v>
      </c>
      <c r="F38" s="166" t="e">
        <f t="shared" si="9"/>
        <v>#REF!</v>
      </c>
      <c r="G38" s="166" t="e">
        <f t="shared" si="9"/>
        <v>#REF!</v>
      </c>
      <c r="H38" s="166" t="e">
        <f t="shared" si="9"/>
        <v>#REF!</v>
      </c>
      <c r="I38" s="166" t="e">
        <f t="shared" si="9"/>
        <v>#REF!</v>
      </c>
      <c r="J38" s="166" t="e">
        <f t="shared" si="9"/>
        <v>#REF!</v>
      </c>
      <c r="K38" s="166" t="e">
        <f t="shared" si="9"/>
        <v>#REF!</v>
      </c>
      <c r="L38" s="166" t="e">
        <f t="shared" si="9"/>
        <v>#REF!</v>
      </c>
      <c r="M38" s="166" t="e">
        <f t="shared" si="9"/>
        <v>#REF!</v>
      </c>
      <c r="N38" s="166" t="e">
        <f t="shared" ref="N38" si="10">SUM(N28:N37)</f>
        <v>#REF!</v>
      </c>
      <c r="O38" s="70" t="e">
        <f>SUM(C38:N38)</f>
        <v>#REF!</v>
      </c>
      <c r="P38" s="70" t="e">
        <f>SUM(P28:P37)</f>
        <v>#REF!</v>
      </c>
      <c r="Q38" s="70" t="e">
        <f t="shared" si="4"/>
        <v>#REF!</v>
      </c>
    </row>
    <row r="39" spans="1:17" x14ac:dyDescent="0.25">
      <c r="O39" s="13"/>
      <c r="P39" s="13"/>
    </row>
    <row r="40" spans="1:17" x14ac:dyDescent="0.25">
      <c r="A40" s="32" t="s">
        <v>130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7" x14ac:dyDescent="0.25">
      <c r="A41" s="37" t="s">
        <v>153</v>
      </c>
      <c r="O41" s="13"/>
      <c r="P41" s="13"/>
    </row>
    <row r="42" spans="1:17" x14ac:dyDescent="0.25">
      <c r="A42" s="42"/>
      <c r="O42" s="13"/>
      <c r="P42" s="13"/>
    </row>
    <row r="43" spans="1:17" x14ac:dyDescent="0.25">
      <c r="A43" s="4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7" x14ac:dyDescent="0.25">
      <c r="A44" s="43"/>
      <c r="O44" s="13"/>
      <c r="P44" s="13"/>
    </row>
    <row r="45" spans="1:17" x14ac:dyDescent="0.25">
      <c r="A45" s="42"/>
      <c r="O45" s="13"/>
      <c r="P45" s="13"/>
    </row>
    <row r="46" spans="1:17" x14ac:dyDescent="0.25">
      <c r="A46" s="42"/>
      <c r="O46" s="13"/>
      <c r="P46" s="13"/>
    </row>
    <row r="47" spans="1:17" x14ac:dyDescent="0.25">
      <c r="A47" s="43"/>
      <c r="O47" s="13"/>
      <c r="P47" s="13"/>
    </row>
    <row r="48" spans="1:17" x14ac:dyDescent="0.25">
      <c r="A48" s="44"/>
      <c r="O48" s="13"/>
      <c r="P48" s="13"/>
    </row>
    <row r="49" spans="1:16" x14ac:dyDescent="0.25">
      <c r="A49" s="42"/>
      <c r="O49" s="13"/>
      <c r="P49" s="13"/>
    </row>
    <row r="50" spans="1:16" x14ac:dyDescent="0.25">
      <c r="O50" s="13"/>
      <c r="P50" s="13"/>
    </row>
    <row r="51" spans="1:16" x14ac:dyDescent="0.25">
      <c r="O51" s="13"/>
      <c r="P51" s="13"/>
    </row>
    <row r="52" spans="1:16" x14ac:dyDescent="0.25">
      <c r="O52" s="13"/>
      <c r="P52" s="13"/>
    </row>
    <row r="53" spans="1:16" x14ac:dyDescent="0.25">
      <c r="O53" s="13"/>
      <c r="P53" s="13"/>
    </row>
    <row r="54" spans="1:16" x14ac:dyDescent="0.25">
      <c r="O54" s="13"/>
      <c r="P54" s="13"/>
    </row>
    <row r="55" spans="1:16" x14ac:dyDescent="0.25">
      <c r="O55" s="13"/>
      <c r="P55" s="13"/>
    </row>
    <row r="56" spans="1:16" x14ac:dyDescent="0.25">
      <c r="O56" s="13"/>
      <c r="P56" s="13"/>
    </row>
    <row r="57" spans="1:16" x14ac:dyDescent="0.25">
      <c r="O57" s="13"/>
      <c r="P57" s="13"/>
    </row>
    <row r="58" spans="1:16" x14ac:dyDescent="0.25">
      <c r="O58" s="13"/>
      <c r="P58" s="13"/>
    </row>
    <row r="59" spans="1:16" x14ac:dyDescent="0.25">
      <c r="O59" s="13"/>
      <c r="P59" s="13"/>
    </row>
    <row r="60" spans="1:16" x14ac:dyDescent="0.25">
      <c r="O60" s="13"/>
      <c r="P60" s="13"/>
    </row>
    <row r="61" spans="1:16" x14ac:dyDescent="0.25">
      <c r="O61" s="13"/>
      <c r="P61" s="13"/>
    </row>
    <row r="62" spans="1:16" x14ac:dyDescent="0.25">
      <c r="O62" s="13"/>
      <c r="P62" s="13"/>
    </row>
    <row r="63" spans="1:16" x14ac:dyDescent="0.25">
      <c r="K63" s="13"/>
      <c r="O63" s="13"/>
      <c r="P63" s="13"/>
    </row>
    <row r="64" spans="1:16" x14ac:dyDescent="0.25">
      <c r="O64" s="13"/>
      <c r="P64" s="13"/>
    </row>
    <row r="65" spans="15:16" x14ac:dyDescent="0.25">
      <c r="O65" s="13"/>
      <c r="P65" s="13"/>
    </row>
    <row r="66" spans="15:16" x14ac:dyDescent="0.25">
      <c r="O66" s="13"/>
      <c r="P66" s="13"/>
    </row>
  </sheetData>
  <conditionalFormatting sqref="A18 A7:A8 A24">
    <cfRule type="cellIs" dxfId="4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H7" sqref="H7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268" t="s">
        <v>66</v>
      </c>
    </row>
    <row r="2" spans="1:6" ht="20.25" x14ac:dyDescent="0.3">
      <c r="A2" s="270" t="s">
        <v>167</v>
      </c>
    </row>
    <row r="3" spans="1:6" ht="15.75" x14ac:dyDescent="0.25">
      <c r="A3" s="269" t="s">
        <v>126</v>
      </c>
    </row>
    <row r="8" spans="1:6" x14ac:dyDescent="0.25">
      <c r="A8" s="1"/>
      <c r="B8" s="418">
        <v>2017</v>
      </c>
      <c r="C8" s="418">
        <v>2018</v>
      </c>
      <c r="D8" s="418">
        <v>2019</v>
      </c>
      <c r="E8" s="418">
        <v>2020</v>
      </c>
      <c r="F8" s="418" t="s">
        <v>92</v>
      </c>
    </row>
    <row r="9" spans="1:6" x14ac:dyDescent="0.25">
      <c r="A9" s="419" t="s">
        <v>163</v>
      </c>
      <c r="B9" s="420">
        <v>1943656.8477100283</v>
      </c>
      <c r="C9" s="420">
        <v>2152131.9501899709</v>
      </c>
      <c r="D9" s="420">
        <v>2094265.8142600516</v>
      </c>
      <c r="E9" s="420">
        <v>2475190.1086599804</v>
      </c>
      <c r="F9" s="420">
        <f>AVERAGE(B9:E9)</f>
        <v>2166311.180205008</v>
      </c>
    </row>
    <row r="10" spans="1:6" x14ac:dyDescent="0.25">
      <c r="A10" s="421" t="s">
        <v>164</v>
      </c>
      <c r="B10" s="422">
        <v>-2218.4</v>
      </c>
      <c r="C10" s="422">
        <v>-9727.9699999999993</v>
      </c>
      <c r="D10" s="422">
        <v>-16928.73</v>
      </c>
      <c r="E10" s="422">
        <v>-73536.75</v>
      </c>
      <c r="F10" s="422">
        <f t="shared" ref="F10:F11" si="0">AVERAGE(B10:E10)</f>
        <v>-25602.962500000001</v>
      </c>
    </row>
    <row r="11" spans="1:6" x14ac:dyDescent="0.25">
      <c r="A11" s="419" t="s">
        <v>165</v>
      </c>
      <c r="B11" s="420">
        <f>B9+B10</f>
        <v>1941438.4477100284</v>
      </c>
      <c r="C11" s="420">
        <f t="shared" ref="C11:E11" si="1">C9+C10</f>
        <v>2142403.9801899707</v>
      </c>
      <c r="D11" s="420">
        <f t="shared" si="1"/>
        <v>2077337.0842600516</v>
      </c>
      <c r="E11" s="420">
        <f t="shared" si="1"/>
        <v>2401653.3586599804</v>
      </c>
      <c r="F11" s="420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419" t="s">
        <v>166</v>
      </c>
      <c r="F13" s="420">
        <f>-F11</f>
        <v>-2140708.2177050076</v>
      </c>
    </row>
    <row r="18" spans="2:6" x14ac:dyDescent="0.25">
      <c r="F18" s="420"/>
    </row>
    <row r="19" spans="2:6" x14ac:dyDescent="0.25">
      <c r="B19" s="420"/>
      <c r="C19" s="420"/>
      <c r="D19" s="420"/>
      <c r="E19" s="420"/>
      <c r="F19" s="420"/>
    </row>
    <row r="20" spans="2:6" x14ac:dyDescent="0.25">
      <c r="B20" s="420"/>
      <c r="C20" s="420"/>
      <c r="D20" s="420"/>
      <c r="E20" s="420"/>
      <c r="F20" s="424"/>
    </row>
    <row r="21" spans="2:6" x14ac:dyDescent="0.25">
      <c r="F21" s="115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6" zoomScaleNormal="100" workbookViewId="0">
      <selection activeCell="B37" sqref="B37"/>
    </sheetView>
  </sheetViews>
  <sheetFormatPr defaultColWidth="8.85546875" defaultRowHeight="15" x14ac:dyDescent="0.25"/>
  <cols>
    <col min="1" max="1" width="44.7109375" style="26" customWidth="1"/>
    <col min="2" max="2" width="17.42578125" style="26" customWidth="1"/>
    <col min="3" max="3" width="18.7109375" style="26" customWidth="1"/>
    <col min="4" max="4" width="13.42578125" style="26" bestFit="1" customWidth="1"/>
    <col min="5" max="5" width="14.5703125" style="407" customWidth="1"/>
    <col min="6" max="6" width="5.140625" style="407" bestFit="1" customWidth="1"/>
    <col min="7" max="7" width="16" style="407" bestFit="1" customWidth="1"/>
    <col min="8" max="8" width="13.42578125" style="115" bestFit="1" customWidth="1"/>
    <col min="9" max="9" width="10.140625" style="115" bestFit="1" customWidth="1"/>
    <col min="10" max="16384" width="8.85546875" style="115"/>
  </cols>
  <sheetData>
    <row r="1" spans="1:11" ht="18.75" x14ac:dyDescent="0.3">
      <c r="A1" s="271" t="s">
        <v>66</v>
      </c>
      <c r="B1" s="271"/>
    </row>
    <row r="2" spans="1:11" ht="21" x14ac:dyDescent="0.35">
      <c r="A2" s="272" t="s">
        <v>33</v>
      </c>
      <c r="B2" s="272"/>
      <c r="K2" s="116"/>
    </row>
    <row r="3" spans="1:11" ht="15.75" x14ac:dyDescent="0.25">
      <c r="A3" s="273" t="s">
        <v>126</v>
      </c>
      <c r="B3" s="273"/>
      <c r="K3" s="116"/>
    </row>
    <row r="4" spans="1:11" s="116" customFormat="1" ht="27" thickBot="1" x14ac:dyDescent="0.3">
      <c r="A4" s="59"/>
      <c r="B4" s="274" t="s">
        <v>127</v>
      </c>
      <c r="C4" s="274" t="s">
        <v>124</v>
      </c>
      <c r="D4" s="274" t="s">
        <v>67</v>
      </c>
      <c r="E4" s="407"/>
      <c r="F4" s="407"/>
      <c r="G4" s="407"/>
    </row>
    <row r="5" spans="1:11" s="116" customFormat="1" x14ac:dyDescent="0.25">
      <c r="A5" s="59"/>
      <c r="B5" s="417" t="s">
        <v>151</v>
      </c>
      <c r="C5" s="417" t="s">
        <v>128</v>
      </c>
      <c r="D5" s="275"/>
      <c r="E5" s="407"/>
      <c r="F5" s="407"/>
      <c r="G5" s="407"/>
    </row>
    <row r="6" spans="1:11" s="116" customFormat="1" x14ac:dyDescent="0.25">
      <c r="A6" s="359" t="s">
        <v>136</v>
      </c>
      <c r="B6" s="408">
        <v>624689.81733059359</v>
      </c>
      <c r="C6" s="409">
        <v>4446183.8</v>
      </c>
      <c r="D6" s="409">
        <f t="shared" ref="D6:D22" si="0">B6-C6</f>
        <v>-3821493.9826694061</v>
      </c>
      <c r="E6" s="357"/>
      <c r="F6" s="357"/>
      <c r="G6" s="357"/>
      <c r="K6" s="115"/>
    </row>
    <row r="7" spans="1:11" s="116" customFormat="1" x14ac:dyDescent="0.25">
      <c r="A7" s="359" t="s">
        <v>137</v>
      </c>
      <c r="B7" s="408">
        <v>4859696.339186714</v>
      </c>
      <c r="C7" s="409">
        <v>2727.73</v>
      </c>
      <c r="D7" s="409">
        <f t="shared" si="0"/>
        <v>4856968.6091867136</v>
      </c>
      <c r="E7" s="357"/>
      <c r="F7" s="357"/>
      <c r="G7" s="357"/>
      <c r="K7" s="115"/>
    </row>
    <row r="8" spans="1:11" s="116" customFormat="1" x14ac:dyDescent="0.25">
      <c r="A8" s="359" t="s">
        <v>138</v>
      </c>
      <c r="B8" s="408">
        <v>6069053.7000000002</v>
      </c>
      <c r="C8" s="409">
        <v>2727475.53</v>
      </c>
      <c r="D8" s="409">
        <f t="shared" si="0"/>
        <v>3341578.1700000004</v>
      </c>
      <c r="E8" s="357"/>
      <c r="F8" s="357"/>
      <c r="G8" s="357"/>
      <c r="K8" s="115"/>
    </row>
    <row r="9" spans="1:11" s="116" customFormat="1" x14ac:dyDescent="0.25">
      <c r="A9" s="359" t="s">
        <v>139</v>
      </c>
      <c r="B9" s="408">
        <v>635213.83040334482</v>
      </c>
      <c r="C9" s="409">
        <v>1878464.55</v>
      </c>
      <c r="D9" s="409">
        <f t="shared" si="0"/>
        <v>-1243250.7195966551</v>
      </c>
      <c r="E9" s="357"/>
      <c r="F9" s="357"/>
      <c r="G9" s="357"/>
      <c r="K9" s="115"/>
    </row>
    <row r="10" spans="1:11" s="116" customFormat="1" x14ac:dyDescent="0.25">
      <c r="A10" s="359" t="s">
        <v>140</v>
      </c>
      <c r="B10" s="408">
        <v>2643403.2858047914</v>
      </c>
      <c r="C10" s="409">
        <v>0</v>
      </c>
      <c r="D10" s="409">
        <f t="shared" si="0"/>
        <v>2643403.2858047914</v>
      </c>
      <c r="E10" s="357"/>
      <c r="F10" s="357"/>
      <c r="G10" s="357"/>
      <c r="K10" s="115"/>
    </row>
    <row r="11" spans="1:11" s="116" customFormat="1" x14ac:dyDescent="0.25">
      <c r="A11" s="359" t="s">
        <v>141</v>
      </c>
      <c r="B11" s="408">
        <v>1900000</v>
      </c>
      <c r="C11" s="409">
        <v>1276250.58</v>
      </c>
      <c r="D11" s="409">
        <f t="shared" si="0"/>
        <v>623749.41999999993</v>
      </c>
      <c r="E11" s="357"/>
      <c r="F11" s="357"/>
      <c r="G11" s="357"/>
      <c r="K11" s="115"/>
    </row>
    <row r="12" spans="1:11" s="116" customFormat="1" x14ac:dyDescent="0.25">
      <c r="A12" s="359" t="s">
        <v>142</v>
      </c>
      <c r="B12" s="408">
        <v>1520022.8289145869</v>
      </c>
      <c r="C12" s="409">
        <v>1606920.7100000002</v>
      </c>
      <c r="D12" s="409">
        <f t="shared" si="0"/>
        <v>-86897.881085413275</v>
      </c>
      <c r="E12" s="357"/>
      <c r="F12" s="357"/>
      <c r="G12" s="357"/>
      <c r="K12" s="115"/>
    </row>
    <row r="13" spans="1:11" s="116" customFormat="1" x14ac:dyDescent="0.25">
      <c r="A13" s="359" t="s">
        <v>143</v>
      </c>
      <c r="B13" s="408">
        <v>1163085.8045979999</v>
      </c>
      <c r="C13" s="409">
        <v>1539467.87</v>
      </c>
      <c r="D13" s="409">
        <f t="shared" si="0"/>
        <v>-376382.06540200021</v>
      </c>
      <c r="E13" s="357"/>
      <c r="F13" s="357"/>
      <c r="G13" s="357"/>
      <c r="K13" s="115"/>
    </row>
    <row r="14" spans="1:11" s="116" customFormat="1" x14ac:dyDescent="0.25">
      <c r="A14" s="359" t="s">
        <v>144</v>
      </c>
      <c r="B14" s="408">
        <v>1633276.2767424155</v>
      </c>
      <c r="C14" s="409">
        <v>2060669.73</v>
      </c>
      <c r="D14" s="409">
        <f t="shared" si="0"/>
        <v>-427393.45325758448</v>
      </c>
      <c r="E14" s="357"/>
      <c r="F14" s="357"/>
      <c r="G14" s="357"/>
      <c r="K14" s="115"/>
    </row>
    <row r="15" spans="1:11" s="116" customFormat="1" x14ac:dyDescent="0.25">
      <c r="A15" s="73" t="s">
        <v>31</v>
      </c>
      <c r="B15" s="408"/>
      <c r="C15" s="409">
        <v>-38215284</v>
      </c>
      <c r="D15" s="409">
        <f t="shared" si="0"/>
        <v>38215284</v>
      </c>
      <c r="E15" s="357"/>
      <c r="F15" s="357"/>
      <c r="G15" s="357"/>
      <c r="K15" s="115"/>
    </row>
    <row r="16" spans="1:11" s="116" customFormat="1" x14ac:dyDescent="0.25">
      <c r="A16" s="359" t="s">
        <v>145</v>
      </c>
      <c r="B16" s="408">
        <v>938672.65983283496</v>
      </c>
      <c r="C16" s="409">
        <v>1140785.3499999999</v>
      </c>
      <c r="D16" s="409">
        <f t="shared" si="0"/>
        <v>-202112.6901671649</v>
      </c>
      <c r="E16" s="357"/>
      <c r="F16" s="357"/>
      <c r="G16" s="357"/>
      <c r="K16" s="115"/>
    </row>
    <row r="17" spans="1:11" s="116" customFormat="1" x14ac:dyDescent="0.25">
      <c r="A17" s="359" t="s">
        <v>146</v>
      </c>
      <c r="B17" s="408">
        <v>50000</v>
      </c>
      <c r="C17" s="409">
        <v>0</v>
      </c>
      <c r="D17" s="409">
        <f t="shared" si="0"/>
        <v>50000</v>
      </c>
      <c r="E17" s="357"/>
      <c r="F17" s="357"/>
      <c r="G17" s="357"/>
      <c r="K17" s="115"/>
    </row>
    <row r="18" spans="1:11" s="116" customFormat="1" x14ac:dyDescent="0.25">
      <c r="A18" s="359" t="s">
        <v>147</v>
      </c>
      <c r="B18" s="408">
        <v>352400.68263589998</v>
      </c>
      <c r="C18" s="409">
        <v>255033.89</v>
      </c>
      <c r="D18" s="409">
        <f t="shared" si="0"/>
        <v>97366.792635899968</v>
      </c>
      <c r="E18" s="357"/>
      <c r="F18" s="357"/>
      <c r="G18" s="357"/>
      <c r="K18" s="115"/>
    </row>
    <row r="19" spans="1:11" s="116" customFormat="1" x14ac:dyDescent="0.25">
      <c r="A19" s="359" t="s">
        <v>148</v>
      </c>
      <c r="B19" s="408">
        <v>257020.34123042721</v>
      </c>
      <c r="C19" s="409">
        <v>267410.38</v>
      </c>
      <c r="D19" s="409">
        <f t="shared" si="0"/>
        <v>-10390.038769572799</v>
      </c>
      <c r="E19" s="357"/>
      <c r="F19" s="357"/>
      <c r="G19" s="357"/>
      <c r="K19" s="115"/>
    </row>
    <row r="20" spans="1:11" s="116" customFormat="1" x14ac:dyDescent="0.25">
      <c r="A20" s="359" t="s">
        <v>149</v>
      </c>
      <c r="B20" s="408">
        <v>76777.188891915197</v>
      </c>
      <c r="C20" s="409">
        <v>144694.35</v>
      </c>
      <c r="D20" s="409">
        <f t="shared" si="0"/>
        <v>-67917.161108084809</v>
      </c>
      <c r="E20" s="357"/>
      <c r="F20" s="357"/>
      <c r="G20" s="357"/>
      <c r="K20" s="115"/>
    </row>
    <row r="21" spans="1:11" s="116" customFormat="1" x14ac:dyDescent="0.25">
      <c r="A21" s="359" t="s">
        <v>150</v>
      </c>
      <c r="B21" s="408">
        <v>57326.967705963347</v>
      </c>
      <c r="C21" s="409">
        <v>73601.16</v>
      </c>
      <c r="D21" s="409">
        <f t="shared" si="0"/>
        <v>-16274.192294036657</v>
      </c>
      <c r="E21" s="357"/>
      <c r="F21" s="357"/>
      <c r="G21" s="357"/>
      <c r="K21" s="115"/>
    </row>
    <row r="22" spans="1:11" s="116" customFormat="1" x14ac:dyDescent="0.25">
      <c r="A22" s="359" t="s">
        <v>154</v>
      </c>
      <c r="B22" s="408"/>
      <c r="C22" s="409">
        <v>30291</v>
      </c>
      <c r="D22" s="409">
        <f t="shared" si="0"/>
        <v>-30291</v>
      </c>
      <c r="E22" s="357"/>
      <c r="F22" s="357"/>
      <c r="G22" s="357"/>
      <c r="K22" s="115"/>
    </row>
    <row r="23" spans="1:11" s="116" customFormat="1" x14ac:dyDescent="0.25">
      <c r="A23" s="360" t="s">
        <v>155</v>
      </c>
      <c r="B23" s="410"/>
      <c r="C23" s="411">
        <f>SUM(C6:C22)</f>
        <v>-20765307.369999994</v>
      </c>
      <c r="D23" s="412"/>
      <c r="E23" s="357"/>
      <c r="F23" s="357"/>
      <c r="G23" s="357"/>
      <c r="K23" s="115"/>
    </row>
    <row r="24" spans="1:11" s="116" customFormat="1" x14ac:dyDescent="0.25">
      <c r="A24" s="73" t="s">
        <v>53</v>
      </c>
      <c r="B24" s="408"/>
      <c r="C24" s="413">
        <v>38215284</v>
      </c>
      <c r="D24" s="409"/>
      <c r="E24" s="357"/>
      <c r="F24" s="357"/>
      <c r="G24" s="357"/>
      <c r="K24" s="115"/>
    </row>
    <row r="25" spans="1:11" s="116" customFormat="1" x14ac:dyDescent="0.25">
      <c r="A25" s="358" t="s">
        <v>156</v>
      </c>
      <c r="B25" s="414">
        <f>SUM(B6:B21)</f>
        <v>22780639.723277483</v>
      </c>
      <c r="C25" s="412">
        <f>SUM(C23:C24)</f>
        <v>17449976.630000006</v>
      </c>
      <c r="D25" s="411">
        <f t="shared" ref="D25:D27" si="1">B25-C25</f>
        <v>5330663.0932774767</v>
      </c>
      <c r="E25" s="357"/>
      <c r="F25" s="357"/>
      <c r="G25" s="357"/>
      <c r="K25" s="115"/>
    </row>
    <row r="26" spans="1:11" s="116" customFormat="1" x14ac:dyDescent="0.25">
      <c r="A26" s="73" t="s">
        <v>54</v>
      </c>
      <c r="B26" s="415">
        <f>-B8</f>
        <v>-6069053.7000000002</v>
      </c>
      <c r="C26" s="413">
        <v>-2727475.53</v>
      </c>
      <c r="D26" s="413">
        <f t="shared" si="1"/>
        <v>-3341578.1700000004</v>
      </c>
      <c r="E26" s="357"/>
      <c r="F26" s="357"/>
      <c r="G26" s="357"/>
      <c r="K26" s="115"/>
    </row>
    <row r="27" spans="1:11" s="116" customFormat="1" ht="15.75" thickBot="1" x14ac:dyDescent="0.3">
      <c r="A27" s="276" t="s">
        <v>52</v>
      </c>
      <c r="B27" s="416">
        <f>SUM(B25:B26)</f>
        <v>16711586.023277484</v>
      </c>
      <c r="C27" s="416">
        <f>SUM(C25:C26)</f>
        <v>14722501.100000007</v>
      </c>
      <c r="D27" s="416">
        <f t="shared" si="1"/>
        <v>1989084.9232774768</v>
      </c>
      <c r="E27" s="357"/>
      <c r="F27" s="357"/>
      <c r="G27" s="357"/>
      <c r="K27" s="115"/>
    </row>
    <row r="29" spans="1:11" x14ac:dyDescent="0.25">
      <c r="A29" s="29" t="s">
        <v>129</v>
      </c>
      <c r="B29" s="30"/>
    </row>
    <row r="30" spans="1:11" x14ac:dyDescent="0.25">
      <c r="A30" s="32" t="s">
        <v>130</v>
      </c>
      <c r="B30" s="32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headerFooter>
    <oddHeader>&amp;RExh. PKW-28
Page 1 of 1</oddHeader>
  </headerFooter>
  <rowBreaks count="1" manualBreakCount="1">
    <brk id="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48110A-2E55-42E1-BA40-C4411E58AABA}"/>
</file>

<file path=customXml/itemProps2.xml><?xml version="1.0" encoding="utf-8"?>
<ds:datastoreItem xmlns:ds="http://schemas.openxmlformats.org/officeDocument/2006/customXml" ds:itemID="{89E0D317-EC40-4075-9703-79F38AEE555E}"/>
</file>

<file path=customXml/itemProps3.xml><?xml version="1.0" encoding="utf-8"?>
<ds:datastoreItem xmlns:ds="http://schemas.openxmlformats.org/officeDocument/2006/customXml" ds:itemID="{827DE216-AB38-4E58-ACCB-9C71EE359774}"/>
</file>

<file path=customXml/itemProps4.xml><?xml version="1.0" encoding="utf-8"?>
<ds:datastoreItem xmlns:ds="http://schemas.openxmlformats.org/officeDocument/2006/customXml" ds:itemID="{61E297C0-8BE6-4169-A3E8-643663108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Confidential</vt:lpstr>
      <vt:lpstr>4C Power Cost summary</vt:lpstr>
      <vt:lpstr>8C Summary by resource</vt:lpstr>
      <vt:lpstr>9C Aurora total</vt:lpstr>
      <vt:lpstr>10C Not in Aurora</vt:lpstr>
      <vt:lpstr>14 EIM GHG</vt:lpstr>
      <vt:lpstr>28 FERC 557 Costs</vt:lpstr>
      <vt:lpstr>'10C Not in Aurora'!Print_Area</vt:lpstr>
      <vt:lpstr>'14 EIM GHG'!Print_Area</vt:lpstr>
      <vt:lpstr>'28 FERC 557 Costs'!Print_Area</vt:lpstr>
      <vt:lpstr>'4C Power Cost summary'!Print_Area</vt:lpstr>
      <vt:lpstr>'8C Summary by resource'!Print_Area</vt:lpstr>
      <vt:lpstr>'9C Aurora total'!Print_Area</vt:lpstr>
      <vt:lpstr>'28 FERC 557 Costs'!Print_Titles</vt:lpstr>
      <vt:lpstr>'8C Summary by resource'!Print_Titles</vt:lpstr>
      <vt:lpstr>'9C Aurora total'!Print_Titles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Barnett, Donna L. (BEL)</cp:lastModifiedBy>
  <cp:lastPrinted>2022-01-30T01:51:25Z</cp:lastPrinted>
  <dcterms:created xsi:type="dcterms:W3CDTF">2014-05-08T17:19:59Z</dcterms:created>
  <dcterms:modified xsi:type="dcterms:W3CDTF">2022-01-30T01:51:29Z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