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ttps://home.utc.wa.gov/sites/ue-170485/Staffs Testimony and Exhibits/"/>
    </mc:Choice>
  </mc:AlternateContent>
  <bookViews>
    <workbookView xWindow="0" yWindow="96" windowWidth="12192" windowHeight="6636" tabRatio="884" firstSheet="1" activeTab="3"/>
  </bookViews>
  <sheets>
    <sheet name="2.02 Restate-Elec Lead Sheet" sheetId="23" r:id="rId1"/>
    <sheet name="3.06 Proforma-Elec Lead Sheet" sheetId="25" r:id="rId2"/>
    <sheet name="2.02 Restate-Gas Lead Sheet" sheetId="24" r:id="rId3"/>
    <sheet name="3.06 Proforma-Gas Lead Sheet" sheetId="26" r:id="rId4"/>
    <sheet name=" 2.02 Restating-Electric" sheetId="12" r:id="rId5"/>
    <sheet name="3.06 Pro Forma-Electric" sheetId="27" r:id="rId6"/>
    <sheet name="2.02 Restating-Gas" sheetId="13" r:id="rId7"/>
    <sheet name="3.06 Pro Forma-Gas" sheetId="28" r:id="rId8"/>
    <sheet name="Macro1" sheetId="9" state="veryHidden" r:id="rId9"/>
  </sheets>
  <externalReferences>
    <externalReference r:id="rId10"/>
    <externalReference r:id="rId11"/>
  </externalReferences>
  <definedNames>
    <definedName name="Macro1">Macro1!$A$1</definedName>
    <definedName name="Macro10">Macro1!$B$1</definedName>
    <definedName name="Macro11">Macro1!$B$8</definedName>
    <definedName name="Macro12">Macro1!$B$15</definedName>
    <definedName name="Macro13">Macro1!$B$22</definedName>
    <definedName name="Macro14">Macro1!$B$29</definedName>
    <definedName name="Macro15">Macro1!$B$36</definedName>
    <definedName name="Macro16">Macro1!$B$43</definedName>
    <definedName name="Macro17">Macro1!$B$50</definedName>
    <definedName name="Macro18">Macro1!$B$57</definedName>
    <definedName name="Macro19">Macro1!$C$1</definedName>
    <definedName name="Macro2">Macro1!$A$8</definedName>
    <definedName name="Macro20">Macro1!$C$8</definedName>
    <definedName name="Macro21">Macro1!$C$15</definedName>
    <definedName name="Macro22">Macro1!$C$22</definedName>
    <definedName name="Macro23">Macro1!$C$29</definedName>
    <definedName name="Macro24">Macro1!$C$36</definedName>
    <definedName name="Macro25">Macro1!$C$43</definedName>
    <definedName name="Macro26">Macro1!$C$50</definedName>
    <definedName name="Macro27">Macro1!$C$57</definedName>
    <definedName name="Macro28">Macro1!$D$1</definedName>
    <definedName name="Macro29">Macro1!$D$8</definedName>
    <definedName name="Macro3">Macro1!$A$15</definedName>
    <definedName name="Macro30">Macro1!$D$15</definedName>
    <definedName name="Macro31">Macro1!$D$22</definedName>
    <definedName name="Macro32">Macro1!$D$29</definedName>
    <definedName name="Macro33">Macro1!$D$36</definedName>
    <definedName name="Macro34">Macro1!$D$43</definedName>
    <definedName name="Macro35">Macro1!$D$50</definedName>
    <definedName name="Macro36">Macro1!$D$57</definedName>
    <definedName name="Macro37">Macro1!$E$1</definedName>
    <definedName name="Macro38">Macro1!$E$8</definedName>
    <definedName name="Macro39">Macro1!$E$15</definedName>
    <definedName name="Macro4">Macro1!$A$22</definedName>
    <definedName name="Macro40">Macro1!$E$22</definedName>
    <definedName name="Macro41">Macro1!$E$29</definedName>
    <definedName name="Macro42">Macro1!$E$36</definedName>
    <definedName name="Macro43">Macro1!$E$43</definedName>
    <definedName name="Macro44">Macro1!$E$50</definedName>
    <definedName name="Macro45">Macro1!$E$57</definedName>
    <definedName name="Macro46">Macro1!$F$1</definedName>
    <definedName name="Macro47">Macro1!$F$8</definedName>
    <definedName name="Macro48">Macro1!$F$15</definedName>
    <definedName name="Macro49">Macro1!$F$22</definedName>
    <definedName name="Macro5">Macro1!$A$29</definedName>
    <definedName name="Macro50">Macro1!$F$29</definedName>
    <definedName name="Macro51">Macro1!$F$36</definedName>
    <definedName name="Macro52">Macro1!$F$43</definedName>
    <definedName name="Macro53">Macro1!$F$50</definedName>
    <definedName name="Macro54">Macro1!$F$57</definedName>
    <definedName name="Macro55">Macro1!$G$1</definedName>
    <definedName name="Macro56">Macro1!$G$8</definedName>
    <definedName name="Macro57">Macro1!$G$15</definedName>
    <definedName name="Macro58">Macro1!$G$22</definedName>
    <definedName name="Macro59">Macro1!$G$29</definedName>
    <definedName name="Macro6">Macro1!$A$36</definedName>
    <definedName name="Macro60">Macro1!$G$36</definedName>
    <definedName name="Macro61">Macro1!$G$43</definedName>
    <definedName name="Macro62">Macro1!$G$50</definedName>
    <definedName name="Macro63">Macro1!$G$57</definedName>
    <definedName name="Macro64">Macro1!$H$1</definedName>
    <definedName name="Macro65">Macro1!$H$8</definedName>
    <definedName name="Macro66">Macro1!$H$15</definedName>
    <definedName name="Macro67">Macro1!$H$22</definedName>
    <definedName name="Macro68">Macro1!$H$29</definedName>
    <definedName name="Macro69">Macro1!$H$36</definedName>
    <definedName name="Macro7">Macro1!$A$43</definedName>
    <definedName name="Macro70">Macro1!$H$43</definedName>
    <definedName name="Macro71">Macro1!$H$50</definedName>
    <definedName name="Macro72">Macro1!$H$57</definedName>
    <definedName name="Macro8">Macro1!$A$50</definedName>
    <definedName name="Macro9">Macro1!$A$57</definedName>
    <definedName name="_xlnm.Print_Area" localSheetId="4">' 2.02 Restating-Electric'!$A$1:$L$44</definedName>
    <definedName name="_xlnm.Print_Area" localSheetId="0">'2.02 Restate-Elec Lead Sheet'!$A$1:$E$82</definedName>
    <definedName name="_xlnm.Print_Area" localSheetId="2">'2.02 Restate-Gas Lead Sheet'!$A$1:$E$84</definedName>
    <definedName name="_xlnm.Print_Area" localSheetId="5">'3.06 Pro Forma-Electric'!$A$1:$L$44</definedName>
    <definedName name="_xlnm.Print_Area" localSheetId="1">'3.06 Proforma-Elec Lead Sheet'!$A$1:$E$82</definedName>
    <definedName name="_xlnm.Print_Area" localSheetId="3">'3.06 Proforma-Gas Lead Sheet'!$A$1:$E$84</definedName>
    <definedName name="Recover">Macro1!$A$97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G38" i="28" l="1"/>
  <c r="E38" i="28"/>
  <c r="G35" i="28"/>
  <c r="G40" i="28" s="1"/>
  <c r="E35" i="28"/>
  <c r="E40" i="28" s="1"/>
  <c r="G30" i="28"/>
  <c r="E30" i="28"/>
  <c r="G23" i="28"/>
  <c r="E23" i="28"/>
  <c r="H22" i="28"/>
  <c r="L20" i="28"/>
  <c r="K20" i="28"/>
  <c r="J20" i="28"/>
  <c r="G16" i="28"/>
  <c r="E16" i="28"/>
  <c r="M20" i="28" l="1"/>
  <c r="H21" i="27"/>
  <c r="G16" i="27"/>
  <c r="F16" i="27"/>
  <c r="E16" i="27"/>
  <c r="G12" i="27"/>
  <c r="G11" i="27"/>
  <c r="K7" i="27"/>
  <c r="G29" i="27" l="1"/>
  <c r="G41" i="27" s="1"/>
  <c r="G13" i="27"/>
  <c r="G18" i="27" s="1"/>
  <c r="G25" i="27" s="1"/>
  <c r="G37" i="27" s="1"/>
  <c r="G24" i="27" l="1"/>
  <c r="G36" i="27" l="1"/>
  <c r="G38" i="27" s="1"/>
  <c r="G43" i="27" s="1"/>
  <c r="G26" i="27"/>
  <c r="G31" i="27" s="1"/>
  <c r="G23" i="13"/>
  <c r="E72" i="25" l="1"/>
  <c r="E65" i="25"/>
  <c r="E73" i="25" s="1"/>
  <c r="E76" i="25" s="1"/>
  <c r="E80" i="25" s="1"/>
  <c r="E45" i="25"/>
  <c r="E17" i="25"/>
  <c r="E19" i="25" s="1"/>
  <c r="E72" i="26"/>
  <c r="E66" i="26"/>
  <c r="E73" i="26" s="1"/>
  <c r="E75" i="26" s="1"/>
  <c r="E82" i="26" s="1"/>
  <c r="E48" i="26"/>
  <c r="E25" i="26"/>
  <c r="E18" i="26"/>
  <c r="A5" i="26"/>
  <c r="A4" i="26"/>
  <c r="A2" i="26"/>
  <c r="E73" i="24"/>
  <c r="E75" i="24" s="1"/>
  <c r="E82" i="24" s="1"/>
  <c r="E72" i="24"/>
  <c r="E66" i="24"/>
  <c r="E48" i="24"/>
  <c r="E31" i="24"/>
  <c r="E25" i="24"/>
  <c r="E18" i="24"/>
  <c r="A5" i="24"/>
  <c r="A4" i="24"/>
  <c r="A2" i="24"/>
  <c r="E72" i="23" l="1"/>
  <c r="E65" i="23"/>
  <c r="E45" i="23"/>
  <c r="E17" i="23"/>
  <c r="E19" i="23" s="1"/>
  <c r="E73" i="23" l="1"/>
  <c r="E76" i="23" s="1"/>
  <c r="E80" i="23" s="1"/>
  <c r="J41" i="13"/>
  <c r="G41" i="12" l="1"/>
  <c r="F41" i="12"/>
  <c r="E41" i="12"/>
  <c r="G37" i="12"/>
  <c r="G36" i="12"/>
  <c r="G26" i="12"/>
  <c r="G31" i="12" s="1"/>
  <c r="K16" i="12"/>
  <c r="J16" i="12"/>
  <c r="H16" i="12"/>
  <c r="I13" i="12"/>
  <c r="I18" i="12" s="1"/>
  <c r="G13" i="12"/>
  <c r="G18" i="12" s="1"/>
  <c r="F13" i="12"/>
  <c r="F18" i="12" s="1"/>
  <c r="E13" i="12"/>
  <c r="E18" i="12" s="1"/>
  <c r="D13" i="12"/>
  <c r="D18" i="12" s="1"/>
  <c r="C13" i="12"/>
  <c r="C18" i="12" s="1"/>
  <c r="H12" i="12"/>
  <c r="J12" i="12" s="1"/>
  <c r="H11" i="12"/>
  <c r="K7" i="12"/>
  <c r="L7" i="12" s="1"/>
  <c r="G38" i="13"/>
  <c r="G35" i="13"/>
  <c r="G40" i="13" s="1"/>
  <c r="F35" i="13"/>
  <c r="E35" i="13"/>
  <c r="D35" i="13"/>
  <c r="G30" i="13"/>
  <c r="E38" i="13"/>
  <c r="L20" i="13"/>
  <c r="K20" i="13"/>
  <c r="J20" i="13"/>
  <c r="G16" i="13"/>
  <c r="F16" i="13"/>
  <c r="F28" i="13" s="1"/>
  <c r="F14" i="28" s="1"/>
  <c r="E16" i="13"/>
  <c r="D16" i="13"/>
  <c r="D28" i="13" s="1"/>
  <c r="D14" i="28" s="1"/>
  <c r="C16" i="13"/>
  <c r="L14" i="13"/>
  <c r="K14" i="13"/>
  <c r="J14" i="13"/>
  <c r="H14" i="13"/>
  <c r="H11" i="13"/>
  <c r="D16" i="28" l="1"/>
  <c r="D25" i="28" s="1"/>
  <c r="K14" i="28"/>
  <c r="F28" i="28"/>
  <c r="F16" i="28"/>
  <c r="F25" i="28" s="1"/>
  <c r="L14" i="28"/>
  <c r="H16" i="13"/>
  <c r="M14" i="13"/>
  <c r="H13" i="12"/>
  <c r="H18" i="12" s="1"/>
  <c r="C29" i="12"/>
  <c r="C16" i="27" s="1"/>
  <c r="C24" i="12"/>
  <c r="C11" i="27" s="1"/>
  <c r="C25" i="12"/>
  <c r="C12" i="27" s="1"/>
  <c r="K11" i="12"/>
  <c r="D24" i="12"/>
  <c r="D11" i="27" s="1"/>
  <c r="D29" i="12"/>
  <c r="D16" i="27" s="1"/>
  <c r="D25" i="12"/>
  <c r="D12" i="27" s="1"/>
  <c r="E25" i="12"/>
  <c r="E12" i="27" s="1"/>
  <c r="E24" i="12"/>
  <c r="E11" i="27" s="1"/>
  <c r="K12" i="12"/>
  <c r="L12" i="12" s="1"/>
  <c r="F25" i="12"/>
  <c r="F12" i="27" s="1"/>
  <c r="F24" i="12"/>
  <c r="F11" i="27" s="1"/>
  <c r="L16" i="12"/>
  <c r="D38" i="13"/>
  <c r="D30" i="13"/>
  <c r="F30" i="13"/>
  <c r="C25" i="13"/>
  <c r="C11" i="28" s="1"/>
  <c r="C28" i="13"/>
  <c r="C14" i="28" s="1"/>
  <c r="K28" i="13"/>
  <c r="K38" i="13" s="1"/>
  <c r="F38" i="13"/>
  <c r="F40" i="13" s="1"/>
  <c r="L28" i="13"/>
  <c r="L38" i="13" s="1"/>
  <c r="E40" i="13"/>
  <c r="D40" i="13"/>
  <c r="G38" i="12"/>
  <c r="G43" i="12" s="1"/>
  <c r="H21" i="12"/>
  <c r="J11" i="12"/>
  <c r="K11" i="13"/>
  <c r="K16" i="13" s="1"/>
  <c r="J11" i="13"/>
  <c r="L11" i="13"/>
  <c r="L16" i="13" s="1"/>
  <c r="L28" i="28" l="1"/>
  <c r="L38" i="28" s="1"/>
  <c r="F38" i="28"/>
  <c r="H14" i="28"/>
  <c r="C28" i="28"/>
  <c r="J14" i="28"/>
  <c r="M14" i="28" s="1"/>
  <c r="H11" i="28"/>
  <c r="C16" i="28"/>
  <c r="C25" i="28"/>
  <c r="D35" i="28"/>
  <c r="D30" i="28"/>
  <c r="F30" i="28"/>
  <c r="F35" i="28"/>
  <c r="F40" i="28" s="1"/>
  <c r="D28" i="28"/>
  <c r="H12" i="27"/>
  <c r="K16" i="27"/>
  <c r="C13" i="27"/>
  <c r="C18" i="27" s="1"/>
  <c r="C25" i="27" s="1"/>
  <c r="H11" i="27"/>
  <c r="E13" i="27"/>
  <c r="E18" i="27" s="1"/>
  <c r="E29" i="27" s="1"/>
  <c r="E41" i="27" s="1"/>
  <c r="D13" i="27"/>
  <c r="D18" i="27" s="1"/>
  <c r="D29" i="27" s="1"/>
  <c r="J16" i="27"/>
  <c r="H16" i="27"/>
  <c r="F25" i="27"/>
  <c r="F37" i="27" s="1"/>
  <c r="F13" i="27"/>
  <c r="F18" i="27" s="1"/>
  <c r="F29" i="27" s="1"/>
  <c r="F41" i="27" s="1"/>
  <c r="K13" i="12"/>
  <c r="K18" i="12" s="1"/>
  <c r="F37" i="12"/>
  <c r="D37" i="12"/>
  <c r="C37" i="12"/>
  <c r="H25" i="12"/>
  <c r="E36" i="12"/>
  <c r="E26" i="12"/>
  <c r="E31" i="12" s="1"/>
  <c r="D41" i="12"/>
  <c r="K41" i="12" s="1"/>
  <c r="K29" i="12"/>
  <c r="H24" i="12"/>
  <c r="C36" i="12"/>
  <c r="C26" i="12"/>
  <c r="C31" i="12" s="1"/>
  <c r="F36" i="12"/>
  <c r="F38" i="12" s="1"/>
  <c r="F43" i="12" s="1"/>
  <c r="F26" i="12"/>
  <c r="F31" i="12" s="1"/>
  <c r="E37" i="12"/>
  <c r="D36" i="12"/>
  <c r="D26" i="12"/>
  <c r="D31" i="12" s="1"/>
  <c r="C41" i="12"/>
  <c r="J29" i="12"/>
  <c r="H29" i="12"/>
  <c r="H28" i="13"/>
  <c r="C38" i="13"/>
  <c r="H38" i="13" s="1"/>
  <c r="J28" i="13"/>
  <c r="C30" i="13"/>
  <c r="C35" i="13"/>
  <c r="H25" i="13"/>
  <c r="J13" i="12"/>
  <c r="J18" i="12" s="1"/>
  <c r="L11" i="12"/>
  <c r="L13" i="12" s="1"/>
  <c r="L18" i="12" s="1"/>
  <c r="M11" i="13"/>
  <c r="M16" i="13" s="1"/>
  <c r="J16" i="13"/>
  <c r="C35" i="28" l="1"/>
  <c r="H25" i="28"/>
  <c r="C30" i="28"/>
  <c r="H28" i="28"/>
  <c r="C38" i="28"/>
  <c r="J28" i="28"/>
  <c r="L11" i="28"/>
  <c r="L16" i="28" s="1"/>
  <c r="J11" i="28"/>
  <c r="H16" i="28"/>
  <c r="K11" i="28"/>
  <c r="K16" i="28" s="1"/>
  <c r="D38" i="28"/>
  <c r="D40" i="28" s="1"/>
  <c r="K28" i="28"/>
  <c r="K38" i="28" s="1"/>
  <c r="C37" i="27"/>
  <c r="H37" i="27" s="1"/>
  <c r="D41" i="27"/>
  <c r="K41" i="27" s="1"/>
  <c r="K29" i="27"/>
  <c r="D25" i="27"/>
  <c r="D37" i="27" s="1"/>
  <c r="D38" i="12"/>
  <c r="D43" i="12" s="1"/>
  <c r="E25" i="27"/>
  <c r="E37" i="27" s="1"/>
  <c r="D24" i="27"/>
  <c r="H13" i="27"/>
  <c r="H18" i="27" s="1"/>
  <c r="J11" i="27"/>
  <c r="K11" i="27"/>
  <c r="L16" i="27"/>
  <c r="J12" i="27"/>
  <c r="K12" i="27"/>
  <c r="F24" i="27"/>
  <c r="C29" i="27"/>
  <c r="E24" i="27"/>
  <c r="C24" i="27"/>
  <c r="L29" i="12"/>
  <c r="H36" i="12"/>
  <c r="C38" i="12"/>
  <c r="C43" i="12" s="1"/>
  <c r="H41" i="12"/>
  <c r="J41" i="12"/>
  <c r="K24" i="12"/>
  <c r="J24" i="12"/>
  <c r="H26" i="12"/>
  <c r="H31" i="12" s="1"/>
  <c r="K25" i="12"/>
  <c r="K37" i="12" s="1"/>
  <c r="J25" i="12"/>
  <c r="H37" i="12"/>
  <c r="E38" i="12"/>
  <c r="E43" i="12" s="1"/>
  <c r="H35" i="13"/>
  <c r="H40" i="13" s="1"/>
  <c r="C40" i="13"/>
  <c r="H30" i="13"/>
  <c r="K25" i="13"/>
  <c r="J25" i="13"/>
  <c r="L25" i="13"/>
  <c r="J38" i="13"/>
  <c r="M38" i="13" s="1"/>
  <c r="M28" i="13"/>
  <c r="M11" i="28" l="1"/>
  <c r="M16" i="28" s="1"/>
  <c r="J16" i="28"/>
  <c r="J38" i="28"/>
  <c r="M38" i="28" s="1"/>
  <c r="M28" i="28"/>
  <c r="H30" i="28"/>
  <c r="H31" i="28" s="1"/>
  <c r="J25" i="28"/>
  <c r="K25" i="28"/>
  <c r="L25" i="28"/>
  <c r="H38" i="28"/>
  <c r="C40" i="28"/>
  <c r="H35" i="28"/>
  <c r="H40" i="28" s="1"/>
  <c r="J29" i="27"/>
  <c r="L29" i="27" s="1"/>
  <c r="C41" i="27"/>
  <c r="H29" i="27"/>
  <c r="D36" i="27"/>
  <c r="D38" i="27" s="1"/>
  <c r="D43" i="27" s="1"/>
  <c r="D26" i="27"/>
  <c r="D31" i="27" s="1"/>
  <c r="F26" i="27"/>
  <c r="F31" i="27" s="1"/>
  <c r="F36" i="27"/>
  <c r="F38" i="27" s="1"/>
  <c r="F43" i="27" s="1"/>
  <c r="K13" i="27"/>
  <c r="K18" i="27" s="1"/>
  <c r="C36" i="27"/>
  <c r="H24" i="27"/>
  <c r="C26" i="27"/>
  <c r="C31" i="27" s="1"/>
  <c r="J13" i="27"/>
  <c r="J18" i="27" s="1"/>
  <c r="L18" i="27" s="1"/>
  <c r="L11" i="27"/>
  <c r="E26" i="27"/>
  <c r="E31" i="27" s="1"/>
  <c r="E36" i="27"/>
  <c r="E38" i="27" s="1"/>
  <c r="E43" i="27" s="1"/>
  <c r="L12" i="27"/>
  <c r="H25" i="27"/>
  <c r="J37" i="12"/>
  <c r="L37" i="12" s="1"/>
  <c r="L25" i="12"/>
  <c r="L24" i="12"/>
  <c r="J26" i="12"/>
  <c r="J31" i="12" s="1"/>
  <c r="J36" i="12"/>
  <c r="L41" i="12"/>
  <c r="E34" i="23"/>
  <c r="E35" i="23" s="1"/>
  <c r="K26" i="12"/>
  <c r="K31" i="12" s="1"/>
  <c r="K36" i="12"/>
  <c r="K38" i="12" s="1"/>
  <c r="K43" i="12" s="1"/>
  <c r="H38" i="12"/>
  <c r="H43" i="12" s="1"/>
  <c r="L35" i="13"/>
  <c r="L40" i="13" s="1"/>
  <c r="L30" i="13"/>
  <c r="J30" i="13"/>
  <c r="M25" i="13"/>
  <c r="M30" i="13" s="1"/>
  <c r="J35" i="13"/>
  <c r="K30" i="13"/>
  <c r="K35" i="13"/>
  <c r="K40" i="13" s="1"/>
  <c r="K35" i="28" l="1"/>
  <c r="K40" i="28" s="1"/>
  <c r="K30" i="28"/>
  <c r="K31" i="28" s="1"/>
  <c r="J30" i="28"/>
  <c r="J31" i="28" s="1"/>
  <c r="J35" i="28"/>
  <c r="M25" i="28"/>
  <c r="M30" i="28" s="1"/>
  <c r="L35" i="28"/>
  <c r="L40" i="28" s="1"/>
  <c r="L30" i="28"/>
  <c r="L31" i="28" s="1"/>
  <c r="H26" i="27"/>
  <c r="H31" i="27" s="1"/>
  <c r="K24" i="27"/>
  <c r="J24" i="27"/>
  <c r="H41" i="27"/>
  <c r="J41" i="27"/>
  <c r="L41" i="27" s="1"/>
  <c r="K25" i="27"/>
  <c r="K37" i="27" s="1"/>
  <c r="J25" i="27"/>
  <c r="L13" i="27"/>
  <c r="C38" i="27"/>
  <c r="C43" i="27" s="1"/>
  <c r="H36" i="27"/>
  <c r="H38" i="27" s="1"/>
  <c r="H43" i="27" s="1"/>
  <c r="L36" i="12"/>
  <c r="L38" i="12" s="1"/>
  <c r="L43" i="12" s="1"/>
  <c r="J38" i="12"/>
  <c r="L26" i="12"/>
  <c r="L31" i="12" s="1"/>
  <c r="J40" i="13"/>
  <c r="M35" i="13"/>
  <c r="M40" i="13" s="1"/>
  <c r="J40" i="28" l="1"/>
  <c r="M35" i="28"/>
  <c r="M40" i="28" s="1"/>
  <c r="L25" i="27"/>
  <c r="J37" i="27"/>
  <c r="L37" i="27" s="1"/>
  <c r="J26" i="27"/>
  <c r="J31" i="27" s="1"/>
  <c r="L24" i="27"/>
  <c r="L26" i="27" s="1"/>
  <c r="L31" i="27" s="1"/>
  <c r="J36" i="27"/>
  <c r="K26" i="27"/>
  <c r="K31" i="27" s="1"/>
  <c r="K36" i="27"/>
  <c r="K38" i="27" s="1"/>
  <c r="K43" i="27" s="1"/>
  <c r="J43" i="12"/>
  <c r="E27" i="23"/>
  <c r="E28" i="23" s="1"/>
  <c r="E46" i="23" s="1"/>
  <c r="E48" i="23" s="1"/>
  <c r="E51" i="23" s="1"/>
  <c r="E34" i="25"/>
  <c r="E35" i="25" s="1"/>
  <c r="E36" i="24"/>
  <c r="E36" i="26"/>
  <c r="E37" i="26" s="1"/>
  <c r="J38" i="27" l="1"/>
  <c r="J43" i="27" s="1"/>
  <c r="L36" i="27"/>
  <c r="L38" i="27" s="1"/>
  <c r="L43" i="27" s="1"/>
  <c r="E30" i="26"/>
  <c r="E37" i="24"/>
  <c r="E49" i="24" s="1"/>
  <c r="E51" i="24" s="1"/>
  <c r="E56" i="23"/>
  <c r="E89" i="23" l="1"/>
  <c r="E90" i="23" s="1"/>
  <c r="E82" i="23" s="1"/>
  <c r="E54" i="24"/>
  <c r="E59" i="24" s="1"/>
  <c r="E31" i="26"/>
  <c r="E49" i="26" s="1"/>
  <c r="E51" i="26" s="1"/>
  <c r="E54" i="26" s="1"/>
  <c r="E59" i="26" s="1"/>
  <c r="E27" i="25" l="1"/>
  <c r="E28" i="25" s="1"/>
  <c r="E46" i="25" s="1"/>
  <c r="E48" i="25" s="1"/>
  <c r="E89" i="26"/>
  <c r="E90" i="26" s="1"/>
  <c r="E84" i="26" s="1"/>
  <c r="E89" i="24"/>
  <c r="E90" i="24" s="1"/>
  <c r="E84" i="24" s="1"/>
  <c r="E51" i="25" l="1"/>
  <c r="E56" i="25"/>
  <c r="E89" i="25" s="1"/>
  <c r="E90" i="25" s="1"/>
  <c r="E82" i="25" s="1"/>
</calcChain>
</file>

<file path=xl/comments1.xml><?xml version="1.0" encoding="utf-8"?>
<comments xmlns="http://schemas.openxmlformats.org/spreadsheetml/2006/main">
  <authors>
    <author>White, Amy (UTC)</author>
  </authors>
  <commentList>
    <comment ref="J38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This adjustment amount goes forward to model </t>
        </r>
      </text>
    </comment>
    <comment ref="J43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This adjustment amount goes forward to model </t>
        </r>
      </text>
    </comment>
  </commentList>
</comments>
</file>

<file path=xl/sharedStrings.xml><?xml version="1.0" encoding="utf-8"?>
<sst xmlns="http://schemas.openxmlformats.org/spreadsheetml/2006/main" count="508" uniqueCount="228">
  <si>
    <t>Macro1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</si>
  <si>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</si>
  <si>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</si>
  <si>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</si>
  <si>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</si>
  <si>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</si>
  <si>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</si>
  <si>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</si>
  <si>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</si>
  <si>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</si>
  <si>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Macro10</t>
  </si>
  <si>
    <t>Macro11</t>
  </si>
  <si>
    <t>Macro12</t>
  </si>
  <si>
    <t>Macro13</t>
  </si>
  <si>
    <t>Macro14</t>
  </si>
  <si>
    <t>Macro15</t>
  </si>
  <si>
    <t>Macro16</t>
  </si>
  <si>
    <t>Macro17</t>
  </si>
  <si>
    <t>Macro18</t>
  </si>
  <si>
    <t>Macro19</t>
  </si>
  <si>
    <t>Macro20</t>
  </si>
  <si>
    <t>Macro21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</si>
  <si>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</si>
  <si>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</si>
  <si>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</si>
  <si>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</si>
  <si>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</si>
  <si>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</si>
  <si>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</si>
  <si>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</si>
  <si>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</si>
  <si>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</si>
  <si>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</si>
  <si>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Macro33</t>
  </si>
  <si>
    <t>Macro34</t>
  </si>
  <si>
    <t>Macro35</t>
  </si>
  <si>
    <t>Macro36</t>
  </si>
  <si>
    <t>Macro37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</si>
  <si>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</si>
  <si>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</si>
  <si>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</si>
  <si>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</si>
  <si>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</si>
  <si>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</si>
  <si>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</si>
  <si>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</si>
  <si>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</si>
  <si>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</si>
  <si>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</si>
  <si>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Macro49</t>
  </si>
  <si>
    <t>Macro50</t>
  </si>
  <si>
    <t>Macro51</t>
  </si>
  <si>
    <t>Macro52</t>
  </si>
  <si>
    <t>Macro53</t>
  </si>
  <si>
    <t>Macro54</t>
  </si>
  <si>
    <t>Macro55</t>
  </si>
  <si>
    <t>Macro56</t>
  </si>
  <si>
    <t>Macro57</t>
  </si>
  <si>
    <t>Macro58</t>
  </si>
  <si>
    <t>Macro59</t>
  </si>
  <si>
    <t>Macro60</t>
  </si>
  <si>
    <t>Macro61</t>
  </si>
  <si>
    <t>Macro62</t>
  </si>
  <si>
    <t>Macro63</t>
  </si>
  <si>
    <t>Macro64</t>
  </si>
  <si>
    <t>Macro65</t>
  </si>
  <si>
    <t>Macro66</t>
  </si>
  <si>
    <t>Macro67</t>
  </si>
  <si>
    <t>Macro68</t>
  </si>
  <si>
    <t>Macro69</t>
  </si>
  <si>
    <t>Macro70</t>
  </si>
  <si>
    <t>Macro71</t>
  </si>
  <si>
    <t>Macro72</t>
  </si>
  <si>
    <t>Auto_Open</t>
  </si>
  <si>
    <t>Adjustment</t>
  </si>
  <si>
    <t>ALLOCATION</t>
  </si>
  <si>
    <t>Washington</t>
  </si>
  <si>
    <t>Idaho</t>
  </si>
  <si>
    <t>Montana</t>
  </si>
  <si>
    <t>Oregon</t>
  </si>
  <si>
    <t>Colstrip</t>
  </si>
  <si>
    <t>Total</t>
  </si>
  <si>
    <t>Actual Per Results</t>
  </si>
  <si>
    <t>Dist:</t>
  </si>
  <si>
    <t>U/G Storage Allocation</t>
  </si>
  <si>
    <t>U/G Storage:</t>
  </si>
  <si>
    <t>P/T:</t>
  </si>
  <si>
    <t xml:space="preserve">   P/T Total</t>
  </si>
  <si>
    <t>P/T</t>
  </si>
  <si>
    <t>Commission Basis Expense - 2016</t>
  </si>
  <si>
    <t>2018 Period Expense</t>
  </si>
  <si>
    <t>PAYMENTS MADE TO JURISDICTIONS FOR NATURAL GAS</t>
  </si>
  <si>
    <t>U/G Storage (1):</t>
  </si>
  <si>
    <t>Current Period Expense</t>
  </si>
  <si>
    <t>PAYMENTS MADE TO JURISDICTIONS FOR ELECTRIC</t>
  </si>
  <si>
    <t xml:space="preserve">The company has inflated the restated 2016 cost by 19% overall without any calculations provided for the pro forma amount </t>
  </si>
  <si>
    <t>OTHER</t>
  </si>
  <si>
    <t xml:space="preserve">as originally filed </t>
  </si>
  <si>
    <t>as originally filed</t>
  </si>
  <si>
    <t xml:space="preserve">Current Period Expense </t>
  </si>
  <si>
    <t xml:space="preserve">AVISTA UTILITIES  </t>
  </si>
  <si>
    <t>TWELVE MONTHS ENDED DECEMBER 31, 2016</t>
  </si>
  <si>
    <t xml:space="preserve">(000'S OF DOLLARS)  </t>
  </si>
  <si>
    <t>Restate</t>
  </si>
  <si>
    <t xml:space="preserve">Pro Forma </t>
  </si>
  <si>
    <t>Pro Forma</t>
  </si>
  <si>
    <t>Line</t>
  </si>
  <si>
    <t>Property</t>
  </si>
  <si>
    <t>No.</t>
  </si>
  <si>
    <t>DESCRIPTION</t>
  </si>
  <si>
    <t>Taxes</t>
  </si>
  <si>
    <t>Tax</t>
  </si>
  <si>
    <t xml:space="preserve">Adjustment Number </t>
  </si>
  <si>
    <t>Workpaper Reference</t>
  </si>
  <si>
    <t>E-RPT</t>
  </si>
  <si>
    <t>E-PPT</t>
  </si>
  <si>
    <t xml:space="preserve">REVENUES  </t>
  </si>
  <si>
    <t xml:space="preserve">Total General Business  </t>
  </si>
  <si>
    <t xml:space="preserve">Interdepartmental Sales  </t>
  </si>
  <si>
    <t xml:space="preserve">Sales for Resale  </t>
  </si>
  <si>
    <t xml:space="preserve">Total Sales of Electricity  </t>
  </si>
  <si>
    <t xml:space="preserve">Other Revenue  </t>
  </si>
  <si>
    <t xml:space="preserve">Total Electric Revenue  </t>
  </si>
  <si>
    <t xml:space="preserve">EXPENSES  </t>
  </si>
  <si>
    <t xml:space="preserve">Production and Transmission  </t>
  </si>
  <si>
    <t xml:space="preserve">Operating Expenses  </t>
  </si>
  <si>
    <t xml:space="preserve">Purchased Power  </t>
  </si>
  <si>
    <t xml:space="preserve">Depreciation/Amortization  </t>
  </si>
  <si>
    <t>Regulatory Amortization</t>
  </si>
  <si>
    <t xml:space="preserve">Taxes  </t>
  </si>
  <si>
    <t xml:space="preserve">Total Production &amp; Transmission  </t>
  </si>
  <si>
    <t xml:space="preserve">Distribution  </t>
  </si>
  <si>
    <t>Depreciation/Amortization</t>
  </si>
  <si>
    <t xml:space="preserve">Total Distribution  </t>
  </si>
  <si>
    <t xml:space="preserve">Customer Accounting  </t>
  </si>
  <si>
    <t xml:space="preserve">Customer Service &amp; Information  </t>
  </si>
  <si>
    <t xml:space="preserve">Sales Expenses  </t>
  </si>
  <si>
    <t xml:space="preserve">Administrative &amp; General  </t>
  </si>
  <si>
    <t xml:space="preserve">Total Admin. &amp; General  </t>
  </si>
  <si>
    <t xml:space="preserve">Total Electric Expenses  </t>
  </si>
  <si>
    <t xml:space="preserve">OPERATING INCOME BEFORE FIT  </t>
  </si>
  <si>
    <t xml:space="preserve">FEDERAL INCOME TAX  </t>
  </si>
  <si>
    <t xml:space="preserve">Current Accrual </t>
  </si>
  <si>
    <t>Debt Interest</t>
  </si>
  <si>
    <t xml:space="preserve">Deferred Income Taxes  </t>
  </si>
  <si>
    <t>Amortized ITC - Noxon</t>
  </si>
  <si>
    <t xml:space="preserve">NET OPERATING INCOME  </t>
  </si>
  <si>
    <t xml:space="preserve">RATE BASE  </t>
  </si>
  <si>
    <t xml:space="preserve">PLANT IN SERVICE  </t>
  </si>
  <si>
    <t xml:space="preserve">Intangible  </t>
  </si>
  <si>
    <t xml:space="preserve">Production  </t>
  </si>
  <si>
    <t xml:space="preserve">Transmission  </t>
  </si>
  <si>
    <t xml:space="preserve">General  </t>
  </si>
  <si>
    <t xml:space="preserve">Total Plant in Service  </t>
  </si>
  <si>
    <t>ACCUMULATED DEPRECIATION/AMORT</t>
  </si>
  <si>
    <t>Total Accumulated Depreciation</t>
  </si>
  <si>
    <t xml:space="preserve">NET PLANT </t>
  </si>
  <si>
    <t xml:space="preserve">DEFERRED TAXES  </t>
  </si>
  <si>
    <t>Net Plant After DFIT</t>
  </si>
  <si>
    <t>DEFERRED DEBITS AND CREDITS &amp; OTHER</t>
  </si>
  <si>
    <t xml:space="preserve">WORKING CAPITAL </t>
  </si>
  <si>
    <t xml:space="preserve">TOTAL RATE BASE  </t>
  </si>
  <si>
    <t xml:space="preserve">RATE OF RETURN  </t>
  </si>
  <si>
    <t xml:space="preserve">REVENUE REQUIREMENT </t>
  </si>
  <si>
    <t>Revenue Conversion Factor</t>
  </si>
  <si>
    <t>NOI Requirement</t>
  </si>
  <si>
    <t>Revenue Requirement</t>
  </si>
  <si>
    <t xml:space="preserve">WASHINGTON NATURAL GAS - PRO FORMA </t>
  </si>
  <si>
    <t>Adjsutment Number</t>
  </si>
  <si>
    <t>G-RPT</t>
  </si>
  <si>
    <t>G-PPT</t>
  </si>
  <si>
    <t>REVENUES</t>
  </si>
  <si>
    <t>Total General Business</t>
  </si>
  <si>
    <t>Total Transportation</t>
  </si>
  <si>
    <t>Other Revenues</t>
  </si>
  <si>
    <t>Total Gas Revenues</t>
  </si>
  <si>
    <t>EXPENSES</t>
  </si>
  <si>
    <t>Production 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</si>
  <si>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</si>
  <si>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</si>
  <si>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</si>
  <si>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</si>
  <si>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</si>
  <si>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</si>
  <si>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</si>
  <si>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</si>
  <si>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</si>
  <si>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</si>
  <si>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</si>
  <si>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</si>
  <si>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</si>
  <si>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Regulatory Amortizations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</si>
  <si>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</si>
  <si>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</si>
  <si>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</si>
  <si>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</si>
  <si>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</si>
  <si>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</si>
  <si>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</si>
  <si>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</si>
  <si>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RATE BASE</t>
  </si>
  <si>
    <t>PLANT IN SERVICE</t>
  </si>
  <si>
    <t>Distribution Plant</t>
  </si>
  <si>
    <t>General Plant</t>
  </si>
  <si>
    <t>Total Plant in Service</t>
  </si>
  <si>
    <t>Total Accumulated Depreciation/Amortization</t>
  </si>
  <si>
    <t>NET PLANT</t>
  </si>
  <si>
    <t>DEFERRED TAXES</t>
  </si>
  <si>
    <t>GAS INVENTORY</t>
  </si>
  <si>
    <t>GAIN ON SALE OF BUILDING</t>
  </si>
  <si>
    <t>TOTAL RATE BASE</t>
  </si>
  <si>
    <t>RATE OF RETURN</t>
  </si>
  <si>
    <t>REVENUE REQUIREMENT</t>
  </si>
  <si>
    <t>Pro Forma Rate of Return</t>
  </si>
  <si>
    <t xml:space="preserve">(2016 restated to actual) </t>
  </si>
  <si>
    <t>UE-170485/UG-170486</t>
  </si>
  <si>
    <t xml:space="preserve">Avista Utilities </t>
  </si>
  <si>
    <t xml:space="preserve">2.02 Restate Prop Tax </t>
  </si>
  <si>
    <t xml:space="preserve">WASHINGTON ELECTRIC RESULTS </t>
  </si>
  <si>
    <t xml:space="preserve">WASHINGTON NATURAL GAS </t>
  </si>
  <si>
    <t xml:space="preserve">Line </t>
  </si>
  <si>
    <t xml:space="preserve">No. </t>
  </si>
  <si>
    <t xml:space="preserve">as orig inally filed </t>
  </si>
  <si>
    <t>No</t>
  </si>
  <si>
    <t xml:space="preserve">Calculation of Adj 2.02, Restate Property Tax - Electric  </t>
  </si>
  <si>
    <t xml:space="preserve">Calculation of Adj 3.06, Pro Forma Property Tax- Electric  </t>
  </si>
  <si>
    <t>Calculation of Adj 2.02, Restate Property Tax- Natural Gas</t>
  </si>
  <si>
    <t>Calculation of Adj 3.06, Pro Forma Property Tax- Natural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</si>
</sst>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8"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u/>
      <sz val="7.5"/>
      <color theme="0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b/>
      <u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/>
      <bottom/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</cellStyleXfs>
  <cellXfs count="190">
    <xf numFmtId="0" fontId="0" fillId="0" borderId="0" xfId="0"/>
    <xf numFmtId="0" fontId="7" fillId="0" borderId="0" xfId="7" applyNumberFormat="1" applyFont="1" applyAlignment="1">
      <alignment horizontal="center"/>
    </xf>
    <xf numFmtId="0" fontId="7" fillId="0" borderId="0" xfId="7" applyFont="1"/>
    <xf numFmtId="41" fontId="7" fillId="0" borderId="0" xfId="7" applyNumberFormat="1" applyFont="1" applyFill="1"/>
    <xf numFmtId="41" fontId="7" fillId="0" borderId="0" xfId="7" applyNumberFormat="1" applyFont="1"/>
    <xf numFmtId="41" fontId="9" fillId="0" borderId="0" xfId="7" applyNumberFormat="1" applyFont="1" applyFill="1"/>
    <xf numFmtId="0" fontId="7" fillId="0" borderId="0" xfId="7" applyNumberFormat="1" applyFont="1" applyAlignment="1">
      <alignment horizontal="left"/>
    </xf>
    <xf numFmtId="41" fontId="9" fillId="0" borderId="0" xfId="7" applyNumberFormat="1" applyFont="1" applyFill="1" applyAlignment="1">
      <alignment horizontal="center"/>
    </xf>
    <xf numFmtId="41" fontId="9" fillId="0" borderId="0" xfId="7" applyNumberFormat="1" applyFont="1" applyFill="1" applyAlignment="1"/>
    <xf numFmtId="41" fontId="9" fillId="0" borderId="0" xfId="7" applyNumberFormat="1" applyFont="1" applyFill="1" applyBorder="1" applyAlignment="1">
      <alignment horizontal="center" wrapText="1"/>
    </xf>
    <xf numFmtId="3" fontId="9" fillId="0" borderId="0" xfId="8" applyNumberFormat="1" applyFont="1" applyAlignment="1">
      <alignment horizontal="center"/>
    </xf>
    <xf numFmtId="3" fontId="9" fillId="0" borderId="0" xfId="8" applyNumberFormat="1" applyFont="1" applyFill="1" applyAlignment="1">
      <alignment horizontal="center"/>
    </xf>
    <xf numFmtId="0" fontId="9" fillId="0" borderId="0" xfId="7" applyFont="1" applyAlignment="1">
      <alignment horizontal="center"/>
    </xf>
    <xf numFmtId="0" fontId="9" fillId="0" borderId="0" xfId="7" applyNumberFormat="1" applyFont="1" applyAlignment="1">
      <alignment horizontal="center"/>
    </xf>
    <xf numFmtId="41" fontId="9" fillId="0" borderId="18" xfId="7" applyNumberFormat="1" applyFont="1" applyFill="1" applyBorder="1" applyAlignment="1">
      <alignment horizontal="center"/>
    </xf>
    <xf numFmtId="41" fontId="9" fillId="0" borderId="0" xfId="8" applyNumberFormat="1" applyFont="1" applyFill="1" applyAlignment="1">
      <alignment horizontal="center"/>
    </xf>
    <xf numFmtId="3" fontId="9" fillId="0" borderId="1" xfId="8" applyNumberFormat="1" applyFont="1" applyFill="1" applyBorder="1" applyAlignment="1">
      <alignment horizontal="center"/>
    </xf>
    <xf numFmtId="0" fontId="9" fillId="0" borderId="17" xfId="7" applyNumberFormat="1" applyFont="1" applyBorder="1" applyAlignment="1">
      <alignment horizontal="center"/>
    </xf>
    <xf numFmtId="0" fontId="9" fillId="0" borderId="19" xfId="7" applyFont="1" applyBorder="1" applyAlignment="1">
      <alignment horizontal="center"/>
    </xf>
    <xf numFmtId="0" fontId="9" fillId="0" borderId="14" xfId="7" applyFont="1" applyBorder="1" applyAlignment="1">
      <alignment horizontal="center"/>
    </xf>
    <xf numFmtId="41" fontId="9" fillId="0" borderId="24" xfId="7" applyNumberFormat="1" applyFont="1" applyFill="1" applyBorder="1" applyAlignment="1">
      <alignment horizontal="center"/>
    </xf>
    <xf numFmtId="41" fontId="9" fillId="0" borderId="17" xfId="7" applyNumberFormat="1" applyFont="1" applyFill="1" applyBorder="1" applyAlignment="1">
      <alignment horizontal="center"/>
    </xf>
    <xf numFmtId="0" fontId="9" fillId="0" borderId="18" xfId="7" applyNumberFormat="1" applyFont="1" applyBorder="1" applyAlignment="1">
      <alignment horizontal="center"/>
    </xf>
    <xf numFmtId="0" fontId="9" fillId="0" borderId="22" xfId="7" applyFont="1" applyBorder="1" applyAlignment="1">
      <alignment horizontal="center"/>
    </xf>
    <xf numFmtId="0" fontId="9" fillId="0" borderId="0" xfId="7" applyFont="1" applyBorder="1" applyAlignment="1">
      <alignment horizontal="center"/>
    </xf>
    <xf numFmtId="41" fontId="9" fillId="0" borderId="23" xfId="7" applyNumberFormat="1" applyFont="1" applyFill="1" applyBorder="1" applyAlignment="1">
      <alignment horizontal="center"/>
    </xf>
    <xf numFmtId="0" fontId="9" fillId="0" borderId="21" xfId="7" applyNumberFormat="1" applyFont="1" applyBorder="1" applyAlignment="1">
      <alignment horizontal="center"/>
    </xf>
    <xf numFmtId="0" fontId="9" fillId="0" borderId="20" xfId="7" applyFont="1" applyBorder="1" applyAlignment="1">
      <alignment horizontal="center"/>
    </xf>
    <xf numFmtId="0" fontId="9" fillId="0" borderId="1" xfId="7" applyFont="1" applyBorder="1" applyAlignment="1">
      <alignment horizontal="center"/>
    </xf>
    <xf numFmtId="41" fontId="9" fillId="0" borderId="21" xfId="7" applyNumberFormat="1" applyFont="1" applyFill="1" applyBorder="1" applyAlignment="1">
      <alignment horizontal="center"/>
    </xf>
    <xf numFmtId="41" fontId="9" fillId="0" borderId="25" xfId="7" applyNumberFormat="1" applyFont="1" applyFill="1" applyBorder="1" applyAlignment="1">
      <alignment horizontal="center"/>
    </xf>
    <xf numFmtId="2" fontId="9" fillId="0" borderId="0" xfId="7" applyNumberFormat="1" applyFont="1" applyAlignment="1">
      <alignment horizontal="center"/>
    </xf>
    <xf numFmtId="2" fontId="7" fillId="0" borderId="0" xfId="7" applyNumberFormat="1" applyFont="1" applyAlignment="1">
      <alignment horizontal="left"/>
    </xf>
    <xf numFmtId="2" fontId="9" fillId="0" borderId="0" xfId="10" applyNumberFormat="1" applyFont="1" applyFill="1" applyAlignment="1" applyProtection="1">
      <alignment horizontal="center"/>
    </xf>
    <xf numFmtId="41" fontId="7" fillId="0" borderId="0" xfId="7" applyNumberFormat="1" applyFont="1" applyFill="1" applyBorder="1"/>
    <xf numFmtId="37" fontId="7" fillId="0" borderId="0" xfId="7" applyNumberFormat="1" applyFont="1" applyAlignment="1">
      <alignment horizontal="center"/>
    </xf>
    <xf numFmtId="5" fontId="7" fillId="0" borderId="0" xfId="7" applyNumberFormat="1" applyFont="1"/>
    <xf numFmtId="5" fontId="7" fillId="0" borderId="0" xfId="9" applyNumberFormat="1" applyFont="1" applyFill="1" applyBorder="1"/>
    <xf numFmtId="37" fontId="7" fillId="0" borderId="0" xfId="7" applyNumberFormat="1" applyFont="1"/>
    <xf numFmtId="37" fontId="7" fillId="0" borderId="0" xfId="7" applyNumberFormat="1" applyFont="1" applyFill="1"/>
    <xf numFmtId="41" fontId="7" fillId="0" borderId="1" xfId="7" applyNumberFormat="1" applyFont="1" applyBorder="1"/>
    <xf numFmtId="41" fontId="7" fillId="0" borderId="1" xfId="7" applyNumberFormat="1" applyFont="1" applyFill="1" applyBorder="1"/>
    <xf numFmtId="37" fontId="7" fillId="0" borderId="0" xfId="7" applyNumberFormat="1" applyFont="1" applyFill="1" applyAlignment="1">
      <alignment horizontal="center"/>
    </xf>
    <xf numFmtId="1" fontId="7" fillId="0" borderId="0" xfId="11" applyNumberFormat="1" applyFont="1" applyAlignment="1">
      <alignment horizontal="center"/>
    </xf>
    <xf numFmtId="9" fontId="7" fillId="0" borderId="0" xfId="6" applyFont="1"/>
    <xf numFmtId="41" fontId="7" fillId="0" borderId="0" xfId="7" applyNumberFormat="1" applyFont="1" applyBorder="1"/>
    <xf numFmtId="3" fontId="7" fillId="0" borderId="0" xfId="11" applyNumberFormat="1" applyFont="1" applyAlignment="1">
      <alignment horizontal="center"/>
    </xf>
    <xf numFmtId="5" fontId="7" fillId="0" borderId="26" xfId="7" applyNumberFormat="1" applyFont="1" applyFill="1" applyBorder="1"/>
    <xf numFmtId="5" fontId="7" fillId="0" borderId="26" xfId="7" applyNumberFormat="1" applyFont="1" applyBorder="1"/>
    <xf numFmtId="3" fontId="7" fillId="0" borderId="0" xfId="11" applyNumberFormat="1" applyFont="1" applyFill="1" applyAlignment="1">
      <alignment horizontal="center"/>
    </xf>
    <xf numFmtId="41" fontId="7" fillId="0" borderId="14" xfId="7" applyNumberFormat="1" applyFont="1" applyFill="1" applyBorder="1"/>
    <xf numFmtId="41" fontId="7" fillId="0" borderId="27" xfId="7" applyNumberFormat="1" applyFont="1" applyFill="1" applyBorder="1"/>
    <xf numFmtId="10" fontId="7" fillId="0" borderId="0" xfId="6" applyNumberFormat="1" applyFont="1" applyFill="1"/>
    <xf numFmtId="41" fontId="7" fillId="0" borderId="0" xfId="6" applyNumberFormat="1" applyFont="1"/>
    <xf numFmtId="41" fontId="7" fillId="0" borderId="0" xfId="6" applyNumberFormat="1" applyFont="1" applyFill="1"/>
    <xf numFmtId="0" fontId="7" fillId="0" borderId="0" xfId="7" applyFont="1" applyAlignment="1">
      <alignment vertical="top"/>
    </xf>
    <xf numFmtId="0" fontId="7" fillId="0" borderId="0" xfId="7" applyFont="1" applyFill="1"/>
    <xf numFmtId="0" fontId="7" fillId="0" borderId="0" xfId="7" applyNumberFormat="1" applyFont="1" applyBorder="1" applyAlignment="1">
      <alignment horizontal="center"/>
    </xf>
    <xf numFmtId="0" fontId="7" fillId="0" borderId="0" xfId="7" applyFont="1" applyBorder="1"/>
    <xf numFmtId="0" fontId="7" fillId="0" borderId="0" xfId="7" applyNumberFormat="1" applyFont="1" applyFill="1" applyBorder="1" applyAlignment="1">
      <alignment horizontal="center"/>
    </xf>
    <xf numFmtId="0" fontId="7" fillId="0" borderId="0" xfId="7" applyFont="1" applyFill="1" applyBorder="1"/>
    <xf numFmtId="0" fontId="7" fillId="0" borderId="0" xfId="8" applyNumberFormat="1" applyFont="1" applyAlignment="1">
      <alignment horizontal="center"/>
    </xf>
    <xf numFmtId="0" fontId="7" fillId="0" borderId="0" xfId="8" applyFont="1"/>
    <xf numFmtId="3" fontId="7" fillId="0" borderId="0" xfId="8" applyNumberFormat="1" applyFont="1"/>
    <xf numFmtId="0" fontId="7" fillId="0" borderId="0" xfId="8" applyNumberFormat="1" applyFont="1" applyAlignment="1">
      <alignment horizontal="left"/>
    </xf>
    <xf numFmtId="0" fontId="11" fillId="0" borderId="0" xfId="0" applyFont="1"/>
    <xf numFmtId="41" fontId="9" fillId="0" borderId="0" xfId="13" applyNumberFormat="1" applyFont="1" applyFill="1"/>
    <xf numFmtId="0" fontId="7" fillId="0" borderId="0" xfId="8" applyFont="1" applyAlignment="1">
      <alignment horizontal="center"/>
    </xf>
    <xf numFmtId="3" fontId="9" fillId="0" borderId="0" xfId="12" applyNumberFormat="1" applyFont="1" applyFill="1" applyAlignment="1">
      <alignment horizontal="center"/>
    </xf>
    <xf numFmtId="3" fontId="7" fillId="0" borderId="0" xfId="8" applyNumberFormat="1" applyFont="1" applyFill="1" applyAlignment="1">
      <alignment horizontal="center"/>
    </xf>
    <xf numFmtId="0" fontId="9" fillId="0" borderId="0" xfId="8" applyNumberFormat="1" applyFont="1" applyAlignment="1">
      <alignment horizontal="center"/>
    </xf>
    <xf numFmtId="0" fontId="9" fillId="0" borderId="0" xfId="8" applyFont="1" applyAlignment="1">
      <alignment horizontal="center"/>
    </xf>
    <xf numFmtId="3" fontId="8" fillId="0" borderId="0" xfId="0" applyNumberFormat="1" applyFont="1" applyFill="1" applyAlignment="1"/>
    <xf numFmtId="41" fontId="9" fillId="0" borderId="0" xfId="12" applyNumberFormat="1" applyFont="1" applyFill="1" applyAlignment="1">
      <alignment horizontal="center"/>
    </xf>
    <xf numFmtId="41" fontId="7" fillId="0" borderId="0" xfId="12" applyNumberFormat="1" applyFont="1" applyFill="1" applyAlignment="1">
      <alignment horizontal="center"/>
    </xf>
    <xf numFmtId="0" fontId="9" fillId="0" borderId="17" xfId="8" applyNumberFormat="1" applyFont="1" applyBorder="1" applyAlignment="1">
      <alignment horizontal="center"/>
    </xf>
    <xf numFmtId="0" fontId="9" fillId="0" borderId="19" xfId="8" applyFont="1" applyBorder="1" applyAlignment="1">
      <alignment horizontal="center"/>
    </xf>
    <xf numFmtId="0" fontId="9" fillId="0" borderId="14" xfId="8" applyFont="1" applyBorder="1" applyAlignment="1">
      <alignment horizontal="center"/>
    </xf>
    <xf numFmtId="0" fontId="7" fillId="0" borderId="24" xfId="8" applyFont="1" applyBorder="1"/>
    <xf numFmtId="3" fontId="9" fillId="0" borderId="17" xfId="8" applyNumberFormat="1" applyFont="1" applyFill="1" applyBorder="1" applyAlignment="1">
      <alignment horizontal="center"/>
    </xf>
    <xf numFmtId="0" fontId="9" fillId="0" borderId="18" xfId="8" applyNumberFormat="1" applyFont="1" applyBorder="1" applyAlignment="1">
      <alignment horizontal="center"/>
    </xf>
    <xf numFmtId="0" fontId="9" fillId="0" borderId="22" xfId="8" applyFont="1" applyBorder="1" applyAlignment="1">
      <alignment horizontal="center"/>
    </xf>
    <xf numFmtId="0" fontId="9" fillId="0" borderId="0" xfId="8" applyFont="1" applyBorder="1" applyAlignment="1">
      <alignment horizontal="center"/>
    </xf>
    <xf numFmtId="0" fontId="7" fillId="0" borderId="23" xfId="8" applyFont="1" applyBorder="1"/>
    <xf numFmtId="3" fontId="9" fillId="0" borderId="18" xfId="8" applyNumberFormat="1" applyFont="1" applyFill="1" applyBorder="1" applyAlignment="1">
      <alignment horizontal="center"/>
    </xf>
    <xf numFmtId="0" fontId="9" fillId="0" borderId="21" xfId="8" applyNumberFormat="1" applyFont="1" applyBorder="1" applyAlignment="1">
      <alignment horizontal="center"/>
    </xf>
    <xf numFmtId="0" fontId="9" fillId="0" borderId="20" xfId="8" applyFont="1" applyBorder="1" applyAlignment="1">
      <alignment horizontal="center"/>
    </xf>
    <xf numFmtId="0" fontId="9" fillId="0" borderId="1" xfId="8" applyFont="1" applyBorder="1" applyAlignment="1">
      <alignment horizontal="center"/>
    </xf>
    <xf numFmtId="0" fontId="9" fillId="0" borderId="25" xfId="8" applyFont="1" applyBorder="1" applyAlignment="1">
      <alignment horizontal="center"/>
    </xf>
    <xf numFmtId="3" fontId="9" fillId="0" borderId="21" xfId="8" applyNumberFormat="1" applyFont="1" applyFill="1" applyBorder="1" applyAlignment="1">
      <alignment horizontal="center"/>
    </xf>
    <xf numFmtId="0" fontId="7" fillId="0" borderId="0" xfId="8" applyFont="1" applyAlignment="1">
      <alignment horizontal="left"/>
    </xf>
    <xf numFmtId="4" fontId="9" fillId="0" borderId="0" xfId="8" applyNumberFormat="1" applyFont="1" applyAlignment="1">
      <alignment horizontal="center"/>
    </xf>
    <xf numFmtId="4" fontId="9" fillId="0" borderId="0" xfId="8" applyNumberFormat="1" applyFont="1" applyFill="1" applyBorder="1" applyAlignment="1">
      <alignment horizontal="center"/>
    </xf>
    <xf numFmtId="3" fontId="7" fillId="0" borderId="0" xfId="8" applyNumberFormat="1" applyFont="1" applyFill="1" applyBorder="1"/>
    <xf numFmtId="5" fontId="7" fillId="0" borderId="0" xfId="8" applyNumberFormat="1" applyFont="1"/>
    <xf numFmtId="42" fontId="7" fillId="0" borderId="0" xfId="9" applyNumberFormat="1" applyFont="1" applyFill="1"/>
    <xf numFmtId="37" fontId="7" fillId="0" borderId="0" xfId="8" applyNumberFormat="1" applyFont="1"/>
    <xf numFmtId="41" fontId="7" fillId="0" borderId="0" xfId="8" applyNumberFormat="1" applyFont="1"/>
    <xf numFmtId="41" fontId="7" fillId="0" borderId="0" xfId="9" applyNumberFormat="1" applyFont="1" applyFill="1"/>
    <xf numFmtId="41" fontId="7" fillId="0" borderId="0" xfId="9" applyNumberFormat="1" applyFont="1" applyFill="1" applyBorder="1"/>
    <xf numFmtId="41" fontId="7" fillId="0" borderId="1" xfId="8" applyNumberFormat="1" applyFont="1" applyBorder="1"/>
    <xf numFmtId="41" fontId="7" fillId="0" borderId="1" xfId="9" applyNumberFormat="1" applyFont="1" applyFill="1" applyBorder="1"/>
    <xf numFmtId="41" fontId="7" fillId="0" borderId="0" xfId="8" applyNumberFormat="1" applyFont="1" applyFill="1"/>
    <xf numFmtId="0" fontId="7" fillId="0" borderId="0" xfId="0" applyFont="1"/>
    <xf numFmtId="42" fontId="7" fillId="0" borderId="26" xfId="8" applyNumberFormat="1" applyFont="1" applyBorder="1"/>
    <xf numFmtId="42" fontId="9" fillId="0" borderId="26" xfId="8" applyNumberFormat="1" applyFont="1" applyBorder="1"/>
    <xf numFmtId="41" fontId="7" fillId="0" borderId="27" xfId="8" applyNumberFormat="1" applyFont="1" applyBorder="1"/>
    <xf numFmtId="41" fontId="7" fillId="0" borderId="0" xfId="8" applyNumberFormat="1" applyFont="1" applyBorder="1"/>
    <xf numFmtId="0" fontId="7" fillId="0" borderId="0" xfId="8" applyNumberFormat="1" applyFont="1" applyBorder="1" applyAlignment="1">
      <alignment horizontal="center"/>
    </xf>
    <xf numFmtId="37" fontId="7" fillId="0" borderId="0" xfId="8" applyNumberFormat="1" applyFont="1" applyBorder="1"/>
    <xf numFmtId="0" fontId="7" fillId="0" borderId="0" xfId="8" applyFont="1" applyBorder="1"/>
    <xf numFmtId="5" fontId="9" fillId="0" borderId="0" xfId="8" applyNumberFormat="1" applyFont="1"/>
    <xf numFmtId="10" fontId="7" fillId="0" borderId="0" xfId="6" applyNumberFormat="1" applyFont="1"/>
    <xf numFmtId="0" fontId="7" fillId="0" borderId="0" xfId="8" applyNumberFormat="1" applyFont="1" applyFill="1" applyAlignment="1">
      <alignment horizontal="left"/>
    </xf>
    <xf numFmtId="0" fontId="7" fillId="0" borderId="0" xfId="8" applyFont="1" applyFill="1"/>
    <xf numFmtId="0" fontId="7" fillId="0" borderId="0" xfId="8" applyNumberFormat="1" applyFont="1" applyFill="1" applyAlignment="1">
      <alignment horizontal="center"/>
    </xf>
    <xf numFmtId="3" fontId="7" fillId="0" borderId="0" xfId="7" applyNumberFormat="1" applyFont="1" applyFill="1"/>
    <xf numFmtId="0" fontId="7" fillId="0" borderId="0" xfId="8" applyNumberFormat="1" applyFont="1" applyFill="1" applyBorder="1" applyAlignment="1">
      <alignment horizontal="center"/>
    </xf>
    <xf numFmtId="0" fontId="7" fillId="0" borderId="0" xfId="8" applyFont="1" applyFill="1" applyBorder="1"/>
    <xf numFmtId="3" fontId="7" fillId="0" borderId="0" xfId="7" applyNumberFormat="1" applyFont="1" applyFill="1" applyBorder="1"/>
    <xf numFmtId="0" fontId="7" fillId="0" borderId="0" xfId="7" applyFont="1" applyFill="1" applyBorder="1" applyAlignment="1">
      <alignment horizontal="right"/>
    </xf>
    <xf numFmtId="3" fontId="7" fillId="0" borderId="0" xfId="8" applyNumberFormat="1" applyFont="1" applyBorder="1"/>
    <xf numFmtId="3" fontId="8" fillId="0" borderId="0" xfId="0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164" fontId="11" fillId="0" borderId="0" xfId="2" applyNumberFormat="1" applyFont="1" applyFill="1"/>
    <xf numFmtId="0" fontId="12" fillId="0" borderId="0" xfId="0" applyFont="1" applyFill="1"/>
    <xf numFmtId="10" fontId="11" fillId="0" borderId="0" xfId="5" applyNumberFormat="1" applyFont="1" applyFill="1" applyAlignment="1">
      <alignment horizontal="center"/>
    </xf>
    <xf numFmtId="0" fontId="8" fillId="0" borderId="0" xfId="0" applyFont="1" applyFill="1"/>
    <xf numFmtId="164" fontId="11" fillId="0" borderId="1" xfId="2" applyNumberFormat="1" applyFont="1" applyFill="1" applyBorder="1"/>
    <xf numFmtId="164" fontId="11" fillId="0" borderId="14" xfId="2" applyNumberFormat="1" applyFont="1" applyFill="1" applyBorder="1"/>
    <xf numFmtId="164" fontId="11" fillId="0" borderId="5" xfId="2" applyNumberFormat="1" applyFont="1" applyFill="1" applyBorder="1"/>
    <xf numFmtId="164" fontId="11" fillId="0" borderId="3" xfId="2" applyNumberFormat="1" applyFont="1" applyFill="1" applyBorder="1"/>
    <xf numFmtId="164" fontId="11" fillId="0" borderId="0" xfId="2" applyNumberFormat="1" applyFont="1" applyFill="1" applyBorder="1"/>
    <xf numFmtId="164" fontId="11" fillId="0" borderId="15" xfId="2" applyNumberFormat="1" applyFont="1" applyFill="1" applyBorder="1"/>
    <xf numFmtId="165" fontId="11" fillId="0" borderId="0" xfId="5" applyNumberFormat="1" applyFont="1" applyFill="1" applyBorder="1"/>
    <xf numFmtId="164" fontId="11" fillId="0" borderId="13" xfId="2" applyNumberFormat="1" applyFont="1" applyFill="1" applyBorder="1"/>
    <xf numFmtId="164" fontId="11" fillId="0" borderId="0" xfId="0" applyNumberFormat="1" applyFont="1" applyFill="1"/>
    <xf numFmtId="43" fontId="11" fillId="0" borderId="0" xfId="1" applyFont="1" applyFill="1" applyBorder="1"/>
    <xf numFmtId="164" fontId="11" fillId="0" borderId="16" xfId="2" applyNumberFormat="1" applyFont="1" applyFill="1" applyBorder="1"/>
    <xf numFmtId="165" fontId="11" fillId="0" borderId="0" xfId="6" applyNumberFormat="1" applyFont="1" applyFill="1"/>
    <xf numFmtId="0" fontId="11" fillId="0" borderId="9" xfId="0" applyFont="1" applyFill="1" applyBorder="1"/>
    <xf numFmtId="0" fontId="11" fillId="0" borderId="0" xfId="0" applyFont="1" applyFill="1" applyBorder="1"/>
    <xf numFmtId="164" fontId="11" fillId="0" borderId="0" xfId="6" applyNumberFormat="1" applyFont="1" applyFill="1" applyBorder="1"/>
    <xf numFmtId="9" fontId="11" fillId="0" borderId="0" xfId="6" applyFont="1" applyFill="1" applyBorder="1"/>
    <xf numFmtId="165" fontId="11" fillId="0" borderId="5" xfId="5" applyNumberFormat="1" applyFont="1" applyFill="1" applyBorder="1"/>
    <xf numFmtId="0" fontId="13" fillId="0" borderId="0" xfId="3" applyFont="1" applyFill="1" applyAlignment="1">
      <alignment horizontal="center" wrapText="1"/>
    </xf>
    <xf numFmtId="0" fontId="15" fillId="0" borderId="0" xfId="3" applyFont="1" applyFill="1"/>
    <xf numFmtId="0" fontId="15" fillId="0" borderId="0" xfId="3" applyFont="1" applyFill="1" applyAlignment="1">
      <alignment horizontal="left"/>
    </xf>
    <xf numFmtId="0" fontId="14" fillId="0" borderId="0" xfId="3" applyFont="1" applyFill="1" applyBorder="1" applyAlignment="1">
      <alignment horizontal="center"/>
    </xf>
    <xf numFmtId="0" fontId="14" fillId="0" borderId="0" xfId="3" applyFont="1" applyFill="1" applyAlignment="1">
      <alignment horizontal="left"/>
    </xf>
    <xf numFmtId="164" fontId="15" fillId="0" borderId="0" xfId="3" applyNumberFormat="1" applyFont="1" applyFill="1"/>
    <xf numFmtId="164" fontId="15" fillId="0" borderId="1" xfId="3" applyNumberFormat="1" applyFont="1" applyFill="1" applyBorder="1"/>
    <xf numFmtId="0" fontId="16" fillId="0" borderId="0" xfId="3" applyFont="1" applyFill="1" applyAlignment="1">
      <alignment horizontal="left"/>
    </xf>
    <xf numFmtId="0" fontId="17" fillId="0" borderId="0" xfId="3" applyFont="1" applyFill="1" applyBorder="1" applyAlignment="1">
      <alignment horizontal="left" wrapText="1"/>
    </xf>
    <xf numFmtId="164" fontId="17" fillId="0" borderId="0" xfId="1" applyNumberFormat="1" applyFont="1" applyFill="1" applyBorder="1"/>
    <xf numFmtId="0" fontId="13" fillId="0" borderId="6" xfId="3" applyFont="1" applyFill="1" applyBorder="1" applyAlignment="1">
      <alignment horizontal="center" wrapText="1"/>
    </xf>
    <xf numFmtId="0" fontId="15" fillId="0" borderId="7" xfId="3" applyFont="1" applyFill="1" applyBorder="1"/>
    <xf numFmtId="0" fontId="15" fillId="0" borderId="8" xfId="3" applyFont="1" applyFill="1" applyBorder="1"/>
    <xf numFmtId="0" fontId="15" fillId="0" borderId="0" xfId="3" applyFont="1" applyFill="1" applyBorder="1"/>
    <xf numFmtId="0" fontId="15" fillId="0" borderId="10" xfId="3" applyFont="1" applyFill="1" applyBorder="1"/>
    <xf numFmtId="0" fontId="15" fillId="0" borderId="9" xfId="3" applyFont="1" applyFill="1" applyBorder="1" applyAlignment="1">
      <alignment horizontal="left"/>
    </xf>
    <xf numFmtId="164" fontId="15" fillId="0" borderId="0" xfId="3" applyNumberFormat="1" applyFont="1" applyFill="1" applyBorder="1"/>
    <xf numFmtId="164" fontId="15" fillId="0" borderId="10" xfId="3" applyNumberFormat="1" applyFont="1" applyFill="1" applyBorder="1"/>
    <xf numFmtId="164" fontId="15" fillId="0" borderId="11" xfId="3" applyNumberFormat="1" applyFont="1" applyFill="1" applyBorder="1"/>
    <xf numFmtId="0" fontId="15" fillId="0" borderId="12" xfId="3" applyFont="1" applyFill="1" applyBorder="1" applyAlignment="1">
      <alignment horizontal="left"/>
    </xf>
    <xf numFmtId="0" fontId="17" fillId="0" borderId="0" xfId="3" applyFont="1" applyFill="1" applyBorder="1" applyAlignment="1">
      <alignment horizontal="left"/>
    </xf>
    <xf numFmtId="0" fontId="13" fillId="0" borderId="6" xfId="3" applyFont="1" applyFill="1" applyBorder="1" applyAlignment="1">
      <alignment horizontal="left"/>
    </xf>
    <xf numFmtId="0" fontId="15" fillId="0" borderId="5" xfId="3" applyFont="1" applyFill="1" applyBorder="1"/>
    <xf numFmtId="0" fontId="17" fillId="0" borderId="5" xfId="3" applyFont="1" applyFill="1" applyBorder="1"/>
    <xf numFmtId="37" fontId="17" fillId="0" borderId="5" xfId="3" applyNumberFormat="1" applyFont="1" applyFill="1" applyBorder="1"/>
    <xf numFmtId="0" fontId="15" fillId="0" borderId="13" xfId="3" applyFont="1" applyFill="1" applyBorder="1"/>
    <xf numFmtId="0" fontId="15" fillId="0" borderId="0" xfId="3" applyFont="1" applyFill="1" applyAlignment="1">
      <alignment horizontal="center"/>
    </xf>
    <xf numFmtId="0" fontId="15" fillId="0" borderId="0" xfId="3" quotePrefix="1" applyFont="1" applyFill="1"/>
    <xf numFmtId="0" fontId="15" fillId="0" borderId="0" xfId="4" applyFont="1" applyFill="1"/>
    <xf numFmtId="0" fontId="17" fillId="0" borderId="0" xfId="3" applyFont="1" applyFill="1" applyAlignment="1">
      <alignment horizontal="left"/>
    </xf>
    <xf numFmtId="164" fontId="17" fillId="0" borderId="0" xfId="1" applyNumberFormat="1" applyFont="1" applyFill="1"/>
    <xf numFmtId="164" fontId="15" fillId="0" borderId="0" xfId="1" applyNumberFormat="1" applyFont="1" applyFill="1"/>
    <xf numFmtId="0" fontId="17" fillId="0" borderId="0" xfId="3" applyFont="1" applyFill="1"/>
    <xf numFmtId="164" fontId="17" fillId="0" borderId="5" xfId="1" applyNumberFormat="1" applyFont="1" applyFill="1" applyBorder="1"/>
    <xf numFmtId="10" fontId="15" fillId="0" borderId="0" xfId="3" applyNumberFormat="1" applyFont="1" applyFill="1"/>
    <xf numFmtId="164" fontId="15" fillId="0" borderId="5" xfId="3" applyNumberFormat="1" applyFont="1" applyFill="1" applyBorder="1"/>
    <xf numFmtId="10" fontId="15" fillId="0" borderId="5" xfId="6" applyNumberFormat="1" applyFont="1" applyFill="1" applyBorder="1"/>
    <xf numFmtId="43" fontId="17" fillId="0" borderId="0" xfId="1" applyFont="1" applyFill="1" applyBorder="1"/>
    <xf numFmtId="0" fontId="11" fillId="0" borderId="28" xfId="0" applyFont="1" applyBorder="1"/>
    <xf numFmtId="0" fontId="14" fillId="0" borderId="6" xfId="3" applyFont="1" applyFill="1" applyBorder="1" applyAlignment="1">
      <alignment horizontal="center" wrapText="1"/>
    </xf>
    <xf numFmtId="0" fontId="14" fillId="0" borderId="2" xfId="3" applyFont="1" applyFill="1" applyBorder="1" applyAlignment="1">
      <alignment horizontal="center"/>
    </xf>
    <xf numFmtId="0" fontId="14" fillId="0" borderId="3" xfId="3" applyFont="1" applyFill="1" applyBorder="1" applyAlignment="1">
      <alignment horizontal="center"/>
    </xf>
    <xf numFmtId="0" fontId="14" fillId="0" borderId="4" xfId="3" applyFont="1" applyFill="1" applyBorder="1" applyAlignment="1">
      <alignment horizontal="center"/>
    </xf>
  </cellXfs>
  <cellStyles count="14">
    <cellStyle name="Comma" xfId="1" builtinId="3"/>
    <cellStyle name="Comma 2" xfId="2"/>
    <cellStyle name="Followed Hyperlink" xfId="10" builtinId="9"/>
    <cellStyle name="Normal" xfId="0" builtinId="0"/>
    <cellStyle name="Normal 2" xfId="3"/>
    <cellStyle name="Normal 2 3" xfId="4"/>
    <cellStyle name="Normal_DFIT-WaEle_SUM" xfId="11"/>
    <cellStyle name="Normal_IDGas6_97" xfId="9"/>
    <cellStyle name="Normal_WAElec6_97" xfId="7"/>
    <cellStyle name="Normal_WAElec6_97 2" xfId="13"/>
    <cellStyle name="Normal_WAGas6_97" xfId="8"/>
    <cellStyle name="Normal_WAGas6_97 2" xfId="12"/>
    <cellStyle name="Percent" xfId="6" builtinId="5"/>
    <cellStyle name="Percent 2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F7F7E7"/>
      <rgbColor rgb="003173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19051</xdr:colOff>
      <xdr:row>82</xdr:row>
      <xdr:rowOff>9524</xdr:rowOff>
    </xdr:from>
    <xdr:to>
      <xdr:col>15</xdr:col>
      <xdr:colOff>64770</xdr:colOff>
      <xdr:row>82</xdr:row>
      <xdr:rowOff>83820</xdr:rowOff>
    </xdr:to>
    <xdr:sp macro="" textlink="">
      <xdr:nvSpPr>
        <xdr:cNvPr id="2" name="TextBox 1"/>
        <xdr:cNvSpPr txBox="1"/>
      </xdr:nvSpPr>
      <xdr:spPr>
        <a:xfrm>
          <a:off x="11586211" y="13733144"/>
          <a:ext cx="45719" cy="74296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57151</xdr:colOff>
      <xdr:row>83</xdr:row>
      <xdr:rowOff>124038</xdr:rowOff>
    </xdr:from>
    <xdr:to>
      <xdr:col>9</xdr:col>
      <xdr:colOff>144781</xdr:colOff>
      <xdr:row>84</xdr:row>
      <xdr:rowOff>2117</xdr:rowOff>
    </xdr:to>
    <xdr:sp macro="" textlink="">
      <xdr:nvSpPr>
        <xdr:cNvPr id="2" name="TextBox 1"/>
        <xdr:cNvSpPr txBox="1"/>
      </xdr:nvSpPr>
      <xdr:spPr>
        <a:xfrm flipV="1">
          <a:off x="5962651" y="13672398"/>
          <a:ext cx="87630" cy="45719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endParaRPr lang="en-US" sz="6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8965</xdr:colOff>
      <xdr:row>20</xdr:row>
      <xdr:rowOff>259977</xdr:rowOff>
    </xdr:from>
    <xdr:to>
      <xdr:col>8</xdr:col>
      <xdr:colOff>17930</xdr:colOff>
      <xdr:row>30</xdr:row>
      <xdr:rowOff>44824</xdr:rowOff>
    </xdr:to>
    <xdr:cxnSp macro="">
      <xdr:nvCxnSpPr>
        <xdr:cNvPr id="4" name="Curved Connector 3"/>
        <xdr:cNvCxnSpPr/>
      </xdr:nvCxnSpPr>
      <xdr:spPr>
        <a:xfrm rot="5400000">
          <a:off x="7280014" y="12976188"/>
          <a:ext cx="1727947" cy="8965"/>
        </a:xfrm>
        <a:prstGeom prst="curvedConnector3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70485/Company%20Work%20Papers/3.%20UE_AVA%20WP's%20(May17)/D.%20UE__Andrews%20WPs%20(AVA-May17)/Exh%20EMA-6%20Pro%20Forma%20Study%20WA%20Gas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nergy/Avista%202017/As%20filed/Property%20Tax/1)%20CB%20-%20Property%20Tax%20ADJ%20REVIS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R SUMMARY"/>
      <sheetName val="CF"/>
      <sheetName val="Acerno_Cache_XXXXX"/>
      <sheetName val="ADJ DETAIL INPUT"/>
      <sheetName val="LEAD SHEETS-DO NOT ENTER"/>
      <sheetName val="ADJ SUMMARY"/>
      <sheetName val="DEBT CALC"/>
      <sheetName val="ROO INPUT"/>
      <sheetName val="Recap Summary"/>
      <sheetName val="not used PROP0SED RATES-2018"/>
      <sheetName val="not used PROP0SED RATES-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A3" t="str">
            <v>AVISTA UTILITIES</v>
          </cell>
          <cell r="B3"/>
          <cell r="C3"/>
        </row>
        <row r="5">
          <cell r="A5" t="str">
            <v>TWELVE MONTHS ENDED DECEMBER 31, 2016</v>
          </cell>
          <cell r="B5"/>
          <cell r="C5"/>
        </row>
        <row r="6">
          <cell r="A6" t="str">
            <v xml:space="preserve">(000'S OF DOLLARS)   </v>
          </cell>
          <cell r="B6"/>
          <cell r="C6"/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RPT"/>
      <sheetName val="G-RPT"/>
      <sheetName val="Macro1"/>
    </sheetNames>
    <sheetDataSet>
      <sheetData sheetId="0"/>
      <sheetData sheetId="1">
        <row r="36">
          <cell r="I36">
            <v>374926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97"/>
  <sheetViews>
    <sheetView workbookViewId="0">
      <selection activeCell="I18" sqref="I18"/>
    </sheetView>
  </sheetViews>
  <sheetFormatPr defaultColWidth="10.6640625" defaultRowHeight="13.2"/>
  <cols>
    <col min="1" max="1" width="4.6640625" style="1" customWidth="1"/>
    <col min="2" max="3" width="1.6640625" style="2" customWidth="1"/>
    <col min="4" max="4" width="35.44140625" style="2" customWidth="1"/>
    <col min="5" max="5" width="9.88671875" style="4" customWidth="1"/>
    <col min="6" max="7" width="9.88671875" customWidth="1"/>
    <col min="8" max="8" width="10.109375" customWidth="1"/>
    <col min="9" max="9" width="10.44140625" customWidth="1"/>
    <col min="10" max="10" width="11.5546875" customWidth="1"/>
    <col min="11" max="11" width="9.44140625" customWidth="1"/>
    <col min="12" max="12" width="9.5546875" customWidth="1"/>
    <col min="13" max="13" width="12" customWidth="1"/>
    <col min="14" max="14" width="10.88671875" customWidth="1"/>
    <col min="15" max="15" width="21.5546875" customWidth="1"/>
    <col min="16" max="16" width="11.6640625" customWidth="1"/>
    <col min="17" max="21" width="12.44140625" customWidth="1"/>
    <col min="22" max="22" width="11.44140625" hidden="1" customWidth="1"/>
    <col min="23" max="23" width="11.6640625" hidden="1" customWidth="1"/>
    <col min="24" max="24" width="11.6640625" customWidth="1"/>
    <col min="25" max="25" width="15.6640625" customWidth="1"/>
    <col min="26" max="26" width="11.6640625" bestFit="1" customWidth="1"/>
    <col min="27" max="27" width="10.44140625" bestFit="1" customWidth="1"/>
    <col min="28" max="28" width="13.33203125" customWidth="1"/>
    <col min="29" max="31" width="10.44140625" bestFit="1" customWidth="1"/>
    <col min="32" max="32" width="13.33203125" bestFit="1" customWidth="1"/>
    <col min="33" max="33" width="17.44140625" customWidth="1"/>
    <col min="34" max="34" width="14.5546875" customWidth="1"/>
    <col min="35" max="35" width="10.109375" customWidth="1"/>
    <col min="36" max="36" width="9.44140625" customWidth="1"/>
    <col min="37" max="37" width="12.109375" customWidth="1"/>
    <col min="38" max="38" width="13.5546875" customWidth="1"/>
    <col min="39" max="39" width="11.33203125" customWidth="1"/>
    <col min="40" max="40" width="13.109375" customWidth="1"/>
    <col min="41" max="41" width="13" customWidth="1"/>
    <col min="42" max="42" width="7.109375" customWidth="1"/>
    <col min="43" max="43" width="15.5546875" customWidth="1"/>
    <col min="44" max="44" width="18" customWidth="1"/>
    <col min="45" max="45" width="4.109375" customWidth="1"/>
    <col min="46" max="16384" width="10.6640625" style="2"/>
  </cols>
  <sheetData>
    <row r="1" spans="1:45">
      <c r="D1" s="122"/>
      <c r="E1" s="3"/>
    </row>
    <row r="2" spans="1:45" ht="12.75" customHeight="1">
      <c r="A2" s="6" t="s">
        <v>100</v>
      </c>
      <c r="D2" s="1"/>
      <c r="E2" s="7"/>
    </row>
    <row r="3" spans="1:45" ht="14.25" customHeight="1">
      <c r="A3" s="6" t="s">
        <v>218</v>
      </c>
      <c r="D3" s="1"/>
      <c r="E3" s="5"/>
    </row>
    <row r="4" spans="1:45" ht="14.25" customHeight="1">
      <c r="A4" s="6" t="s">
        <v>101</v>
      </c>
      <c r="D4" s="1"/>
      <c r="E4" s="5"/>
    </row>
    <row r="5" spans="1:45" ht="12.75" customHeight="1">
      <c r="A5" s="6" t="s">
        <v>102</v>
      </c>
      <c r="D5" s="1"/>
      <c r="E5" s="11"/>
    </row>
    <row r="6" spans="1:45" s="12" customFormat="1" ht="12" customHeight="1">
      <c r="D6" s="13"/>
      <c r="E6" s="15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</row>
    <row r="7" spans="1:45" s="12" customFormat="1" ht="12" customHeight="1">
      <c r="A7" s="17"/>
      <c r="B7" s="18"/>
      <c r="C7" s="19"/>
      <c r="D7" s="19"/>
      <c r="E7" s="20" t="s">
        <v>103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</row>
    <row r="8" spans="1:45" s="12" customFormat="1">
      <c r="A8" s="22" t="s">
        <v>106</v>
      </c>
      <c r="B8" s="23"/>
      <c r="C8" s="24"/>
      <c r="D8" s="24"/>
      <c r="E8" s="25" t="s">
        <v>107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</row>
    <row r="9" spans="1:45" s="12" customFormat="1">
      <c r="A9" s="26" t="s">
        <v>108</v>
      </c>
      <c r="B9" s="27"/>
      <c r="C9" s="28"/>
      <c r="D9" s="28" t="s">
        <v>109</v>
      </c>
      <c r="E9" s="30" t="s">
        <v>111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</row>
    <row r="10" spans="1:45" s="31" customFormat="1">
      <c r="B10" s="32" t="s">
        <v>112</v>
      </c>
      <c r="E10" s="33">
        <v>2.02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</row>
    <row r="11" spans="1:45" s="31" customFormat="1">
      <c r="B11" s="32" t="s">
        <v>113</v>
      </c>
      <c r="E11" s="33" t="s">
        <v>114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</row>
    <row r="12" spans="1:45" s="31" customFormat="1" ht="12.75" customHeight="1">
      <c r="B12" s="32"/>
      <c r="E12" s="33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</row>
    <row r="13" spans="1:45">
      <c r="B13" s="2" t="s">
        <v>116</v>
      </c>
    </row>
    <row r="14" spans="1:45" s="36" customFormat="1">
      <c r="A14" s="35">
        <v>1</v>
      </c>
      <c r="B14" s="36" t="s">
        <v>117</v>
      </c>
      <c r="E14" s="37">
        <v>0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</row>
    <row r="15" spans="1:45" s="38" customFormat="1">
      <c r="A15" s="35">
        <v>2</v>
      </c>
      <c r="B15" s="38" t="s">
        <v>118</v>
      </c>
      <c r="E15" s="3">
        <v>0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</row>
    <row r="16" spans="1:45" s="38" customFormat="1">
      <c r="A16" s="35">
        <v>3</v>
      </c>
      <c r="B16" s="38" t="s">
        <v>119</v>
      </c>
      <c r="E16" s="41">
        <v>0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</row>
    <row r="17" spans="1:45" s="38" customFormat="1">
      <c r="A17" s="35">
        <v>4</v>
      </c>
      <c r="B17" s="38" t="s">
        <v>120</v>
      </c>
      <c r="E17" s="3">
        <f t="shared" ref="E17" si="0">SUM(E14:E16)</f>
        <v>0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</row>
    <row r="18" spans="1:45" s="38" customFormat="1">
      <c r="A18" s="35">
        <v>5</v>
      </c>
      <c r="B18" s="38" t="s">
        <v>121</v>
      </c>
      <c r="E18" s="41">
        <v>0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</row>
    <row r="19" spans="1:45" s="38" customFormat="1">
      <c r="A19" s="35">
        <v>6</v>
      </c>
      <c r="B19" s="38" t="s">
        <v>122</v>
      </c>
      <c r="E19" s="3">
        <f t="shared" ref="E19" si="1">SUM(E17:E18)</f>
        <v>0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</row>
    <row r="20" spans="1:45" s="38" customFormat="1">
      <c r="A20" s="35"/>
      <c r="E20" s="3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</row>
    <row r="21" spans="1:45" s="38" customFormat="1">
      <c r="A21" s="35"/>
      <c r="B21" s="38" t="s">
        <v>123</v>
      </c>
      <c r="E21" s="3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</row>
    <row r="22" spans="1:45" s="38" customFormat="1">
      <c r="A22" s="35"/>
      <c r="B22" s="38" t="s">
        <v>124</v>
      </c>
      <c r="E22" s="3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</row>
    <row r="23" spans="1:45" s="38" customFormat="1">
      <c r="A23" s="35">
        <v>7</v>
      </c>
      <c r="C23" s="38" t="s">
        <v>125</v>
      </c>
      <c r="E23" s="3">
        <v>0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</row>
    <row r="24" spans="1:45" s="38" customFormat="1">
      <c r="A24" s="35">
        <v>8</v>
      </c>
      <c r="C24" s="38" t="s">
        <v>126</v>
      </c>
      <c r="E24" s="3">
        <v>0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</row>
    <row r="25" spans="1:45" s="38" customFormat="1">
      <c r="A25" s="35">
        <v>9</v>
      </c>
      <c r="C25" s="38" t="s">
        <v>127</v>
      </c>
      <c r="E25" s="3">
        <v>0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</row>
    <row r="26" spans="1:45" s="38" customFormat="1">
      <c r="A26" s="35">
        <v>10</v>
      </c>
      <c r="C26" s="39" t="s">
        <v>128</v>
      </c>
      <c r="D26" s="39"/>
      <c r="E26" s="3">
        <v>0</v>
      </c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</row>
    <row r="27" spans="1:45" s="38" customFormat="1">
      <c r="A27" s="35">
        <v>11</v>
      </c>
      <c r="C27" s="38" t="s">
        <v>129</v>
      </c>
      <c r="E27" s="41">
        <f>+' 2.02 Restating-Electric'!J38/1000</f>
        <v>-180.84800000000001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</row>
    <row r="28" spans="1:45" s="38" customFormat="1">
      <c r="A28" s="35">
        <v>12</v>
      </c>
      <c r="B28" s="38" t="s">
        <v>130</v>
      </c>
      <c r="E28" s="3">
        <f t="shared" ref="E28" si="2">SUM(E23:E27)</f>
        <v>-180.84800000000001</v>
      </c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</row>
    <row r="29" spans="1:45" s="38" customFormat="1">
      <c r="A29" s="35"/>
      <c r="E29" s="3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</row>
    <row r="30" spans="1:45" s="38" customFormat="1">
      <c r="A30" s="35"/>
      <c r="B30" s="38" t="s">
        <v>131</v>
      </c>
      <c r="E30" s="3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</row>
    <row r="31" spans="1:45" s="38" customFormat="1">
      <c r="A31" s="35">
        <v>13</v>
      </c>
      <c r="C31" s="38" t="s">
        <v>125</v>
      </c>
      <c r="E31" s="3">
        <v>0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</row>
    <row r="32" spans="1:45" s="38" customFormat="1">
      <c r="A32" s="35">
        <v>14</v>
      </c>
      <c r="C32" s="38" t="s">
        <v>132</v>
      </c>
      <c r="E32" s="3">
        <v>0</v>
      </c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</row>
    <row r="33" spans="1:45" s="38" customFormat="1">
      <c r="A33" s="35">
        <v>15</v>
      </c>
      <c r="C33" s="38" t="s">
        <v>128</v>
      </c>
      <c r="E33" s="3">
        <v>0</v>
      </c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</row>
    <row r="34" spans="1:45" s="38" customFormat="1">
      <c r="A34" s="35">
        <v>16</v>
      </c>
      <c r="C34" s="38" t="s">
        <v>129</v>
      </c>
      <c r="E34" s="41">
        <f>+' 2.02 Restating-Electric'!J41/1000</f>
        <v>-700.56109480335374</v>
      </c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</row>
    <row r="35" spans="1:45" s="38" customFormat="1">
      <c r="A35" s="35">
        <v>17</v>
      </c>
      <c r="B35" s="38" t="s">
        <v>133</v>
      </c>
      <c r="E35" s="3">
        <f t="shared" ref="E35" si="3">SUM(E31:E34)</f>
        <v>-700.56109480335374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</row>
    <row r="36" spans="1:45" s="38" customFormat="1">
      <c r="E36" s="3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</row>
    <row r="37" spans="1:45" s="38" customFormat="1">
      <c r="A37" s="35">
        <v>18</v>
      </c>
      <c r="B37" s="38" t="s">
        <v>134</v>
      </c>
      <c r="E37" s="3">
        <v>0</v>
      </c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</row>
    <row r="38" spans="1:45" s="38" customFormat="1">
      <c r="A38" s="35">
        <v>19</v>
      </c>
      <c r="B38" s="38" t="s">
        <v>135</v>
      </c>
      <c r="E38" s="3">
        <v>0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</row>
    <row r="39" spans="1:45" s="38" customFormat="1">
      <c r="A39" s="35">
        <v>20</v>
      </c>
      <c r="B39" s="38" t="s">
        <v>136</v>
      </c>
      <c r="E39" s="3">
        <v>0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</row>
    <row r="40" spans="1:45" s="38" customFormat="1">
      <c r="A40" s="35"/>
      <c r="E40" s="3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</row>
    <row r="41" spans="1:45" s="38" customFormat="1">
      <c r="B41" s="38" t="s">
        <v>137</v>
      </c>
      <c r="E41" s="3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</row>
    <row r="42" spans="1:45" s="38" customFormat="1">
      <c r="A42" s="35">
        <v>21</v>
      </c>
      <c r="C42" s="38" t="s">
        <v>125</v>
      </c>
      <c r="E42" s="4">
        <v>0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</row>
    <row r="43" spans="1:45" s="38" customFormat="1">
      <c r="A43" s="35">
        <v>22</v>
      </c>
      <c r="C43" s="38" t="s">
        <v>132</v>
      </c>
      <c r="E43" s="4">
        <v>0</v>
      </c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</row>
    <row r="44" spans="1:45" s="38" customFormat="1">
      <c r="A44" s="42">
        <v>23</v>
      </c>
      <c r="C44" s="38" t="s">
        <v>129</v>
      </c>
      <c r="E44" s="40">
        <v>0</v>
      </c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</row>
    <row r="45" spans="1:45" s="38" customFormat="1">
      <c r="A45" s="35">
        <v>24</v>
      </c>
      <c r="B45" s="38" t="s">
        <v>138</v>
      </c>
      <c r="E45" s="40">
        <f t="shared" ref="E45" si="4">SUM(E42:E44)</f>
        <v>0</v>
      </c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</row>
    <row r="46" spans="1:45" s="38" customFormat="1" ht="18" customHeight="1">
      <c r="A46" s="35">
        <v>25</v>
      </c>
      <c r="B46" s="38" t="s">
        <v>139</v>
      </c>
      <c r="E46" s="40">
        <f t="shared" ref="E46" si="5">E45+E39+E38+E37+E35+E28</f>
        <v>-881.40909480335381</v>
      </c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</row>
    <row r="47" spans="1:45" s="38" customFormat="1">
      <c r="E47" s="4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</row>
    <row r="48" spans="1:45" s="38" customFormat="1">
      <c r="A48" s="35">
        <v>26</v>
      </c>
      <c r="B48" s="38" t="s">
        <v>140</v>
      </c>
      <c r="E48" s="4">
        <f t="shared" ref="E48" si="6">E19-E46</f>
        <v>881.40909480335381</v>
      </c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</row>
    <row r="49" spans="1:45" s="38" customFormat="1">
      <c r="A49" s="35"/>
      <c r="E49" s="4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</row>
    <row r="50" spans="1:45" s="38" customFormat="1">
      <c r="A50" s="43"/>
      <c r="B50" s="38" t="s">
        <v>141</v>
      </c>
      <c r="E50" s="4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</row>
    <row r="51" spans="1:45" s="38" customFormat="1">
      <c r="A51" s="42">
        <v>27</v>
      </c>
      <c r="B51" s="38" t="s">
        <v>142</v>
      </c>
      <c r="D51" s="44"/>
      <c r="E51" s="4">
        <f t="shared" ref="E51" si="7">E48*0.35</f>
        <v>308.49318318117383</v>
      </c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</row>
    <row r="52" spans="1:45" s="39" customFormat="1">
      <c r="A52" s="35">
        <v>28</v>
      </c>
      <c r="B52" s="39" t="s">
        <v>143</v>
      </c>
      <c r="E52" s="3">
        <v>0</v>
      </c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</row>
    <row r="53" spans="1:45" s="38" customFormat="1">
      <c r="A53" s="35">
        <v>29</v>
      </c>
      <c r="B53" s="38" t="s">
        <v>144</v>
      </c>
      <c r="E53" s="4">
        <v>0</v>
      </c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</row>
    <row r="54" spans="1:45" s="38" customFormat="1">
      <c r="A54" s="43">
        <v>30</v>
      </c>
      <c r="B54" s="38" t="s">
        <v>145</v>
      </c>
      <c r="E54" s="40">
        <v>0</v>
      </c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</row>
    <row r="56" spans="1:45" s="36" customFormat="1" ht="13.8" thickBot="1">
      <c r="A56" s="46">
        <v>31</v>
      </c>
      <c r="B56" s="36" t="s">
        <v>146</v>
      </c>
      <c r="E56" s="48">
        <f t="shared" ref="E56" si="8">E48-SUM(E51:E54)</f>
        <v>572.91591162217992</v>
      </c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</row>
    <row r="57" spans="1:45" ht="6" customHeight="1" thickTop="1">
      <c r="A57" s="46"/>
    </row>
    <row r="58" spans="1:45">
      <c r="A58" s="46"/>
      <c r="B58" s="2" t="s">
        <v>147</v>
      </c>
    </row>
    <row r="59" spans="1:45">
      <c r="B59" s="2" t="s">
        <v>148</v>
      </c>
    </row>
    <row r="60" spans="1:45" s="36" customFormat="1">
      <c r="A60" s="49">
        <v>32</v>
      </c>
      <c r="C60" s="36" t="s">
        <v>149</v>
      </c>
      <c r="E60" s="36">
        <v>0</v>
      </c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</row>
    <row r="61" spans="1:45" s="38" customFormat="1">
      <c r="A61" s="46">
        <v>33</v>
      </c>
      <c r="C61" s="38" t="s">
        <v>150</v>
      </c>
      <c r="E61" s="4">
        <v>0</v>
      </c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</row>
    <row r="62" spans="1:45" s="38" customFormat="1" ht="12.75" customHeight="1">
      <c r="A62" s="46">
        <v>34</v>
      </c>
      <c r="C62" s="38" t="s">
        <v>151</v>
      </c>
      <c r="E62" s="4">
        <v>0</v>
      </c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</row>
    <row r="63" spans="1:45" s="38" customFormat="1" ht="12" customHeight="1">
      <c r="A63" s="46">
        <v>35</v>
      </c>
      <c r="C63" s="38" t="s">
        <v>131</v>
      </c>
      <c r="E63" s="4">
        <v>0</v>
      </c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</row>
    <row r="64" spans="1:45" s="38" customFormat="1">
      <c r="A64" s="46">
        <v>36</v>
      </c>
      <c r="C64" s="38" t="s">
        <v>152</v>
      </c>
      <c r="E64" s="40">
        <v>0</v>
      </c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</row>
    <row r="65" spans="1:45" s="38" customFormat="1">
      <c r="A65" s="46">
        <v>37</v>
      </c>
      <c r="B65" s="38" t="s">
        <v>153</v>
      </c>
      <c r="E65" s="4">
        <f t="shared" ref="E65" si="9">SUM(E60:E64)</f>
        <v>0</v>
      </c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</row>
    <row r="66" spans="1:45" s="38" customFormat="1" ht="14.25" customHeight="1">
      <c r="A66" s="46"/>
      <c r="B66" s="38" t="s">
        <v>154</v>
      </c>
      <c r="E66" s="4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</row>
    <row r="67" spans="1:45" s="38" customFormat="1">
      <c r="A67" s="46">
        <v>38</v>
      </c>
      <c r="C67" s="36" t="s">
        <v>149</v>
      </c>
      <c r="E67" s="4">
        <v>0</v>
      </c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</row>
    <row r="68" spans="1:45" s="38" customFormat="1">
      <c r="A68" s="46">
        <v>39</v>
      </c>
      <c r="C68" s="38" t="s">
        <v>150</v>
      </c>
      <c r="E68" s="4">
        <v>0</v>
      </c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</row>
    <row r="69" spans="1:45" s="38" customFormat="1">
      <c r="A69" s="46">
        <v>40</v>
      </c>
      <c r="C69" s="38" t="s">
        <v>151</v>
      </c>
      <c r="E69" s="4">
        <v>0</v>
      </c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</row>
    <row r="70" spans="1:45" s="38" customFormat="1">
      <c r="A70" s="46">
        <v>41</v>
      </c>
      <c r="C70" s="38" t="s">
        <v>131</v>
      </c>
      <c r="E70" s="4">
        <v>0</v>
      </c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</row>
    <row r="71" spans="1:45" s="38" customFormat="1">
      <c r="A71" s="46">
        <v>42</v>
      </c>
      <c r="C71" s="38" t="s">
        <v>152</v>
      </c>
      <c r="E71" s="4">
        <v>0</v>
      </c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</row>
    <row r="72" spans="1:45" s="38" customFormat="1">
      <c r="A72" s="46">
        <v>43</v>
      </c>
      <c r="B72" s="38" t="s">
        <v>155</v>
      </c>
      <c r="E72" s="50">
        <f t="shared" ref="E72" si="10">SUM(E67:E71)</f>
        <v>0</v>
      </c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</row>
    <row r="73" spans="1:45" s="38" customFormat="1">
      <c r="A73" s="46">
        <v>44</v>
      </c>
      <c r="B73" s="38" t="s">
        <v>156</v>
      </c>
      <c r="E73" s="50">
        <f t="shared" ref="E73" si="11">E65+E72</f>
        <v>0</v>
      </c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</row>
    <row r="74" spans="1:45" s="38" customFormat="1" ht="12.75" customHeight="1">
      <c r="A74" s="46"/>
      <c r="E74" s="3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</row>
    <row r="75" spans="1:45" s="38" customFormat="1">
      <c r="A75" s="43">
        <v>45</v>
      </c>
      <c r="B75" s="38" t="s">
        <v>157</v>
      </c>
      <c r="E75" s="40">
        <v>0</v>
      </c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</row>
    <row r="76" spans="1:45" s="38" customFormat="1">
      <c r="A76" s="43">
        <v>46</v>
      </c>
      <c r="C76" s="38" t="s">
        <v>158</v>
      </c>
      <c r="E76" s="34">
        <f t="shared" ref="E76" si="12">SUM(E73:E75)</f>
        <v>0</v>
      </c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</row>
    <row r="77" spans="1:45" s="38" customFormat="1">
      <c r="A77" s="46">
        <v>47</v>
      </c>
      <c r="B77" s="38" t="s">
        <v>159</v>
      </c>
      <c r="E77" s="4">
        <v>0</v>
      </c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</row>
    <row r="78" spans="1:45" s="38" customFormat="1">
      <c r="A78" s="46">
        <v>48</v>
      </c>
      <c r="B78" s="38" t="s">
        <v>160</v>
      </c>
      <c r="E78" s="40">
        <v>0</v>
      </c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</row>
    <row r="79" spans="1:45" s="38" customFormat="1">
      <c r="A79" s="43"/>
      <c r="E79" s="4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</row>
    <row r="80" spans="1:45" s="36" customFormat="1" ht="13.5" customHeight="1" thickBot="1">
      <c r="A80" s="35">
        <v>49</v>
      </c>
      <c r="B80" s="36" t="s">
        <v>161</v>
      </c>
      <c r="E80" s="47">
        <f t="shared" ref="E80" si="13">SUM(E76:E78)</f>
        <v>0</v>
      </c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</row>
    <row r="81" spans="1:45" ht="18" customHeight="1" thickTop="1">
      <c r="A81" s="35">
        <v>50</v>
      </c>
      <c r="B81" s="2" t="s">
        <v>162</v>
      </c>
      <c r="E81" s="53"/>
    </row>
    <row r="82" spans="1:45">
      <c r="A82" s="1">
        <v>51</v>
      </c>
      <c r="B82" s="2" t="s">
        <v>163</v>
      </c>
      <c r="E82" s="54">
        <f t="shared" ref="E82" si="14">E90</f>
        <v>-924.9336252583978</v>
      </c>
    </row>
    <row r="83" spans="1:45" ht="26.25" customHeight="1">
      <c r="B83" s="55"/>
    </row>
    <row r="84" spans="1:45" ht="57.75" customHeight="1"/>
    <row r="85" spans="1:45">
      <c r="E85" s="112">
        <v>7.6899999999999996E-2</v>
      </c>
    </row>
    <row r="86" spans="1:45">
      <c r="E86" s="112"/>
    </row>
    <row r="87" spans="1:45">
      <c r="D87" s="2" t="s">
        <v>164</v>
      </c>
      <c r="E87" s="112">
        <v>0.61941299999999999</v>
      </c>
    </row>
    <row r="89" spans="1:45">
      <c r="D89" s="2" t="s">
        <v>165</v>
      </c>
      <c r="E89" s="51">
        <f>E80*$E$85-E56</f>
        <v>-572.91591162217992</v>
      </c>
    </row>
    <row r="90" spans="1:45">
      <c r="C90" s="56"/>
      <c r="D90" s="56" t="s">
        <v>166</v>
      </c>
      <c r="E90" s="41">
        <f>E89/$E$87</f>
        <v>-924.9336252583978</v>
      </c>
    </row>
    <row r="91" spans="1:45" s="58" customFormat="1" ht="11.25" customHeight="1">
      <c r="A91" s="57"/>
      <c r="E91" s="45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</row>
    <row r="92" spans="1:45" s="58" customFormat="1">
      <c r="A92" s="57"/>
      <c r="E92" s="45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</row>
    <row r="93" spans="1:45" s="58" customFormat="1">
      <c r="A93" s="57"/>
      <c r="E93" s="34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</row>
    <row r="94" spans="1:45" s="60" customFormat="1">
      <c r="A94" s="59"/>
      <c r="E94" s="3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s="58" customFormat="1">
      <c r="A95" s="57"/>
      <c r="E95" s="34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</row>
    <row r="96" spans="1:45" s="58" customFormat="1">
      <c r="A96" s="57"/>
      <c r="E96" s="45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</row>
    <row r="97" spans="1:45" s="58" customFormat="1">
      <c r="A97" s="57"/>
      <c r="E97" s="45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</row>
  </sheetData>
  <pageMargins left="0.59" right="0.17" top="0.21" bottom="0.33" header="0.3" footer="0.17"/>
  <pageSetup scale="74" orientation="portrait" r:id="rId1"/>
  <headerFooter>
    <oddHeader>&amp;R Exh. AIW-2
Dockets UE-170485 / UG-170486
Page &amp;P of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7"/>
  <sheetViews>
    <sheetView workbookViewId="0">
      <selection activeCell="I18" sqref="I18"/>
    </sheetView>
  </sheetViews>
  <sheetFormatPr defaultColWidth="10.6640625" defaultRowHeight="13.2"/>
  <cols>
    <col min="1" max="1" width="4.6640625" style="1" customWidth="1"/>
    <col min="2" max="3" width="1.6640625" style="2" customWidth="1"/>
    <col min="4" max="4" width="35.44140625" style="2" customWidth="1"/>
    <col min="5" max="5" width="10.44140625" style="4" bestFit="1" customWidth="1"/>
    <col min="6" max="6" width="10.44140625" bestFit="1" customWidth="1"/>
    <col min="7" max="7" width="13.33203125" bestFit="1" customWidth="1"/>
    <col min="8" max="8" width="17.44140625" customWidth="1"/>
    <col min="9" max="9" width="14.5546875" customWidth="1"/>
    <col min="10" max="10" width="10.109375" customWidth="1"/>
    <col min="11" max="11" width="9.44140625" customWidth="1"/>
    <col min="12" max="12" width="12.109375" customWidth="1"/>
    <col min="13" max="13" width="13.5546875" customWidth="1"/>
    <col min="14" max="14" width="11.33203125" customWidth="1"/>
    <col min="15" max="15" width="13.109375" customWidth="1"/>
    <col min="16" max="16" width="13" customWidth="1"/>
    <col min="17" max="17" width="7.109375" customWidth="1"/>
    <col min="18" max="18" width="15.5546875" customWidth="1"/>
    <col min="19" max="19" width="18" customWidth="1"/>
    <col min="20" max="20" width="4.109375" customWidth="1"/>
    <col min="21" max="16384" width="10.6640625" style="2"/>
  </cols>
  <sheetData>
    <row r="1" spans="1:20">
      <c r="D1" s="122"/>
    </row>
    <row r="2" spans="1:20" ht="12.75" customHeight="1">
      <c r="A2" s="6" t="s">
        <v>100</v>
      </c>
      <c r="D2" s="1"/>
      <c r="E2" s="3"/>
    </row>
    <row r="3" spans="1:20" ht="14.25" customHeight="1">
      <c r="A3" s="6" t="s">
        <v>218</v>
      </c>
      <c r="D3" s="1"/>
      <c r="E3" s="9"/>
    </row>
    <row r="4" spans="1:20" ht="14.25" customHeight="1">
      <c r="A4" s="6" t="s">
        <v>101</v>
      </c>
      <c r="D4" s="1"/>
      <c r="E4" s="8"/>
    </row>
    <row r="5" spans="1:20" ht="12.75" customHeight="1">
      <c r="A5" s="6" t="s">
        <v>102</v>
      </c>
      <c r="D5" s="1"/>
      <c r="E5" s="8"/>
    </row>
    <row r="6" spans="1:20" s="12" customFormat="1" ht="12" customHeight="1">
      <c r="A6" s="6"/>
      <c r="D6" s="13"/>
      <c r="E6" s="16"/>
      <c r="F6"/>
      <c r="G6"/>
      <c r="H6"/>
      <c r="I6"/>
      <c r="J6"/>
      <c r="K6"/>
      <c r="L6"/>
      <c r="M6"/>
      <c r="N6"/>
      <c r="O6"/>
      <c r="P6"/>
      <c r="Q6"/>
      <c r="R6"/>
      <c r="S6"/>
      <c r="T6"/>
    </row>
    <row r="7" spans="1:20" s="12" customFormat="1" ht="12" customHeight="1">
      <c r="A7" s="17"/>
      <c r="B7" s="18"/>
      <c r="C7" s="19"/>
      <c r="D7" s="19"/>
      <c r="E7" s="21" t="s">
        <v>104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</row>
    <row r="8" spans="1:20" s="12" customFormat="1">
      <c r="A8" s="22" t="s">
        <v>106</v>
      </c>
      <c r="B8" s="23"/>
      <c r="C8" s="24"/>
      <c r="D8" s="24"/>
      <c r="E8" s="14" t="s">
        <v>107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</row>
    <row r="9" spans="1:20" s="12" customFormat="1">
      <c r="A9" s="26" t="s">
        <v>108</v>
      </c>
      <c r="B9" s="27"/>
      <c r="C9" s="28"/>
      <c r="D9" s="28" t="s">
        <v>109</v>
      </c>
      <c r="E9" s="29" t="s">
        <v>111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</row>
    <row r="10" spans="1:20" s="31" customFormat="1">
      <c r="B10" s="32" t="s">
        <v>112</v>
      </c>
      <c r="E10" s="123">
        <v>3.06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</row>
    <row r="11" spans="1:20" s="31" customFormat="1">
      <c r="B11" s="32" t="s">
        <v>113</v>
      </c>
      <c r="E11" s="33" t="s">
        <v>115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</row>
    <row r="12" spans="1:20" s="31" customFormat="1" ht="12.75" customHeight="1">
      <c r="B12" s="32"/>
      <c r="E12" s="33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0">
      <c r="B13" s="2" t="s">
        <v>116</v>
      </c>
    </row>
    <row r="14" spans="1:20" s="36" customFormat="1">
      <c r="A14" s="35">
        <v>1</v>
      </c>
      <c r="B14" s="36" t="s">
        <v>117</v>
      </c>
      <c r="E14" s="37">
        <v>0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0" s="38" customFormat="1">
      <c r="A15" s="35">
        <v>2</v>
      </c>
      <c r="B15" s="38" t="s">
        <v>118</v>
      </c>
      <c r="E15" s="4">
        <v>0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0" s="38" customFormat="1">
      <c r="A16" s="35">
        <v>3</v>
      </c>
      <c r="B16" s="38" t="s">
        <v>119</v>
      </c>
      <c r="E16" s="40">
        <v>0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s="38" customFormat="1">
      <c r="A17" s="35">
        <v>4</v>
      </c>
      <c r="B17" s="38" t="s">
        <v>120</v>
      </c>
      <c r="E17" s="4">
        <f>SUM(E14:E16)</f>
        <v>0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0" s="38" customFormat="1">
      <c r="A18" s="35">
        <v>5</v>
      </c>
      <c r="B18" s="38" t="s">
        <v>121</v>
      </c>
      <c r="E18" s="40">
        <v>0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1:20" s="38" customFormat="1">
      <c r="A19" s="35">
        <v>6</v>
      </c>
      <c r="B19" s="38" t="s">
        <v>122</v>
      </c>
      <c r="E19" s="3">
        <f>SUM(E17:E18)</f>
        <v>0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</row>
    <row r="20" spans="1:20" s="38" customFormat="1">
      <c r="A20" s="35"/>
      <c r="E20" s="3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</row>
    <row r="21" spans="1:20" s="38" customFormat="1">
      <c r="A21" s="35"/>
      <c r="B21" s="38" t="s">
        <v>123</v>
      </c>
      <c r="E21" s="3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</row>
    <row r="22" spans="1:20" s="38" customFormat="1">
      <c r="A22" s="35"/>
      <c r="B22" s="38" t="s">
        <v>124</v>
      </c>
      <c r="E22" s="3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0" s="38" customFormat="1">
      <c r="A23" s="35">
        <v>7</v>
      </c>
      <c r="C23" s="38" t="s">
        <v>125</v>
      </c>
      <c r="E23" s="3">
        <v>0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1:20" s="38" customFormat="1">
      <c r="A24" s="35">
        <v>8</v>
      </c>
      <c r="C24" s="38" t="s">
        <v>126</v>
      </c>
      <c r="E24" s="3">
        <v>0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</row>
    <row r="25" spans="1:20" s="38" customFormat="1">
      <c r="A25" s="35">
        <v>9</v>
      </c>
      <c r="C25" s="38" t="s">
        <v>127</v>
      </c>
      <c r="E25" s="3">
        <v>0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</row>
    <row r="26" spans="1:20" s="38" customFormat="1">
      <c r="A26" s="35">
        <v>10</v>
      </c>
      <c r="C26" s="39" t="s">
        <v>128</v>
      </c>
      <c r="D26" s="39"/>
      <c r="E26" s="3">
        <v>0</v>
      </c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</row>
    <row r="27" spans="1:20" s="38" customFormat="1">
      <c r="A27" s="35">
        <v>11</v>
      </c>
      <c r="C27" s="38" t="s">
        <v>129</v>
      </c>
      <c r="E27" s="41">
        <f>+'3.06 Pro Forma-Electric'!J38/1000</f>
        <v>734.7156765499949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s="38" customFormat="1">
      <c r="A28" s="35">
        <v>12</v>
      </c>
      <c r="B28" s="38" t="s">
        <v>130</v>
      </c>
      <c r="E28" s="3">
        <f>SUM(E23:E27)</f>
        <v>734.7156765499949</v>
      </c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s="38" customFormat="1">
      <c r="A29" s="35"/>
      <c r="E29" s="3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0" s="38" customFormat="1">
      <c r="A30" s="35"/>
      <c r="B30" s="38" t="s">
        <v>131</v>
      </c>
      <c r="E30" s="3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</row>
    <row r="31" spans="1:20" s="38" customFormat="1">
      <c r="A31" s="35">
        <v>13</v>
      </c>
      <c r="C31" s="38" t="s">
        <v>125</v>
      </c>
      <c r="E31" s="3">
        <v>0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</row>
    <row r="32" spans="1:20" s="38" customFormat="1">
      <c r="A32" s="35">
        <v>14</v>
      </c>
      <c r="C32" s="38" t="s">
        <v>132</v>
      </c>
      <c r="E32" s="3">
        <v>0</v>
      </c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</row>
    <row r="33" spans="1:20" s="38" customFormat="1">
      <c r="A33" s="35">
        <v>15</v>
      </c>
      <c r="C33" s="38" t="s">
        <v>128</v>
      </c>
      <c r="E33" s="3">
        <v>0</v>
      </c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</row>
    <row r="34" spans="1:20" s="38" customFormat="1">
      <c r="A34" s="35">
        <v>16</v>
      </c>
      <c r="C34" s="38" t="s">
        <v>129</v>
      </c>
      <c r="E34" s="41">
        <f>+'3.06 Pro Forma-Electric'!J41/1000</f>
        <v>548.04725005338616</v>
      </c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</row>
    <row r="35" spans="1:20" s="38" customFormat="1">
      <c r="A35" s="35">
        <v>17</v>
      </c>
      <c r="B35" s="38" t="s">
        <v>133</v>
      </c>
      <c r="E35" s="3">
        <f>SUM(E31:E34)</f>
        <v>548.04725005338616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1:20" s="38" customFormat="1">
      <c r="E36" s="3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1:20" s="38" customFormat="1">
      <c r="A37" s="35">
        <v>18</v>
      </c>
      <c r="B37" s="38" t="s">
        <v>134</v>
      </c>
      <c r="E37" s="3">
        <v>0</v>
      </c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1:20" s="38" customFormat="1">
      <c r="A38" s="35">
        <v>19</v>
      </c>
      <c r="B38" s="38" t="s">
        <v>135</v>
      </c>
      <c r="E38" s="3">
        <v>0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1:20" s="38" customFormat="1">
      <c r="A39" s="35">
        <v>20</v>
      </c>
      <c r="B39" s="38" t="s">
        <v>136</v>
      </c>
      <c r="E39" s="3">
        <v>0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</row>
    <row r="40" spans="1:20" s="38" customFormat="1">
      <c r="A40" s="35"/>
      <c r="E40" s="3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</row>
    <row r="41" spans="1:20" s="38" customFormat="1">
      <c r="B41" s="38" t="s">
        <v>137</v>
      </c>
      <c r="E41" s="3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1:20" s="38" customFormat="1">
      <c r="A42" s="35">
        <v>21</v>
      </c>
      <c r="C42" s="38" t="s">
        <v>125</v>
      </c>
      <c r="E42" s="3">
        <v>0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1:20" s="38" customFormat="1">
      <c r="A43" s="35">
        <v>22</v>
      </c>
      <c r="C43" s="38" t="s">
        <v>132</v>
      </c>
      <c r="E43" s="3">
        <v>0</v>
      </c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1:20" s="38" customFormat="1">
      <c r="A44" s="42">
        <v>23</v>
      </c>
      <c r="C44" s="38" t="s">
        <v>129</v>
      </c>
      <c r="E44" s="40">
        <v>0</v>
      </c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1:20" s="38" customFormat="1">
      <c r="A45" s="35">
        <v>24</v>
      </c>
      <c r="B45" s="38" t="s">
        <v>138</v>
      </c>
      <c r="E45" s="40">
        <f>SUM(E42:E44)</f>
        <v>0</v>
      </c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1:20" s="38" customFormat="1" ht="18" customHeight="1">
      <c r="A46" s="35">
        <v>25</v>
      </c>
      <c r="B46" s="38" t="s">
        <v>139</v>
      </c>
      <c r="E46" s="40">
        <f>E45+E39+E38+E37+E35+E28</f>
        <v>1282.7629266033809</v>
      </c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1:20" s="38" customFormat="1">
      <c r="E47" s="4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</row>
    <row r="48" spans="1:20" s="38" customFormat="1">
      <c r="A48" s="35">
        <v>26</v>
      </c>
      <c r="B48" s="38" t="s">
        <v>140</v>
      </c>
      <c r="E48" s="4">
        <f>E19-E46</f>
        <v>-1282.7629266033809</v>
      </c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</row>
    <row r="49" spans="1:20" s="38" customFormat="1">
      <c r="A49" s="35"/>
      <c r="E49" s="4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</row>
    <row r="50" spans="1:20" s="38" customFormat="1">
      <c r="A50" s="43"/>
      <c r="B50" s="38" t="s">
        <v>141</v>
      </c>
      <c r="E50" s="4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</row>
    <row r="51" spans="1:20" s="38" customFormat="1">
      <c r="A51" s="42">
        <v>27</v>
      </c>
      <c r="B51" s="38" t="s">
        <v>142</v>
      </c>
      <c r="D51" s="44"/>
      <c r="E51" s="3">
        <f>E48*0.35</f>
        <v>-448.96702431118331</v>
      </c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</row>
    <row r="52" spans="1:20" s="39" customFormat="1">
      <c r="A52" s="35">
        <v>28</v>
      </c>
      <c r="B52" s="39" t="s">
        <v>143</v>
      </c>
      <c r="E52" s="3">
        <v>0</v>
      </c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1:20" s="38" customFormat="1">
      <c r="A53" s="35">
        <v>29</v>
      </c>
      <c r="B53" s="38" t="s">
        <v>144</v>
      </c>
      <c r="E53" s="3">
        <v>0</v>
      </c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</row>
    <row r="54" spans="1:20" s="38" customFormat="1">
      <c r="A54" s="43">
        <v>30</v>
      </c>
      <c r="B54" s="38" t="s">
        <v>145</v>
      </c>
      <c r="E54" s="40">
        <v>0</v>
      </c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</row>
    <row r="56" spans="1:20" s="36" customFormat="1" ht="13.8" thickBot="1">
      <c r="A56" s="46">
        <v>31</v>
      </c>
      <c r="B56" s="36" t="s">
        <v>146</v>
      </c>
      <c r="E56" s="48">
        <f>E48-SUM(E51:E54)</f>
        <v>-833.79590229219764</v>
      </c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</row>
    <row r="57" spans="1:20" ht="6" customHeight="1" thickTop="1">
      <c r="A57" s="46"/>
    </row>
    <row r="58" spans="1:20">
      <c r="A58" s="46"/>
      <c r="B58" s="2" t="s">
        <v>147</v>
      </c>
    </row>
    <row r="59" spans="1:20">
      <c r="B59" s="2" t="s">
        <v>148</v>
      </c>
    </row>
    <row r="60" spans="1:20" s="36" customFormat="1">
      <c r="A60" s="49">
        <v>32</v>
      </c>
      <c r="C60" s="36" t="s">
        <v>149</v>
      </c>
      <c r="E60" s="36">
        <v>0</v>
      </c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</row>
    <row r="61" spans="1:20" s="38" customFormat="1">
      <c r="A61" s="46">
        <v>33</v>
      </c>
      <c r="C61" s="38" t="s">
        <v>150</v>
      </c>
      <c r="E61" s="4">
        <v>0</v>
      </c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</row>
    <row r="62" spans="1:20" s="38" customFormat="1" ht="12.75" customHeight="1">
      <c r="A62" s="46">
        <v>34</v>
      </c>
      <c r="C62" s="38" t="s">
        <v>151</v>
      </c>
      <c r="E62" s="4">
        <v>0</v>
      </c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1:20" s="38" customFormat="1" ht="12" customHeight="1">
      <c r="A63" s="46">
        <v>35</v>
      </c>
      <c r="C63" s="38" t="s">
        <v>131</v>
      </c>
      <c r="E63" s="4">
        <v>0</v>
      </c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</row>
    <row r="64" spans="1:20" s="38" customFormat="1">
      <c r="A64" s="46">
        <v>36</v>
      </c>
      <c r="C64" s="38" t="s">
        <v>152</v>
      </c>
      <c r="E64" s="40">
        <v>0</v>
      </c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1:20" s="38" customFormat="1">
      <c r="A65" s="46">
        <v>37</v>
      </c>
      <c r="B65" s="38" t="s">
        <v>153</v>
      </c>
      <c r="E65" s="4">
        <f>SUM(E60:E64)</f>
        <v>0</v>
      </c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1:20" s="38" customFormat="1" ht="14.25" customHeight="1">
      <c r="A66" s="46"/>
      <c r="B66" s="38" t="s">
        <v>154</v>
      </c>
      <c r="E66" s="4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</row>
    <row r="67" spans="1:20" s="38" customFormat="1">
      <c r="A67" s="46">
        <v>38</v>
      </c>
      <c r="C67" s="36" t="s">
        <v>149</v>
      </c>
      <c r="E67" s="4">
        <v>0</v>
      </c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</row>
    <row r="68" spans="1:20" s="38" customFormat="1">
      <c r="A68" s="46">
        <v>39</v>
      </c>
      <c r="C68" s="38" t="s">
        <v>150</v>
      </c>
      <c r="E68" s="4">
        <v>0</v>
      </c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1:20" s="38" customFormat="1">
      <c r="A69" s="46">
        <v>40</v>
      </c>
      <c r="C69" s="38" t="s">
        <v>151</v>
      </c>
      <c r="E69" s="4">
        <v>0</v>
      </c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</row>
    <row r="70" spans="1:20" s="38" customFormat="1">
      <c r="A70" s="46">
        <v>41</v>
      </c>
      <c r="C70" s="38" t="s">
        <v>131</v>
      </c>
      <c r="E70" s="4">
        <v>0</v>
      </c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1:20" s="38" customFormat="1">
      <c r="A71" s="46">
        <v>42</v>
      </c>
      <c r="C71" s="38" t="s">
        <v>152</v>
      </c>
      <c r="E71" s="4">
        <v>0</v>
      </c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</row>
    <row r="72" spans="1:20" s="38" customFormat="1">
      <c r="A72" s="46">
        <v>43</v>
      </c>
      <c r="B72" s="38" t="s">
        <v>155</v>
      </c>
      <c r="E72" s="50">
        <f>SUM(E67:E71)</f>
        <v>0</v>
      </c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</row>
    <row r="73" spans="1:20" s="38" customFormat="1">
      <c r="A73" s="46">
        <v>44</v>
      </c>
      <c r="B73" s="38" t="s">
        <v>156</v>
      </c>
      <c r="E73" s="50">
        <f>E65+E72</f>
        <v>0</v>
      </c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</row>
    <row r="74" spans="1:20" s="38" customFormat="1" ht="12.75" customHeight="1">
      <c r="A74" s="46"/>
      <c r="E74" s="3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</row>
    <row r="75" spans="1:20" s="38" customFormat="1">
      <c r="A75" s="43">
        <v>45</v>
      </c>
      <c r="B75" s="38" t="s">
        <v>157</v>
      </c>
      <c r="E75" s="40">
        <v>0</v>
      </c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</row>
    <row r="76" spans="1:20" s="38" customFormat="1">
      <c r="A76" s="43">
        <v>46</v>
      </c>
      <c r="C76" s="38" t="s">
        <v>158</v>
      </c>
      <c r="E76" s="34">
        <f>SUM(E73:E75)</f>
        <v>0</v>
      </c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</row>
    <row r="77" spans="1:20" s="38" customFormat="1">
      <c r="A77" s="46">
        <v>47</v>
      </c>
      <c r="B77" s="38" t="s">
        <v>159</v>
      </c>
      <c r="E77" s="4">
        <v>0</v>
      </c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</row>
    <row r="78" spans="1:20" s="38" customFormat="1">
      <c r="A78" s="46">
        <v>48</v>
      </c>
      <c r="B78" s="38" t="s">
        <v>160</v>
      </c>
      <c r="E78" s="40">
        <v>0</v>
      </c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</row>
    <row r="79" spans="1:20" s="38" customFormat="1">
      <c r="A79" s="43"/>
      <c r="E79" s="4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</row>
    <row r="80" spans="1:20" s="36" customFormat="1" ht="13.5" customHeight="1" thickBot="1">
      <c r="A80" s="35">
        <v>49</v>
      </c>
      <c r="B80" s="36" t="s">
        <v>161</v>
      </c>
      <c r="E80" s="47">
        <f>SUM(E76:E78)</f>
        <v>0</v>
      </c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</row>
    <row r="81" spans="1:20" ht="18" customHeight="1" thickTop="1">
      <c r="A81" s="35">
        <v>50</v>
      </c>
      <c r="B81" s="2" t="s">
        <v>162</v>
      </c>
    </row>
    <row r="82" spans="1:20">
      <c r="A82" s="1">
        <v>51</v>
      </c>
      <c r="B82" s="2" t="s">
        <v>163</v>
      </c>
      <c r="E82" s="54">
        <f>E90</f>
        <v>1346.1065594235149</v>
      </c>
    </row>
    <row r="83" spans="1:20" ht="26.25" customHeight="1">
      <c r="B83" s="55"/>
    </row>
    <row r="84" spans="1:20" ht="57.75" customHeight="1"/>
    <row r="85" spans="1:20">
      <c r="E85" s="112">
        <v>7.6899999999999996E-2</v>
      </c>
    </row>
    <row r="86" spans="1:20">
      <c r="E86" s="112"/>
    </row>
    <row r="87" spans="1:20">
      <c r="D87" s="2" t="s">
        <v>164</v>
      </c>
      <c r="E87" s="112">
        <v>0.61941299999999999</v>
      </c>
    </row>
    <row r="89" spans="1:20">
      <c r="D89" s="2" t="s">
        <v>165</v>
      </c>
      <c r="E89" s="51">
        <f>E80*$E$85-E56</f>
        <v>833.79590229219764</v>
      </c>
    </row>
    <row r="90" spans="1:20">
      <c r="C90" s="56"/>
      <c r="D90" s="56" t="s">
        <v>166</v>
      </c>
      <c r="E90" s="41">
        <f>E89/$E$87</f>
        <v>1346.1065594235149</v>
      </c>
    </row>
    <row r="91" spans="1:20" s="58" customFormat="1" ht="11.25" customHeight="1">
      <c r="A91" s="57"/>
      <c r="C91" s="60"/>
      <c r="D91" s="60"/>
      <c r="E91" s="34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1:20" s="58" customFormat="1">
      <c r="A92" s="57"/>
      <c r="C92" s="60"/>
      <c r="D92" s="60"/>
      <c r="E92" s="34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1:20" s="58" customFormat="1">
      <c r="A93" s="57"/>
      <c r="C93" s="60"/>
      <c r="D93" s="60"/>
      <c r="E93" s="34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</row>
    <row r="94" spans="1:20" s="60" customFormat="1">
      <c r="A94" s="59"/>
      <c r="E94" s="3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</row>
    <row r="95" spans="1:20" s="58" customFormat="1">
      <c r="A95" s="57"/>
      <c r="E95" s="34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</row>
    <row r="96" spans="1:20" s="58" customFormat="1">
      <c r="A96" s="57"/>
      <c r="E96" s="45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</row>
    <row r="97" spans="1:20" s="58" customFormat="1">
      <c r="A97" s="57"/>
      <c r="E97" s="45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</row>
  </sheetData>
  <pageMargins left="0.64" right="0.17" top="0.21" bottom="0.33" header="0.3" footer="0.17"/>
  <pageSetup scale="74" orientation="portrait" r:id="rId1"/>
  <headerFooter>
    <oddHeader>&amp;RExh. AIW-2
Dockets UE-170485 / UG-170486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01"/>
  <sheetViews>
    <sheetView topLeftCell="A37" workbookViewId="0">
      <selection activeCell="I18" sqref="I18"/>
    </sheetView>
  </sheetViews>
  <sheetFormatPr defaultColWidth="10.6640625" defaultRowHeight="13.2"/>
  <cols>
    <col min="1" max="1" width="5.6640625" style="61" customWidth="1"/>
    <col min="2" max="3" width="1.6640625" style="62" customWidth="1"/>
    <col min="4" max="4" width="34.44140625" style="62" customWidth="1"/>
    <col min="5" max="5" width="14" style="63" customWidth="1"/>
    <col min="6" max="6" width="10.88671875" bestFit="1" customWidth="1"/>
    <col min="7" max="7" width="9.33203125" bestFit="1" customWidth="1"/>
    <col min="8" max="8" width="7.88671875" bestFit="1" customWidth="1"/>
    <col min="9" max="9" width="7.109375" bestFit="1" customWidth="1"/>
    <col min="10" max="10" width="10.5546875" bestFit="1" customWidth="1"/>
    <col min="11" max="11" width="7.44140625" customWidth="1"/>
    <col min="12" max="12" width="8.109375" bestFit="1" customWidth="1"/>
    <col min="13" max="13" width="13.44140625" customWidth="1"/>
    <col min="14" max="14" width="9.88671875" bestFit="1" customWidth="1"/>
    <col min="15" max="15" width="16.5546875" customWidth="1"/>
    <col min="16" max="16" width="9.109375" customWidth="1"/>
    <col min="17" max="17" width="8.5546875" bestFit="1" customWidth="1"/>
    <col min="18" max="18" width="8.109375" customWidth="1"/>
    <col min="19" max="19" width="8.5546875" bestFit="1" customWidth="1"/>
    <col min="20" max="20" width="16.6640625" customWidth="1"/>
    <col min="21" max="22" width="10" customWidth="1"/>
    <col min="23" max="23" width="12.5546875" customWidth="1"/>
    <col min="24" max="24" width="10" customWidth="1"/>
    <col min="25" max="25" width="12.109375" customWidth="1"/>
    <col min="26" max="26" width="11.33203125" customWidth="1"/>
    <col min="27" max="27" width="13.88671875" customWidth="1"/>
    <col min="28" max="28" width="14.6640625" customWidth="1"/>
    <col min="29" max="29" width="14.5546875" customWidth="1"/>
    <col min="30" max="30" width="8.88671875" bestFit="1" customWidth="1"/>
    <col min="31" max="31" width="11" bestFit="1" customWidth="1"/>
    <col min="32" max="32" width="11.44140625" bestFit="1" customWidth="1"/>
    <col min="33" max="33" width="12.6640625" customWidth="1"/>
    <col min="38" max="16384" width="10.6640625" style="62"/>
  </cols>
  <sheetData>
    <row r="1" spans="1:37">
      <c r="E1" s="3"/>
    </row>
    <row r="2" spans="1:37" ht="12.75" customHeight="1">
      <c r="A2" s="64" t="str">
        <f>'[1]ROO INPUT'!A3:C3</f>
        <v>AVISTA UTILITIES</v>
      </c>
      <c r="E2" s="62"/>
    </row>
    <row r="3" spans="1:37" ht="12.75" customHeight="1">
      <c r="A3" s="64" t="s">
        <v>219</v>
      </c>
      <c r="E3" s="11"/>
    </row>
    <row r="4" spans="1:37" ht="12.75" customHeight="1">
      <c r="A4" s="64" t="str">
        <f>'[1]ROO INPUT'!A5:C5</f>
        <v>TWELVE MONTHS ENDED DECEMBER 31, 2016</v>
      </c>
      <c r="E4" s="66"/>
    </row>
    <row r="5" spans="1:37" s="67" customFormat="1" ht="12" customHeight="1">
      <c r="A5" s="64" t="str">
        <f>'[1]ROO INPUT'!A6:C6</f>
        <v xml:space="preserve">(000'S OF DOLLARS)   </v>
      </c>
      <c r="B5" s="61"/>
      <c r="C5" s="61"/>
      <c r="D5" s="61"/>
      <c r="E5" s="66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</row>
    <row r="6" spans="1:37" ht="12.75" customHeight="1">
      <c r="E6" s="68"/>
    </row>
    <row r="7" spans="1:37" s="71" customFormat="1" ht="13.5" customHeight="1">
      <c r="A7" s="70"/>
      <c r="D7" s="72"/>
      <c r="E7" s="7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s="71" customFormat="1" ht="12" customHeight="1">
      <c r="A8" s="75"/>
      <c r="B8" s="76"/>
      <c r="C8" s="77"/>
      <c r="D8" s="78"/>
      <c r="E8" s="79" t="s">
        <v>103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s="71" customFormat="1">
      <c r="A9" s="80" t="s">
        <v>106</v>
      </c>
      <c r="B9" s="81"/>
      <c r="C9" s="82"/>
      <c r="D9" s="83"/>
      <c r="E9" s="84" t="s">
        <v>107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s="71" customFormat="1">
      <c r="A10" s="85" t="s">
        <v>108</v>
      </c>
      <c r="B10" s="86"/>
      <c r="C10" s="87"/>
      <c r="D10" s="88" t="s">
        <v>109</v>
      </c>
      <c r="E10" s="89" t="s">
        <v>111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s="71" customFormat="1">
      <c r="A11" s="70"/>
      <c r="B11" s="90" t="s">
        <v>168</v>
      </c>
      <c r="E11" s="91">
        <v>2.02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s="71" customFormat="1" ht="13.5" customHeight="1">
      <c r="A12" s="70"/>
      <c r="B12" s="90" t="s">
        <v>113</v>
      </c>
      <c r="E12" s="10" t="s">
        <v>169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6" customHeight="1"/>
    <row r="14" spans="1:37">
      <c r="B14" s="62" t="s">
        <v>171</v>
      </c>
    </row>
    <row r="15" spans="1:37" s="94" customFormat="1">
      <c r="A15" s="61">
        <v>1</v>
      </c>
      <c r="B15" s="94" t="s">
        <v>172</v>
      </c>
      <c r="E15" s="95">
        <v>0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>
      <c r="A16" s="61">
        <v>2</v>
      </c>
      <c r="B16" s="96" t="s">
        <v>173</v>
      </c>
      <c r="D16" s="96"/>
      <c r="E16" s="98">
        <v>0</v>
      </c>
    </row>
    <row r="17" spans="1:5">
      <c r="A17" s="61">
        <v>3</v>
      </c>
      <c r="B17" s="96" t="s">
        <v>174</v>
      </c>
      <c r="D17" s="96"/>
      <c r="E17" s="101">
        <v>0</v>
      </c>
    </row>
    <row r="18" spans="1:5">
      <c r="A18" s="61">
        <v>4</v>
      </c>
      <c r="B18" s="62" t="s">
        <v>175</v>
      </c>
      <c r="C18" s="96"/>
      <c r="D18" s="96"/>
      <c r="E18" s="97">
        <f>SUM(E15:E17)</f>
        <v>0</v>
      </c>
    </row>
    <row r="19" spans="1:5">
      <c r="C19" s="96"/>
      <c r="D19" s="96"/>
      <c r="E19" s="98"/>
    </row>
    <row r="20" spans="1:5">
      <c r="B20" s="62" t="s">
        <v>176</v>
      </c>
      <c r="C20" s="96"/>
      <c r="D20" s="96"/>
      <c r="E20" s="98"/>
    </row>
    <row r="21" spans="1:5">
      <c r="B21" s="96" t="s">
        <v>177</v>
      </c>
      <c r="D21" s="96"/>
      <c r="E21" s="98"/>
    </row>
    <row r="22" spans="1:5">
      <c r="A22" s="61">
        <v>5</v>
      </c>
      <c r="C22" s="96" t="s">
        <v>178</v>
      </c>
      <c r="D22" s="96"/>
      <c r="E22" s="98">
        <v>0</v>
      </c>
    </row>
    <row r="23" spans="1:5">
      <c r="A23" s="61">
        <v>6</v>
      </c>
      <c r="C23" s="96" t="s">
        <v>179</v>
      </c>
      <c r="D23" s="96"/>
      <c r="E23" s="98">
        <v>0</v>
      </c>
    </row>
    <row r="24" spans="1:5">
      <c r="A24" s="61">
        <v>7</v>
      </c>
      <c r="C24" s="96" t="s">
        <v>180</v>
      </c>
      <c r="D24" s="96"/>
      <c r="E24" s="101">
        <v>0</v>
      </c>
    </row>
    <row r="25" spans="1:5">
      <c r="A25" s="61">
        <v>8</v>
      </c>
      <c r="B25" s="96" t="s">
        <v>181</v>
      </c>
      <c r="C25" s="96"/>
      <c r="E25" s="102">
        <f>SUM(E22:E24)</f>
        <v>0</v>
      </c>
    </row>
    <row r="26" spans="1:5">
      <c r="B26" s="96"/>
      <c r="C26" s="96"/>
      <c r="E26" s="97"/>
    </row>
    <row r="27" spans="1:5">
      <c r="B27" s="96" t="s">
        <v>182</v>
      </c>
      <c r="D27" s="96"/>
      <c r="E27" s="98"/>
    </row>
    <row r="28" spans="1:5">
      <c r="A28" s="61">
        <v>9</v>
      </c>
      <c r="C28" s="96" t="s">
        <v>183</v>
      </c>
      <c r="D28" s="96"/>
      <c r="E28" s="98">
        <v>0</v>
      </c>
    </row>
    <row r="29" spans="1:5">
      <c r="A29" s="61">
        <v>10</v>
      </c>
      <c r="C29" s="96" t="s">
        <v>132</v>
      </c>
      <c r="D29" s="96"/>
      <c r="E29" s="98">
        <v>0</v>
      </c>
    </row>
    <row r="30" spans="1:5">
      <c r="A30" s="61">
        <v>11</v>
      </c>
      <c r="C30" s="96" t="s">
        <v>110</v>
      </c>
      <c r="D30" s="96"/>
      <c r="E30" s="101">
        <v>0</v>
      </c>
    </row>
    <row r="31" spans="1:5">
      <c r="A31" s="61">
        <v>12</v>
      </c>
      <c r="B31" s="96" t="s">
        <v>184</v>
      </c>
      <c r="C31" s="96"/>
      <c r="E31" s="102">
        <f>SUM(E28:E30)</f>
        <v>0</v>
      </c>
    </row>
    <row r="32" spans="1:5">
      <c r="B32" s="96"/>
      <c r="C32" s="96"/>
      <c r="E32" s="102"/>
    </row>
    <row r="33" spans="1:5">
      <c r="B33" s="96" t="s">
        <v>185</v>
      </c>
      <c r="D33" s="96"/>
      <c r="E33" s="98"/>
    </row>
    <row r="34" spans="1:5">
      <c r="A34" s="61">
        <v>13</v>
      </c>
      <c r="C34" s="96" t="s">
        <v>183</v>
      </c>
      <c r="D34" s="96"/>
      <c r="E34" s="98">
        <v>0</v>
      </c>
    </row>
    <row r="35" spans="1:5" ht="15.75" customHeight="1">
      <c r="A35" s="61">
        <v>14</v>
      </c>
      <c r="C35" s="96" t="s">
        <v>132</v>
      </c>
      <c r="D35" s="96"/>
      <c r="E35" s="98">
        <v>0</v>
      </c>
    </row>
    <row r="36" spans="1:5">
      <c r="A36" s="61">
        <v>15</v>
      </c>
      <c r="C36" s="96" t="s">
        <v>110</v>
      </c>
      <c r="D36" s="96"/>
      <c r="E36" s="101">
        <f>+'2.02 Restating-Gas'!J40/1000</f>
        <v>258.72645660439179</v>
      </c>
    </row>
    <row r="37" spans="1:5" ht="12.9" customHeight="1">
      <c r="A37" s="61">
        <v>16</v>
      </c>
      <c r="B37" s="96" t="s">
        <v>186</v>
      </c>
      <c r="C37" s="96"/>
      <c r="E37" s="102">
        <f>SUM(E34:E36)</f>
        <v>258.72645660439179</v>
      </c>
    </row>
    <row r="38" spans="1:5" ht="12.9" customHeight="1">
      <c r="C38" s="96"/>
      <c r="D38" s="96"/>
      <c r="E38" s="102"/>
    </row>
    <row r="39" spans="1:5" ht="12.9" customHeight="1">
      <c r="A39" s="61">
        <v>17</v>
      </c>
      <c r="B39" s="62" t="s">
        <v>187</v>
      </c>
      <c r="C39" s="96"/>
      <c r="D39" s="96"/>
      <c r="E39" s="99"/>
    </row>
    <row r="40" spans="1:5">
      <c r="A40" s="61">
        <v>18</v>
      </c>
      <c r="B40" s="62" t="s">
        <v>188</v>
      </c>
      <c r="C40" s="96"/>
      <c r="D40" s="96"/>
      <c r="E40" s="98">
        <v>0</v>
      </c>
    </row>
    <row r="41" spans="1:5">
      <c r="A41" s="61">
        <v>19</v>
      </c>
      <c r="B41" s="62" t="s">
        <v>189</v>
      </c>
      <c r="C41" s="96"/>
      <c r="D41" s="96"/>
      <c r="E41" s="98">
        <v>0</v>
      </c>
    </row>
    <row r="42" spans="1:5">
      <c r="C42" s="96"/>
      <c r="D42" s="96"/>
      <c r="E42" s="98"/>
    </row>
    <row r="43" spans="1:5">
      <c r="B43" s="62" t="s">
        <v>190</v>
      </c>
      <c r="C43" s="96"/>
      <c r="D43" s="96"/>
      <c r="E43" s="98"/>
    </row>
    <row r="44" spans="1:5">
      <c r="A44" s="61">
        <v>20</v>
      </c>
      <c r="C44" s="96" t="s">
        <v>183</v>
      </c>
      <c r="D44" s="96"/>
      <c r="E44" s="98">
        <v>0</v>
      </c>
    </row>
    <row r="45" spans="1:5">
      <c r="A45" s="61">
        <v>21</v>
      </c>
      <c r="C45" s="96" t="s">
        <v>132</v>
      </c>
      <c r="D45" s="96"/>
      <c r="E45" s="98">
        <v>0</v>
      </c>
    </row>
    <row r="46" spans="1:5">
      <c r="A46" s="61">
        <v>22</v>
      </c>
      <c r="C46" s="103" t="s">
        <v>191</v>
      </c>
      <c r="D46" s="96"/>
      <c r="E46" s="98"/>
    </row>
    <row r="47" spans="1:5">
      <c r="A47" s="61">
        <v>23</v>
      </c>
      <c r="C47" s="96" t="s">
        <v>110</v>
      </c>
      <c r="D47" s="96"/>
      <c r="E47" s="101">
        <v>0</v>
      </c>
    </row>
    <row r="48" spans="1:5">
      <c r="A48" s="61">
        <v>24</v>
      </c>
      <c r="B48" s="96" t="s">
        <v>192</v>
      </c>
      <c r="C48" s="96"/>
      <c r="E48" s="100">
        <f>SUM(E44:E47)</f>
        <v>0</v>
      </c>
    </row>
    <row r="49" spans="1:37" ht="19.5" customHeight="1">
      <c r="A49" s="61">
        <v>25</v>
      </c>
      <c r="B49" s="62" t="s">
        <v>193</v>
      </c>
      <c r="C49" s="96"/>
      <c r="D49" s="96"/>
      <c r="E49" s="100">
        <f>E21+E25+E31+E37+E39+E40+E41+E48</f>
        <v>258.72645660439179</v>
      </c>
    </row>
    <row r="50" spans="1:37" ht="9" customHeight="1">
      <c r="C50" s="96"/>
      <c r="D50" s="96"/>
      <c r="E50" s="97"/>
    </row>
    <row r="51" spans="1:37" ht="12.9" customHeight="1">
      <c r="A51" s="61">
        <v>26</v>
      </c>
      <c r="B51" s="62" t="s">
        <v>194</v>
      </c>
      <c r="C51" s="96"/>
      <c r="D51" s="96"/>
      <c r="E51" s="97">
        <f>E18-E49</f>
        <v>-258.72645660439179</v>
      </c>
    </row>
    <row r="52" spans="1:37" ht="12.9" customHeight="1">
      <c r="C52" s="96"/>
      <c r="D52" s="96"/>
      <c r="E52" s="97"/>
    </row>
    <row r="53" spans="1:37" ht="12.9" customHeight="1">
      <c r="B53" s="62" t="s">
        <v>195</v>
      </c>
      <c r="C53" s="96"/>
      <c r="D53" s="96"/>
      <c r="E53" s="98"/>
    </row>
    <row r="54" spans="1:37">
      <c r="A54" s="61">
        <v>27</v>
      </c>
      <c r="B54" s="96" t="s">
        <v>196</v>
      </c>
      <c r="D54" s="96"/>
      <c r="E54" s="98">
        <f>E51*0.35</f>
        <v>-90.554259811537122</v>
      </c>
    </row>
    <row r="55" spans="1:37">
      <c r="A55" s="61">
        <v>28</v>
      </c>
      <c r="B55" s="96" t="s">
        <v>143</v>
      </c>
      <c r="D55" s="96"/>
      <c r="E55" s="98">
        <v>0</v>
      </c>
    </row>
    <row r="56" spans="1:37">
      <c r="A56" s="61">
        <v>29</v>
      </c>
      <c r="B56" s="96" t="s">
        <v>197</v>
      </c>
      <c r="D56" s="96"/>
      <c r="E56" s="98">
        <v>0</v>
      </c>
    </row>
    <row r="57" spans="1:37">
      <c r="A57" s="61">
        <v>30</v>
      </c>
      <c r="B57" s="96" t="s">
        <v>198</v>
      </c>
      <c r="D57" s="96"/>
      <c r="E57" s="101">
        <v>0</v>
      </c>
    </row>
    <row r="58" spans="1:37">
      <c r="E58" s="97"/>
    </row>
    <row r="59" spans="1:37" s="94" customFormat="1" ht="13.8" thickBot="1">
      <c r="A59" s="61">
        <v>31</v>
      </c>
      <c r="B59" s="94" t="s">
        <v>199</v>
      </c>
      <c r="E59" s="104">
        <f>E51-SUM(E54:E57)</f>
        <v>-168.17219679285466</v>
      </c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</row>
    <row r="60" spans="1:37" ht="6" customHeight="1" thickTop="1">
      <c r="E60" s="97"/>
    </row>
    <row r="61" spans="1:37">
      <c r="B61" s="62" t="s">
        <v>200</v>
      </c>
      <c r="E61" s="97"/>
    </row>
    <row r="62" spans="1:37">
      <c r="B62" s="62" t="s">
        <v>201</v>
      </c>
      <c r="E62" s="98"/>
    </row>
    <row r="63" spans="1:37">
      <c r="A63" s="61">
        <v>32</v>
      </c>
      <c r="B63" s="96"/>
      <c r="C63" s="96" t="s">
        <v>182</v>
      </c>
      <c r="D63" s="96"/>
      <c r="E63" s="95">
        <v>0</v>
      </c>
    </row>
    <row r="64" spans="1:37">
      <c r="A64" s="61">
        <v>33</v>
      </c>
      <c r="B64" s="96"/>
      <c r="C64" s="96" t="s">
        <v>202</v>
      </c>
      <c r="D64" s="96"/>
      <c r="E64" s="98">
        <v>0</v>
      </c>
    </row>
    <row r="65" spans="1:37">
      <c r="A65" s="61">
        <v>34</v>
      </c>
      <c r="B65" s="96"/>
      <c r="C65" s="96" t="s">
        <v>203</v>
      </c>
      <c r="D65" s="96"/>
      <c r="E65" s="101">
        <v>0</v>
      </c>
    </row>
    <row r="66" spans="1:37" ht="18" customHeight="1">
      <c r="A66" s="61">
        <v>35</v>
      </c>
      <c r="B66" s="96" t="s">
        <v>204</v>
      </c>
      <c r="C66" s="96"/>
      <c r="E66" s="97">
        <f>SUM(E63:E65)</f>
        <v>0</v>
      </c>
    </row>
    <row r="67" spans="1:37" ht="3.75" customHeight="1">
      <c r="B67" s="96"/>
      <c r="C67" s="96"/>
      <c r="E67" s="97"/>
    </row>
    <row r="68" spans="1:37">
      <c r="B68" s="96" t="s">
        <v>154</v>
      </c>
      <c r="C68" s="96"/>
      <c r="D68" s="96"/>
      <c r="E68" s="98"/>
    </row>
    <row r="69" spans="1:37">
      <c r="A69" s="61">
        <v>36</v>
      </c>
      <c r="B69" s="96"/>
      <c r="C69" s="96" t="s">
        <v>182</v>
      </c>
      <c r="D69" s="96"/>
      <c r="E69" s="98">
        <v>0</v>
      </c>
    </row>
    <row r="70" spans="1:37">
      <c r="A70" s="61">
        <v>37</v>
      </c>
      <c r="B70" s="96"/>
      <c r="C70" s="96" t="s">
        <v>202</v>
      </c>
      <c r="D70" s="96"/>
      <c r="E70" s="98">
        <v>0</v>
      </c>
    </row>
    <row r="71" spans="1:37">
      <c r="A71" s="61">
        <v>38</v>
      </c>
      <c r="B71" s="96"/>
      <c r="C71" s="96" t="s">
        <v>203</v>
      </c>
      <c r="D71" s="96"/>
      <c r="E71" s="98">
        <v>0</v>
      </c>
    </row>
    <row r="72" spans="1:37">
      <c r="A72" s="61">
        <v>39</v>
      </c>
      <c r="B72" s="96" t="s">
        <v>205</v>
      </c>
      <c r="C72" s="96"/>
      <c r="E72" s="106">
        <f>SUM(E69:E71)</f>
        <v>0</v>
      </c>
    </row>
    <row r="73" spans="1:37">
      <c r="A73" s="61">
        <v>40</v>
      </c>
      <c r="B73" s="96" t="s">
        <v>206</v>
      </c>
      <c r="C73" s="96"/>
      <c r="D73" s="96"/>
      <c r="E73" s="107">
        <f t="shared" ref="E73" si="0">E66+E72</f>
        <v>0</v>
      </c>
    </row>
    <row r="74" spans="1:37" s="110" customFormat="1" ht="13.5" customHeight="1">
      <c r="A74" s="108">
        <v>41</v>
      </c>
      <c r="B74" s="109" t="s">
        <v>207</v>
      </c>
      <c r="C74" s="109"/>
      <c r="D74" s="109"/>
      <c r="E74" s="101">
        <v>0</v>
      </c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</row>
    <row r="75" spans="1:37" s="110" customFormat="1" ht="18.899999999999999" customHeight="1">
      <c r="A75" s="108">
        <v>42</v>
      </c>
      <c r="B75" s="109" t="s">
        <v>158</v>
      </c>
      <c r="C75" s="109"/>
      <c r="D75" s="109"/>
      <c r="E75" s="107">
        <f>E73+E74</f>
        <v>0</v>
      </c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</row>
    <row r="76" spans="1:37">
      <c r="A76" s="61">
        <v>43</v>
      </c>
      <c r="B76" s="96" t="s">
        <v>208</v>
      </c>
      <c r="C76" s="96"/>
      <c r="D76" s="96"/>
      <c r="E76" s="98">
        <v>0</v>
      </c>
    </row>
    <row r="77" spans="1:37" s="110" customFormat="1">
      <c r="A77" s="108">
        <v>44</v>
      </c>
      <c r="B77" s="109" t="s">
        <v>209</v>
      </c>
      <c r="C77" s="109"/>
      <c r="D77" s="109"/>
      <c r="E77" s="99">
        <v>0</v>
      </c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</row>
    <row r="78" spans="1:37" s="110" customFormat="1">
      <c r="A78" s="108">
        <v>45</v>
      </c>
      <c r="B78" s="109" t="s">
        <v>96</v>
      </c>
      <c r="C78" s="109"/>
      <c r="D78" s="109"/>
      <c r="E78" s="99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</row>
    <row r="79" spans="1:37">
      <c r="A79" s="61">
        <v>46</v>
      </c>
      <c r="B79" s="96" t="s">
        <v>160</v>
      </c>
      <c r="C79" s="96"/>
      <c r="D79" s="96"/>
      <c r="E79" s="101">
        <v>0</v>
      </c>
    </row>
    <row r="80" spans="1:37" ht="7.5" customHeight="1"/>
    <row r="81" spans="1:37" ht="6.75" customHeight="1">
      <c r="E81" s="97"/>
    </row>
    <row r="82" spans="1:37" s="111" customFormat="1" ht="13.8" thickBot="1">
      <c r="A82" s="70">
        <v>47</v>
      </c>
      <c r="B82" s="111" t="s">
        <v>210</v>
      </c>
      <c r="E82" s="105">
        <f>E75+E76+E77+E79+E78</f>
        <v>0</v>
      </c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</row>
    <row r="83" spans="1:37" ht="13.8" thickTop="1">
      <c r="A83" s="61">
        <v>48</v>
      </c>
      <c r="B83" s="62" t="s">
        <v>211</v>
      </c>
      <c r="E83" s="97"/>
    </row>
    <row r="84" spans="1:37">
      <c r="A84" s="61">
        <v>50</v>
      </c>
      <c r="B84" s="62" t="s">
        <v>212</v>
      </c>
      <c r="E84" s="63">
        <f t="shared" ref="E84" si="1">E90</f>
        <v>270.96358915781917</v>
      </c>
    </row>
    <row r="85" spans="1:37" ht="8.25" customHeight="1">
      <c r="E85" s="97"/>
    </row>
    <row r="86" spans="1:37" s="114" customFormat="1" ht="16.5" customHeight="1">
      <c r="A86" s="113"/>
      <c r="D86" s="56" t="s">
        <v>213</v>
      </c>
      <c r="E86" s="52">
        <v>7.6899999999999996E-2</v>
      </c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</row>
    <row r="87" spans="1:37" s="114" customFormat="1" ht="17.25" customHeight="1">
      <c r="A87" s="115"/>
      <c r="D87" s="56" t="s">
        <v>164</v>
      </c>
      <c r="E87" s="52">
        <v>0.620645</v>
      </c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</row>
    <row r="88" spans="1:37" s="114" customFormat="1" ht="2.25" customHeight="1">
      <c r="A88" s="115"/>
      <c r="D88" s="56"/>
      <c r="E88" s="102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</row>
    <row r="89" spans="1:37" s="114" customFormat="1" ht="29.25" customHeight="1">
      <c r="A89" s="115"/>
      <c r="D89" s="56" t="s">
        <v>165</v>
      </c>
      <c r="E89" s="3">
        <f>E82*$E$86-E59</f>
        <v>168.17219679285466</v>
      </c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</row>
    <row r="90" spans="1:37" s="114" customFormat="1">
      <c r="A90" s="115"/>
      <c r="D90" s="56" t="s">
        <v>166</v>
      </c>
      <c r="E90" s="3">
        <f>E89/$E$87</f>
        <v>270.96358915781917</v>
      </c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</row>
    <row r="91" spans="1:37" s="114" customFormat="1">
      <c r="A91" s="115"/>
      <c r="D91" s="56"/>
      <c r="E91" s="116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</row>
    <row r="92" spans="1:37" s="114" customFormat="1">
      <c r="A92" s="113"/>
      <c r="D92" s="56"/>
      <c r="E92" s="116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</row>
    <row r="93" spans="1:37" s="114" customFormat="1">
      <c r="A93" s="115"/>
      <c r="E93" s="116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</row>
    <row r="94" spans="1:37" s="114" customFormat="1">
      <c r="A94" s="115"/>
      <c r="D94" s="56"/>
      <c r="E94" s="116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</row>
    <row r="95" spans="1:37" s="118" customFormat="1">
      <c r="A95" s="117"/>
      <c r="D95" s="60"/>
      <c r="E95" s="119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</row>
    <row r="96" spans="1:37" s="118" customFormat="1">
      <c r="A96" s="117"/>
      <c r="D96" s="120"/>
      <c r="E96" s="119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</row>
    <row r="97" spans="1:37" s="118" customFormat="1">
      <c r="A97" s="117"/>
      <c r="E97" s="93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</row>
    <row r="98" spans="1:37" s="118" customFormat="1">
      <c r="A98" s="117"/>
      <c r="E98" s="93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</row>
    <row r="99" spans="1:37" s="110" customFormat="1">
      <c r="A99" s="108"/>
      <c r="E99" s="121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</row>
    <row r="100" spans="1:37" s="110" customFormat="1">
      <c r="A100" s="108"/>
      <c r="E100" s="121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</row>
    <row r="101" spans="1:37" s="110" customFormat="1">
      <c r="A101" s="108"/>
      <c r="E101" s="12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</row>
  </sheetData>
  <pageMargins left="0.92" right="0.17" top="0.21" bottom="0.33" header="0.3" footer="0.17"/>
  <pageSetup scale="74" orientation="portrait" r:id="rId1"/>
  <headerFooter>
    <oddHeader>&amp;R Exh. AIW-2
Dockets UE-170485 / UG-170486
Page &amp;P of 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01"/>
  <sheetViews>
    <sheetView tabSelected="1" topLeftCell="A37" workbookViewId="0">
      <selection activeCell="I18" sqref="I18"/>
    </sheetView>
  </sheetViews>
  <sheetFormatPr defaultColWidth="10.6640625" defaultRowHeight="13.2"/>
  <cols>
    <col min="1" max="1" width="5.6640625" style="61" customWidth="1"/>
    <col min="2" max="3" width="1.6640625" style="62" customWidth="1"/>
    <col min="4" max="4" width="34.44140625" style="62" customWidth="1"/>
    <col min="5" max="5" width="12.109375" style="63" customWidth="1"/>
    <col min="6" max="6" width="11.33203125" customWidth="1"/>
    <col min="7" max="7" width="13.88671875" customWidth="1"/>
    <col min="8" max="8" width="14.6640625" customWidth="1"/>
    <col min="9" max="9" width="14.5546875" customWidth="1"/>
    <col min="10" max="10" width="8.88671875" bestFit="1" customWidth="1"/>
    <col min="11" max="11" width="11" bestFit="1" customWidth="1"/>
    <col min="12" max="12" width="11.44140625" bestFit="1" customWidth="1"/>
    <col min="13" max="13" width="12.6640625" customWidth="1"/>
    <col min="20" max="16384" width="10.6640625" style="62"/>
  </cols>
  <sheetData>
    <row r="2" spans="1:19" ht="12.75" customHeight="1">
      <c r="A2" s="64" t="str">
        <f>'[1]ROO INPUT'!A3:C3</f>
        <v>AVISTA UTILITIES</v>
      </c>
      <c r="E2" s="65"/>
    </row>
    <row r="3" spans="1:19" ht="12.75" customHeight="1">
      <c r="A3" s="64" t="s">
        <v>167</v>
      </c>
      <c r="E3" s="11"/>
    </row>
    <row r="4" spans="1:19" ht="12.75" customHeight="1">
      <c r="A4" s="64" t="str">
        <f>'[1]ROO INPUT'!A5:C5</f>
        <v>TWELVE MONTHS ENDED DECEMBER 31, 2016</v>
      </c>
      <c r="E4" s="66"/>
    </row>
    <row r="5" spans="1:19" s="67" customFormat="1" ht="12" customHeight="1">
      <c r="A5" s="64" t="str">
        <f>'[1]ROO INPUT'!A6:C6</f>
        <v xml:space="preserve">(000'S OF DOLLARS)   </v>
      </c>
      <c r="B5" s="61"/>
      <c r="C5" s="61"/>
      <c r="D5" s="61"/>
      <c r="E5" s="66"/>
      <c r="F5"/>
      <c r="G5"/>
      <c r="H5"/>
      <c r="I5"/>
      <c r="J5"/>
      <c r="K5"/>
      <c r="L5"/>
      <c r="M5"/>
      <c r="N5"/>
      <c r="O5"/>
      <c r="P5"/>
      <c r="Q5"/>
      <c r="R5"/>
      <c r="S5"/>
    </row>
    <row r="6" spans="1:19" ht="12.75" customHeight="1">
      <c r="E6" s="69"/>
    </row>
    <row r="7" spans="1:19" s="71" customFormat="1" ht="13.5" customHeight="1">
      <c r="A7" s="70"/>
      <c r="D7" s="72"/>
      <c r="E7" s="74"/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1:19" s="71" customFormat="1" ht="12" customHeight="1">
      <c r="A8" s="75"/>
      <c r="B8" s="76"/>
      <c r="C8" s="77"/>
      <c r="D8" s="78"/>
      <c r="E8" s="79" t="s">
        <v>105</v>
      </c>
      <c r="F8"/>
      <c r="G8"/>
      <c r="H8"/>
      <c r="I8"/>
      <c r="J8"/>
      <c r="K8"/>
      <c r="L8"/>
      <c r="M8"/>
      <c r="N8"/>
      <c r="O8"/>
      <c r="P8"/>
      <c r="Q8"/>
      <c r="R8"/>
      <c r="S8"/>
    </row>
    <row r="9" spans="1:19" s="71" customFormat="1">
      <c r="A9" s="80" t="s">
        <v>106</v>
      </c>
      <c r="B9" s="81"/>
      <c r="C9" s="82"/>
      <c r="D9" s="83"/>
      <c r="E9" s="84" t="s">
        <v>107</v>
      </c>
      <c r="F9"/>
      <c r="G9"/>
      <c r="H9"/>
      <c r="I9"/>
      <c r="J9"/>
      <c r="K9"/>
      <c r="L9"/>
      <c r="M9"/>
      <c r="N9"/>
      <c r="O9"/>
      <c r="P9"/>
      <c r="Q9"/>
      <c r="R9"/>
      <c r="S9"/>
    </row>
    <row r="10" spans="1:19" s="71" customFormat="1">
      <c r="A10" s="85" t="s">
        <v>108</v>
      </c>
      <c r="B10" s="86"/>
      <c r="C10" s="87"/>
      <c r="D10" s="88" t="s">
        <v>109</v>
      </c>
      <c r="E10" s="89" t="s">
        <v>111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19" s="71" customFormat="1">
      <c r="A11" s="70"/>
      <c r="B11" s="90" t="s">
        <v>168</v>
      </c>
      <c r="E11" s="92">
        <v>3.06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19" s="71" customFormat="1" ht="13.5" customHeight="1">
      <c r="A12" s="70"/>
      <c r="B12" s="90" t="s">
        <v>113</v>
      </c>
      <c r="E12" s="10" t="s">
        <v>170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19" ht="6" customHeight="1"/>
    <row r="14" spans="1:19">
      <c r="B14" s="62" t="s">
        <v>171</v>
      </c>
    </row>
    <row r="15" spans="1:19" s="94" customFormat="1">
      <c r="A15" s="61">
        <v>1</v>
      </c>
      <c r="B15" s="94" t="s">
        <v>172</v>
      </c>
      <c r="E15" s="95">
        <v>0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19">
      <c r="A16" s="61">
        <v>2</v>
      </c>
      <c r="B16" s="96" t="s">
        <v>173</v>
      </c>
      <c r="D16" s="96"/>
      <c r="E16" s="98">
        <v>0</v>
      </c>
    </row>
    <row r="17" spans="1:5">
      <c r="A17" s="61">
        <v>3</v>
      </c>
      <c r="B17" s="96" t="s">
        <v>174</v>
      </c>
      <c r="D17" s="96"/>
      <c r="E17" s="101">
        <v>0</v>
      </c>
    </row>
    <row r="18" spans="1:5">
      <c r="A18" s="61">
        <v>4</v>
      </c>
      <c r="B18" s="62" t="s">
        <v>175</v>
      </c>
      <c r="C18" s="96"/>
      <c r="D18" s="96"/>
      <c r="E18" s="97">
        <f t="shared" ref="E18" si="0">SUM(E15:E17)</f>
        <v>0</v>
      </c>
    </row>
    <row r="19" spans="1:5">
      <c r="C19" s="96"/>
      <c r="D19" s="96"/>
      <c r="E19" s="98"/>
    </row>
    <row r="20" spans="1:5">
      <c r="B20" s="62" t="s">
        <v>176</v>
      </c>
      <c r="C20" s="96"/>
      <c r="D20" s="96"/>
      <c r="E20" s="98"/>
    </row>
    <row r="21" spans="1:5">
      <c r="B21" s="96" t="s">
        <v>177</v>
      </c>
      <c r="D21" s="96"/>
      <c r="E21" s="98"/>
    </row>
    <row r="22" spans="1:5">
      <c r="A22" s="61">
        <v>5</v>
      </c>
      <c r="C22" s="96" t="s">
        <v>178</v>
      </c>
      <c r="D22" s="96"/>
      <c r="E22" s="98">
        <v>0</v>
      </c>
    </row>
    <row r="23" spans="1:5">
      <c r="A23" s="61">
        <v>6</v>
      </c>
      <c r="C23" s="96" t="s">
        <v>179</v>
      </c>
      <c r="D23" s="96"/>
      <c r="E23" s="98">
        <v>0</v>
      </c>
    </row>
    <row r="24" spans="1:5">
      <c r="A24" s="61">
        <v>7</v>
      </c>
      <c r="C24" s="96" t="s">
        <v>180</v>
      </c>
      <c r="D24" s="96"/>
      <c r="E24" s="101">
        <v>0</v>
      </c>
    </row>
    <row r="25" spans="1:5">
      <c r="A25" s="61">
        <v>8</v>
      </c>
      <c r="B25" s="96" t="s">
        <v>181</v>
      </c>
      <c r="C25" s="96"/>
      <c r="E25" s="102">
        <f t="shared" ref="E25" si="1">SUM(E22:E24)</f>
        <v>0</v>
      </c>
    </row>
    <row r="26" spans="1:5">
      <c r="B26" s="96"/>
      <c r="C26" s="96"/>
      <c r="E26" s="102"/>
    </row>
    <row r="27" spans="1:5">
      <c r="B27" s="96" t="s">
        <v>182</v>
      </c>
      <c r="D27" s="96"/>
      <c r="E27" s="98"/>
    </row>
    <row r="28" spans="1:5">
      <c r="A28" s="61">
        <v>9</v>
      </c>
      <c r="C28" s="96" t="s">
        <v>183</v>
      </c>
      <c r="D28" s="96"/>
      <c r="E28" s="98">
        <v>0</v>
      </c>
    </row>
    <row r="29" spans="1:5">
      <c r="A29" s="61">
        <v>10</v>
      </c>
      <c r="C29" s="96" t="s">
        <v>132</v>
      </c>
      <c r="D29" s="96"/>
      <c r="E29" s="98">
        <v>0</v>
      </c>
    </row>
    <row r="30" spans="1:5">
      <c r="A30" s="61">
        <v>11</v>
      </c>
      <c r="C30" s="96" t="s">
        <v>110</v>
      </c>
      <c r="D30" s="96"/>
      <c r="E30" s="101">
        <f>+'3.06 Pro Forma-Gas'!J35/1000</f>
        <v>38.66472513940834</v>
      </c>
    </row>
    <row r="31" spans="1:5">
      <c r="A31" s="61">
        <v>12</v>
      </c>
      <c r="B31" s="96" t="s">
        <v>184</v>
      </c>
      <c r="C31" s="96"/>
      <c r="E31" s="102">
        <f t="shared" ref="E31" si="2">SUM(E28:E30)</f>
        <v>38.66472513940834</v>
      </c>
    </row>
    <row r="32" spans="1:5">
      <c r="B32" s="96"/>
      <c r="C32" s="96"/>
      <c r="E32" s="102"/>
    </row>
    <row r="33" spans="1:5">
      <c r="B33" s="96" t="s">
        <v>185</v>
      </c>
      <c r="D33" s="96"/>
      <c r="E33" s="98"/>
    </row>
    <row r="34" spans="1:5">
      <c r="A34" s="61">
        <v>13</v>
      </c>
      <c r="C34" s="96" t="s">
        <v>183</v>
      </c>
      <c r="D34" s="96"/>
      <c r="E34" s="98">
        <v>0</v>
      </c>
    </row>
    <row r="35" spans="1:5" ht="15.75" customHeight="1">
      <c r="A35" s="61">
        <v>14</v>
      </c>
      <c r="C35" s="96" t="s">
        <v>132</v>
      </c>
      <c r="D35" s="96"/>
      <c r="E35" s="98">
        <v>0</v>
      </c>
    </row>
    <row r="36" spans="1:5">
      <c r="A36" s="61">
        <v>15</v>
      </c>
      <c r="C36" s="96" t="s">
        <v>110</v>
      </c>
      <c r="D36" s="96"/>
      <c r="E36" s="101">
        <f>+'3.06 Pro Forma-Gas'!J38/1000</f>
        <v>389.69519475599287</v>
      </c>
    </row>
    <row r="37" spans="1:5" ht="12.9" customHeight="1">
      <c r="A37" s="61">
        <v>16</v>
      </c>
      <c r="B37" s="96" t="s">
        <v>186</v>
      </c>
      <c r="C37" s="96"/>
      <c r="E37" s="102">
        <f t="shared" ref="E37" si="3">SUM(E34:E36)</f>
        <v>389.69519475599287</v>
      </c>
    </row>
    <row r="38" spans="1:5" ht="12.9" customHeight="1">
      <c r="C38" s="96"/>
      <c r="D38" s="96"/>
      <c r="E38" s="102"/>
    </row>
    <row r="39" spans="1:5" ht="12.9" customHeight="1">
      <c r="A39" s="61">
        <v>17</v>
      </c>
      <c r="B39" s="62" t="s">
        <v>187</v>
      </c>
      <c r="C39" s="96"/>
      <c r="D39" s="96"/>
      <c r="E39" s="98"/>
    </row>
    <row r="40" spans="1:5">
      <c r="A40" s="61">
        <v>18</v>
      </c>
      <c r="B40" s="62" t="s">
        <v>188</v>
      </c>
      <c r="C40" s="96"/>
      <c r="D40" s="96"/>
      <c r="E40" s="98">
        <v>0</v>
      </c>
    </row>
    <row r="41" spans="1:5">
      <c r="A41" s="61">
        <v>19</v>
      </c>
      <c r="B41" s="62" t="s">
        <v>189</v>
      </c>
      <c r="C41" s="96"/>
      <c r="D41" s="96"/>
      <c r="E41" s="98">
        <v>0</v>
      </c>
    </row>
    <row r="42" spans="1:5">
      <c r="C42" s="96"/>
      <c r="D42" s="96"/>
      <c r="E42" s="98"/>
    </row>
    <row r="43" spans="1:5">
      <c r="B43" s="62" t="s">
        <v>190</v>
      </c>
      <c r="C43" s="96"/>
      <c r="D43" s="96"/>
      <c r="E43" s="98"/>
    </row>
    <row r="44" spans="1:5">
      <c r="A44" s="61">
        <v>20</v>
      </c>
      <c r="C44" s="96" t="s">
        <v>183</v>
      </c>
      <c r="D44" s="96"/>
      <c r="E44" s="98">
        <v>0</v>
      </c>
    </row>
    <row r="45" spans="1:5">
      <c r="A45" s="61">
        <v>21</v>
      </c>
      <c r="C45" s="96" t="s">
        <v>132</v>
      </c>
      <c r="D45" s="96"/>
      <c r="E45" s="98">
        <v>0</v>
      </c>
    </row>
    <row r="46" spans="1:5">
      <c r="A46" s="61">
        <v>22</v>
      </c>
      <c r="C46" s="103" t="s">
        <v>191</v>
      </c>
      <c r="D46" s="96"/>
      <c r="E46" s="98"/>
    </row>
    <row r="47" spans="1:5">
      <c r="A47" s="61">
        <v>23</v>
      </c>
      <c r="C47" s="96" t="s">
        <v>110</v>
      </c>
      <c r="D47" s="96"/>
      <c r="E47" s="101">
        <v>0</v>
      </c>
    </row>
    <row r="48" spans="1:5">
      <c r="A48" s="61">
        <v>24</v>
      </c>
      <c r="B48" s="96" t="s">
        <v>192</v>
      </c>
      <c r="C48" s="96"/>
      <c r="E48" s="100">
        <f t="shared" ref="E48" si="4">SUM(E44:E47)</f>
        <v>0</v>
      </c>
    </row>
    <row r="49" spans="1:19" ht="19.5" customHeight="1">
      <c r="A49" s="61">
        <v>25</v>
      </c>
      <c r="B49" s="62" t="s">
        <v>193</v>
      </c>
      <c r="C49" s="96"/>
      <c r="D49" s="96"/>
      <c r="E49" s="100">
        <f t="shared" ref="E49" si="5">E21+E25+E31+E37+E39+E40+E41+E48</f>
        <v>428.35991989540122</v>
      </c>
    </row>
    <row r="50" spans="1:19" ht="9" customHeight="1">
      <c r="C50" s="96"/>
      <c r="D50" s="96"/>
      <c r="E50" s="97"/>
    </row>
    <row r="51" spans="1:19" ht="12.9" customHeight="1">
      <c r="A51" s="61">
        <v>26</v>
      </c>
      <c r="B51" s="62" t="s">
        <v>194</v>
      </c>
      <c r="C51" s="96"/>
      <c r="D51" s="96"/>
      <c r="E51" s="97">
        <f t="shared" ref="E51" si="6">E18-E49</f>
        <v>-428.35991989540122</v>
      </c>
    </row>
    <row r="52" spans="1:19" ht="12.9" customHeight="1">
      <c r="C52" s="96"/>
      <c r="D52" s="96"/>
      <c r="E52" s="97"/>
    </row>
    <row r="53" spans="1:19" ht="12.9" customHeight="1">
      <c r="B53" s="62" t="s">
        <v>195</v>
      </c>
      <c r="C53" s="96"/>
      <c r="D53" s="96"/>
      <c r="E53" s="98"/>
    </row>
    <row r="54" spans="1:19">
      <c r="A54" s="61">
        <v>27</v>
      </c>
      <c r="B54" s="96" t="s">
        <v>196</v>
      </c>
      <c r="D54" s="96"/>
      <c r="E54" s="98">
        <f t="shared" ref="E54" si="7">E51*0.35</f>
        <v>-149.92597196339042</v>
      </c>
    </row>
    <row r="55" spans="1:19">
      <c r="A55" s="61">
        <v>28</v>
      </c>
      <c r="B55" s="96" t="s">
        <v>143</v>
      </c>
      <c r="D55" s="96"/>
      <c r="E55" s="98">
        <v>0</v>
      </c>
    </row>
    <row r="56" spans="1:19">
      <c r="A56" s="61">
        <v>29</v>
      </c>
      <c r="B56" s="96" t="s">
        <v>197</v>
      </c>
      <c r="D56" s="96"/>
      <c r="E56" s="98">
        <v>0</v>
      </c>
    </row>
    <row r="57" spans="1:19">
      <c r="A57" s="61">
        <v>30</v>
      </c>
      <c r="B57" s="96" t="s">
        <v>198</v>
      </c>
      <c r="D57" s="96"/>
      <c r="E57" s="101">
        <v>0</v>
      </c>
    </row>
    <row r="58" spans="1:19">
      <c r="E58" s="97"/>
    </row>
    <row r="59" spans="1:19" s="94" customFormat="1" ht="13.8" thickBot="1">
      <c r="A59" s="61">
        <v>31</v>
      </c>
      <c r="B59" s="94" t="s">
        <v>199</v>
      </c>
      <c r="E59" s="104">
        <f>E51-SUM(E54:E57)</f>
        <v>-278.43394793201082</v>
      </c>
      <c r="F59"/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ht="6" customHeight="1" thickTop="1">
      <c r="E60" s="97"/>
    </row>
    <row r="61" spans="1:19">
      <c r="B61" s="62" t="s">
        <v>200</v>
      </c>
      <c r="E61" s="97"/>
    </row>
    <row r="62" spans="1:19">
      <c r="B62" s="62" t="s">
        <v>201</v>
      </c>
      <c r="E62" s="98"/>
    </row>
    <row r="63" spans="1:19">
      <c r="A63" s="61">
        <v>32</v>
      </c>
      <c r="B63" s="96"/>
      <c r="C63" s="96" t="s">
        <v>182</v>
      </c>
      <c r="D63" s="96"/>
      <c r="E63" s="95">
        <v>0</v>
      </c>
    </row>
    <row r="64" spans="1:19">
      <c r="A64" s="61">
        <v>33</v>
      </c>
      <c r="B64" s="96"/>
      <c r="C64" s="96" t="s">
        <v>202</v>
      </c>
      <c r="D64" s="96"/>
      <c r="E64" s="98">
        <v>0</v>
      </c>
    </row>
    <row r="65" spans="1:19">
      <c r="A65" s="61">
        <v>34</v>
      </c>
      <c r="B65" s="96"/>
      <c r="C65" s="96" t="s">
        <v>203</v>
      </c>
      <c r="D65" s="96"/>
      <c r="E65" s="101">
        <v>0</v>
      </c>
    </row>
    <row r="66" spans="1:19" ht="18" customHeight="1">
      <c r="A66" s="61">
        <v>35</v>
      </c>
      <c r="B66" s="96" t="s">
        <v>204</v>
      </c>
      <c r="C66" s="96"/>
      <c r="E66" s="97">
        <f t="shared" ref="E66" si="8">SUM(E63:E65)</f>
        <v>0</v>
      </c>
    </row>
    <row r="67" spans="1:19" ht="3.75" customHeight="1">
      <c r="B67" s="96"/>
      <c r="C67" s="96"/>
      <c r="E67" s="97"/>
    </row>
    <row r="68" spans="1:19">
      <c r="B68" s="96" t="s">
        <v>154</v>
      </c>
      <c r="C68" s="96"/>
      <c r="D68" s="96"/>
      <c r="E68" s="98"/>
    </row>
    <row r="69" spans="1:19">
      <c r="A69" s="61">
        <v>36</v>
      </c>
      <c r="B69" s="96"/>
      <c r="C69" s="96" t="s">
        <v>182</v>
      </c>
      <c r="D69" s="96"/>
      <c r="E69" s="98">
        <v>0</v>
      </c>
    </row>
    <row r="70" spans="1:19">
      <c r="A70" s="61">
        <v>37</v>
      </c>
      <c r="B70" s="96"/>
      <c r="C70" s="96" t="s">
        <v>202</v>
      </c>
      <c r="D70" s="96"/>
      <c r="E70" s="98">
        <v>0</v>
      </c>
    </row>
    <row r="71" spans="1:19">
      <c r="A71" s="61">
        <v>38</v>
      </c>
      <c r="B71" s="96"/>
      <c r="C71" s="96" t="s">
        <v>203</v>
      </c>
      <c r="D71" s="96"/>
      <c r="E71" s="98">
        <v>0</v>
      </c>
    </row>
    <row r="72" spans="1:19">
      <c r="A72" s="61">
        <v>39</v>
      </c>
      <c r="B72" s="96" t="s">
        <v>205</v>
      </c>
      <c r="C72" s="96"/>
      <c r="E72" s="106">
        <f t="shared" ref="E72" si="9">SUM(E69:E71)</f>
        <v>0</v>
      </c>
    </row>
    <row r="73" spans="1:19">
      <c r="A73" s="61">
        <v>40</v>
      </c>
      <c r="B73" s="96" t="s">
        <v>206</v>
      </c>
      <c r="C73" s="96"/>
      <c r="D73" s="96"/>
      <c r="E73" s="107">
        <f t="shared" ref="E73" si="10">E66+E72</f>
        <v>0</v>
      </c>
    </row>
    <row r="74" spans="1:19" s="110" customFormat="1" ht="13.5" customHeight="1">
      <c r="A74" s="108">
        <v>41</v>
      </c>
      <c r="B74" s="109" t="s">
        <v>207</v>
      </c>
      <c r="C74" s="109"/>
      <c r="D74" s="109"/>
      <c r="E74" s="101">
        <v>0</v>
      </c>
      <c r="F74"/>
      <c r="G74"/>
      <c r="H74"/>
      <c r="I74"/>
      <c r="J74"/>
      <c r="K74"/>
      <c r="L74"/>
      <c r="M74"/>
      <c r="N74"/>
      <c r="O74"/>
      <c r="P74"/>
      <c r="Q74"/>
      <c r="R74"/>
      <c r="S74"/>
    </row>
    <row r="75" spans="1:19" s="110" customFormat="1" ht="18.899999999999999" customHeight="1">
      <c r="A75" s="108">
        <v>42</v>
      </c>
      <c r="B75" s="109" t="s">
        <v>158</v>
      </c>
      <c r="C75" s="109"/>
      <c r="D75" s="109"/>
      <c r="E75" s="107">
        <f t="shared" ref="E75" si="11">E73+E74</f>
        <v>0</v>
      </c>
      <c r="F75"/>
      <c r="G75"/>
      <c r="H75"/>
      <c r="I75"/>
      <c r="J75"/>
      <c r="K75"/>
      <c r="L75"/>
      <c r="M75"/>
      <c r="N75"/>
      <c r="O75"/>
      <c r="P75"/>
      <c r="Q75"/>
      <c r="R75"/>
      <c r="S75"/>
    </row>
    <row r="76" spans="1:19">
      <c r="A76" s="61">
        <v>43</v>
      </c>
      <c r="B76" s="96" t="s">
        <v>208</v>
      </c>
      <c r="C76" s="96"/>
      <c r="D76" s="96"/>
      <c r="E76" s="98">
        <v>0</v>
      </c>
    </row>
    <row r="77" spans="1:19" s="110" customFormat="1">
      <c r="A77" s="108">
        <v>44</v>
      </c>
      <c r="B77" s="109" t="s">
        <v>209</v>
      </c>
      <c r="C77" s="109"/>
      <c r="D77" s="109"/>
      <c r="E77" s="99">
        <v>0</v>
      </c>
      <c r="F77"/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1:19" s="110" customFormat="1">
      <c r="A78" s="108">
        <v>45</v>
      </c>
      <c r="B78" s="109" t="s">
        <v>96</v>
      </c>
      <c r="C78" s="109"/>
      <c r="D78" s="109"/>
      <c r="E78" s="99"/>
      <c r="F78"/>
      <c r="G78"/>
      <c r="H78"/>
      <c r="I78"/>
      <c r="J78"/>
      <c r="K78"/>
      <c r="L78"/>
      <c r="M78"/>
      <c r="N78"/>
      <c r="O78"/>
      <c r="P78"/>
      <c r="Q78"/>
      <c r="R78"/>
      <c r="S78"/>
    </row>
    <row r="79" spans="1:19">
      <c r="A79" s="61">
        <v>46</v>
      </c>
      <c r="B79" s="96" t="s">
        <v>160</v>
      </c>
      <c r="C79" s="96"/>
      <c r="D79" s="96"/>
      <c r="E79" s="101">
        <v>0</v>
      </c>
    </row>
    <row r="80" spans="1:19" ht="7.5" customHeight="1"/>
    <row r="81" spans="1:19" ht="6.75" customHeight="1">
      <c r="E81" s="97"/>
    </row>
    <row r="82" spans="1:19" s="111" customFormat="1" ht="13.8" thickBot="1">
      <c r="A82" s="70">
        <v>47</v>
      </c>
      <c r="B82" s="111" t="s">
        <v>210</v>
      </c>
      <c r="E82" s="105">
        <f t="shared" ref="E82" si="12">E75+E76+E77+E79+E78</f>
        <v>0</v>
      </c>
      <c r="F82"/>
      <c r="G82"/>
      <c r="H82"/>
      <c r="I82"/>
      <c r="J82"/>
      <c r="K82"/>
      <c r="L82"/>
      <c r="M82"/>
      <c r="N82"/>
      <c r="O82"/>
      <c r="P82"/>
      <c r="Q82"/>
      <c r="R82"/>
      <c r="S82"/>
    </row>
    <row r="83" spans="1:19" ht="13.8" thickTop="1">
      <c r="A83" s="61">
        <v>48</v>
      </c>
      <c r="B83" s="62" t="s">
        <v>211</v>
      </c>
      <c r="E83" s="97"/>
    </row>
    <row r="84" spans="1:19">
      <c r="A84" s="61">
        <v>50</v>
      </c>
      <c r="B84" s="62" t="s">
        <v>212</v>
      </c>
      <c r="E84" s="63">
        <f t="shared" ref="E84" si="13">E90</f>
        <v>448.62030296225834</v>
      </c>
    </row>
    <row r="85" spans="1:19" ht="8.25" customHeight="1">
      <c r="E85" s="97"/>
    </row>
    <row r="86" spans="1:19" s="114" customFormat="1" ht="16.5" customHeight="1">
      <c r="A86" s="113"/>
      <c r="D86" s="56" t="s">
        <v>213</v>
      </c>
      <c r="E86" s="52">
        <v>7.6899999999999996E-2</v>
      </c>
      <c r="F86"/>
      <c r="G86"/>
      <c r="H86"/>
      <c r="I86"/>
      <c r="J86"/>
      <c r="K86"/>
      <c r="L86"/>
      <c r="M86"/>
      <c r="N86"/>
      <c r="O86"/>
      <c r="P86"/>
      <c r="Q86"/>
      <c r="R86"/>
      <c r="S86"/>
    </row>
    <row r="87" spans="1:19" s="114" customFormat="1" ht="17.25" customHeight="1">
      <c r="A87" s="115"/>
      <c r="D87" s="56" t="s">
        <v>164</v>
      </c>
      <c r="E87" s="52">
        <v>0.620645</v>
      </c>
      <c r="F87"/>
      <c r="G87"/>
      <c r="H87"/>
      <c r="I87"/>
      <c r="J87"/>
      <c r="K87"/>
      <c r="L87"/>
      <c r="M87"/>
      <c r="N87"/>
      <c r="O87"/>
      <c r="P87"/>
      <c r="Q87"/>
      <c r="R87"/>
      <c r="S87"/>
    </row>
    <row r="88" spans="1:19" s="114" customFormat="1" ht="2.25" customHeight="1">
      <c r="A88" s="115"/>
      <c r="D88" s="56"/>
      <c r="E88" s="102"/>
      <c r="F88"/>
      <c r="G88"/>
      <c r="H88"/>
      <c r="I88"/>
      <c r="J88"/>
      <c r="K88"/>
      <c r="L88"/>
      <c r="M88"/>
      <c r="N88"/>
      <c r="O88"/>
      <c r="P88"/>
      <c r="Q88"/>
      <c r="R88"/>
      <c r="S88"/>
    </row>
    <row r="89" spans="1:19" s="114" customFormat="1" ht="29.25" customHeight="1">
      <c r="A89" s="115"/>
      <c r="D89" s="56" t="s">
        <v>165</v>
      </c>
      <c r="E89" s="3">
        <f>E82*$E$86-E59</f>
        <v>278.43394793201082</v>
      </c>
      <c r="F89"/>
      <c r="G89"/>
      <c r="H89"/>
      <c r="I89"/>
      <c r="J89"/>
      <c r="K89"/>
      <c r="L89"/>
      <c r="M89"/>
      <c r="N89"/>
      <c r="O89"/>
      <c r="P89"/>
      <c r="Q89"/>
      <c r="R89"/>
      <c r="S89"/>
    </row>
    <row r="90" spans="1:19" s="114" customFormat="1">
      <c r="A90" s="115"/>
      <c r="D90" s="56" t="s">
        <v>166</v>
      </c>
      <c r="E90" s="3">
        <f>E89/$E$87</f>
        <v>448.62030296225834</v>
      </c>
      <c r="F90"/>
      <c r="G90"/>
      <c r="H90"/>
      <c r="I90"/>
      <c r="J90"/>
      <c r="K90"/>
      <c r="L90"/>
      <c r="M90"/>
      <c r="N90"/>
      <c r="O90"/>
      <c r="P90"/>
      <c r="Q90"/>
      <c r="R90"/>
      <c r="S90"/>
    </row>
    <row r="91" spans="1:19" s="114" customFormat="1">
      <c r="A91" s="115"/>
      <c r="D91" s="56"/>
      <c r="E91" s="116"/>
      <c r="F91"/>
      <c r="G91"/>
      <c r="H91"/>
      <c r="I91"/>
      <c r="J91"/>
      <c r="K91"/>
      <c r="L91"/>
      <c r="M91"/>
      <c r="N91"/>
      <c r="O91"/>
      <c r="P91"/>
      <c r="Q91"/>
      <c r="R91"/>
      <c r="S91"/>
    </row>
    <row r="92" spans="1:19" s="114" customFormat="1">
      <c r="A92" s="113"/>
      <c r="D92" s="56"/>
      <c r="E92" s="116"/>
      <c r="F92"/>
      <c r="G92"/>
      <c r="H92"/>
      <c r="I92"/>
      <c r="J92"/>
      <c r="K92"/>
      <c r="L92"/>
      <c r="M92"/>
      <c r="N92"/>
      <c r="O92"/>
      <c r="P92"/>
      <c r="Q92"/>
      <c r="R92"/>
      <c r="S92"/>
    </row>
    <row r="93" spans="1:19" s="114" customFormat="1">
      <c r="A93" s="115"/>
      <c r="E93" s="116"/>
      <c r="F93"/>
      <c r="G93"/>
      <c r="H93"/>
      <c r="I93"/>
      <c r="J93"/>
      <c r="K93"/>
      <c r="L93"/>
      <c r="M93"/>
      <c r="N93"/>
      <c r="O93"/>
      <c r="P93"/>
      <c r="Q93"/>
      <c r="R93"/>
      <c r="S93"/>
    </row>
    <row r="94" spans="1:19" s="114" customFormat="1">
      <c r="A94" s="115"/>
      <c r="D94" s="56"/>
      <c r="E94" s="116"/>
      <c r="F94"/>
      <c r="G94"/>
      <c r="H94"/>
      <c r="I94"/>
      <c r="J94"/>
      <c r="K94"/>
      <c r="L94"/>
      <c r="M94"/>
      <c r="N94"/>
      <c r="O94"/>
      <c r="P94"/>
      <c r="Q94"/>
      <c r="R94"/>
      <c r="S94"/>
    </row>
    <row r="95" spans="1:19" s="118" customFormat="1">
      <c r="A95" s="117"/>
      <c r="D95" s="60"/>
      <c r="E95" s="119"/>
      <c r="F95"/>
      <c r="G95"/>
      <c r="H95"/>
      <c r="I95"/>
      <c r="J95"/>
      <c r="K95"/>
      <c r="L95"/>
      <c r="M95"/>
      <c r="N95"/>
      <c r="O95"/>
      <c r="P95"/>
      <c r="Q95"/>
      <c r="R95"/>
      <c r="S95"/>
    </row>
    <row r="96" spans="1:19" s="118" customFormat="1">
      <c r="A96" s="117"/>
      <c r="D96" s="120"/>
      <c r="E96" s="119"/>
      <c r="F96"/>
      <c r="G96"/>
      <c r="H96"/>
      <c r="I96"/>
      <c r="J96"/>
      <c r="K96"/>
      <c r="L96"/>
      <c r="M96"/>
      <c r="N96"/>
      <c r="O96"/>
      <c r="P96"/>
      <c r="Q96"/>
      <c r="R96"/>
      <c r="S96"/>
    </row>
    <row r="97" spans="1:19" s="118" customFormat="1">
      <c r="A97" s="117"/>
      <c r="E97" s="93"/>
      <c r="F97"/>
      <c r="G97"/>
      <c r="H97"/>
      <c r="I97"/>
      <c r="J97"/>
      <c r="K97"/>
      <c r="L97"/>
      <c r="M97"/>
      <c r="N97"/>
      <c r="O97"/>
      <c r="P97"/>
      <c r="Q97"/>
      <c r="R97"/>
      <c r="S97"/>
    </row>
    <row r="98" spans="1:19" s="118" customFormat="1">
      <c r="A98" s="117"/>
      <c r="E98" s="93"/>
      <c r="F98"/>
      <c r="G98"/>
      <c r="H98"/>
      <c r="I98"/>
      <c r="J98"/>
      <c r="K98"/>
      <c r="L98"/>
      <c r="M98"/>
      <c r="N98"/>
      <c r="O98"/>
      <c r="P98"/>
      <c r="Q98"/>
      <c r="R98"/>
      <c r="S98"/>
    </row>
    <row r="99" spans="1:19" s="110" customFormat="1">
      <c r="A99" s="108"/>
      <c r="E99" s="121"/>
      <c r="F99"/>
      <c r="G99"/>
      <c r="H99"/>
      <c r="I99"/>
      <c r="J99"/>
      <c r="K99"/>
      <c r="L99"/>
      <c r="M99"/>
      <c r="N99"/>
      <c r="O99"/>
      <c r="P99"/>
      <c r="Q99"/>
      <c r="R99"/>
      <c r="S99"/>
    </row>
    <row r="100" spans="1:19" s="110" customFormat="1">
      <c r="A100" s="108"/>
      <c r="E100" s="121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</row>
    <row r="101" spans="1:19" s="110" customFormat="1">
      <c r="A101" s="108"/>
      <c r="E101" s="12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</row>
  </sheetData>
  <pageMargins left="0.7" right="0.17" top="0.21" bottom="0.33" header="0.3" footer="0.17"/>
  <pageSetup scale="74" orientation="portrait" r:id="rId1"/>
  <headerFooter>
    <oddHeader>&amp;R Exh. AIW-2
Dockets UE-170485 / UG-170486
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92"/>
  <sheetViews>
    <sheetView topLeftCell="A19" zoomScale="85" zoomScaleNormal="85" workbookViewId="0">
      <selection activeCell="I18" sqref="I18"/>
    </sheetView>
  </sheetViews>
  <sheetFormatPr defaultColWidth="9.109375" defaultRowHeight="13.2"/>
  <cols>
    <col min="1" max="1" width="7.88671875" style="124" customWidth="1"/>
    <col min="2" max="2" width="18" style="125" customWidth="1"/>
    <col min="3" max="3" width="16.109375" style="125" bestFit="1" customWidth="1"/>
    <col min="4" max="4" width="15" style="125" bestFit="1" customWidth="1"/>
    <col min="5" max="5" width="16.109375" style="125" bestFit="1" customWidth="1"/>
    <col min="6" max="6" width="15" style="125" bestFit="1" customWidth="1"/>
    <col min="7" max="7" width="10.88671875" style="125" bestFit="1" customWidth="1"/>
    <col min="8" max="8" width="17.5546875" style="125" customWidth="1"/>
    <col min="9" max="9" width="3.109375" style="125" customWidth="1"/>
    <col min="10" max="10" width="15.5546875" style="125" customWidth="1"/>
    <col min="11" max="11" width="15.109375" style="125" bestFit="1" customWidth="1"/>
    <col min="12" max="12" width="13" style="125" bestFit="1" customWidth="1"/>
    <col min="13" max="13" width="5.5546875" style="125" customWidth="1"/>
    <col min="14" max="14" width="11.44140625" style="125" bestFit="1" customWidth="1"/>
    <col min="15" max="16384" width="9.109375" style="125"/>
  </cols>
  <sheetData>
    <row r="1" spans="1:13">
      <c r="B1" s="125" t="s">
        <v>216</v>
      </c>
    </row>
    <row r="2" spans="1:13">
      <c r="B2" s="149" t="s">
        <v>215</v>
      </c>
    </row>
    <row r="3" spans="1:13">
      <c r="B3" s="125" t="s">
        <v>224</v>
      </c>
    </row>
    <row r="4" spans="1:13">
      <c r="A4" s="125"/>
    </row>
    <row r="5" spans="1:13" ht="13.8" thickBot="1">
      <c r="A5" s="125"/>
      <c r="B5" s="149"/>
      <c r="F5" s="126"/>
    </row>
    <row r="6" spans="1:13" ht="13.8" thickBot="1">
      <c r="B6" s="149"/>
      <c r="C6" s="187" t="s">
        <v>94</v>
      </c>
      <c r="D6" s="188"/>
      <c r="E6" s="188"/>
      <c r="F6" s="188"/>
      <c r="G6" s="188"/>
      <c r="H6" s="189"/>
      <c r="I6" s="148"/>
      <c r="J6" s="187" t="s">
        <v>75</v>
      </c>
      <c r="K6" s="188"/>
      <c r="L6" s="189"/>
      <c r="M6" s="127"/>
    </row>
    <row r="7" spans="1:13">
      <c r="A7" s="124" t="s">
        <v>220</v>
      </c>
      <c r="B7" s="149"/>
      <c r="C7" s="150"/>
      <c r="D7" s="150"/>
      <c r="E7" s="150"/>
      <c r="F7" s="150"/>
      <c r="G7" s="150"/>
      <c r="H7" s="150"/>
      <c r="I7" s="148"/>
      <c r="J7" s="128">
        <v>0.6573</v>
      </c>
      <c r="K7" s="128">
        <f>1-J7</f>
        <v>0.3427</v>
      </c>
      <c r="L7" s="181">
        <f>SUM(J7:K7)</f>
        <v>1</v>
      </c>
    </row>
    <row r="8" spans="1:13">
      <c r="A8" s="124" t="s">
        <v>108</v>
      </c>
      <c r="B8" s="147"/>
      <c r="C8" s="147" t="s">
        <v>76</v>
      </c>
      <c r="D8" s="147" t="s">
        <v>77</v>
      </c>
      <c r="E8" s="147" t="s">
        <v>78</v>
      </c>
      <c r="F8" s="147" t="s">
        <v>79</v>
      </c>
      <c r="G8" s="147" t="s">
        <v>80</v>
      </c>
      <c r="H8" s="147" t="s">
        <v>81</v>
      </c>
      <c r="I8" s="147"/>
      <c r="J8" s="147" t="s">
        <v>76</v>
      </c>
      <c r="K8" s="147" t="s">
        <v>77</v>
      </c>
      <c r="L8" s="147" t="s">
        <v>81</v>
      </c>
    </row>
    <row r="9" spans="1:13">
      <c r="B9" s="147" t="s">
        <v>82</v>
      </c>
      <c r="C9" s="147"/>
      <c r="D9" s="147"/>
      <c r="E9" s="147"/>
      <c r="F9" s="147"/>
      <c r="G9" s="147"/>
      <c r="H9" s="147"/>
      <c r="I9" s="147"/>
      <c r="J9" s="147"/>
      <c r="K9" s="147"/>
      <c r="L9" s="147"/>
    </row>
    <row r="10" spans="1:13">
      <c r="A10" s="124">
        <v>1</v>
      </c>
      <c r="B10" s="151" t="s">
        <v>86</v>
      </c>
      <c r="C10" s="148"/>
      <c r="D10" s="148"/>
      <c r="E10" s="148"/>
      <c r="F10" s="148"/>
      <c r="G10" s="148"/>
      <c r="H10" s="148"/>
      <c r="I10" s="148"/>
      <c r="J10" s="148"/>
      <c r="K10" s="148"/>
      <c r="L10" s="148"/>
    </row>
    <row r="11" spans="1:13">
      <c r="A11" s="124">
        <v>2</v>
      </c>
      <c r="B11" s="149">
        <v>408150</v>
      </c>
      <c r="C11" s="126">
        <v>3342360</v>
      </c>
      <c r="D11" s="126">
        <v>1241751</v>
      </c>
      <c r="E11" s="126">
        <v>8081676</v>
      </c>
      <c r="F11" s="126">
        <v>2611176</v>
      </c>
      <c r="G11" s="126">
        <v>3686</v>
      </c>
      <c r="H11" s="152">
        <f>SUM(C11:G11)</f>
        <v>15280649</v>
      </c>
      <c r="I11" s="148"/>
      <c r="J11" s="152">
        <f>ROUND($H$11*J7,0)</f>
        <v>10043971</v>
      </c>
      <c r="K11" s="152">
        <f>ROUND($H$11*K7,0)</f>
        <v>5236678</v>
      </c>
      <c r="L11" s="152">
        <f>SUM(J11:K11)</f>
        <v>15280649</v>
      </c>
      <c r="M11" s="129"/>
    </row>
    <row r="12" spans="1:13">
      <c r="A12" s="124">
        <v>3</v>
      </c>
      <c r="B12" s="149">
        <v>408180</v>
      </c>
      <c r="C12" s="130">
        <v>3146573</v>
      </c>
      <c r="D12" s="130">
        <v>1367715</v>
      </c>
      <c r="E12" s="130">
        <v>1239750</v>
      </c>
      <c r="F12" s="130">
        <v>10490</v>
      </c>
      <c r="G12" s="130">
        <v>0</v>
      </c>
      <c r="H12" s="153">
        <f>SUM(C12:G12)</f>
        <v>5764528</v>
      </c>
      <c r="I12" s="148"/>
      <c r="J12" s="152">
        <f>ROUND($H$12*J7,0)</f>
        <v>3789024</v>
      </c>
      <c r="K12" s="152">
        <f>ROUND($H$12*K7,0)</f>
        <v>1975504</v>
      </c>
      <c r="L12" s="152">
        <f>SUM(J12:K12)</f>
        <v>5764528</v>
      </c>
    </row>
    <row r="13" spans="1:13">
      <c r="A13" s="124">
        <v>4</v>
      </c>
      <c r="B13" s="149" t="s">
        <v>87</v>
      </c>
      <c r="C13" s="126">
        <f t="shared" ref="C13:L13" si="0">SUM(C11:C12)</f>
        <v>6488933</v>
      </c>
      <c r="D13" s="126">
        <f t="shared" si="0"/>
        <v>2609466</v>
      </c>
      <c r="E13" s="126">
        <f t="shared" si="0"/>
        <v>9321426</v>
      </c>
      <c r="F13" s="126">
        <f t="shared" si="0"/>
        <v>2621666</v>
      </c>
      <c r="G13" s="126">
        <f t="shared" si="0"/>
        <v>3686</v>
      </c>
      <c r="H13" s="131">
        <f t="shared" si="0"/>
        <v>21045177</v>
      </c>
      <c r="I13" s="131">
        <f t="shared" si="0"/>
        <v>0</v>
      </c>
      <c r="J13" s="131">
        <f t="shared" si="0"/>
        <v>13832995</v>
      </c>
      <c r="K13" s="131">
        <f t="shared" si="0"/>
        <v>7212182</v>
      </c>
      <c r="L13" s="131">
        <f t="shared" si="0"/>
        <v>21045177</v>
      </c>
    </row>
    <row r="14" spans="1:13">
      <c r="A14" s="124">
        <v>5</v>
      </c>
      <c r="B14" s="149"/>
      <c r="C14" s="126"/>
      <c r="E14" s="126"/>
      <c r="F14" s="126"/>
      <c r="G14" s="126"/>
      <c r="H14" s="148"/>
      <c r="I14" s="148"/>
      <c r="J14" s="148"/>
      <c r="K14" s="148"/>
      <c r="L14" s="148"/>
    </row>
    <row r="15" spans="1:13">
      <c r="A15" s="124">
        <v>6</v>
      </c>
      <c r="B15" s="151" t="s">
        <v>83</v>
      </c>
      <c r="C15" s="126"/>
      <c r="D15" s="126"/>
      <c r="E15" s="126"/>
      <c r="F15" s="126"/>
      <c r="G15" s="126"/>
      <c r="H15" s="148"/>
      <c r="I15" s="148"/>
      <c r="J15" s="148"/>
      <c r="K15" s="148"/>
      <c r="L15" s="148"/>
    </row>
    <row r="16" spans="1:13">
      <c r="A16" s="124">
        <v>7</v>
      </c>
      <c r="B16" s="149">
        <v>408170</v>
      </c>
      <c r="C16" s="130">
        <v>7495836</v>
      </c>
      <c r="D16" s="130">
        <v>3070265</v>
      </c>
      <c r="E16" s="130">
        <v>0</v>
      </c>
      <c r="F16" s="130">
        <v>0</v>
      </c>
      <c r="G16" s="130">
        <v>0</v>
      </c>
      <c r="H16" s="153">
        <f>SUM(C16:G16)</f>
        <v>10566101</v>
      </c>
      <c r="I16" s="148"/>
      <c r="J16" s="153">
        <f>C16</f>
        <v>7495836</v>
      </c>
      <c r="K16" s="153">
        <f>D16</f>
        <v>3070265</v>
      </c>
      <c r="L16" s="153">
        <f>SUM(J16:K16)</f>
        <v>10566101</v>
      </c>
    </row>
    <row r="17" spans="1:14">
      <c r="A17" s="124">
        <v>8</v>
      </c>
      <c r="B17" s="149"/>
      <c r="C17" s="126"/>
      <c r="D17" s="126"/>
      <c r="E17" s="126"/>
      <c r="F17" s="126"/>
      <c r="G17" s="126"/>
      <c r="H17" s="148"/>
      <c r="I17" s="148"/>
      <c r="J17" s="148"/>
      <c r="K17" s="148"/>
      <c r="L17" s="148"/>
    </row>
    <row r="18" spans="1:14" ht="13.8" thickBot="1">
      <c r="A18" s="124">
        <v>9</v>
      </c>
      <c r="B18" s="151" t="s">
        <v>82</v>
      </c>
      <c r="C18" s="132">
        <f t="shared" ref="C18:L18" si="1">SUM(C13:C16)</f>
        <v>13984769</v>
      </c>
      <c r="D18" s="132">
        <f t="shared" si="1"/>
        <v>5679731</v>
      </c>
      <c r="E18" s="132">
        <f t="shared" si="1"/>
        <v>9321426</v>
      </c>
      <c r="F18" s="132">
        <f t="shared" si="1"/>
        <v>2621666</v>
      </c>
      <c r="G18" s="132">
        <f t="shared" si="1"/>
        <v>3686</v>
      </c>
      <c r="H18" s="132">
        <f t="shared" si="1"/>
        <v>31611278</v>
      </c>
      <c r="I18" s="132">
        <f t="shared" si="1"/>
        <v>0</v>
      </c>
      <c r="J18" s="132">
        <f t="shared" si="1"/>
        <v>21328831</v>
      </c>
      <c r="K18" s="132">
        <f t="shared" si="1"/>
        <v>10282447</v>
      </c>
      <c r="L18" s="132">
        <f t="shared" si="1"/>
        <v>31611278</v>
      </c>
    </row>
    <row r="19" spans="1:14">
      <c r="A19" s="124">
        <v>10</v>
      </c>
      <c r="B19" s="149"/>
      <c r="C19" s="148"/>
      <c r="D19" s="148"/>
      <c r="E19" s="148"/>
      <c r="F19" s="148"/>
      <c r="G19" s="148"/>
      <c r="H19" s="148"/>
      <c r="I19" s="148"/>
      <c r="J19" s="148"/>
      <c r="K19" s="148"/>
      <c r="L19" s="148"/>
    </row>
    <row r="20" spans="1:14" ht="13.8" thickBot="1">
      <c r="A20" s="124">
        <v>11</v>
      </c>
      <c r="B20" s="149"/>
      <c r="C20" s="148"/>
      <c r="D20" s="148"/>
      <c r="E20" s="148"/>
      <c r="F20" s="148"/>
      <c r="G20" s="148"/>
      <c r="H20" s="148"/>
      <c r="I20" s="148"/>
      <c r="J20" s="148"/>
      <c r="K20" s="148"/>
      <c r="L20" s="148"/>
    </row>
    <row r="21" spans="1:14" ht="27" thickBot="1">
      <c r="A21" s="124">
        <v>12</v>
      </c>
      <c r="B21" s="157" t="s">
        <v>99</v>
      </c>
      <c r="C21" s="133">
        <v>12677752</v>
      </c>
      <c r="D21" s="133">
        <v>5675166.9887565682</v>
      </c>
      <c r="E21" s="133">
        <v>9750998.871923713</v>
      </c>
      <c r="F21" s="133">
        <v>2525508.6100000003</v>
      </c>
      <c r="G21" s="133">
        <v>3686</v>
      </c>
      <c r="H21" s="133">
        <f>SUM(C21:G21)</f>
        <v>30633112.470680282</v>
      </c>
      <c r="I21" s="158"/>
      <c r="J21" s="158"/>
      <c r="K21" s="158"/>
      <c r="L21" s="159"/>
    </row>
    <row r="22" spans="1:14">
      <c r="A22" s="124">
        <v>13</v>
      </c>
      <c r="B22" s="162"/>
      <c r="C22" s="160"/>
      <c r="D22" s="160"/>
      <c r="E22" s="160"/>
      <c r="F22" s="160"/>
      <c r="G22" s="160"/>
      <c r="H22" s="184"/>
      <c r="I22" s="160"/>
      <c r="J22" s="160"/>
      <c r="K22" s="160"/>
      <c r="L22" s="161"/>
    </row>
    <row r="23" spans="1:14">
      <c r="A23" s="124">
        <v>14</v>
      </c>
      <c r="B23" s="162" t="s">
        <v>86</v>
      </c>
      <c r="C23" s="160"/>
      <c r="D23" s="160"/>
      <c r="E23" s="160"/>
      <c r="F23" s="160"/>
      <c r="G23" s="160"/>
      <c r="H23" s="160"/>
      <c r="I23" s="160"/>
      <c r="J23" s="160"/>
      <c r="K23" s="160"/>
      <c r="L23" s="161"/>
    </row>
    <row r="24" spans="1:14">
      <c r="A24" s="124">
        <v>15</v>
      </c>
      <c r="B24" s="162">
        <v>408150</v>
      </c>
      <c r="C24" s="134">
        <f>+(C11/C18)*C21</f>
        <v>3029982.9174668528</v>
      </c>
      <c r="D24" s="134">
        <f>+(D11/D18)*D21</f>
        <v>1240753.1771232577</v>
      </c>
      <c r="E24" s="134">
        <f>+(E11/E18)*E21</f>
        <v>8454115.6641969737</v>
      </c>
      <c r="F24" s="134">
        <f>+(F11/F18)*F21</f>
        <v>2515403.3619177123</v>
      </c>
      <c r="G24" s="134">
        <v>3686</v>
      </c>
      <c r="H24" s="134">
        <f>SUM(C24:G24)</f>
        <v>15243941.120704796</v>
      </c>
      <c r="I24" s="160"/>
      <c r="J24" s="163">
        <f>ROUND(H24*J7,0)</f>
        <v>10019842</v>
      </c>
      <c r="K24" s="163">
        <f>+H24*K7</f>
        <v>5224098.6220655339</v>
      </c>
      <c r="L24" s="164">
        <f>SUM(J24:K24)</f>
        <v>15243940.622065533</v>
      </c>
    </row>
    <row r="25" spans="1:14">
      <c r="A25" s="124">
        <v>16</v>
      </c>
      <c r="B25" s="162">
        <v>408180</v>
      </c>
      <c r="C25" s="130">
        <f>+(C12/C18)*C21</f>
        <v>2852494.177336501</v>
      </c>
      <c r="D25" s="130">
        <f>+(D12/D18)*D21</f>
        <v>1366615.9573450203</v>
      </c>
      <c r="E25" s="130">
        <f>+(E12/E18)*E21</f>
        <v>1296883.2077267386</v>
      </c>
      <c r="F25" s="130">
        <f>+(F12/F18)*F21</f>
        <v>10105.248082288133</v>
      </c>
      <c r="G25" s="130"/>
      <c r="H25" s="130">
        <f>SUM(C25:G25)</f>
        <v>5526098.5904905479</v>
      </c>
      <c r="I25" s="160"/>
      <c r="J25" s="163">
        <f>ROUND(H25*J7,0)</f>
        <v>3632305</v>
      </c>
      <c r="K25" s="163">
        <f>+H25*K7</f>
        <v>1893793.9869611107</v>
      </c>
      <c r="L25" s="164">
        <f>SUM(J25:K25)</f>
        <v>5526098.9869611105</v>
      </c>
    </row>
    <row r="26" spans="1:14">
      <c r="A26" s="124">
        <v>17</v>
      </c>
      <c r="B26" s="162" t="s">
        <v>88</v>
      </c>
      <c r="C26" s="134">
        <f t="shared" ref="C26:H26" si="2">SUM(C24:C25)</f>
        <v>5882477.0948033538</v>
      </c>
      <c r="D26" s="134">
        <f t="shared" si="2"/>
        <v>2607369.1344682779</v>
      </c>
      <c r="E26" s="134">
        <f t="shared" si="2"/>
        <v>9750998.871923713</v>
      </c>
      <c r="F26" s="134">
        <f t="shared" si="2"/>
        <v>2525508.6100000003</v>
      </c>
      <c r="G26" s="134">
        <f t="shared" si="2"/>
        <v>3686</v>
      </c>
      <c r="H26" s="134">
        <f t="shared" si="2"/>
        <v>20770039.711195342</v>
      </c>
      <c r="I26" s="160"/>
      <c r="J26" s="131">
        <f>SUM(J24:J25)</f>
        <v>13652147</v>
      </c>
      <c r="K26" s="131">
        <f>SUM(K24:K25)</f>
        <v>7117892.6090266444</v>
      </c>
      <c r="L26" s="135">
        <f>SUM(L24:L25)</f>
        <v>20770039.609026644</v>
      </c>
    </row>
    <row r="27" spans="1:14">
      <c r="A27" s="124">
        <v>18</v>
      </c>
      <c r="B27" s="162"/>
      <c r="C27" s="134"/>
      <c r="D27" s="134"/>
      <c r="E27" s="134"/>
      <c r="F27" s="134"/>
      <c r="G27" s="134"/>
      <c r="H27" s="134"/>
      <c r="I27" s="160"/>
      <c r="J27" s="160"/>
      <c r="K27" s="160"/>
      <c r="L27" s="161"/>
    </row>
    <row r="28" spans="1:14">
      <c r="A28" s="124">
        <v>19</v>
      </c>
      <c r="B28" s="162" t="s">
        <v>83</v>
      </c>
      <c r="C28" s="134"/>
      <c r="D28" s="134"/>
      <c r="E28" s="134"/>
      <c r="F28" s="134"/>
      <c r="G28" s="134"/>
      <c r="H28" s="134"/>
      <c r="I28" s="160"/>
      <c r="J28" s="160"/>
      <c r="K28" s="160"/>
      <c r="L28" s="161"/>
    </row>
    <row r="29" spans="1:14">
      <c r="A29" s="124">
        <v>20</v>
      </c>
      <c r="B29" s="162">
        <v>408170</v>
      </c>
      <c r="C29" s="130">
        <f>+(C16/C18)*C21</f>
        <v>6795274.9051966462</v>
      </c>
      <c r="D29" s="130">
        <f>+(D16/D18)*D21</f>
        <v>3067797.8542882898</v>
      </c>
      <c r="E29" s="130"/>
      <c r="F29" s="130"/>
      <c r="G29" s="130"/>
      <c r="H29" s="130">
        <f>SUM(C29:G29)</f>
        <v>9863072.7594849356</v>
      </c>
      <c r="I29" s="160"/>
      <c r="J29" s="153">
        <f>C29</f>
        <v>6795274.9051966462</v>
      </c>
      <c r="K29" s="153">
        <f>D29</f>
        <v>3067797.8542882898</v>
      </c>
      <c r="L29" s="165">
        <f>SUM(J29:K29)</f>
        <v>9863072.7594849356</v>
      </c>
    </row>
    <row r="30" spans="1:14">
      <c r="A30" s="124">
        <v>21</v>
      </c>
      <c r="B30" s="162"/>
      <c r="C30" s="134"/>
      <c r="D30" s="134"/>
      <c r="E30" s="134"/>
      <c r="F30" s="134"/>
      <c r="G30" s="134"/>
      <c r="H30" s="134"/>
      <c r="I30" s="160"/>
      <c r="J30" s="160"/>
      <c r="K30" s="160"/>
      <c r="L30" s="161"/>
    </row>
    <row r="31" spans="1:14" ht="13.8" thickBot="1">
      <c r="A31" s="124">
        <v>22</v>
      </c>
      <c r="B31" s="162"/>
      <c r="C31" s="132">
        <f t="shared" ref="C31:H31" si="3">SUM(C26:C29)</f>
        <v>12677752</v>
      </c>
      <c r="D31" s="132">
        <f t="shared" si="3"/>
        <v>5675166.9887565672</v>
      </c>
      <c r="E31" s="132">
        <f t="shared" si="3"/>
        <v>9750998.871923713</v>
      </c>
      <c r="F31" s="132">
        <f t="shared" si="3"/>
        <v>2525508.6100000003</v>
      </c>
      <c r="G31" s="132">
        <f t="shared" si="3"/>
        <v>3686</v>
      </c>
      <c r="H31" s="132">
        <f t="shared" si="3"/>
        <v>30633112.470680278</v>
      </c>
      <c r="I31" s="136"/>
      <c r="J31" s="132">
        <f>SUM(J26:J29)</f>
        <v>20447421.905196644</v>
      </c>
      <c r="K31" s="132">
        <f>SUM(K26:K29)</f>
        <v>10185690.463314934</v>
      </c>
      <c r="L31" s="137">
        <f>SUM(L26:L29)</f>
        <v>30633112.36851158</v>
      </c>
      <c r="M31" s="127"/>
      <c r="N31" s="138"/>
    </row>
    <row r="32" spans="1:14" ht="13.8" thickBot="1">
      <c r="A32" s="124">
        <v>23</v>
      </c>
      <c r="B32" s="166"/>
      <c r="C32" s="169"/>
      <c r="D32" s="169"/>
      <c r="E32" s="169"/>
      <c r="F32" s="169"/>
      <c r="G32" s="169"/>
      <c r="H32" s="169"/>
      <c r="I32" s="169"/>
      <c r="J32" s="169"/>
      <c r="K32" s="169"/>
      <c r="L32" s="169"/>
    </row>
    <row r="33" spans="1:12" ht="13.8" thickBot="1">
      <c r="A33" s="124">
        <v>24</v>
      </c>
      <c r="B33" s="149"/>
      <c r="C33" s="148"/>
      <c r="D33" s="148"/>
      <c r="E33" s="148"/>
      <c r="F33" s="148"/>
      <c r="G33" s="148"/>
      <c r="H33" s="148"/>
      <c r="I33" s="148"/>
      <c r="J33" s="148"/>
      <c r="K33" s="148"/>
      <c r="L33" s="148"/>
    </row>
    <row r="34" spans="1:12">
      <c r="A34" s="124">
        <v>25</v>
      </c>
      <c r="B34" s="168" t="s">
        <v>74</v>
      </c>
      <c r="C34" s="158"/>
      <c r="D34" s="158"/>
      <c r="E34" s="158"/>
      <c r="F34" s="158"/>
      <c r="G34" s="158"/>
      <c r="H34" s="158"/>
      <c r="I34" s="158"/>
      <c r="J34" s="158"/>
      <c r="K34" s="158"/>
      <c r="L34" s="159"/>
    </row>
    <row r="35" spans="1:12">
      <c r="A35" s="124">
        <v>26</v>
      </c>
      <c r="B35" s="162" t="s">
        <v>86</v>
      </c>
      <c r="C35" s="160"/>
      <c r="D35" s="160"/>
      <c r="E35" s="160"/>
      <c r="F35" s="160"/>
      <c r="G35" s="160"/>
      <c r="H35" s="160"/>
      <c r="I35" s="160"/>
      <c r="J35" s="160"/>
      <c r="K35" s="160"/>
      <c r="L35" s="161"/>
    </row>
    <row r="36" spans="1:12">
      <c r="A36" s="124">
        <v>27</v>
      </c>
      <c r="B36" s="162">
        <v>408150</v>
      </c>
      <c r="C36" s="134">
        <f t="shared" ref="C36:G37" si="4">C24-C11</f>
        <v>-312377.08253314719</v>
      </c>
      <c r="D36" s="134">
        <f t="shared" si="4"/>
        <v>-997.82287674234249</v>
      </c>
      <c r="E36" s="134">
        <f t="shared" si="4"/>
        <v>372439.66419697367</v>
      </c>
      <c r="F36" s="134">
        <f t="shared" si="4"/>
        <v>-95772.63808228774</v>
      </c>
      <c r="G36" s="139">
        <f t="shared" si="4"/>
        <v>0</v>
      </c>
      <c r="H36" s="134">
        <f>SUM(C36:G36)</f>
        <v>-36707.879295203602</v>
      </c>
      <c r="I36" s="160"/>
      <c r="J36" s="134">
        <f>J24-J11</f>
        <v>-24129</v>
      </c>
      <c r="K36" s="134">
        <f>K24-K11</f>
        <v>-12579.377934466116</v>
      </c>
      <c r="L36" s="164">
        <f>SUM(J36:K36)</f>
        <v>-36708.377934466116</v>
      </c>
    </row>
    <row r="37" spans="1:12">
      <c r="A37" s="124">
        <v>28</v>
      </c>
      <c r="B37" s="162">
        <v>408180</v>
      </c>
      <c r="C37" s="130">
        <f t="shared" si="4"/>
        <v>-294078.82266349904</v>
      </c>
      <c r="D37" s="130">
        <f t="shared" si="4"/>
        <v>-1099.0426549797412</v>
      </c>
      <c r="E37" s="130">
        <f t="shared" si="4"/>
        <v>57133.207726738648</v>
      </c>
      <c r="F37" s="130">
        <f t="shared" si="4"/>
        <v>-384.75191771186655</v>
      </c>
      <c r="G37" s="130">
        <f t="shared" si="4"/>
        <v>0</v>
      </c>
      <c r="H37" s="130">
        <f>SUM(C37:G37)</f>
        <v>-238429.409509452</v>
      </c>
      <c r="I37" s="160"/>
      <c r="J37" s="134">
        <f>J25-J12</f>
        <v>-156719</v>
      </c>
      <c r="K37" s="134">
        <f>K25-K12</f>
        <v>-81710.013038889272</v>
      </c>
      <c r="L37" s="164">
        <f>SUM(J37:K37)</f>
        <v>-238429.01303888927</v>
      </c>
    </row>
    <row r="38" spans="1:12">
      <c r="A38" s="124">
        <v>29</v>
      </c>
      <c r="B38" s="162" t="s">
        <v>88</v>
      </c>
      <c r="C38" s="134">
        <f t="shared" ref="C38:H38" si="5">SUM(C36:C37)</f>
        <v>-606455.90519664623</v>
      </c>
      <c r="D38" s="134">
        <f t="shared" si="5"/>
        <v>-2096.8655317220837</v>
      </c>
      <c r="E38" s="134">
        <f t="shared" si="5"/>
        <v>429572.87192371232</v>
      </c>
      <c r="F38" s="134">
        <f t="shared" si="5"/>
        <v>-96157.389999999607</v>
      </c>
      <c r="G38" s="134">
        <f t="shared" si="5"/>
        <v>0</v>
      </c>
      <c r="H38" s="134">
        <f t="shared" si="5"/>
        <v>-275137.2888046556</v>
      </c>
      <c r="I38" s="160"/>
      <c r="J38" s="131">
        <f>SUM(J36:J37)</f>
        <v>-180848</v>
      </c>
      <c r="K38" s="131">
        <f>SUM(K36:K37)</f>
        <v>-94289.390973355388</v>
      </c>
      <c r="L38" s="135">
        <f>SUM(L36:L37)</f>
        <v>-275137.39097335539</v>
      </c>
    </row>
    <row r="39" spans="1:12">
      <c r="A39" s="124">
        <v>30</v>
      </c>
      <c r="B39" s="162"/>
      <c r="C39" s="134"/>
      <c r="D39" s="134"/>
      <c r="E39" s="134"/>
      <c r="F39" s="134"/>
      <c r="G39" s="134"/>
      <c r="H39" s="134"/>
      <c r="I39" s="160"/>
      <c r="J39" s="160"/>
      <c r="K39" s="160"/>
      <c r="L39" s="161"/>
    </row>
    <row r="40" spans="1:12">
      <c r="A40" s="124">
        <v>31</v>
      </c>
      <c r="B40" s="162" t="s">
        <v>83</v>
      </c>
      <c r="C40" s="134"/>
      <c r="D40" s="134"/>
      <c r="E40" s="134"/>
      <c r="F40" s="134"/>
      <c r="G40" s="134"/>
      <c r="H40" s="134"/>
      <c r="I40" s="160"/>
      <c r="J40" s="160"/>
      <c r="K40" s="160"/>
      <c r="L40" s="161"/>
    </row>
    <row r="41" spans="1:12">
      <c r="A41" s="124">
        <v>32</v>
      </c>
      <c r="B41" s="162">
        <v>408170</v>
      </c>
      <c r="C41" s="130">
        <f>C29-C16</f>
        <v>-700561.09480335377</v>
      </c>
      <c r="D41" s="130">
        <f>D29-D16</f>
        <v>-2467.1457117102109</v>
      </c>
      <c r="E41" s="130">
        <f>E29-E16</f>
        <v>0</v>
      </c>
      <c r="F41" s="130">
        <f>F29-F16</f>
        <v>0</v>
      </c>
      <c r="G41" s="130">
        <f>G29-G16</f>
        <v>0</v>
      </c>
      <c r="H41" s="130">
        <f>SUM(C41:G41)</f>
        <v>-703028.24051506398</v>
      </c>
      <c r="I41" s="160"/>
      <c r="J41" s="153">
        <f>C41</f>
        <v>-700561.09480335377</v>
      </c>
      <c r="K41" s="153">
        <f>D41</f>
        <v>-2467.1457117102109</v>
      </c>
      <c r="L41" s="165">
        <f>SUM(J41:K41)</f>
        <v>-703028.24051506398</v>
      </c>
    </row>
    <row r="42" spans="1:12" ht="13.8" thickBot="1">
      <c r="A42" s="124">
        <v>33</v>
      </c>
      <c r="B42" s="162"/>
      <c r="C42" s="134"/>
      <c r="D42" s="134"/>
      <c r="E42" s="134"/>
      <c r="F42" s="134"/>
      <c r="G42" s="134"/>
      <c r="H42" s="134"/>
      <c r="I42" s="160"/>
      <c r="J42" s="160"/>
      <c r="K42" s="160"/>
      <c r="L42" s="161"/>
    </row>
    <row r="43" spans="1:12" ht="14.4" thickTop="1" thickBot="1">
      <c r="A43" s="124">
        <v>34</v>
      </c>
      <c r="B43" s="162"/>
      <c r="C43" s="132">
        <f t="shared" ref="C43:H43" si="6">SUM(C38:C41)</f>
        <v>-1307017</v>
      </c>
      <c r="D43" s="132">
        <f t="shared" si="6"/>
        <v>-4564.0112434322946</v>
      </c>
      <c r="E43" s="132">
        <f t="shared" si="6"/>
        <v>429572.87192371232</v>
      </c>
      <c r="F43" s="132">
        <f t="shared" si="6"/>
        <v>-96157.389999999607</v>
      </c>
      <c r="G43" s="132">
        <f t="shared" si="6"/>
        <v>0</v>
      </c>
      <c r="H43" s="132">
        <f t="shared" si="6"/>
        <v>-978165.52931971964</v>
      </c>
      <c r="I43" s="136"/>
      <c r="J43" s="140">
        <f>SUM(J38:J41)</f>
        <v>-881409.09480335377</v>
      </c>
      <c r="K43" s="132">
        <f>SUM(K38:K41)</f>
        <v>-96756.536685065599</v>
      </c>
      <c r="L43" s="137">
        <f>SUM(L38:L41)</f>
        <v>-978165.63148841937</v>
      </c>
    </row>
    <row r="44" spans="1:12" ht="13.8" thickBot="1">
      <c r="A44" s="124">
        <v>35</v>
      </c>
      <c r="B44" s="166"/>
      <c r="C44" s="169"/>
      <c r="D44" s="169"/>
      <c r="E44" s="169"/>
      <c r="F44" s="169"/>
      <c r="G44" s="169"/>
      <c r="H44" s="170" t="s">
        <v>97</v>
      </c>
      <c r="I44" s="169"/>
      <c r="J44" s="171">
        <v>-249680</v>
      </c>
      <c r="K44" s="169"/>
      <c r="L44" s="172"/>
    </row>
    <row r="45" spans="1:12">
      <c r="J45" s="138"/>
    </row>
    <row r="51" spans="13:14">
      <c r="M51" s="127"/>
    </row>
    <row r="63" spans="13:14">
      <c r="M63" s="127"/>
      <c r="N63" s="127"/>
    </row>
    <row r="65" spans="14:14">
      <c r="N65" s="179"/>
    </row>
    <row r="66" spans="14:14" ht="34.200000000000003" customHeight="1"/>
    <row r="90" spans="10:10">
      <c r="J90" s="127"/>
    </row>
    <row r="92" spans="10:10">
      <c r="J92" s="138"/>
    </row>
  </sheetData>
  <mergeCells count="2">
    <mergeCell ref="C6:H6"/>
    <mergeCell ref="J6:L6"/>
  </mergeCells>
  <pageMargins left="0.17" right="0.17" top="0.21" bottom="0.33" header="0.3" footer="0.17"/>
  <pageSetup scale="84" orientation="landscape" r:id="rId1"/>
  <headerFooter>
    <oddHeader>&amp;RExh. AIW-2
Dockets UE-170485 / UG-170486
Page &amp;P of &amp;N</oddHeader>
  </headerFooter>
  <rowBreaks count="3" manualBreakCount="3">
    <brk id="45" max="11" man="1"/>
    <brk id="46" max="11" man="1"/>
    <brk id="49" max="16383" man="1"/>
  </rowBreaks>
  <colBreaks count="1" manualBreakCount="1">
    <brk id="1" max="43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44"/>
  <sheetViews>
    <sheetView topLeftCell="A19" zoomScaleNormal="100" workbookViewId="0">
      <selection activeCell="I18" sqref="I18"/>
    </sheetView>
  </sheetViews>
  <sheetFormatPr defaultColWidth="12.109375" defaultRowHeight="13.2"/>
  <cols>
    <col min="1" max="1" width="12.21875" style="65" customWidth="1"/>
    <col min="2" max="2" width="18" style="65" customWidth="1"/>
    <col min="3" max="3" width="13.109375" style="65" bestFit="1" customWidth="1"/>
    <col min="4" max="4" width="12.21875" style="65" bestFit="1" customWidth="1"/>
    <col min="5" max="5" width="13.109375" style="65" bestFit="1" customWidth="1"/>
    <col min="6" max="7" width="12.21875" style="65" bestFit="1" customWidth="1"/>
    <col min="8" max="8" width="13.109375" style="65" bestFit="1" customWidth="1"/>
    <col min="9" max="9" width="12.109375" style="65"/>
    <col min="10" max="12" width="12.21875" style="65" bestFit="1" customWidth="1"/>
    <col min="13" max="16384" width="12.109375" style="65"/>
  </cols>
  <sheetData>
    <row r="1" spans="1:12">
      <c r="B1" s="125" t="s">
        <v>216</v>
      </c>
    </row>
    <row r="2" spans="1:12">
      <c r="B2" s="149" t="s">
        <v>215</v>
      </c>
    </row>
    <row r="3" spans="1:12">
      <c r="B3" s="125" t="s">
        <v>225</v>
      </c>
    </row>
    <row r="5" spans="1:12" ht="13.8" thickBot="1">
      <c r="A5" s="124" t="s">
        <v>106</v>
      </c>
      <c r="B5" s="125"/>
      <c r="C5" s="147"/>
      <c r="D5" s="125"/>
      <c r="E5" s="125"/>
      <c r="F5" s="125"/>
      <c r="G5" s="125"/>
      <c r="H5" s="125"/>
      <c r="I5" s="125"/>
      <c r="J5" s="125"/>
      <c r="K5" s="125"/>
      <c r="L5" s="125"/>
    </row>
    <row r="6" spans="1:12" ht="27" thickBot="1">
      <c r="A6" s="124" t="s">
        <v>223</v>
      </c>
      <c r="B6" s="147" t="s">
        <v>93</v>
      </c>
      <c r="C6" s="187" t="s">
        <v>89</v>
      </c>
      <c r="D6" s="188"/>
      <c r="E6" s="188"/>
      <c r="F6" s="188"/>
      <c r="G6" s="188"/>
      <c r="H6" s="189"/>
      <c r="I6" s="148"/>
      <c r="J6" s="187" t="s">
        <v>75</v>
      </c>
      <c r="K6" s="188"/>
      <c r="L6" s="189"/>
    </row>
    <row r="7" spans="1:12">
      <c r="A7" s="124">
        <v>1</v>
      </c>
      <c r="B7" s="149"/>
      <c r="C7" s="150"/>
      <c r="D7" s="150"/>
      <c r="E7" s="150"/>
      <c r="F7" s="150"/>
      <c r="G7" s="150"/>
      <c r="H7" s="150"/>
      <c r="I7" s="148"/>
      <c r="J7" s="128">
        <v>0.6573</v>
      </c>
      <c r="K7" s="128">
        <f>1-J7</f>
        <v>0.3427</v>
      </c>
      <c r="L7" s="148"/>
    </row>
    <row r="8" spans="1:12">
      <c r="A8" s="124">
        <v>2</v>
      </c>
      <c r="B8" s="147"/>
      <c r="C8" s="147" t="s">
        <v>76</v>
      </c>
      <c r="D8" s="147" t="s">
        <v>77</v>
      </c>
      <c r="E8" s="147" t="s">
        <v>78</v>
      </c>
      <c r="F8" s="147" t="s">
        <v>79</v>
      </c>
      <c r="G8" s="147" t="s">
        <v>80</v>
      </c>
      <c r="H8" s="147" t="s">
        <v>81</v>
      </c>
      <c r="I8" s="147"/>
      <c r="J8" s="147" t="s">
        <v>76</v>
      </c>
      <c r="K8" s="147" t="s">
        <v>77</v>
      </c>
      <c r="L8" s="147" t="s">
        <v>81</v>
      </c>
    </row>
    <row r="9" spans="1:12">
      <c r="A9" s="124">
        <v>3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</row>
    <row r="10" spans="1:12">
      <c r="A10" s="124">
        <v>4</v>
      </c>
      <c r="B10" s="151" t="s">
        <v>86</v>
      </c>
      <c r="C10" s="148"/>
      <c r="D10" s="148"/>
      <c r="E10" s="148"/>
      <c r="F10" s="148"/>
      <c r="G10" s="148"/>
      <c r="H10" s="148"/>
      <c r="I10" s="148"/>
      <c r="J10" s="148"/>
      <c r="K10" s="148"/>
      <c r="L10" s="148"/>
    </row>
    <row r="11" spans="1:12">
      <c r="A11" s="124">
        <v>5</v>
      </c>
      <c r="B11" s="149">
        <v>408150</v>
      </c>
      <c r="C11" s="126">
        <f>+' 2.02 Restating-Electric'!C24</f>
        <v>3029982.9174668528</v>
      </c>
      <c r="D11" s="126">
        <f>+' 2.02 Restating-Electric'!D24</f>
        <v>1240753.1771232577</v>
      </c>
      <c r="E11" s="126">
        <f>+' 2.02 Restating-Electric'!E24</f>
        <v>8454115.6641969737</v>
      </c>
      <c r="F11" s="126">
        <f>+' 2.02 Restating-Electric'!F24</f>
        <v>2515403.3619177123</v>
      </c>
      <c r="G11" s="126">
        <f>+' 2.02 Restating-Electric'!G24</f>
        <v>3686</v>
      </c>
      <c r="H11" s="126">
        <f>SUM(C11:G11)</f>
        <v>15243941.120704796</v>
      </c>
      <c r="I11" s="148"/>
      <c r="J11" s="152">
        <f>+H11*J7</f>
        <v>10019842.498639263</v>
      </c>
      <c r="K11" s="152">
        <f>+K7*H11</f>
        <v>5224098.6220655339</v>
      </c>
      <c r="L11" s="152">
        <f>SUM(J11:K11)</f>
        <v>15243941.120704796</v>
      </c>
    </row>
    <row r="12" spans="1:12">
      <c r="A12" s="124">
        <v>6</v>
      </c>
      <c r="B12" s="149">
        <v>408180</v>
      </c>
      <c r="C12" s="130">
        <f>+' 2.02 Restating-Electric'!C25</f>
        <v>2852494.177336501</v>
      </c>
      <c r="D12" s="130">
        <f>+' 2.02 Restating-Electric'!D25</f>
        <v>1366615.9573450203</v>
      </c>
      <c r="E12" s="130">
        <f>+' 2.02 Restating-Electric'!E25</f>
        <v>1296883.2077267386</v>
      </c>
      <c r="F12" s="130">
        <f>+' 2.02 Restating-Electric'!F25</f>
        <v>10105.248082288133</v>
      </c>
      <c r="G12" s="130">
        <f>+' 2.02 Restating-Electric'!G25</f>
        <v>0</v>
      </c>
      <c r="H12" s="126">
        <f>SUM(C12:G12)</f>
        <v>5526098.5904905479</v>
      </c>
      <c r="I12" s="148"/>
      <c r="J12" s="152">
        <f>+$J$7*H12</f>
        <v>3632304.603529437</v>
      </c>
      <c r="K12" s="152">
        <f>+$K$7*H12</f>
        <v>1893793.9869611107</v>
      </c>
      <c r="L12" s="152">
        <f>SUM(J12:K12)</f>
        <v>5526098.5904905479</v>
      </c>
    </row>
    <row r="13" spans="1:12">
      <c r="A13" s="124">
        <v>7</v>
      </c>
      <c r="B13" s="149" t="s">
        <v>87</v>
      </c>
      <c r="C13" s="126">
        <f t="shared" ref="C13:H13" si="0">SUM(C11:C12)</f>
        <v>5882477.0948033538</v>
      </c>
      <c r="D13" s="126">
        <f t="shared" si="0"/>
        <v>2607369.1344682779</v>
      </c>
      <c r="E13" s="126">
        <f t="shared" si="0"/>
        <v>9750998.871923713</v>
      </c>
      <c r="F13" s="126">
        <f t="shared" si="0"/>
        <v>2525508.6100000003</v>
      </c>
      <c r="G13" s="126">
        <f t="shared" si="0"/>
        <v>3686</v>
      </c>
      <c r="H13" s="131">
        <f t="shared" si="0"/>
        <v>20770039.711195342</v>
      </c>
      <c r="I13" s="131"/>
      <c r="J13" s="131">
        <f>SUM(J11:J12)</f>
        <v>13652147.1021687</v>
      </c>
      <c r="K13" s="131">
        <f>SUM(K11:K12)</f>
        <v>7117892.6090266444</v>
      </c>
      <c r="L13" s="131">
        <f>SUM(L11:L12)</f>
        <v>20770039.711195342</v>
      </c>
    </row>
    <row r="14" spans="1:12">
      <c r="A14" s="124">
        <v>8</v>
      </c>
      <c r="B14" s="149"/>
      <c r="C14" s="141"/>
      <c r="D14" s="126"/>
      <c r="E14" s="126"/>
      <c r="F14" s="126"/>
      <c r="G14" s="126"/>
      <c r="H14" s="148"/>
      <c r="I14" s="148"/>
      <c r="J14" s="148"/>
      <c r="K14" s="148"/>
      <c r="L14" s="148"/>
    </row>
    <row r="15" spans="1:12">
      <c r="A15" s="124">
        <v>9</v>
      </c>
      <c r="B15" s="151" t="s">
        <v>83</v>
      </c>
      <c r="C15" s="126"/>
      <c r="D15" s="126"/>
      <c r="E15" s="126"/>
      <c r="F15" s="126"/>
      <c r="G15" s="126"/>
      <c r="H15" s="148"/>
      <c r="I15" s="148"/>
      <c r="J15" s="148"/>
      <c r="K15" s="148"/>
      <c r="L15" s="148"/>
    </row>
    <row r="16" spans="1:12">
      <c r="A16" s="124">
        <v>10</v>
      </c>
      <c r="B16" s="149">
        <v>408170</v>
      </c>
      <c r="C16" s="130">
        <f>+' 2.02 Restating-Electric'!C29</f>
        <v>6795274.9051966462</v>
      </c>
      <c r="D16" s="130">
        <f>+' 2.02 Restating-Electric'!D29</f>
        <v>3067797.8542882898</v>
      </c>
      <c r="E16" s="130">
        <f>+' 2.02 Restating-Electric'!E29</f>
        <v>0</v>
      </c>
      <c r="F16" s="130">
        <f>+' 2.02 Restating-Electric'!F29</f>
        <v>0</v>
      </c>
      <c r="G16" s="130">
        <f>+' 2.02 Restating-Electric'!G29</f>
        <v>0</v>
      </c>
      <c r="H16" s="153">
        <f>SUM(C16:G16)</f>
        <v>9863072.7594849356</v>
      </c>
      <c r="I16" s="148"/>
      <c r="J16" s="153">
        <f>+C16</f>
        <v>6795274.9051966462</v>
      </c>
      <c r="K16" s="153">
        <f>+D16</f>
        <v>3067797.8542882898</v>
      </c>
      <c r="L16" s="153">
        <f>SUM(J16:K16)</f>
        <v>9863072.7594849356</v>
      </c>
    </row>
    <row r="17" spans="1:12">
      <c r="A17" s="124">
        <v>11</v>
      </c>
      <c r="B17" s="149"/>
      <c r="C17" s="126"/>
      <c r="D17" s="126"/>
      <c r="E17" s="126"/>
      <c r="F17" s="126"/>
      <c r="G17" s="126"/>
      <c r="H17" s="148"/>
      <c r="I17" s="148"/>
      <c r="J17" s="148"/>
      <c r="K17" s="148"/>
      <c r="L17" s="148"/>
    </row>
    <row r="18" spans="1:12" ht="13.8" thickBot="1">
      <c r="A18" s="124">
        <v>12</v>
      </c>
      <c r="B18" s="151" t="s">
        <v>82</v>
      </c>
      <c r="C18" s="132">
        <f t="shared" ref="C18:H18" si="1">SUM(C13:C16)</f>
        <v>12677752</v>
      </c>
      <c r="D18" s="132">
        <f t="shared" si="1"/>
        <v>5675166.9887565672</v>
      </c>
      <c r="E18" s="132">
        <f t="shared" si="1"/>
        <v>9750998.871923713</v>
      </c>
      <c r="F18" s="132">
        <f t="shared" si="1"/>
        <v>2525508.6100000003</v>
      </c>
      <c r="G18" s="132">
        <f t="shared" si="1"/>
        <v>3686</v>
      </c>
      <c r="H18" s="132">
        <f t="shared" si="1"/>
        <v>30633112.470680278</v>
      </c>
      <c r="I18" s="132"/>
      <c r="J18" s="132">
        <f>SUM(J13:J16)</f>
        <v>20447422.007365346</v>
      </c>
      <c r="K18" s="132">
        <f>SUM(K13:K16)</f>
        <v>10185690.463314934</v>
      </c>
      <c r="L18" s="132">
        <f>SUM(J18:K18)</f>
        <v>30633112.470680282</v>
      </c>
    </row>
    <row r="19" spans="1:12" ht="13.8">
      <c r="A19" s="124">
        <v>13</v>
      </c>
      <c r="B19" s="154"/>
      <c r="C19" s="148"/>
      <c r="D19" s="148"/>
      <c r="E19" s="148"/>
      <c r="F19" s="148"/>
      <c r="G19" s="148"/>
      <c r="H19" s="148"/>
      <c r="I19" s="148"/>
      <c r="J19" s="148"/>
      <c r="K19" s="148"/>
      <c r="L19" s="148"/>
    </row>
    <row r="20" spans="1:12" ht="13.8" thickBot="1">
      <c r="A20" s="124">
        <v>14</v>
      </c>
      <c r="B20" s="155" t="s">
        <v>97</v>
      </c>
      <c r="C20" s="156">
        <v>15000000</v>
      </c>
      <c r="D20" s="156">
        <v>6424000</v>
      </c>
      <c r="E20" s="156">
        <v>11078000</v>
      </c>
      <c r="F20" s="156">
        <v>2584000</v>
      </c>
      <c r="G20" s="156">
        <v>3686</v>
      </c>
      <c r="H20" s="156">
        <v>35089686</v>
      </c>
      <c r="I20" s="148"/>
      <c r="J20" s="148"/>
      <c r="K20" s="148"/>
      <c r="L20" s="148"/>
    </row>
    <row r="21" spans="1:12" ht="27" thickBot="1">
      <c r="A21" s="124">
        <v>15</v>
      </c>
      <c r="B21" s="157" t="s">
        <v>90</v>
      </c>
      <c r="C21" s="133">
        <v>13700228.237884853</v>
      </c>
      <c r="D21" s="133">
        <v>6433994.8791618766</v>
      </c>
      <c r="E21" s="133">
        <v>9704072.7567725126</v>
      </c>
      <c r="F21" s="133">
        <v>2867152.3531587431</v>
      </c>
      <c r="G21" s="133">
        <v>3686</v>
      </c>
      <c r="H21" s="133">
        <f>SUM(C21:G21)</f>
        <v>32709134.226977982</v>
      </c>
      <c r="I21" s="158"/>
      <c r="J21" s="158"/>
      <c r="K21" s="158"/>
      <c r="L21" s="159"/>
    </row>
    <row r="22" spans="1:12">
      <c r="A22" s="124">
        <v>16</v>
      </c>
      <c r="B22" s="142"/>
      <c r="C22" s="143"/>
      <c r="D22" s="143"/>
      <c r="E22" s="143"/>
      <c r="F22" s="143"/>
      <c r="G22" s="143"/>
      <c r="H22" s="143"/>
      <c r="I22" s="160"/>
      <c r="J22" s="160"/>
      <c r="K22" s="160"/>
      <c r="L22" s="161"/>
    </row>
    <row r="23" spans="1:12">
      <c r="A23" s="124">
        <v>17</v>
      </c>
      <c r="B23" s="162" t="s">
        <v>86</v>
      </c>
      <c r="C23" s="160"/>
      <c r="D23" s="160"/>
      <c r="E23" s="160"/>
      <c r="F23" s="160"/>
      <c r="G23" s="160"/>
      <c r="H23" s="160"/>
      <c r="I23" s="160"/>
      <c r="J23" s="160"/>
      <c r="K23" s="160"/>
      <c r="L23" s="161"/>
    </row>
    <row r="24" spans="1:12">
      <c r="A24" s="124">
        <v>18</v>
      </c>
      <c r="B24" s="162">
        <v>408150</v>
      </c>
      <c r="C24" s="134">
        <f>+(C11/C18)*C21</f>
        <v>3274354.7536020665</v>
      </c>
      <c r="D24" s="134">
        <f>D11/D18*D21</f>
        <v>1406654.5713510271</v>
      </c>
      <c r="E24" s="134">
        <f>E11/E18*E21</f>
        <v>8413430.7240825873</v>
      </c>
      <c r="F24" s="134">
        <f>F11/F18*F21</f>
        <v>2855680.0953712771</v>
      </c>
      <c r="G24" s="134">
        <f>G11/G18*G21</f>
        <v>3686</v>
      </c>
      <c r="H24" s="134">
        <f>SUM(C24:G24)</f>
        <v>15953806.144406959</v>
      </c>
      <c r="I24" s="160"/>
      <c r="J24" s="163">
        <f>+J7*H24</f>
        <v>10486436.778718695</v>
      </c>
      <c r="K24" s="163">
        <f>ROUND(H24*K7,0)</f>
        <v>5467369</v>
      </c>
      <c r="L24" s="164">
        <f>SUM(J24:K24)</f>
        <v>15953805.778718695</v>
      </c>
    </row>
    <row r="25" spans="1:12">
      <c r="A25" s="124">
        <v>19</v>
      </c>
      <c r="B25" s="162">
        <v>408180</v>
      </c>
      <c r="C25" s="130">
        <f>+(C12/C18)*C21</f>
        <v>3082551.3290327541</v>
      </c>
      <c r="D25" s="130">
        <f>D12/D18*D21</f>
        <v>1549346.4930210405</v>
      </c>
      <c r="E25" s="130">
        <f>E12/E18*E21</f>
        <v>1290642.0326899255</v>
      </c>
      <c r="F25" s="130">
        <f>F12/F18*F21</f>
        <v>11472.257787466144</v>
      </c>
      <c r="G25" s="130">
        <f>G12/G18*G21</f>
        <v>0</v>
      </c>
      <c r="H25" s="130">
        <f>SUM(C25:G25)</f>
        <v>5934012.1125311861</v>
      </c>
      <c r="I25" s="160"/>
      <c r="J25" s="163">
        <f>ROUND(H25*J7,0)</f>
        <v>3900426</v>
      </c>
      <c r="K25" s="163">
        <f>ROUND(H25*K7,0)</f>
        <v>2033586</v>
      </c>
      <c r="L25" s="164">
        <f>SUM(J25:K25)</f>
        <v>5934012</v>
      </c>
    </row>
    <row r="26" spans="1:12">
      <c r="A26" s="124">
        <v>20</v>
      </c>
      <c r="B26" s="162" t="s">
        <v>88</v>
      </c>
      <c r="C26" s="134">
        <f t="shared" ref="C26:H26" si="2">SUM(C24:C25)</f>
        <v>6356906.0826348206</v>
      </c>
      <c r="D26" s="134">
        <f t="shared" si="2"/>
        <v>2956001.0643720673</v>
      </c>
      <c r="E26" s="134">
        <f t="shared" si="2"/>
        <v>9704072.7567725126</v>
      </c>
      <c r="F26" s="134">
        <f t="shared" si="2"/>
        <v>2867152.3531587431</v>
      </c>
      <c r="G26" s="134">
        <f t="shared" si="2"/>
        <v>3686</v>
      </c>
      <c r="H26" s="134">
        <f t="shared" si="2"/>
        <v>21887818.256938145</v>
      </c>
      <c r="I26" s="160"/>
      <c r="J26" s="131">
        <f>SUM(J24:J25)</f>
        <v>14386862.778718695</v>
      </c>
      <c r="K26" s="131">
        <f>SUM(K24:K25)</f>
        <v>7500955</v>
      </c>
      <c r="L26" s="135">
        <f>SUM(L24:L25)</f>
        <v>21887817.778718695</v>
      </c>
    </row>
    <row r="27" spans="1:12">
      <c r="A27" s="124">
        <v>21</v>
      </c>
      <c r="B27" s="162"/>
      <c r="C27" s="144"/>
      <c r="D27" s="134"/>
      <c r="E27" s="134"/>
      <c r="F27" s="134"/>
      <c r="G27" s="134"/>
      <c r="H27" s="134"/>
      <c r="I27" s="160"/>
      <c r="J27" s="160"/>
      <c r="K27" s="160"/>
      <c r="L27" s="161"/>
    </row>
    <row r="28" spans="1:12">
      <c r="A28" s="124">
        <v>22</v>
      </c>
      <c r="B28" s="162" t="s">
        <v>83</v>
      </c>
      <c r="C28" s="134"/>
      <c r="D28" s="134"/>
      <c r="E28" s="134"/>
      <c r="F28" s="134"/>
      <c r="G28" s="134"/>
      <c r="H28" s="134"/>
      <c r="I28" s="160"/>
      <c r="J28" s="160"/>
      <c r="K28" s="160"/>
      <c r="L28" s="161"/>
    </row>
    <row r="29" spans="1:12">
      <c r="A29" s="124">
        <v>23</v>
      </c>
      <c r="B29" s="162">
        <v>408170</v>
      </c>
      <c r="C29" s="130">
        <f>+(C16/C18)*C21</f>
        <v>7343322.1552500324</v>
      </c>
      <c r="D29" s="130">
        <f>D16/D18*D21</f>
        <v>3477993.8147898098</v>
      </c>
      <c r="E29" s="130">
        <f>E16/E18*E21</f>
        <v>0</v>
      </c>
      <c r="F29" s="130">
        <f>F16/F18*F21</f>
        <v>0</v>
      </c>
      <c r="G29" s="130">
        <f>G16/G18*G21</f>
        <v>0</v>
      </c>
      <c r="H29" s="130">
        <f>SUM(C29:G29)</f>
        <v>10821315.970039843</v>
      </c>
      <c r="I29" s="160"/>
      <c r="J29" s="153">
        <f>C29</f>
        <v>7343322.1552500324</v>
      </c>
      <c r="K29" s="153">
        <f>D29</f>
        <v>3477993.8147898098</v>
      </c>
      <c r="L29" s="165">
        <f>SUM(J29:K29)</f>
        <v>10821315.970039843</v>
      </c>
    </row>
    <row r="30" spans="1:12">
      <c r="A30" s="124">
        <v>24</v>
      </c>
      <c r="B30" s="162"/>
      <c r="C30" s="145"/>
      <c r="D30" s="134"/>
      <c r="E30" s="134"/>
      <c r="F30" s="134"/>
      <c r="G30" s="134"/>
      <c r="H30" s="134"/>
      <c r="I30" s="160"/>
      <c r="J30" s="160"/>
      <c r="K30" s="160"/>
      <c r="L30" s="161"/>
    </row>
    <row r="31" spans="1:12" ht="13.8" thickBot="1">
      <c r="A31" s="124">
        <v>25</v>
      </c>
      <c r="B31" s="166"/>
      <c r="C31" s="132">
        <f t="shared" ref="C31:H31" si="3">SUM(C26:C29)</f>
        <v>13700228.237884853</v>
      </c>
      <c r="D31" s="132">
        <f t="shared" si="3"/>
        <v>6433994.8791618776</v>
      </c>
      <c r="E31" s="132">
        <f t="shared" si="3"/>
        <v>9704072.7567725126</v>
      </c>
      <c r="F31" s="132">
        <f t="shared" si="3"/>
        <v>2867152.3531587431</v>
      </c>
      <c r="G31" s="132">
        <f t="shared" si="3"/>
        <v>3686</v>
      </c>
      <c r="H31" s="132">
        <f t="shared" si="3"/>
        <v>32709134.226977989</v>
      </c>
      <c r="I31" s="146"/>
      <c r="J31" s="132">
        <f>SUM(J26:J29)</f>
        <v>21730184.933968727</v>
      </c>
      <c r="K31" s="132">
        <f>SUM(K26:K29)</f>
        <v>10978948.814789809</v>
      </c>
      <c r="L31" s="137">
        <f>SUM(L26:L29)</f>
        <v>32709133.74875854</v>
      </c>
    </row>
    <row r="32" spans="1:12">
      <c r="A32" s="124">
        <v>26</v>
      </c>
      <c r="B32" s="167"/>
      <c r="C32" s="160"/>
      <c r="D32" s="160"/>
      <c r="E32" s="160"/>
      <c r="F32" s="160"/>
      <c r="G32" s="160"/>
      <c r="H32" s="160"/>
      <c r="I32" s="160"/>
      <c r="J32" s="160"/>
      <c r="K32" s="160"/>
      <c r="L32" s="160"/>
    </row>
    <row r="33" spans="1:15" ht="13.8" thickBot="1">
      <c r="A33" s="124">
        <v>27</v>
      </c>
      <c r="B33" s="149"/>
      <c r="C33" s="148"/>
      <c r="D33" s="148"/>
      <c r="E33" s="148"/>
      <c r="F33" s="148"/>
      <c r="G33" s="148"/>
      <c r="H33" s="148"/>
      <c r="I33" s="148"/>
      <c r="J33" s="148"/>
      <c r="K33" s="148"/>
      <c r="L33" s="148"/>
    </row>
    <row r="34" spans="1:15">
      <c r="A34" s="124">
        <v>28</v>
      </c>
      <c r="B34" s="168" t="s">
        <v>74</v>
      </c>
      <c r="C34" s="158"/>
      <c r="D34" s="158"/>
      <c r="E34" s="158"/>
      <c r="F34" s="158"/>
      <c r="G34" s="158"/>
      <c r="H34" s="158"/>
      <c r="I34" s="158"/>
      <c r="J34" s="158"/>
      <c r="K34" s="158"/>
      <c r="L34" s="159"/>
    </row>
    <row r="35" spans="1:15">
      <c r="A35" s="124">
        <v>29</v>
      </c>
      <c r="B35" s="162" t="s">
        <v>86</v>
      </c>
      <c r="C35" s="160"/>
      <c r="D35" s="160"/>
      <c r="E35" s="160"/>
      <c r="F35" s="160"/>
      <c r="G35" s="160"/>
      <c r="H35" s="160"/>
      <c r="I35" s="160"/>
      <c r="J35" s="160"/>
      <c r="K35" s="160"/>
      <c r="L35" s="161"/>
    </row>
    <row r="36" spans="1:15">
      <c r="A36" s="124">
        <v>30</v>
      </c>
      <c r="B36" s="162">
        <v>408150</v>
      </c>
      <c r="C36" s="134">
        <f t="shared" ref="C36:G37" si="4">C24-C11</f>
        <v>244371.83613521373</v>
      </c>
      <c r="D36" s="134">
        <f t="shared" si="4"/>
        <v>165901.39422776946</v>
      </c>
      <c r="E36" s="134">
        <f t="shared" si="4"/>
        <v>-40684.94011438638</v>
      </c>
      <c r="F36" s="134">
        <f t="shared" si="4"/>
        <v>340276.73345356481</v>
      </c>
      <c r="G36" s="139">
        <f t="shared" si="4"/>
        <v>0</v>
      </c>
      <c r="H36" s="134">
        <f>SUM(C36:G36)</f>
        <v>709865.02370216162</v>
      </c>
      <c r="I36" s="160"/>
      <c r="J36" s="134">
        <f>J24-J11</f>
        <v>466594.28007943183</v>
      </c>
      <c r="K36" s="134">
        <f>K24-K11</f>
        <v>243270.37793446612</v>
      </c>
      <c r="L36" s="164">
        <f>SUM(J36:K36)</f>
        <v>709864.65801389795</v>
      </c>
    </row>
    <row r="37" spans="1:15" ht="13.8" thickBot="1">
      <c r="A37" s="124">
        <v>31</v>
      </c>
      <c r="B37" s="162">
        <v>408180</v>
      </c>
      <c r="C37" s="130">
        <f t="shared" si="4"/>
        <v>230057.1516962531</v>
      </c>
      <c r="D37" s="130">
        <f t="shared" si="4"/>
        <v>182730.5356760202</v>
      </c>
      <c r="E37" s="130">
        <f t="shared" si="4"/>
        <v>-6241.1750368131325</v>
      </c>
      <c r="F37" s="130">
        <f t="shared" si="4"/>
        <v>1367.0097051780103</v>
      </c>
      <c r="G37" s="130">
        <f t="shared" si="4"/>
        <v>0</v>
      </c>
      <c r="H37" s="130">
        <f>SUM(C37:G37)</f>
        <v>407913.5220406382</v>
      </c>
      <c r="I37" s="160"/>
      <c r="J37" s="134">
        <f>J25-J12</f>
        <v>268121.39647056302</v>
      </c>
      <c r="K37" s="134">
        <f>K25-K12</f>
        <v>139792.01303888927</v>
      </c>
      <c r="L37" s="164">
        <f>SUM(J37:K37)</f>
        <v>407913.40950945229</v>
      </c>
    </row>
    <row r="38" spans="1:15" ht="14.4" thickTop="1" thickBot="1">
      <c r="A38" s="124">
        <v>32</v>
      </c>
      <c r="B38" s="162" t="s">
        <v>88</v>
      </c>
      <c r="C38" s="134">
        <f t="shared" ref="C38:H38" si="5">SUM(C36:C37)</f>
        <v>474428.98783146683</v>
      </c>
      <c r="D38" s="134">
        <f t="shared" si="5"/>
        <v>348631.92990378966</v>
      </c>
      <c r="E38" s="134">
        <f t="shared" si="5"/>
        <v>-46926.115151199512</v>
      </c>
      <c r="F38" s="134">
        <f t="shared" si="5"/>
        <v>341643.74315874284</v>
      </c>
      <c r="G38" s="134">
        <f t="shared" si="5"/>
        <v>0</v>
      </c>
      <c r="H38" s="134">
        <f t="shared" si="5"/>
        <v>1117778.5457427998</v>
      </c>
      <c r="I38" s="160"/>
      <c r="J38" s="140">
        <f>SUM(J36:J37)</f>
        <v>734715.67654999485</v>
      </c>
      <c r="K38" s="131">
        <f>SUM(K36:K37)</f>
        <v>383062.39097335539</v>
      </c>
      <c r="L38" s="135">
        <f>SUM(L36:L37)</f>
        <v>1117778.0675233502</v>
      </c>
    </row>
    <row r="39" spans="1:15" ht="13.8" thickTop="1">
      <c r="A39" s="124">
        <v>33</v>
      </c>
      <c r="B39" s="162"/>
      <c r="C39" s="134"/>
      <c r="D39" s="134"/>
      <c r="E39" s="134"/>
      <c r="F39" s="134"/>
      <c r="G39" s="134"/>
      <c r="H39" s="134"/>
      <c r="I39" s="160"/>
      <c r="J39" s="160"/>
      <c r="K39" s="160"/>
      <c r="L39" s="161"/>
    </row>
    <row r="40" spans="1:15" ht="13.8" thickBot="1">
      <c r="A40" s="124">
        <v>34</v>
      </c>
      <c r="B40" s="162" t="s">
        <v>83</v>
      </c>
      <c r="C40" s="134"/>
      <c r="D40" s="134"/>
      <c r="E40" s="134"/>
      <c r="F40" s="134"/>
      <c r="G40" s="134"/>
      <c r="H40" s="134"/>
      <c r="I40" s="160"/>
      <c r="J40" s="160"/>
      <c r="K40" s="160"/>
      <c r="L40" s="161"/>
      <c r="O40" s="185"/>
    </row>
    <row r="41" spans="1:15" ht="14.4" thickTop="1" thickBot="1">
      <c r="A41" s="124">
        <v>35</v>
      </c>
      <c r="B41" s="162">
        <v>408170</v>
      </c>
      <c r="C41" s="130">
        <f>C29-C16</f>
        <v>548047.2500533862</v>
      </c>
      <c r="D41" s="130">
        <f>D29-D16</f>
        <v>410195.96050151996</v>
      </c>
      <c r="E41" s="130">
        <f>E29-E16</f>
        <v>0</v>
      </c>
      <c r="F41" s="130">
        <f>F29-F16</f>
        <v>0</v>
      </c>
      <c r="G41" s="130">
        <f>G29-G16</f>
        <v>0</v>
      </c>
      <c r="H41" s="130">
        <f>SUM(C41:G41)</f>
        <v>958243.21055490617</v>
      </c>
      <c r="I41" s="160"/>
      <c r="J41" s="140">
        <f>C41</f>
        <v>548047.2500533862</v>
      </c>
      <c r="K41" s="153">
        <f>D41</f>
        <v>410195.96050151996</v>
      </c>
      <c r="L41" s="165">
        <f>SUM(J41:K41)</f>
        <v>958243.21055490617</v>
      </c>
    </row>
    <row r="42" spans="1:15" ht="14.4" thickTop="1" thickBot="1">
      <c r="A42" s="124">
        <v>36</v>
      </c>
      <c r="B42" s="162"/>
      <c r="C42" s="134"/>
      <c r="D42" s="134"/>
      <c r="E42" s="134"/>
      <c r="F42" s="134"/>
      <c r="G42" s="134"/>
      <c r="H42" s="134"/>
      <c r="I42" s="160"/>
      <c r="J42" s="160"/>
      <c r="K42" s="160"/>
      <c r="L42" s="161"/>
    </row>
    <row r="43" spans="1:15" ht="14.4" thickTop="1" thickBot="1">
      <c r="A43" s="124">
        <v>37</v>
      </c>
      <c r="B43" s="162"/>
      <c r="C43" s="132">
        <f t="shared" ref="C43:H43" si="6">SUM(C38:C41)</f>
        <v>1022476.237884853</v>
      </c>
      <c r="D43" s="132">
        <f t="shared" si="6"/>
        <v>758827.89040530962</v>
      </c>
      <c r="E43" s="132">
        <f t="shared" si="6"/>
        <v>-46926.115151199512</v>
      </c>
      <c r="F43" s="132">
        <f t="shared" si="6"/>
        <v>341643.74315874284</v>
      </c>
      <c r="G43" s="132">
        <f t="shared" si="6"/>
        <v>0</v>
      </c>
      <c r="H43" s="132">
        <f t="shared" si="6"/>
        <v>2076021.7562977059</v>
      </c>
      <c r="I43" s="136"/>
      <c r="J43" s="140">
        <f>SUM(J38:J41)</f>
        <v>1282762.9266033811</v>
      </c>
      <c r="K43" s="132">
        <f>SUM(K38:K41)</f>
        <v>793258.35147487535</v>
      </c>
      <c r="L43" s="137">
        <f>SUM(L38:L41)</f>
        <v>2076021.2780782564</v>
      </c>
    </row>
    <row r="44" spans="1:15" ht="13.8" thickBot="1">
      <c r="A44" s="124">
        <v>38</v>
      </c>
      <c r="B44" s="166"/>
      <c r="C44" s="169"/>
      <c r="D44" s="169"/>
      <c r="E44" s="169"/>
      <c r="F44" s="169"/>
      <c r="G44" s="169"/>
      <c r="H44" s="170" t="s">
        <v>97</v>
      </c>
      <c r="I44" s="170"/>
      <c r="J44" s="171">
        <v>2458073</v>
      </c>
      <c r="K44" s="169"/>
      <c r="L44" s="172"/>
    </row>
  </sheetData>
  <mergeCells count="2">
    <mergeCell ref="C6:H6"/>
    <mergeCell ref="J6:L6"/>
  </mergeCells>
  <pageMargins left="0.17" right="0.17" top="0.21" bottom="0.33" header="0.22" footer="0.17"/>
  <pageSetup scale="89" orientation="landscape" r:id="rId1"/>
  <headerFooter>
    <oddHeader>&amp;RExh. AIW-2
Dockets UE-170485 / UE-170486
Page &amp;P of &amp;N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81"/>
  <sheetViews>
    <sheetView topLeftCell="A13" zoomScale="85" zoomScaleNormal="85" workbookViewId="0">
      <selection activeCell="I18" sqref="I18"/>
    </sheetView>
  </sheetViews>
  <sheetFormatPr defaultColWidth="9.109375" defaultRowHeight="13.2"/>
  <cols>
    <col min="1" max="1" width="8.44140625" style="173" customWidth="1"/>
    <col min="2" max="2" width="18" style="149" customWidth="1"/>
    <col min="3" max="4" width="15" style="148" bestFit="1" customWidth="1"/>
    <col min="5" max="5" width="13.6640625" style="148" bestFit="1" customWidth="1"/>
    <col min="6" max="6" width="15" style="148" bestFit="1" customWidth="1"/>
    <col min="7" max="7" width="9.5546875" style="148" bestFit="1" customWidth="1"/>
    <col min="8" max="8" width="15" style="148" bestFit="1" customWidth="1"/>
    <col min="9" max="9" width="3.109375" style="148" customWidth="1"/>
    <col min="10" max="10" width="15.5546875" style="148" customWidth="1"/>
    <col min="11" max="11" width="12.6640625" style="148" bestFit="1" customWidth="1"/>
    <col min="12" max="13" width="11.5546875" style="148" bestFit="1" customWidth="1"/>
    <col min="14" max="16384" width="9.109375" style="148"/>
  </cols>
  <sheetData>
    <row r="1" spans="1:14">
      <c r="B1" s="125" t="s">
        <v>216</v>
      </c>
      <c r="J1" s="125"/>
    </row>
    <row r="2" spans="1:14">
      <c r="B2" s="149" t="s">
        <v>215</v>
      </c>
      <c r="J2" s="125"/>
    </row>
    <row r="3" spans="1:14">
      <c r="B3" s="125" t="s">
        <v>226</v>
      </c>
      <c r="J3" s="125"/>
    </row>
    <row r="4" spans="1:14">
      <c r="A4" s="173" t="s">
        <v>220</v>
      </c>
      <c r="B4" s="125"/>
    </row>
    <row r="5" spans="1:14" ht="13.8" thickBot="1">
      <c r="A5" s="173" t="s">
        <v>221</v>
      </c>
      <c r="B5" s="151" t="s">
        <v>217</v>
      </c>
      <c r="C5" s="125"/>
      <c r="D5" s="126"/>
      <c r="I5" s="127"/>
    </row>
    <row r="6" spans="1:14" ht="13.8" thickBot="1">
      <c r="C6" s="187" t="s">
        <v>91</v>
      </c>
      <c r="D6" s="188"/>
      <c r="E6" s="188"/>
      <c r="F6" s="188"/>
      <c r="G6" s="188"/>
      <c r="H6" s="189"/>
      <c r="J6" s="187" t="s">
        <v>75</v>
      </c>
      <c r="K6" s="188"/>
      <c r="L6" s="188"/>
      <c r="M6" s="189"/>
    </row>
    <row r="7" spans="1:14">
      <c r="C7" s="150"/>
      <c r="D7" s="150"/>
      <c r="E7" s="150"/>
      <c r="F7" s="150"/>
      <c r="G7" s="150"/>
      <c r="H7" s="150"/>
      <c r="J7" s="128"/>
      <c r="K7" s="128"/>
      <c r="L7" s="128"/>
    </row>
    <row r="8" spans="1:14" s="147" customFormat="1">
      <c r="C8" s="147" t="s">
        <v>76</v>
      </c>
      <c r="D8" s="147" t="s">
        <v>77</v>
      </c>
      <c r="E8" s="147" t="s">
        <v>78</v>
      </c>
      <c r="F8" s="147" t="s">
        <v>79</v>
      </c>
      <c r="G8" s="147" t="s">
        <v>80</v>
      </c>
      <c r="H8" s="147" t="s">
        <v>81</v>
      </c>
      <c r="J8" s="147" t="s">
        <v>76</v>
      </c>
      <c r="K8" s="147" t="s">
        <v>77</v>
      </c>
      <c r="L8" s="147" t="s">
        <v>79</v>
      </c>
      <c r="M8" s="147" t="s">
        <v>81</v>
      </c>
    </row>
    <row r="9" spans="1:14" s="147" customFormat="1">
      <c r="B9" s="147" t="s">
        <v>82</v>
      </c>
    </row>
    <row r="10" spans="1:14">
      <c r="A10" s="173">
        <v>1</v>
      </c>
      <c r="B10" s="151" t="s">
        <v>92</v>
      </c>
    </row>
    <row r="11" spans="1:14">
      <c r="A11" s="173">
        <v>2</v>
      </c>
      <c r="B11" s="149">
        <v>408190</v>
      </c>
      <c r="C11" s="126">
        <v>330217</v>
      </c>
      <c r="D11" s="126"/>
      <c r="E11" s="126"/>
      <c r="F11" s="126"/>
      <c r="G11" s="126"/>
      <c r="H11" s="152">
        <f>SUM(C11:G11)</f>
        <v>330217</v>
      </c>
      <c r="I11" s="174"/>
      <c r="J11" s="152">
        <f>ROUND($H$11*J20,0)</f>
        <v>210427</v>
      </c>
      <c r="K11" s="152">
        <f>ROUND($H$11*K20,0)</f>
        <v>87924</v>
      </c>
      <c r="L11" s="152">
        <f>ROUND($H$11*L20,0)</f>
        <v>31866</v>
      </c>
      <c r="M11" s="152">
        <f>SUM(J11:L11)</f>
        <v>330217</v>
      </c>
      <c r="N11" s="129"/>
    </row>
    <row r="12" spans="1:14">
      <c r="A12" s="173">
        <v>3</v>
      </c>
      <c r="C12" s="126"/>
      <c r="D12" s="126"/>
      <c r="E12" s="126"/>
      <c r="F12" s="126"/>
      <c r="G12" s="126"/>
    </row>
    <row r="13" spans="1:14">
      <c r="A13" s="173">
        <v>4</v>
      </c>
      <c r="B13" s="151" t="s">
        <v>83</v>
      </c>
      <c r="C13" s="126"/>
      <c r="D13" s="126"/>
      <c r="E13" s="126"/>
      <c r="F13" s="126"/>
      <c r="G13" s="126"/>
    </row>
    <row r="14" spans="1:14">
      <c r="A14" s="173">
        <v>5</v>
      </c>
      <c r="B14" s="149">
        <v>408170</v>
      </c>
      <c r="C14" s="130">
        <v>2120858</v>
      </c>
      <c r="D14" s="130">
        <v>1470048</v>
      </c>
      <c r="E14" s="130"/>
      <c r="F14" s="130">
        <v>2956009</v>
      </c>
      <c r="G14" s="130"/>
      <c r="H14" s="153">
        <f>SUM(C14:G14)</f>
        <v>6546915</v>
      </c>
      <c r="J14" s="153">
        <f>C14</f>
        <v>2120858</v>
      </c>
      <c r="K14" s="153">
        <f>D14</f>
        <v>1470048</v>
      </c>
      <c r="L14" s="153">
        <f>F14</f>
        <v>2956009</v>
      </c>
      <c r="M14" s="153">
        <f>SUM(J14:L14)</f>
        <v>6546915</v>
      </c>
    </row>
    <row r="15" spans="1:14">
      <c r="A15" s="173">
        <v>6</v>
      </c>
      <c r="C15" s="126"/>
      <c r="D15" s="126"/>
      <c r="E15" s="126"/>
      <c r="F15" s="126"/>
      <c r="G15" s="126"/>
    </row>
    <row r="16" spans="1:14" ht="13.8" thickBot="1">
      <c r="A16" s="173">
        <v>7</v>
      </c>
      <c r="B16" s="151" t="s">
        <v>82</v>
      </c>
      <c r="C16" s="132">
        <f t="shared" ref="C16:H16" si="0">SUM(C11:C14)</f>
        <v>2451075</v>
      </c>
      <c r="D16" s="132">
        <f t="shared" si="0"/>
        <v>1470048</v>
      </c>
      <c r="E16" s="132">
        <f t="shared" si="0"/>
        <v>0</v>
      </c>
      <c r="F16" s="132">
        <f t="shared" si="0"/>
        <v>2956009</v>
      </c>
      <c r="G16" s="132">
        <f t="shared" si="0"/>
        <v>0</v>
      </c>
      <c r="H16" s="132">
        <f t="shared" si="0"/>
        <v>6877132</v>
      </c>
      <c r="I16" s="132"/>
      <c r="J16" s="132">
        <f>SUM(J11:J14)</f>
        <v>2331285</v>
      </c>
      <c r="K16" s="132">
        <f>SUM(K11:K14)</f>
        <v>1557972</v>
      </c>
      <c r="L16" s="132">
        <f>SUM(L11:L14)</f>
        <v>2987875</v>
      </c>
      <c r="M16" s="132">
        <f>SUM(M11:M14)</f>
        <v>6877132</v>
      </c>
    </row>
    <row r="17" spans="1:14">
      <c r="A17" s="173">
        <v>8</v>
      </c>
    </row>
    <row r="18" spans="1:14">
      <c r="A18" s="173">
        <v>9</v>
      </c>
      <c r="I18" s="174"/>
      <c r="J18" s="175" t="s">
        <v>84</v>
      </c>
    </row>
    <row r="19" spans="1:14">
      <c r="A19" s="173">
        <v>10</v>
      </c>
      <c r="J19" s="147" t="s">
        <v>76</v>
      </c>
      <c r="K19" s="147" t="s">
        <v>77</v>
      </c>
      <c r="L19" s="147" t="s">
        <v>79</v>
      </c>
    </row>
    <row r="20" spans="1:14">
      <c r="A20" s="173">
        <v>11</v>
      </c>
      <c r="J20" s="128">
        <f>70.53%*0.9035</f>
        <v>0.63723854999999996</v>
      </c>
      <c r="K20" s="128">
        <f>29.47%*0.9035</f>
        <v>0.26626144999999996</v>
      </c>
      <c r="L20" s="128">
        <f>0.0965</f>
        <v>9.6500000000000002E-2</v>
      </c>
    </row>
    <row r="21" spans="1:14" ht="13.8" thickBot="1">
      <c r="A21" s="173">
        <v>12</v>
      </c>
      <c r="B21" s="176" t="s">
        <v>98</v>
      </c>
      <c r="C21" s="177">
        <v>2826001</v>
      </c>
      <c r="D21" s="177">
        <v>1470048</v>
      </c>
      <c r="E21" s="177">
        <v>0</v>
      </c>
      <c r="F21" s="177">
        <v>2956009</v>
      </c>
      <c r="G21" s="178"/>
      <c r="H21" s="177">
        <v>7252058</v>
      </c>
      <c r="J21" s="128"/>
      <c r="K21" s="128"/>
      <c r="L21" s="128"/>
    </row>
    <row r="22" spans="1:14" ht="35.4" customHeight="1" thickBot="1">
      <c r="A22" s="173">
        <v>13</v>
      </c>
      <c r="B22" s="157" t="s">
        <v>93</v>
      </c>
      <c r="C22" s="133">
        <v>2723096.0382527304</v>
      </c>
      <c r="D22" s="133">
        <v>1470047.6900000002</v>
      </c>
      <c r="E22" s="133">
        <v>0</v>
      </c>
      <c r="F22" s="133">
        <v>3184144.1200000006</v>
      </c>
      <c r="G22" s="133"/>
      <c r="H22" s="133">
        <v>7377287.8482527304</v>
      </c>
      <c r="I22" s="158"/>
      <c r="J22" s="158"/>
      <c r="K22" s="158"/>
      <c r="L22" s="158"/>
      <c r="M22" s="159"/>
    </row>
    <row r="23" spans="1:14">
      <c r="A23" s="173">
        <v>14</v>
      </c>
      <c r="B23" s="162"/>
      <c r="C23" s="163"/>
      <c r="D23" s="163"/>
      <c r="E23" s="163"/>
      <c r="F23" s="163"/>
      <c r="G23" s="163">
        <f>+G22-G21</f>
        <v>0</v>
      </c>
      <c r="H23" s="163"/>
      <c r="I23" s="160"/>
      <c r="J23" s="160"/>
      <c r="K23" s="160"/>
      <c r="L23" s="160"/>
      <c r="M23" s="161"/>
    </row>
    <row r="24" spans="1:14">
      <c r="A24" s="173">
        <v>15</v>
      </c>
      <c r="B24" s="162" t="s">
        <v>85</v>
      </c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1"/>
    </row>
    <row r="25" spans="1:14">
      <c r="A25" s="173">
        <v>16</v>
      </c>
      <c r="B25" s="162">
        <v>408190</v>
      </c>
      <c r="C25" s="134">
        <f>+(C11/C16)*C22</f>
        <v>366864.5816483387</v>
      </c>
      <c r="D25" s="134"/>
      <c r="E25" s="134"/>
      <c r="F25" s="134"/>
      <c r="G25" s="134"/>
      <c r="H25" s="134">
        <f>SUM(C25:G25)</f>
        <v>366864.5816483387</v>
      </c>
      <c r="I25" s="160"/>
      <c r="J25" s="163">
        <f>ROUND($H$25*J20,0)</f>
        <v>233780</v>
      </c>
      <c r="K25" s="163">
        <f>ROUND($H$25*K20,0)</f>
        <v>97682</v>
      </c>
      <c r="L25" s="163">
        <f>ROUND($H$25*L20,0)</f>
        <v>35402</v>
      </c>
      <c r="M25" s="164">
        <f>SUM(J25:L25)</f>
        <v>366864</v>
      </c>
    </row>
    <row r="26" spans="1:14">
      <c r="A26" s="173">
        <v>17</v>
      </c>
      <c r="B26" s="162"/>
      <c r="C26" s="134"/>
      <c r="D26" s="134"/>
      <c r="E26" s="134"/>
      <c r="F26" s="134"/>
      <c r="G26" s="134"/>
      <c r="H26" s="134"/>
      <c r="I26" s="160"/>
      <c r="J26" s="160"/>
      <c r="K26" s="160"/>
      <c r="L26" s="160"/>
      <c r="M26" s="161"/>
    </row>
    <row r="27" spans="1:14">
      <c r="A27" s="173">
        <v>18</v>
      </c>
      <c r="B27" s="162" t="s">
        <v>83</v>
      </c>
      <c r="C27" s="134"/>
      <c r="D27" s="134"/>
      <c r="E27" s="134"/>
      <c r="F27" s="134"/>
      <c r="G27" s="134"/>
      <c r="H27" s="134"/>
      <c r="I27" s="160"/>
      <c r="J27" s="160"/>
      <c r="K27" s="160"/>
      <c r="L27" s="160"/>
      <c r="M27" s="161"/>
    </row>
    <row r="28" spans="1:14">
      <c r="A28" s="173">
        <v>19</v>
      </c>
      <c r="B28" s="162">
        <v>408170</v>
      </c>
      <c r="C28" s="130">
        <f>+(C14/C16)*C22</f>
        <v>2356231.4566043918</v>
      </c>
      <c r="D28" s="130">
        <f>+(D14/D16)*D22</f>
        <v>1470047.6900000002</v>
      </c>
      <c r="E28" s="130"/>
      <c r="F28" s="130">
        <f>+(F14/F16)*F22</f>
        <v>3184144.1200000006</v>
      </c>
      <c r="G28" s="130"/>
      <c r="H28" s="130">
        <f>SUM(C28:F28)</f>
        <v>7010423.2666043919</v>
      </c>
      <c r="I28" s="160"/>
      <c r="J28" s="153">
        <f>C28</f>
        <v>2356231.4566043918</v>
      </c>
      <c r="K28" s="153">
        <f>D28</f>
        <v>1470047.6900000002</v>
      </c>
      <c r="L28" s="153">
        <f>F28</f>
        <v>3184144.1200000006</v>
      </c>
      <c r="M28" s="165">
        <f>SUM(J28:L28)</f>
        <v>7010423.2666043919</v>
      </c>
    </row>
    <row r="29" spans="1:14">
      <c r="A29" s="173">
        <v>20</v>
      </c>
      <c r="B29" s="162"/>
      <c r="C29" s="134"/>
      <c r="D29" s="134"/>
      <c r="E29" s="134"/>
      <c r="F29" s="134"/>
      <c r="G29" s="134"/>
      <c r="H29" s="134"/>
      <c r="I29" s="160"/>
      <c r="J29" s="160"/>
      <c r="K29" s="160"/>
      <c r="L29" s="160"/>
      <c r="M29" s="161"/>
    </row>
    <row r="30" spans="1:14" ht="13.8" thickBot="1">
      <c r="A30" s="173">
        <v>21</v>
      </c>
      <c r="B30" s="166"/>
      <c r="C30" s="132">
        <f>SUM(C25:C28)</f>
        <v>2723096.0382527304</v>
      </c>
      <c r="D30" s="132">
        <f>SUM(D25:D28)</f>
        <v>1470047.6900000002</v>
      </c>
      <c r="E30" s="132"/>
      <c r="F30" s="132">
        <f>SUM(F25:F28)</f>
        <v>3184144.1200000006</v>
      </c>
      <c r="G30" s="132">
        <f>SUM(G25:G28)</f>
        <v>0</v>
      </c>
      <c r="H30" s="132">
        <f>SUM(H25:H28)</f>
        <v>7377287.8482527304</v>
      </c>
      <c r="I30" s="132"/>
      <c r="J30" s="132">
        <f>SUM(J25:J28)</f>
        <v>2590011.4566043918</v>
      </c>
      <c r="K30" s="132">
        <f>SUM(K25:K28)</f>
        <v>1567729.6900000002</v>
      </c>
      <c r="L30" s="132">
        <f>SUM(L25:L28)</f>
        <v>3219546.1200000006</v>
      </c>
      <c r="M30" s="137">
        <f>SUM(M25:M28)</f>
        <v>7377287.2666043919</v>
      </c>
      <c r="N30" s="179"/>
    </row>
    <row r="31" spans="1:14" ht="13.8" thickBot="1">
      <c r="A31" s="173">
        <v>22</v>
      </c>
      <c r="B31" s="166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72"/>
    </row>
    <row r="32" spans="1:14" ht="13.8" thickBot="1">
      <c r="A32" s="173">
        <v>23</v>
      </c>
    </row>
    <row r="33" spans="1:14">
      <c r="A33" s="173">
        <v>24</v>
      </c>
      <c r="B33" s="168" t="s">
        <v>74</v>
      </c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9"/>
    </row>
    <row r="34" spans="1:14">
      <c r="A34" s="173">
        <v>25</v>
      </c>
      <c r="B34" s="162" t="s">
        <v>85</v>
      </c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1"/>
    </row>
    <row r="35" spans="1:14">
      <c r="A35" s="173">
        <v>26</v>
      </c>
      <c r="B35" s="162">
        <v>408190</v>
      </c>
      <c r="C35" s="134">
        <f>C25-C11</f>
        <v>36647.581648338703</v>
      </c>
      <c r="D35" s="134">
        <f>D25-D11</f>
        <v>0</v>
      </c>
      <c r="E35" s="134">
        <f>E25-E11</f>
        <v>0</v>
      </c>
      <c r="F35" s="134">
        <f>F25-F11</f>
        <v>0</v>
      </c>
      <c r="G35" s="134">
        <f>G25-G11</f>
        <v>0</v>
      </c>
      <c r="H35" s="134">
        <f>SUM(C35:G35)</f>
        <v>36647.581648338703</v>
      </c>
      <c r="I35" s="160"/>
      <c r="J35" s="134">
        <f>J25-J11</f>
        <v>23353</v>
      </c>
      <c r="K35" s="134">
        <f>K25-K11</f>
        <v>9758</v>
      </c>
      <c r="L35" s="134">
        <f>L25-L11</f>
        <v>3536</v>
      </c>
      <c r="M35" s="164">
        <f>SUM(J35:L35)</f>
        <v>36647</v>
      </c>
    </row>
    <row r="36" spans="1:14">
      <c r="A36" s="173">
        <v>27</v>
      </c>
      <c r="B36" s="162"/>
      <c r="C36" s="134"/>
      <c r="D36" s="134"/>
      <c r="E36" s="134"/>
      <c r="F36" s="134"/>
      <c r="G36" s="134"/>
      <c r="H36" s="134"/>
      <c r="I36" s="160"/>
      <c r="J36" s="160"/>
      <c r="K36" s="160"/>
      <c r="L36" s="160"/>
      <c r="M36" s="161"/>
    </row>
    <row r="37" spans="1:14">
      <c r="A37" s="173">
        <v>28</v>
      </c>
      <c r="B37" s="162" t="s">
        <v>83</v>
      </c>
      <c r="C37" s="134"/>
      <c r="D37" s="134"/>
      <c r="E37" s="134"/>
      <c r="F37" s="134"/>
      <c r="G37" s="134"/>
      <c r="H37" s="134"/>
      <c r="I37" s="160"/>
      <c r="J37" s="160"/>
      <c r="K37" s="160"/>
      <c r="L37" s="160"/>
      <c r="M37" s="161"/>
    </row>
    <row r="38" spans="1:14">
      <c r="A38" s="173">
        <v>29</v>
      </c>
      <c r="B38" s="162">
        <v>408170</v>
      </c>
      <c r="C38" s="130">
        <f>C28-C14</f>
        <v>235373.4566043918</v>
      </c>
      <c r="D38" s="130">
        <f>D28-D14</f>
        <v>-0.30999999982304871</v>
      </c>
      <c r="E38" s="130">
        <f>E28-E14</f>
        <v>0</v>
      </c>
      <c r="F38" s="130">
        <f>F28-F14</f>
        <v>228135.12000000058</v>
      </c>
      <c r="G38" s="130">
        <f>G28-G14</f>
        <v>0</v>
      </c>
      <c r="H38" s="130">
        <f>SUM(C38:G38)</f>
        <v>463508.26660439256</v>
      </c>
      <c r="I38" s="160"/>
      <c r="J38" s="153">
        <f>J28-J14</f>
        <v>235373.4566043918</v>
      </c>
      <c r="K38" s="153">
        <f>K28-K14</f>
        <v>-0.30999999982304871</v>
      </c>
      <c r="L38" s="153">
        <f>L28-L14</f>
        <v>228135.12000000058</v>
      </c>
      <c r="M38" s="165">
        <f>SUM(J38:L38)</f>
        <v>463508.26660439256</v>
      </c>
    </row>
    <row r="39" spans="1:14" ht="13.8" thickBot="1">
      <c r="A39" s="173">
        <v>30</v>
      </c>
      <c r="B39" s="162"/>
      <c r="C39" s="134"/>
      <c r="D39" s="134"/>
      <c r="E39" s="134"/>
      <c r="F39" s="134"/>
      <c r="G39" s="134"/>
      <c r="H39" s="134"/>
      <c r="I39" s="160"/>
      <c r="J39" s="160"/>
      <c r="K39" s="160"/>
      <c r="L39" s="160"/>
      <c r="M39" s="161"/>
    </row>
    <row r="40" spans="1:14" ht="14.4" thickTop="1" thickBot="1">
      <c r="A40" s="173">
        <v>31</v>
      </c>
      <c r="B40" s="162"/>
      <c r="C40" s="132">
        <f t="shared" ref="C40:H40" si="1">SUM(C35:C38)</f>
        <v>272021.0382527305</v>
      </c>
      <c r="D40" s="132">
        <f t="shared" si="1"/>
        <v>-0.30999999982304871</v>
      </c>
      <c r="E40" s="132">
        <f t="shared" si="1"/>
        <v>0</v>
      </c>
      <c r="F40" s="132">
        <f t="shared" si="1"/>
        <v>228135.12000000058</v>
      </c>
      <c r="G40" s="132">
        <f t="shared" si="1"/>
        <v>0</v>
      </c>
      <c r="H40" s="132">
        <f t="shared" si="1"/>
        <v>500155.84825273126</v>
      </c>
      <c r="I40" s="132"/>
      <c r="J40" s="140">
        <f>SUM(J35:J38)</f>
        <v>258726.4566043918</v>
      </c>
      <c r="K40" s="132">
        <f>SUM(K35:K38)</f>
        <v>9757.690000000177</v>
      </c>
      <c r="L40" s="132">
        <f>SUM(L35:L38)</f>
        <v>231671.12000000058</v>
      </c>
      <c r="M40" s="137">
        <f>SUM(M35:M38)</f>
        <v>500155.26660439256</v>
      </c>
    </row>
    <row r="41" spans="1:14" ht="13.8" thickBot="1">
      <c r="A41" s="173">
        <v>32</v>
      </c>
      <c r="B41" s="166"/>
      <c r="C41" s="169"/>
      <c r="D41" s="169"/>
      <c r="E41" s="169"/>
      <c r="F41" s="169"/>
      <c r="G41" s="169"/>
      <c r="H41" s="170" t="s">
        <v>222</v>
      </c>
      <c r="I41" s="169"/>
      <c r="J41" s="180">
        <f>+'[2]G-RPT'!$I$36</f>
        <v>374926</v>
      </c>
      <c r="K41" s="169"/>
      <c r="L41" s="169"/>
      <c r="M41" s="172"/>
    </row>
    <row r="42" spans="1:14">
      <c r="A42" s="173">
        <v>33</v>
      </c>
      <c r="J42" s="152"/>
    </row>
    <row r="44" spans="1:14">
      <c r="N44" s="179"/>
    </row>
    <row r="54" spans="14:15">
      <c r="N54" s="179"/>
      <c r="O54" s="127"/>
    </row>
    <row r="59" spans="14:15" hidden="1">
      <c r="O59" s="179" t="s">
        <v>95</v>
      </c>
    </row>
    <row r="80" spans="10:10">
      <c r="J80" s="179"/>
    </row>
    <row r="81" spans="10:10">
      <c r="J81" s="152"/>
    </row>
  </sheetData>
  <mergeCells count="2">
    <mergeCell ref="C6:H6"/>
    <mergeCell ref="J6:M6"/>
  </mergeCells>
  <pageMargins left="0.17" right="0.17" top="0.21" bottom="0.33" header="0.3" footer="0.17"/>
  <pageSetup scale="84" orientation="landscape" r:id="rId1"/>
  <headerFooter>
    <oddHeader>&amp;RExh. AIW-2
Dockets UE-170485 / UG-170486
Page &amp;P of 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41"/>
  <sheetViews>
    <sheetView zoomScale="85" zoomScaleNormal="85" workbookViewId="0">
      <selection activeCell="I18" sqref="I18"/>
    </sheetView>
  </sheetViews>
  <sheetFormatPr defaultRowHeight="13.2"/>
  <cols>
    <col min="1" max="1" width="8.88671875" style="65"/>
    <col min="2" max="2" width="18" style="65" customWidth="1"/>
    <col min="3" max="4" width="10.6640625" style="65" bestFit="1" customWidth="1"/>
    <col min="5" max="5" width="8.88671875" style="65"/>
    <col min="6" max="6" width="10.6640625" style="65" bestFit="1" customWidth="1"/>
    <col min="7" max="7" width="8.88671875" style="65"/>
    <col min="8" max="8" width="16.33203125" style="65" bestFit="1" customWidth="1"/>
    <col min="9" max="9" width="8.88671875" style="65"/>
    <col min="10" max="10" width="19.109375" style="65" bestFit="1" customWidth="1"/>
    <col min="11" max="13" width="10.21875" style="65" bestFit="1" customWidth="1"/>
    <col min="14" max="16384" width="8.88671875" style="65"/>
  </cols>
  <sheetData>
    <row r="1" spans="1:13">
      <c r="B1" s="125" t="s">
        <v>216</v>
      </c>
    </row>
    <row r="2" spans="1:13">
      <c r="B2" s="149" t="s">
        <v>215</v>
      </c>
    </row>
    <row r="3" spans="1:13">
      <c r="B3" s="125" t="s">
        <v>227</v>
      </c>
    </row>
    <row r="5" spans="1:13" ht="13.8" thickBot="1">
      <c r="A5" s="173" t="s">
        <v>220</v>
      </c>
      <c r="B5" s="125"/>
      <c r="C5" s="125"/>
      <c r="D5" s="148"/>
      <c r="E5" s="148"/>
      <c r="F5" s="148"/>
      <c r="G5" s="148"/>
      <c r="H5" s="148"/>
      <c r="I5" s="148"/>
      <c r="J5" s="148"/>
      <c r="K5" s="148"/>
      <c r="L5" s="148"/>
      <c r="M5" s="148"/>
    </row>
    <row r="6" spans="1:13" ht="13.8" thickBot="1">
      <c r="A6" s="173" t="s">
        <v>221</v>
      </c>
      <c r="B6" s="176"/>
      <c r="C6" s="187" t="s">
        <v>89</v>
      </c>
      <c r="D6" s="188"/>
      <c r="E6" s="188"/>
      <c r="F6" s="188"/>
      <c r="G6" s="188"/>
      <c r="H6" s="189"/>
      <c r="I6" s="148"/>
      <c r="J6" s="187" t="s">
        <v>75</v>
      </c>
      <c r="K6" s="188"/>
      <c r="L6" s="188"/>
      <c r="M6" s="189"/>
    </row>
    <row r="7" spans="1:13">
      <c r="A7" s="173">
        <v>1</v>
      </c>
      <c r="B7" s="149"/>
      <c r="C7" s="150"/>
      <c r="D7" s="150"/>
      <c r="E7" s="150"/>
      <c r="F7" s="150"/>
      <c r="G7" s="150"/>
      <c r="H7" s="150"/>
      <c r="I7" s="148"/>
      <c r="J7" s="128"/>
      <c r="K7" s="128"/>
      <c r="L7" s="128"/>
      <c r="M7" s="148"/>
    </row>
    <row r="8" spans="1:13" ht="26.4">
      <c r="A8" s="173">
        <v>2</v>
      </c>
      <c r="B8" s="147"/>
      <c r="C8" s="147" t="s">
        <v>76</v>
      </c>
      <c r="D8" s="147" t="s">
        <v>77</v>
      </c>
      <c r="E8" s="147" t="s">
        <v>78</v>
      </c>
      <c r="F8" s="147" t="s">
        <v>79</v>
      </c>
      <c r="G8" s="147" t="s">
        <v>80</v>
      </c>
      <c r="H8" s="147" t="s">
        <v>81</v>
      </c>
      <c r="I8" s="147"/>
      <c r="J8" s="147" t="s">
        <v>76</v>
      </c>
      <c r="K8" s="147" t="s">
        <v>77</v>
      </c>
      <c r="L8" s="147" t="s">
        <v>79</v>
      </c>
      <c r="M8" s="147" t="s">
        <v>81</v>
      </c>
    </row>
    <row r="9" spans="1:13">
      <c r="A9" s="173">
        <v>3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</row>
    <row r="10" spans="1:13">
      <c r="A10" s="173">
        <v>4</v>
      </c>
      <c r="B10" s="151" t="s">
        <v>85</v>
      </c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</row>
    <row r="11" spans="1:13">
      <c r="A11" s="173">
        <v>5</v>
      </c>
      <c r="B11" s="149">
        <v>408190</v>
      </c>
      <c r="C11" s="126">
        <f>+'2.02 Restating-Gas'!C25</f>
        <v>366864.5816483387</v>
      </c>
      <c r="D11" s="126">
        <v>0</v>
      </c>
      <c r="E11" s="126">
        <v>0</v>
      </c>
      <c r="F11" s="126">
        <v>0</v>
      </c>
      <c r="G11" s="126">
        <v>0</v>
      </c>
      <c r="H11" s="152">
        <f>SUM(C11:G11)</f>
        <v>366864.5816483387</v>
      </c>
      <c r="I11" s="174"/>
      <c r="J11" s="152">
        <f>+H11*J20</f>
        <v>233780.25405594395</v>
      </c>
      <c r="K11" s="152">
        <f>+H11*K20</f>
        <v>97681.895463330031</v>
      </c>
      <c r="L11" s="152">
        <f>+H11*L20</f>
        <v>35402.432129064684</v>
      </c>
      <c r="M11" s="152">
        <f>SUM(J11:L11)</f>
        <v>366864.5816483387</v>
      </c>
    </row>
    <row r="12" spans="1:13">
      <c r="A12" s="173">
        <v>6</v>
      </c>
      <c r="B12" s="149"/>
      <c r="C12" s="126"/>
      <c r="D12" s="126"/>
      <c r="E12" s="126"/>
      <c r="F12" s="126"/>
      <c r="G12" s="126"/>
      <c r="H12" s="148"/>
      <c r="I12" s="148"/>
      <c r="J12" s="148"/>
      <c r="K12" s="148"/>
      <c r="L12" s="148"/>
      <c r="M12" s="148"/>
    </row>
    <row r="13" spans="1:13">
      <c r="A13" s="173">
        <v>7</v>
      </c>
      <c r="B13" s="151" t="s">
        <v>83</v>
      </c>
      <c r="C13" s="126"/>
      <c r="D13" s="126"/>
      <c r="E13" s="126"/>
      <c r="F13" s="126"/>
      <c r="G13" s="126"/>
      <c r="H13" s="148"/>
      <c r="I13" s="148"/>
      <c r="J13" s="148"/>
      <c r="K13" s="148"/>
      <c r="L13" s="148"/>
      <c r="M13" s="148"/>
    </row>
    <row r="14" spans="1:13">
      <c r="A14" s="173">
        <v>8</v>
      </c>
      <c r="B14" s="149">
        <v>408170</v>
      </c>
      <c r="C14" s="130">
        <f>+'2.02 Restating-Gas'!C28</f>
        <v>2356231.4566043918</v>
      </c>
      <c r="D14" s="130">
        <f>+'2.02 Restating-Gas'!D28</f>
        <v>1470047.6900000002</v>
      </c>
      <c r="E14" s="130">
        <v>0</v>
      </c>
      <c r="F14" s="130">
        <f>+'2.02 Restating-Gas'!F28</f>
        <v>3184144.1200000006</v>
      </c>
      <c r="G14" s="130">
        <v>0</v>
      </c>
      <c r="H14" s="153">
        <f>SUM(C14:G14)</f>
        <v>7010423.2666043919</v>
      </c>
      <c r="I14" s="148"/>
      <c r="J14" s="153">
        <f>C14</f>
        <v>2356231.4566043918</v>
      </c>
      <c r="K14" s="153">
        <f>D14</f>
        <v>1470047.6900000002</v>
      </c>
      <c r="L14" s="153">
        <f>F14</f>
        <v>3184144.1200000006</v>
      </c>
      <c r="M14" s="153">
        <f>SUM(J14:L14)</f>
        <v>7010423.2666043919</v>
      </c>
    </row>
    <row r="15" spans="1:13">
      <c r="A15" s="173">
        <v>9</v>
      </c>
      <c r="B15" s="149"/>
      <c r="C15" s="126"/>
      <c r="D15" s="126"/>
      <c r="E15" s="126"/>
      <c r="F15" s="126"/>
      <c r="G15" s="126"/>
      <c r="H15" s="148"/>
      <c r="I15" s="148"/>
      <c r="J15" s="148"/>
      <c r="K15" s="148"/>
      <c r="L15" s="148"/>
      <c r="M15" s="148"/>
    </row>
    <row r="16" spans="1:13" ht="13.8" thickBot="1">
      <c r="A16" s="173">
        <v>10</v>
      </c>
      <c r="B16" s="151" t="s">
        <v>82</v>
      </c>
      <c r="C16" s="132">
        <f t="shared" ref="C16:H16" si="0">SUM(C11:C14)</f>
        <v>2723096.0382527304</v>
      </c>
      <c r="D16" s="132">
        <f t="shared" si="0"/>
        <v>1470047.6900000002</v>
      </c>
      <c r="E16" s="132">
        <f t="shared" si="0"/>
        <v>0</v>
      </c>
      <c r="F16" s="132">
        <f t="shared" si="0"/>
        <v>3184144.1200000006</v>
      </c>
      <c r="G16" s="132">
        <f t="shared" si="0"/>
        <v>0</v>
      </c>
      <c r="H16" s="132">
        <f t="shared" si="0"/>
        <v>7377287.8482527304</v>
      </c>
      <c r="I16" s="132"/>
      <c r="J16" s="132">
        <f>SUM(J11:J14)</f>
        <v>2590011.7106603356</v>
      </c>
      <c r="K16" s="132">
        <f>SUM(K11:K14)</f>
        <v>1567729.5854633301</v>
      </c>
      <c r="L16" s="132">
        <f>SUM(L11:L14)</f>
        <v>3219546.5521290652</v>
      </c>
      <c r="M16" s="132">
        <f>SUM(M11:M14)</f>
        <v>7377287.8482527304</v>
      </c>
    </row>
    <row r="17" spans="1:13" ht="13.8">
      <c r="A17" s="173">
        <v>11</v>
      </c>
      <c r="B17" s="154" t="s">
        <v>214</v>
      </c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>
      <c r="A18" s="173">
        <v>12</v>
      </c>
      <c r="B18" s="149"/>
      <c r="C18" s="148"/>
      <c r="D18" s="148"/>
      <c r="E18" s="148"/>
      <c r="F18" s="148"/>
      <c r="G18" s="148"/>
      <c r="H18" s="148"/>
      <c r="I18" s="174"/>
      <c r="J18" s="175" t="s">
        <v>84</v>
      </c>
      <c r="K18" s="148"/>
      <c r="L18" s="148"/>
      <c r="M18" s="148"/>
    </row>
    <row r="19" spans="1:13">
      <c r="A19" s="173">
        <v>13</v>
      </c>
      <c r="B19" s="149"/>
      <c r="C19" s="148"/>
      <c r="D19" s="148"/>
      <c r="E19" s="148"/>
      <c r="F19" s="148"/>
      <c r="G19" s="148"/>
      <c r="H19" s="148"/>
      <c r="I19" s="148"/>
      <c r="J19" s="147" t="s">
        <v>76</v>
      </c>
      <c r="K19" s="147" t="s">
        <v>77</v>
      </c>
      <c r="L19" s="147" t="s">
        <v>79</v>
      </c>
      <c r="M19" s="148"/>
    </row>
    <row r="20" spans="1:13">
      <c r="A20" s="173">
        <v>14</v>
      </c>
      <c r="B20" s="149"/>
      <c r="C20" s="148"/>
      <c r="D20" s="148"/>
      <c r="E20" s="148"/>
      <c r="F20" s="148"/>
      <c r="G20" s="148"/>
      <c r="H20" s="148"/>
      <c r="I20" s="148"/>
      <c r="J20" s="128">
        <f>70.53%*0.9035</f>
        <v>0.63723854999999996</v>
      </c>
      <c r="K20" s="128">
        <f>29.47%*0.9035</f>
        <v>0.26626144999999996</v>
      </c>
      <c r="L20" s="128">
        <f>0.0965</f>
        <v>9.6500000000000002E-2</v>
      </c>
      <c r="M20" s="181">
        <f>SUM(J20:L20)</f>
        <v>1</v>
      </c>
    </row>
    <row r="21" spans="1:13" ht="13.8" thickBot="1">
      <c r="A21" s="173">
        <v>15</v>
      </c>
      <c r="B21" s="176" t="s">
        <v>97</v>
      </c>
      <c r="C21" s="177">
        <v>3323000</v>
      </c>
      <c r="D21" s="177">
        <v>1701000</v>
      </c>
      <c r="E21" s="177">
        <v>0</v>
      </c>
      <c r="F21" s="177">
        <v>3586000</v>
      </c>
      <c r="G21" s="177"/>
      <c r="H21" s="177">
        <v>8610000</v>
      </c>
      <c r="I21" s="148"/>
      <c r="J21" s="128"/>
      <c r="K21" s="128"/>
      <c r="L21" s="128"/>
      <c r="M21" s="148"/>
    </row>
    <row r="22" spans="1:13" ht="27" thickBot="1">
      <c r="A22" s="173">
        <v>16</v>
      </c>
      <c r="B22" s="186" t="s">
        <v>93</v>
      </c>
      <c r="C22" s="133">
        <v>3173466.6663129521</v>
      </c>
      <c r="D22" s="133">
        <v>1782414.5004436173</v>
      </c>
      <c r="E22" s="133">
        <v>0</v>
      </c>
      <c r="F22" s="133">
        <v>3908383.0405804906</v>
      </c>
      <c r="G22" s="133"/>
      <c r="H22" s="133">
        <f>SUM(C22:G22)</f>
        <v>8864264.2073370591</v>
      </c>
      <c r="I22" s="158"/>
      <c r="J22" s="158"/>
      <c r="K22" s="158"/>
      <c r="L22" s="158"/>
      <c r="M22" s="159"/>
    </row>
    <row r="23" spans="1:13">
      <c r="A23" s="173">
        <v>17</v>
      </c>
      <c r="B23" s="162"/>
      <c r="C23" s="163"/>
      <c r="D23" s="163"/>
      <c r="E23" s="163">
        <f>+E21-E22</f>
        <v>0</v>
      </c>
      <c r="F23" s="163"/>
      <c r="G23" s="163">
        <f>+G21-G22</f>
        <v>0</v>
      </c>
      <c r="H23" s="163"/>
      <c r="I23" s="160"/>
      <c r="J23" s="160"/>
      <c r="K23" s="160"/>
      <c r="L23" s="160"/>
      <c r="M23" s="161"/>
    </row>
    <row r="24" spans="1:13">
      <c r="A24" s="173">
        <v>18</v>
      </c>
      <c r="B24" s="162" t="s">
        <v>85</v>
      </c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1"/>
    </row>
    <row r="25" spans="1:13">
      <c r="A25" s="173">
        <v>19</v>
      </c>
      <c r="B25" s="162">
        <v>408190</v>
      </c>
      <c r="C25" s="134">
        <f>C11/C16*C22</f>
        <v>427540.01495256735</v>
      </c>
      <c r="D25" s="134">
        <f>D11/D16*D22</f>
        <v>0</v>
      </c>
      <c r="E25" s="134">
        <v>0</v>
      </c>
      <c r="F25" s="134">
        <f>F11/F16*F22</f>
        <v>0</v>
      </c>
      <c r="G25" s="134">
        <v>0</v>
      </c>
      <c r="H25" s="134">
        <f>SUM(C25:G25)</f>
        <v>427540.01495256735</v>
      </c>
      <c r="I25" s="160"/>
      <c r="J25" s="163">
        <f>+J20*H25</f>
        <v>272444.97919535229</v>
      </c>
      <c r="K25" s="163">
        <f>+K20*H25</f>
        <v>113837.42431429225</v>
      </c>
      <c r="L25" s="163">
        <f>+L20*H25</f>
        <v>41257.611442922753</v>
      </c>
      <c r="M25" s="164">
        <f>SUM(J25:L25)</f>
        <v>427540.01495256729</v>
      </c>
    </row>
    <row r="26" spans="1:13">
      <c r="A26" s="173">
        <v>20</v>
      </c>
      <c r="B26" s="162"/>
      <c r="C26" s="134"/>
      <c r="D26" s="134"/>
      <c r="E26" s="134"/>
      <c r="F26" s="134"/>
      <c r="G26" s="134"/>
      <c r="H26" s="134"/>
      <c r="I26" s="160"/>
      <c r="J26" s="160"/>
      <c r="K26" s="160"/>
      <c r="L26" s="160"/>
      <c r="M26" s="161"/>
    </row>
    <row r="27" spans="1:13">
      <c r="A27" s="173">
        <v>21</v>
      </c>
      <c r="B27" s="162" t="s">
        <v>83</v>
      </c>
      <c r="C27" s="134"/>
      <c r="D27" s="134"/>
      <c r="E27" s="134"/>
      <c r="F27" s="134"/>
      <c r="G27" s="134"/>
      <c r="H27" s="134"/>
      <c r="I27" s="160"/>
      <c r="J27" s="160"/>
      <c r="K27" s="160"/>
      <c r="L27" s="160"/>
      <c r="M27" s="161"/>
    </row>
    <row r="28" spans="1:13">
      <c r="A28" s="173">
        <v>22</v>
      </c>
      <c r="B28" s="162">
        <v>408170</v>
      </c>
      <c r="C28" s="130">
        <f>C14/C16*C22</f>
        <v>2745926.6513603847</v>
      </c>
      <c r="D28" s="130">
        <f>D14/D16*D22</f>
        <v>1782414.5004436173</v>
      </c>
      <c r="E28" s="130">
        <v>0</v>
      </c>
      <c r="F28" s="130">
        <f>F14/F16*F22</f>
        <v>3908383.0405804906</v>
      </c>
      <c r="G28" s="130">
        <v>0</v>
      </c>
      <c r="H28" s="130">
        <f>SUM(C28:G28)</f>
        <v>8436724.1923844926</v>
      </c>
      <c r="I28" s="160"/>
      <c r="J28" s="153">
        <f>+C28</f>
        <v>2745926.6513603847</v>
      </c>
      <c r="K28" s="153">
        <f>+D28</f>
        <v>1782414.5004436173</v>
      </c>
      <c r="L28" s="153">
        <f>+F28</f>
        <v>3908383.0405804906</v>
      </c>
      <c r="M28" s="165">
        <f>SUM(J28:L28)</f>
        <v>8436724.1923844926</v>
      </c>
    </row>
    <row r="29" spans="1:13">
      <c r="A29" s="173">
        <v>23</v>
      </c>
      <c r="B29" s="162"/>
      <c r="C29" s="134"/>
      <c r="D29" s="134"/>
      <c r="E29" s="134"/>
      <c r="F29" s="134"/>
      <c r="G29" s="134"/>
      <c r="H29" s="134"/>
      <c r="I29" s="160"/>
      <c r="J29" s="160"/>
      <c r="K29" s="160"/>
      <c r="L29" s="160"/>
      <c r="M29" s="161"/>
    </row>
    <row r="30" spans="1:13" ht="13.8" thickBot="1">
      <c r="A30" s="173">
        <v>24</v>
      </c>
      <c r="B30" s="166"/>
      <c r="C30" s="132">
        <f t="shared" ref="C30:H30" si="1">SUM(C25:C28)</f>
        <v>3173466.6663129521</v>
      </c>
      <c r="D30" s="132">
        <f t="shared" si="1"/>
        <v>1782414.5004436173</v>
      </c>
      <c r="E30" s="132">
        <f t="shared" si="1"/>
        <v>0</v>
      </c>
      <c r="F30" s="132">
        <f t="shared" si="1"/>
        <v>3908383.0405804906</v>
      </c>
      <c r="G30" s="132">
        <f t="shared" si="1"/>
        <v>0</v>
      </c>
      <c r="H30" s="132">
        <f t="shared" si="1"/>
        <v>8864264.2073370591</v>
      </c>
      <c r="I30" s="132"/>
      <c r="J30" s="132">
        <f>SUM(J25:J28)</f>
        <v>3018371.6305557368</v>
      </c>
      <c r="K30" s="132">
        <f>SUM(K25:K28)</f>
        <v>1896251.9247579095</v>
      </c>
      <c r="L30" s="132">
        <f>SUM(L25:L28)</f>
        <v>3949640.6520234132</v>
      </c>
      <c r="M30" s="137">
        <f>SUM(M25:M28)</f>
        <v>8864264.2073370591</v>
      </c>
    </row>
    <row r="31" spans="1:13" ht="13.8" thickBot="1">
      <c r="A31" s="173">
        <v>25</v>
      </c>
      <c r="B31" s="166"/>
      <c r="C31" s="169"/>
      <c r="D31" s="169"/>
      <c r="E31" s="169"/>
      <c r="F31" s="169"/>
      <c r="G31" s="169"/>
      <c r="H31" s="182">
        <f>+H30-H16</f>
        <v>1486976.3590843286</v>
      </c>
      <c r="I31" s="169"/>
      <c r="J31" s="183">
        <f>+J30/H30</f>
        <v>0.34051011566841544</v>
      </c>
      <c r="K31" s="183">
        <f>+K30/H30</f>
        <v>0.21392096178590422</v>
      </c>
      <c r="L31" s="183">
        <f>+L30/H30</f>
        <v>0.44556892254568042</v>
      </c>
      <c r="M31" s="172"/>
    </row>
    <row r="32" spans="1:13" ht="13.8" thickBot="1">
      <c r="A32" s="173">
        <v>26</v>
      </c>
      <c r="B32" s="149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>
      <c r="A33" s="173">
        <v>27</v>
      </c>
      <c r="B33" s="168" t="s">
        <v>74</v>
      </c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9"/>
    </row>
    <row r="34" spans="1:13">
      <c r="A34" s="173">
        <v>28</v>
      </c>
      <c r="B34" s="162" t="s">
        <v>85</v>
      </c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1"/>
    </row>
    <row r="35" spans="1:13">
      <c r="A35" s="173">
        <v>29</v>
      </c>
      <c r="B35" s="162">
        <v>408190</v>
      </c>
      <c r="C35" s="134">
        <f>C25-C11</f>
        <v>60675.433304228645</v>
      </c>
      <c r="D35" s="134">
        <f>D25-D11</f>
        <v>0</v>
      </c>
      <c r="E35" s="134">
        <f>E25-E11</f>
        <v>0</v>
      </c>
      <c r="F35" s="134">
        <f>F25-F11</f>
        <v>0</v>
      </c>
      <c r="G35" s="134">
        <f>G25-G11</f>
        <v>0</v>
      </c>
      <c r="H35" s="134">
        <f>SUM(C35:G35)</f>
        <v>60675.433304228645</v>
      </c>
      <c r="I35" s="160"/>
      <c r="J35" s="134">
        <f>J25-J11</f>
        <v>38664.725139408343</v>
      </c>
      <c r="K35" s="134">
        <f>K25-K11</f>
        <v>16155.528850962219</v>
      </c>
      <c r="L35" s="134">
        <f>L25-L11</f>
        <v>5855.1793138580688</v>
      </c>
      <c r="M35" s="164">
        <f>SUM(J35:L35)</f>
        <v>60675.433304228631</v>
      </c>
    </row>
    <row r="36" spans="1:13">
      <c r="A36" s="173">
        <v>30</v>
      </c>
      <c r="B36" s="162"/>
      <c r="C36" s="134"/>
      <c r="D36" s="134"/>
      <c r="E36" s="134"/>
      <c r="F36" s="134"/>
      <c r="G36" s="134"/>
      <c r="H36" s="134"/>
      <c r="I36" s="160"/>
      <c r="J36" s="160"/>
      <c r="K36" s="160"/>
      <c r="L36" s="160"/>
      <c r="M36" s="161"/>
    </row>
    <row r="37" spans="1:13">
      <c r="A37" s="173">
        <v>31</v>
      </c>
      <c r="B37" s="162" t="s">
        <v>83</v>
      </c>
      <c r="C37" s="134"/>
      <c r="D37" s="134"/>
      <c r="E37" s="134"/>
      <c r="F37" s="134"/>
      <c r="G37" s="134"/>
      <c r="H37" s="134"/>
      <c r="I37" s="160"/>
      <c r="J37" s="160"/>
      <c r="K37" s="160"/>
      <c r="L37" s="160"/>
      <c r="M37" s="161"/>
    </row>
    <row r="38" spans="1:13">
      <c r="A38" s="173">
        <v>32</v>
      </c>
      <c r="B38" s="162">
        <v>408170</v>
      </c>
      <c r="C38" s="130">
        <f>C28-C14</f>
        <v>389695.19475599285</v>
      </c>
      <c r="D38" s="130">
        <f>D28-D14</f>
        <v>312366.81044361717</v>
      </c>
      <c r="E38" s="130">
        <f>E28-E14</f>
        <v>0</v>
      </c>
      <c r="F38" s="130">
        <f>F28-F14</f>
        <v>724238.92058049003</v>
      </c>
      <c r="G38" s="130">
        <f>G28-G14</f>
        <v>0</v>
      </c>
      <c r="H38" s="130">
        <f>SUM(C38:G38)</f>
        <v>1426300.9257801</v>
      </c>
      <c r="I38" s="160"/>
      <c r="J38" s="153">
        <f>J28-J14</f>
        <v>389695.19475599285</v>
      </c>
      <c r="K38" s="153">
        <f>K28-K14</f>
        <v>312366.81044361717</v>
      </c>
      <c r="L38" s="153">
        <f>L28-L14</f>
        <v>724238.92058049003</v>
      </c>
      <c r="M38" s="165">
        <f>SUM(J38:L38)</f>
        <v>1426300.9257801</v>
      </c>
    </row>
    <row r="39" spans="1:13" ht="13.8" thickBot="1">
      <c r="A39" s="173">
        <v>33</v>
      </c>
      <c r="B39" s="162"/>
      <c r="C39" s="134"/>
      <c r="D39" s="134"/>
      <c r="E39" s="134"/>
      <c r="F39" s="134"/>
      <c r="G39" s="134"/>
      <c r="H39" s="134"/>
      <c r="I39" s="160"/>
      <c r="J39" s="160"/>
      <c r="K39" s="160"/>
      <c r="L39" s="160"/>
      <c r="M39" s="161"/>
    </row>
    <row r="40" spans="1:13" ht="14.4" thickTop="1" thickBot="1">
      <c r="A40" s="173">
        <v>34</v>
      </c>
      <c r="B40" s="162"/>
      <c r="C40" s="132">
        <f t="shared" ref="C40:H40" si="2">SUM(C35:C38)</f>
        <v>450370.6280602215</v>
      </c>
      <c r="D40" s="132">
        <f t="shared" si="2"/>
        <v>312366.81044361717</v>
      </c>
      <c r="E40" s="132">
        <f t="shared" si="2"/>
        <v>0</v>
      </c>
      <c r="F40" s="132">
        <f t="shared" si="2"/>
        <v>724238.92058049003</v>
      </c>
      <c r="G40" s="132">
        <f t="shared" si="2"/>
        <v>0</v>
      </c>
      <c r="H40" s="132">
        <f t="shared" si="2"/>
        <v>1486976.3590843286</v>
      </c>
      <c r="I40" s="132"/>
      <c r="J40" s="140">
        <f>SUM(J35:J38)</f>
        <v>428359.91989540122</v>
      </c>
      <c r="K40" s="132">
        <f>SUM(K35:K38)</f>
        <v>328522.3392945794</v>
      </c>
      <c r="L40" s="132">
        <f>SUM(L35:L38)</f>
        <v>730094.09989434807</v>
      </c>
      <c r="M40" s="137">
        <f>SUM(M35:M38)</f>
        <v>1486976.3590843286</v>
      </c>
    </row>
    <row r="41" spans="1:13" ht="13.8" thickBot="1">
      <c r="A41" s="173">
        <v>35</v>
      </c>
      <c r="B41" s="166"/>
      <c r="C41" s="169"/>
      <c r="D41" s="169"/>
      <c r="E41" s="169"/>
      <c r="F41" s="169"/>
      <c r="G41" s="169"/>
      <c r="H41" s="170" t="s">
        <v>97</v>
      </c>
      <c r="I41" s="169"/>
      <c r="J41" s="180">
        <v>475932</v>
      </c>
      <c r="K41" s="169"/>
      <c r="L41" s="169"/>
      <c r="M41" s="172"/>
    </row>
  </sheetData>
  <mergeCells count="2">
    <mergeCell ref="C6:H6"/>
    <mergeCell ref="J6:M6"/>
  </mergeCells>
  <pageMargins left="0.17" right="0.17" top="0.21" bottom="0.33" header="0.3" footer="0.17"/>
  <pageSetup scale="91" orientation="landscape" r:id="rId1"/>
  <headerFooter>
    <oddHeader>&amp;RExh. AIW-2
Dockets UE-170485 / UG-170486
Page &amp;P of 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workbookViewId="0"/>
  </sheetViews>
  <sheetFormatPr defaultRowHeight="13.2"/>
  <sheetData>
    <row r="1" spans="1:9">
      <c r="A1" t="s">
        <v>0</v>
      </c>
      <c r="B1" t="s">
        <v>10</v>
      </c>
      <c r="C1" t="s">
        <v>19</v>
      </c>
      <c r="D1" t="s">
        <v>28</v>
      </c>
      <c r="E1" t="s">
        <v>37</v>
      </c>
      <c r="F1" t="s">
        <v>46</v>
      </c>
      <c r="G1" t="s">
        <v>55</v>
      </c>
      <c r="H1" t="s">
        <v>64</v>
      </c>
      <c r="I1" t="s">
        <v>73</v>
      </c>
    </row>
    <row r="8" spans="1:9">
      <c r="A8" t="s">
        <v>1</v>
      </c>
      <c r="B8" t="s">
        <v>11</v>
      </c>
      <c r="C8" t="s">
        <v>20</v>
      </c>
      <c r="D8" t="s">
        <v>29</v>
      </c>
      <c r="E8" t="s">
        <v>38</v>
      </c>
      <c r="F8" t="s">
        <v>47</v>
      </c>
      <c r="G8" t="s">
        <v>56</v>
      </c>
      <c r="H8" t="s">
        <v>65</v>
      </c>
    </row>
    <row r="15" spans="1:9">
      <c r="A15" t="s">
        <v>2</v>
      </c>
      <c r="B15" t="s">
        <v>12</v>
      </c>
      <c r="C15" t="s">
        <v>21</v>
      </c>
      <c r="D15" t="s">
        <v>30</v>
      </c>
      <c r="E15" t="s">
        <v>39</v>
      </c>
      <c r="F15" t="s">
        <v>48</v>
      </c>
      <c r="G15" t="s">
        <v>57</v>
      </c>
      <c r="H15" t="s">
        <v>66</v>
      </c>
    </row>
    <row r="22" spans="1:8">
      <c r="A22" t="s">
        <v>3</v>
      </c>
      <c r="B22" t="s">
        <v>13</v>
      </c>
      <c r="C22" t="s">
        <v>22</v>
      </c>
      <c r="D22" t="s">
        <v>31</v>
      </c>
      <c r="E22" t="s">
        <v>40</v>
      </c>
      <c r="F22" t="s">
        <v>49</v>
      </c>
      <c r="G22" t="s">
        <v>58</v>
      </c>
      <c r="H22" t="s">
        <v>67</v>
      </c>
    </row>
    <row r="29" spans="1:8">
      <c r="A29" t="s">
        <v>4</v>
      </c>
      <c r="B29" t="s">
        <v>14</v>
      </c>
      <c r="C29" t="s">
        <v>23</v>
      </c>
      <c r="D29" t="s">
        <v>32</v>
      </c>
      <c r="E29" t="s">
        <v>41</v>
      </c>
      <c r="F29" t="s">
        <v>50</v>
      </c>
      <c r="G29" t="s">
        <v>59</v>
      </c>
      <c r="H29" t="s">
        <v>68</v>
      </c>
    </row>
    <row r="36" spans="1:8">
      <c r="A36" t="s">
        <v>5</v>
      </c>
      <c r="B36" t="s">
        <v>15</v>
      </c>
      <c r="C36" t="s">
        <v>24</v>
      </c>
      <c r="D36" t="s">
        <v>33</v>
      </c>
      <c r="E36" t="s">
        <v>42</v>
      </c>
      <c r="F36" t="s">
        <v>51</v>
      </c>
      <c r="G36" t="s">
        <v>60</v>
      </c>
      <c r="H36" t="s">
        <v>69</v>
      </c>
    </row>
    <row r="43" spans="1:8">
      <c r="A43" t="s">
        <v>6</v>
      </c>
      <c r="B43" t="s">
        <v>16</v>
      </c>
      <c r="C43" t="s">
        <v>25</v>
      </c>
      <c r="D43" t="s">
        <v>34</v>
      </c>
      <c r="E43" t="s">
        <v>43</v>
      </c>
      <c r="F43" t="s">
        <v>52</v>
      </c>
      <c r="G43" t="s">
        <v>61</v>
      </c>
      <c r="H43" t="s">
        <v>70</v>
      </c>
    </row>
    <row r="50" spans="1:8">
      <c r="A50" t="s">
        <v>7</v>
      </c>
      <c r="B50" t="s">
        <v>17</v>
      </c>
      <c r="C50" t="s">
        <v>26</v>
      </c>
      <c r="D50" t="s">
        <v>35</v>
      </c>
      <c r="E50" t="s">
        <v>44</v>
      </c>
      <c r="F50" t="s">
        <v>53</v>
      </c>
      <c r="G50" t="s">
        <v>62</v>
      </c>
      <c r="H50" t="s">
        <v>71</v>
      </c>
    </row>
    <row r="57" spans="1:8">
      <c r="A57" t="s">
        <v>8</v>
      </c>
      <c r="B57" t="s">
        <v>18</v>
      </c>
      <c r="C57" t="s">
        <v>27</v>
      </c>
      <c r="D57" t="s">
        <v>36</v>
      </c>
      <c r="E57" t="s">
        <v>45</v>
      </c>
      <c r="F57" t="s">
        <v>54</v>
      </c>
      <c r="G57" t="s">
        <v>63</v>
      </c>
      <c r="H57" t="s">
        <v>72</v>
      </c>
    </row>
    <row r="85" spans="3:8">
      <c r="D85" t="s">
        <v>9</v>
      </c>
    </row>
    <row r="87" spans="3:8">
      <c r="C87" t="s">
        <v>9</v>
      </c>
    </row>
    <row r="89" spans="3:8">
      <c r="E89" t="s">
        <v>9</v>
      </c>
      <c r="G89" t="s">
        <v>9</v>
      </c>
      <c r="H89" t="s">
        <v>9</v>
      </c>
    </row>
    <row r="95" spans="3:8">
      <c r="F95" t="s">
        <v>9</v>
      </c>
    </row>
    <row r="97" spans="1:2">
      <c r="A97" t="s">
        <v>9</v>
      </c>
      <c r="B97" t="s">
        <v>9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93D7BF2DB2434CBA4573E3DBB11230" ma:contentTypeVersion="104" ma:contentTypeDescription="" ma:contentTypeScope="" ma:versionID="3f6ae32ccc8da311cb75f5903f0a79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2017-05-26T07:00:00+00:00</OpenedDate>
    <Date1 xmlns="dc463f71-b30c-4ab2-9473-d307f9d35888">2017-10-27T07:00:00+00:00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170485</DocketNumber>
    <DelegatedOrder xmlns="dc463f71-b30c-4ab2-9473-d307f9d35888">false</DelegatedOrder>
    <SignificantOrder xmlns="dc463f71-b30c-4ab2-9473-d307f9d35888">false</Significant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B5CF6160-EFD5-435A-8714-FA52597617BD}"/>
</file>

<file path=customXml/itemProps2.xml><?xml version="1.0" encoding="utf-8"?>
<ds:datastoreItem xmlns:ds="http://schemas.openxmlformats.org/officeDocument/2006/customXml" ds:itemID="{6581DFA3-503F-4401-85DF-A45DDE6F563B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24f70c62-691b-492e-ba59-9d389529a97e"/>
    <ds:schemaRef ds:uri="http://schemas.openxmlformats.org/package/2006/metadata/core-properties"/>
    <ds:schemaRef ds:uri="http://schemas.microsoft.com/office/2006/documentManagement/types"/>
    <ds:schemaRef ds:uri="http://schemas.microsoft.com/sharepoint/v3/field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BDABD2F-FA2C-4B45-8F44-5A15ED2A074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EE8BE6B-B465-49D3-B61C-0A611EC4AE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79</vt:i4>
      </vt:variant>
    </vt:vector>
  </HeadingPairs>
  <TitlesOfParts>
    <vt:vector size="87" baseType="lpstr">
      <vt:lpstr>2.02 Restate-Elec Lead Sheet</vt:lpstr>
      <vt:lpstr>3.06 Proforma-Elec Lead Sheet</vt:lpstr>
      <vt:lpstr>2.02 Restate-Gas Lead Sheet</vt:lpstr>
      <vt:lpstr>3.06 Proforma-Gas Lead Sheet</vt:lpstr>
      <vt:lpstr> 2.02 Restating-Electric</vt:lpstr>
      <vt:lpstr>3.06 Pro Forma-Electric</vt:lpstr>
      <vt:lpstr>2.02 Restating-Gas</vt:lpstr>
      <vt:lpstr>3.06 Pro Forma-Gas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Macro64</vt:lpstr>
      <vt:lpstr>Macro65</vt:lpstr>
      <vt:lpstr>Macro66</vt:lpstr>
      <vt:lpstr>Macro67</vt:lpstr>
      <vt:lpstr>Macro68</vt:lpstr>
      <vt:lpstr>Macro69</vt:lpstr>
      <vt:lpstr>Macro7</vt:lpstr>
      <vt:lpstr>Macro70</vt:lpstr>
      <vt:lpstr>Macro71</vt:lpstr>
      <vt:lpstr>Macro72</vt:lpstr>
      <vt:lpstr>Macro8</vt:lpstr>
      <vt:lpstr>Macro9</vt:lpstr>
      <vt:lpstr>' 2.02 Restating-Electric'!Print_Area</vt:lpstr>
      <vt:lpstr>'2.02 Restate-Elec Lead Sheet'!Print_Area</vt:lpstr>
      <vt:lpstr>'2.02 Restate-Gas Lead Sheet'!Print_Area</vt:lpstr>
      <vt:lpstr>'3.06 Pro Forma-Electric'!Print_Area</vt:lpstr>
      <vt:lpstr>'3.06 Proforma-Elec Lead Sheet'!Print_Area</vt:lpstr>
      <vt:lpstr>'3.06 Proforma-Gas Lead Sheet'!Print_Area</vt:lpstr>
      <vt:lpstr>Recover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AIW-2 2.02 Restate Property Tax and 3.06 Pro Forma Property Tax</dc:title>
  <dc:creator>Finesilver, Ryan</dc:creator>
  <dc:description/>
  <cp:lastModifiedBy>White, Amy (UTC)</cp:lastModifiedBy>
  <cp:lastPrinted>2017-10-26T16:17:48Z</cp:lastPrinted>
  <dcterms:created xsi:type="dcterms:W3CDTF">2016-03-10T21:31:20Z</dcterms:created>
  <dcterms:modified xsi:type="dcterms:W3CDTF">2017-10-26T16:25:43Z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0x0101006E56B4D1795A2E4DB2F0B01679ED314A004293D7BF2DB2434CBA4573E3DBB11230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