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HARED\FILINGS\WA\2015 Dockets\UE-152072 2017 Annual Conservation Plan\Commerce Renewable and Conservation Report (6-1-18)\Working Docs\"/>
    </mc:Choice>
  </mc:AlternateContent>
  <bookViews>
    <workbookView xWindow="0" yWindow="0" windowWidth="20490" windowHeight="7620" tabRatio="719"/>
  </bookViews>
  <sheets>
    <sheet name="Background" sheetId="21" r:id="rId1"/>
    <sheet name="Conservation Report" sheetId="18" r:id="rId2"/>
    <sheet name="Prior Report Data" sheetId="25" state="hidden" r:id="rId3"/>
    <sheet name="Data" sheetId="19" state="hidden" r:id="rId4"/>
  </sheets>
  <definedNames>
    <definedName name="CON_2016_Agriculture_Expend">'Conservation Report'!$D$23</definedName>
    <definedName name="CON_2016_Agriculture_MWH">'Conservation Report'!$C$23</definedName>
    <definedName name="CON_2016_Commercial_Expend">'Conservation Report'!$D$21</definedName>
    <definedName name="CON_2016_Commercial_MWH">'Conservation Report'!$C$21</definedName>
    <definedName name="CON_2016_Distribution_Expend">'Conservation Report'!$D$24</definedName>
    <definedName name="CON_2016_Distribution_MWH">'Conservation Report'!$C$24</definedName>
    <definedName name="CON_2016_Expenditures">'Conservation Report'!$D$32</definedName>
    <definedName name="CON_2016_Industrial_Expend">'Conservation Report'!$D$22</definedName>
    <definedName name="CON_2016_Industrial_MWH">'Conservation Report'!$C$22</definedName>
    <definedName name="CON_2016_MWH">'Conservation Report'!$C$32</definedName>
    <definedName name="CON_2016_NEEA_Expend">'Conservation Report'!$D$26</definedName>
    <definedName name="CON_2016_NEEA_MWH">'Conservation Report'!$C$26</definedName>
    <definedName name="CON_2016_OtherSector1_Expend">'Conservation Report'!$D$27</definedName>
    <definedName name="CON_2016_OtherSector1_MWH">'Conservation Report'!$C$27</definedName>
    <definedName name="CON_2016_OtherSector2_Expend">'Conservation Report'!$D$28</definedName>
    <definedName name="CON_2016_OtherSector2_MWH">'Conservation Report'!$C$28</definedName>
    <definedName name="CON_2016_Production_Expend">'Conservation Report'!$D$25</definedName>
    <definedName name="CON_2016_Production_MWH">'Conservation Report'!$C$25</definedName>
    <definedName name="CON_2016_Program1_Expend">'Conservation Report'!$D$30</definedName>
    <definedName name="CON_2016_Program2_Expend">'Conservation Report'!$D$31</definedName>
    <definedName name="CON_2016_Residential_Expend">'Conservation Report'!$D$20</definedName>
    <definedName name="CON_2016_Residential_MWH">'Conservation Report'!$C$20</definedName>
    <definedName name="CON_2017_Agriculture_Expend">'Conservation Report'!$G$23</definedName>
    <definedName name="CON_2017_Agriculture_MWH">'Conservation Report'!$F$23</definedName>
    <definedName name="CON_2017_Commercial_Expend">'Conservation Report'!$G$21</definedName>
    <definedName name="CON_2017_Commercial_MWH">'Conservation Report'!$F$21</definedName>
    <definedName name="CON_2017_Distribution_Expend">'Conservation Report'!$G$24</definedName>
    <definedName name="CON_2017_Distribution_MWH">'Conservation Report'!$F$24</definedName>
    <definedName name="CON_2017_Expenditures">'Conservation Report'!$G$32</definedName>
    <definedName name="CON_2017_Industrial_Expend">'Conservation Report'!$G$22</definedName>
    <definedName name="CON_2017_Industrial_MWH">'Conservation Report'!$F$22</definedName>
    <definedName name="CON_2017_MWH">'Conservation Report'!$F$32</definedName>
    <definedName name="CON_2017_NEEA_Expend">'Conservation Report'!$G$26</definedName>
    <definedName name="CON_2017_NEEA_MWH">'Conservation Report'!$F$26</definedName>
    <definedName name="CON_2017_OtherSector1_Expend">'Conservation Report'!$G$27</definedName>
    <definedName name="CON_2017_OtherSector1_MWH">'Conservation Report'!$F$27</definedName>
    <definedName name="CON_2017_OtherSector2_Expend">'Conservation Report'!$G$28</definedName>
    <definedName name="CON_2017_OtherSector2_MWH">'Conservation Report'!$F$28</definedName>
    <definedName name="CON_2017_Production_Expend">'Conservation Report'!$G$25</definedName>
    <definedName name="CON_2017_Production_MWH">'Conservation Report'!$F$25</definedName>
    <definedName name="CON_2017_Program1_Expend">'Conservation Report'!$G$30</definedName>
    <definedName name="CON_2017_Program2_Expend">'Conservation Report'!$G$31</definedName>
    <definedName name="CON_2017_Residential_Expend">'Conservation Report'!$G$20</definedName>
    <definedName name="CON_2017_Residential_MWH">'Conservation Report'!$F$20</definedName>
    <definedName name="CON_Contact_Name">'Conservation Report'!$B$7</definedName>
    <definedName name="CON_Email">'Conservation Report'!$B$9</definedName>
    <definedName name="CON_Excess_2012_13">'Conservation Report'!$G$10</definedName>
    <definedName name="CON_Excess_2014_15">'Conservation Report'!$G$11</definedName>
    <definedName name="CON_Phone">'Conservation Report'!$B$8</definedName>
    <definedName name="CON_Potential_2016_2025">'Conservation Report'!$A$15</definedName>
    <definedName name="CON_Potential_2018_2027">'Conservation Report'!$C$15</definedName>
    <definedName name="CON_Report_Date">'Conservation Report'!$B$6</definedName>
    <definedName name="CON_Target_2016_2017">'Conservation Report'!$B$15</definedName>
    <definedName name="CON_Target_2018_2019">'Conservation Report'!$D$15</definedName>
    <definedName name="CON_Utility_Name">'Conservation Report'!$B$5</definedName>
    <definedName name="_xlnm.Print_Area" localSheetId="1">'Conservation Report'!$A$3:$I$38</definedName>
    <definedName name="UtilityList">'Prior Report Data'!$A$4:$A$21</definedName>
  </definedNames>
  <calcPr calcId="152511" calcMode="manual"/>
</workbook>
</file>

<file path=xl/calcChain.xml><?xml version="1.0" encoding="utf-8"?>
<calcChain xmlns="http://schemas.openxmlformats.org/spreadsheetml/2006/main">
  <c r="G31" i="18" l="1"/>
  <c r="G30" i="18"/>
  <c r="F26" i="18"/>
  <c r="F23" i="18"/>
  <c r="F22" i="18"/>
  <c r="F21" i="18"/>
  <c r="F20" i="18"/>
  <c r="D31" i="18"/>
  <c r="D30" i="18"/>
  <c r="C26" i="18"/>
  <c r="C23" i="18"/>
  <c r="C22" i="18"/>
  <c r="C21" i="18"/>
  <c r="C20" i="18"/>
  <c r="A15" i="18" l="1"/>
  <c r="B15" i="18"/>
  <c r="BA2" i="19" l="1"/>
  <c r="AX2" i="19"/>
  <c r="A2" i="19" l="1"/>
  <c r="I8" i="18"/>
  <c r="G8" i="18"/>
  <c r="AS2" i="19" l="1"/>
  <c r="W2" i="19"/>
  <c r="E2" i="19"/>
  <c r="AZ2" i="19" l="1"/>
  <c r="AY2" i="19"/>
  <c r="AW2" i="19"/>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32" i="18" l="1"/>
  <c r="AD2" i="19" s="1"/>
  <c r="F32" i="18"/>
  <c r="AG2" i="19" s="1"/>
  <c r="N5" i="21" l="1"/>
  <c r="B34" i="18" l="1"/>
  <c r="D32" i="18" l="1"/>
  <c r="H2" i="19" s="1"/>
  <c r="C32" i="18"/>
  <c r="G9" i="18" s="1"/>
  <c r="G13" i="18" s="1"/>
  <c r="K2" i="19" l="1"/>
</calcChain>
</file>

<file path=xl/sharedStrings.xml><?xml version="1.0" encoding="utf-8"?>
<sst xmlns="http://schemas.openxmlformats.org/spreadsheetml/2006/main" count="145" uniqueCount="134">
  <si>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</si>
  <si>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</si>
  <si>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</si>
  <si>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</si>
  <si>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</si>
  <si>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</si>
  <si>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</si>
  <si>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</si>
  <si>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</si>
  <si>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</si>
  <si>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</si>
  <si>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</si>
  <si>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</si>
  <si>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</si>
  <si>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</si>
  <si>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</si>
  <si>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</si>
  <si>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 xml:space="preserve"> Distribution Efficiency</t>
  </si>
  <si>
    <t xml:space="preserve"> Production Efficiency</t>
  </si>
  <si>
    <t>Wave, Ocean, Tidal</t>
  </si>
  <si>
    <t>Conservation by Sector</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</si>
  <si>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</si>
  <si>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</si>
  <si>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</si>
  <si>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</si>
  <si>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</si>
  <si>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</si>
  <si>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</si>
  <si>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</si>
  <si>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</si>
  <si>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</si>
  <si>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2016 - 2017 Planning</t>
  </si>
  <si>
    <t>2016-2025 Ten Year Potential (MWh)</t>
  </si>
  <si>
    <t>2016 - 2017 Target (MWh)</t>
  </si>
  <si>
    <t>CON_Potential_2016_2025</t>
  </si>
  <si>
    <t>CON_Target_2016_2017</t>
  </si>
  <si>
    <t>Biodiesel</t>
  </si>
  <si>
    <t>Solar</t>
  </si>
  <si>
    <t>Geothermal</t>
  </si>
  <si>
    <t>Biomass</t>
  </si>
  <si>
    <t>Qualified Biomass</t>
  </si>
  <si>
    <t>Notes, including a brief description of the methodology used to establish the utility's ten-year potential and biennial target to capture cost-effective conservation:</t>
  </si>
  <si>
    <t>Enter information in green-shaded fields.</t>
  </si>
  <si>
    <t>Do not modify blue-shaded fields.</t>
  </si>
  <si>
    <r>
      <t>Questions:</t>
    </r>
    <r>
      <rPr>
        <sz val="11"/>
        <color rgb="FF000000"/>
        <rFont val="Arial"/>
        <family val="2"/>
      </rPr>
      <t xml:space="preserve"> Glenn Blackmon, State Energy Office, (360) 725-3115, </t>
    </r>
    <r>
      <rPr>
        <b/>
        <sz val="11"/>
        <color theme="3"/>
        <rFont val="Arial"/>
        <family val="2"/>
      </rPr>
      <t>glenn.blackmon@commerce.wa.gov</t>
    </r>
  </si>
  <si>
    <r>
      <rPr>
        <sz val="12"/>
        <color theme="1"/>
        <rFont val="Arial"/>
        <family val="2"/>
      </rPr>
      <t xml:space="preserve">Energy Independence Act (I-937) </t>
    </r>
    <r>
      <rPr>
        <sz val="12"/>
        <color theme="1"/>
        <rFont val="Arial Black"/>
        <family val="2"/>
      </rPr>
      <t>Conservation Report 2017</t>
    </r>
  </si>
  <si>
    <t>2016 Achievement</t>
  </si>
  <si>
    <t>2017 Achievement</t>
  </si>
  <si>
    <t>Puget Sound Energy</t>
  </si>
  <si>
    <t>Seattle City Light</t>
  </si>
  <si>
    <t>Public Utility District No. 1 of Chelan County</t>
  </si>
  <si>
    <t>CON_2016_Agriculture_Expend</t>
  </si>
  <si>
    <t>CON_2016_Agriculture_MWH</t>
  </si>
  <si>
    <t>CON_2016_Commercial_Expend</t>
  </si>
  <si>
    <t>CON_2016_Commercial_MWH</t>
  </si>
  <si>
    <t>CON_2016_Distribution_Expend</t>
  </si>
  <si>
    <t>CON_2016_Distribution_MWH</t>
  </si>
  <si>
    <t>CON_2016_Expenditures</t>
  </si>
  <si>
    <t>CON_2016_Industrial_Expend</t>
  </si>
  <si>
    <t>CON_2016_Industrial_MWH</t>
  </si>
  <si>
    <t>CON_2016_MWH</t>
  </si>
  <si>
    <t>CON_2016_NEEA_Expend</t>
  </si>
  <si>
    <t>CON_2016_NEEA_MWH</t>
  </si>
  <si>
    <t>CON_2016_OtherSector1_Expend</t>
  </si>
  <si>
    <t>CON_2016_OtherSector1_MWH</t>
  </si>
  <si>
    <t>CON_2016_OtherSector2_Expend</t>
  </si>
  <si>
    <t>CON_2016_OtherSector2_MWH</t>
  </si>
  <si>
    <t>CON_2016_Production_Expend</t>
  </si>
  <si>
    <t>CON_2016_Production_MWH</t>
  </si>
  <si>
    <t>CON_2016_Program1_Expend</t>
  </si>
  <si>
    <t>CON_2016_Program2_Expend</t>
  </si>
  <si>
    <t>CON_2016_Residential_Expend</t>
  </si>
  <si>
    <t>CON_2016_Residential_MWH</t>
  </si>
  <si>
    <t>CON_2017_Agriculture_MWH</t>
  </si>
  <si>
    <t>CON_2017_Commercial_Expend</t>
  </si>
  <si>
    <t>CON_2017_Commercial_MWH</t>
  </si>
  <si>
    <t>CON_2017_Distribution_Expend</t>
  </si>
  <si>
    <t>CON_2017_Distribution_MWH</t>
  </si>
  <si>
    <t>CON_2017_Expenditures</t>
  </si>
  <si>
    <t>CON_2017_Industrial_Expend</t>
  </si>
  <si>
    <t>CON_2017_Industrial_MWH</t>
  </si>
  <si>
    <t>CON_2017_MWH</t>
  </si>
  <si>
    <t>CON_2017_NEEA_Expend</t>
  </si>
  <si>
    <t>CON_2017_NEEA_MWH</t>
  </si>
  <si>
    <t>CON_2017_OtherSector1_Expend</t>
  </si>
  <si>
    <t>CON_2017_OtherSector1_MWH</t>
  </si>
  <si>
    <t>CON_2017_OtherSector2_Expend</t>
  </si>
  <si>
    <t>CON_2017_OtherSector2_MWH</t>
  </si>
  <si>
    <t>CON_2017_Production_Expend</t>
  </si>
  <si>
    <t>CON_2017_Production_MWH</t>
  </si>
  <si>
    <t>CON_2017_Program1_Expend</t>
  </si>
  <si>
    <t>CON_2017_Program2_Expend</t>
  </si>
  <si>
    <t>CON_2017_Residential_Expend</t>
  </si>
  <si>
    <t>CON_2017_Residential_MWH</t>
  </si>
  <si>
    <t>CON_2017_Agriculture_Expend</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</si>
  <si>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</si>
  <si>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</si>
  <si>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</si>
  <si>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</si>
  <si>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</si>
  <si>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</si>
  <si>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</si>
  <si>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</si>
  <si>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</si>
  <si>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</si>
  <si>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</si>
  <si>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</si>
  <si>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</si>
  <si>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</si>
  <si>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</si>
  <si>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t>2018 - 2019 Planning</t>
  </si>
  <si>
    <t>2018-2027 Ten Year Potential (MWh)</t>
  </si>
  <si>
    <t>2018 - 2019 Target (MWh)</t>
  </si>
  <si>
    <t>Summary of Achievement and Targets (MWh)</t>
  </si>
  <si>
    <t>2016-2017</t>
  </si>
  <si>
    <t>2018-2019</t>
  </si>
  <si>
    <t>Biennial</t>
  </si>
  <si>
    <t xml:space="preserve">Target </t>
  </si>
  <si>
    <t>Target</t>
  </si>
  <si>
    <t>Excess from 2012-13</t>
  </si>
  <si>
    <t>Excess from 2014-15</t>
  </si>
  <si>
    <r>
      <t>Deadline:</t>
    </r>
    <r>
      <rPr>
        <sz val="11"/>
        <color rgb="FF000000"/>
        <rFont val="Arial"/>
        <family val="2"/>
      </rPr>
      <t xml:space="preserve"> June 1, 2018</t>
    </r>
  </si>
  <si>
    <r>
      <t xml:space="preserve">Energy Independence Act (I-937) </t>
    </r>
    <r>
      <rPr>
        <sz val="11"/>
        <color rgb="FF000000"/>
        <rFont val="Arial Black"/>
        <family val="2"/>
      </rPr>
      <t>Conservation Report Workbook</t>
    </r>
  </si>
  <si>
    <t>CON_Potential_2018_2027</t>
  </si>
  <si>
    <t>CON_Target_2018_2019</t>
  </si>
  <si>
    <t>(Deductions)</t>
  </si>
  <si>
    <t>Published April 5, 2018</t>
  </si>
  <si>
    <t>Excess (Deficit)</t>
  </si>
  <si>
    <t>(503) 813-6011</t>
  </si>
  <si>
    <t>Cory Scott / Customer Solutions</t>
  </si>
  <si>
    <t>cory.scott@pacificorp.com</t>
  </si>
  <si>
    <t>School Educ &amp; Outreach</t>
  </si>
  <si>
    <t>Evals, Potential Study, System/Measure data support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</si>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</sst>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409]mmmm\ d\,\ yyyy;@"/>
    <numFmt numFmtId="167" formatCode="&quot;$&quot;#,##0"/>
  </numFmts>
  <fonts count="17"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9"/>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b/>
      <sz val="10"/>
      <color rgb="FFFF0000"/>
      <name val="Arial"/>
      <family val="2"/>
    </font>
  </fonts>
  <fills count="8">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25">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style="hair">
        <color indexed="64"/>
      </left>
      <right/>
      <top/>
      <bottom style="thin">
        <color indexed="64"/>
      </bottom>
      <diagonal/>
    </border>
    <border>
      <left/>
      <right/>
      <top style="thin">
        <color indexed="64"/>
      </top>
      <bottom style="medium">
        <color indexed="64"/>
      </bottom>
      <diagonal/>
    </border>
    <border>
      <left style="hair">
        <color indexed="64"/>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style="medium">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85">
    <xf numFmtId="0" fontId="0" fillId="0" borderId="0" xfId="0"/>
    <xf numFmtId="0" fontId="5" fillId="2" borderId="0" xfId="0" applyFont="1" applyFill="1"/>
    <xf numFmtId="0" fontId="5" fillId="2" borderId="0" xfId="0" applyFont="1" applyFill="1" applyAlignment="1">
      <alignment horizontal="right"/>
    </xf>
    <xf numFmtId="0" fontId="8" fillId="2" borderId="0" xfId="0" applyFont="1" applyFill="1" applyBorder="1" applyAlignment="1">
      <alignment horizontal="center" vertical="center" wrapText="1"/>
    </xf>
    <xf numFmtId="0" fontId="1" fillId="2" borderId="7" xfId="0" applyFont="1" applyFill="1" applyBorder="1" applyAlignment="1" applyProtection="1">
      <alignment horizontal="right"/>
    </xf>
    <xf numFmtId="0" fontId="0" fillId="0" borderId="0" xfId="0" applyNumberFormat="1"/>
    <xf numFmtId="0" fontId="13" fillId="4" borderId="0" xfId="0" applyFont="1" applyFill="1" applyBorder="1" applyAlignment="1">
      <alignment vertical="center" wrapText="1"/>
    </xf>
    <xf numFmtId="0" fontId="12" fillId="4" borderId="0" xfId="0" applyFont="1" applyFill="1" applyBorder="1" applyAlignment="1">
      <alignment vertical="center"/>
    </xf>
    <xf numFmtId="0" fontId="13" fillId="6"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3"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6" fillId="6" borderId="7" xfId="0" applyFont="1" applyFill="1" applyBorder="1" applyAlignment="1" applyProtection="1">
      <alignment vertical="center" wrapText="1"/>
      <protection locked="0"/>
    </xf>
    <xf numFmtId="0" fontId="5" fillId="2" borderId="0" xfId="0" applyFont="1" applyFill="1" applyProtection="1"/>
    <xf numFmtId="0" fontId="9"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Alignment="1" applyProtection="1">
      <alignment horizontal="lef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4" xfId="0" applyNumberFormat="1" applyFont="1" applyFill="1" applyBorder="1" applyAlignment="1" applyProtection="1">
      <alignment horizontal="center"/>
    </xf>
    <xf numFmtId="164" fontId="5" fillId="3" borderId="15"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0" fillId="0" borderId="0" xfId="0" applyAlignment="1">
      <alignment horizontal="center" wrapText="1"/>
    </xf>
    <xf numFmtId="0" fontId="6" fillId="0" borderId="2" xfId="0" applyFont="1" applyFill="1" applyBorder="1" applyAlignment="1" applyProtection="1">
      <alignment horizontal="center" wrapText="1"/>
    </xf>
    <xf numFmtId="165" fontId="5" fillId="6" borderId="4" xfId="1" applyNumberFormat="1" applyFont="1" applyFill="1" applyBorder="1" applyAlignment="1" applyProtection="1">
      <alignment horizontal="center"/>
      <protection locked="0"/>
    </xf>
    <xf numFmtId="0" fontId="6" fillId="2" borderId="15" xfId="0" applyFont="1" applyFill="1" applyBorder="1" applyAlignment="1">
      <alignment horizontal="center" wrapText="1"/>
    </xf>
    <xf numFmtId="0" fontId="6" fillId="2" borderId="21" xfId="0" applyFont="1" applyFill="1" applyBorder="1" applyAlignment="1">
      <alignment horizontal="center" wrapText="1"/>
    </xf>
    <xf numFmtId="165" fontId="5" fillId="5" borderId="6" xfId="0" applyNumberFormat="1" applyFont="1" applyFill="1" applyBorder="1" applyAlignment="1">
      <alignment horizontal="center"/>
    </xf>
    <xf numFmtId="165" fontId="5" fillId="5" borderId="6" xfId="1" applyNumberFormat="1" applyFont="1" applyFill="1" applyBorder="1"/>
    <xf numFmtId="165" fontId="6" fillId="6" borderId="1" xfId="1" applyNumberFormat="1" applyFont="1" applyFill="1" applyBorder="1" applyAlignment="1">
      <alignment horizontal="right"/>
    </xf>
    <xf numFmtId="0" fontId="2" fillId="2" borderId="23" xfId="0" applyFont="1" applyFill="1" applyBorder="1" applyAlignment="1">
      <alignment horizontal="center"/>
    </xf>
    <xf numFmtId="0" fontId="5" fillId="0" borderId="23" xfId="0" applyFont="1" applyBorder="1" applyAlignment="1"/>
    <xf numFmtId="0" fontId="6" fillId="2" borderId="0" xfId="0" applyFont="1" applyFill="1" applyAlignment="1">
      <alignment horizontal="center"/>
    </xf>
    <xf numFmtId="0" fontId="1" fillId="2" borderId="0" xfId="0" applyFont="1" applyFill="1" applyAlignment="1">
      <alignment horizontal="right"/>
    </xf>
    <xf numFmtId="165" fontId="5" fillId="5" borderId="12" xfId="1" applyNumberFormat="1" applyFont="1" applyFill="1" applyBorder="1"/>
    <xf numFmtId="165" fontId="5" fillId="5" borderId="20" xfId="0" applyNumberFormat="1" applyFont="1" applyFill="1" applyBorder="1"/>
    <xf numFmtId="165" fontId="5" fillId="5" borderId="9" xfId="1" applyNumberFormat="1" applyFont="1" applyFill="1" applyBorder="1"/>
    <xf numFmtId="165" fontId="5" fillId="5" borderId="24" xfId="1" applyNumberFormat="1" applyFont="1" applyFill="1" applyBorder="1"/>
    <xf numFmtId="165" fontId="5" fillId="6" borderId="9" xfId="1" applyNumberFormat="1" applyFont="1" applyFill="1" applyBorder="1"/>
    <xf numFmtId="166" fontId="12" fillId="0" borderId="0" xfId="0" applyNumberFormat="1" applyFont="1" applyFill="1" applyBorder="1" applyAlignment="1">
      <alignment horizontal="left" vertical="center"/>
    </xf>
    <xf numFmtId="165" fontId="5" fillId="2" borderId="0" xfId="1" applyNumberFormat="1" applyFont="1" applyFill="1"/>
    <xf numFmtId="0" fontId="16" fillId="2" borderId="0" xfId="0" applyFont="1" applyFill="1"/>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5" fillId="2" borderId="20" xfId="0" applyFont="1" applyFill="1" applyBorder="1" applyAlignment="1">
      <alignment horizontal="center"/>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xf numFmtId="0" fontId="13" fillId="6"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6" xfId="0" applyFont="1" applyFill="1" applyBorder="1" applyAlignment="1" applyProtection="1"/>
    <xf numFmtId="0" fontId="5" fillId="2" borderId="0" xfId="0" applyFont="1" applyFill="1" applyBorder="1" applyAlignment="1" applyProtection="1">
      <alignment horizontal="right" wrapText="1"/>
    </xf>
    <xf numFmtId="0" fontId="5" fillId="2" borderId="18" xfId="0" applyFont="1" applyFill="1" applyBorder="1" applyAlignment="1" applyProtection="1">
      <alignment horizontal="right" wrapText="1"/>
    </xf>
    <xf numFmtId="0" fontId="6" fillId="2" borderId="17" xfId="0" applyFont="1" applyFill="1" applyBorder="1" applyAlignment="1" applyProtection="1">
      <alignment horizontal="center"/>
    </xf>
    <xf numFmtId="0" fontId="6" fillId="0" borderId="17" xfId="0" applyFont="1" applyFill="1" applyBorder="1" applyAlignment="1" applyProtection="1">
      <alignment horizontal="center"/>
    </xf>
    <xf numFmtId="0" fontId="6" fillId="6" borderId="12" xfId="0" applyFont="1" applyFill="1" applyBorder="1" applyAlignment="1" applyProtection="1">
      <alignment horizontal="center"/>
      <protection locked="0"/>
    </xf>
    <xf numFmtId="0" fontId="6" fillId="2" borderId="17" xfId="0" applyFont="1" applyFill="1" applyBorder="1" applyAlignment="1">
      <alignment horizontal="center"/>
    </xf>
    <xf numFmtId="0" fontId="6" fillId="2" borderId="19" xfId="0" applyFont="1" applyFill="1" applyBorder="1" applyAlignment="1">
      <alignment horizontal="center"/>
    </xf>
    <xf numFmtId="0" fontId="6" fillId="2" borderId="22"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18</xdr:row>
      <xdr:rowOff>361950</xdr:rowOff>
    </xdr:from>
    <xdr:to>
      <xdr:col>8</xdr:col>
      <xdr:colOff>552450</xdr:colOff>
      <xdr:row>25</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36</xdr:row>
      <xdr:rowOff>352425</xdr:rowOff>
    </xdr:from>
    <xdr:to>
      <xdr:col>8</xdr:col>
      <xdr:colOff>695325</xdr:colOff>
      <xdr:row>54</xdr:row>
      <xdr:rowOff>123825</xdr:rowOff>
    </xdr:to>
    <xdr:sp macro="" textlink="">
      <xdr:nvSpPr>
        <xdr:cNvPr id="2" name="TextBox 1"/>
        <xdr:cNvSpPr txBox="1"/>
      </xdr:nvSpPr>
      <xdr:spPr>
        <a:xfrm>
          <a:off x="38100" y="8401050"/>
          <a:ext cx="8191500" cy="61626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quantities submitted above include all areas of conservation effort and achievement, because the Commerce Conservation Report includes areas of conservation which are not included for target setting at the Washington Utilities and Transportation Commission (WUTC).</a:t>
          </a:r>
        </a:p>
        <a:p>
          <a:r>
            <a:rPr lang="en-US" sz="1100"/>
            <a:t>The target listed in this report, 93,059 MWh aligns with biennial conservation target prior to the deduction of Northwest Energy Efficiency Alliance (NEEA) forecast; the process utilized by the WUTC to establish the biennial conservation target subject to penalty.  On December 17, 2015, the Commission approved a target of 87,814 MWh for the 2016-2017 biennium in Order 01 in Docket UE-152072 in accordance with WAC 480-109-120. The target does not include savings reported by NEEA.     </a:t>
          </a:r>
        </a:p>
        <a:p>
          <a:endParaRPr lang="en-US" sz="1100"/>
        </a:p>
        <a:p>
          <a:r>
            <a:rPr lang="en-US" sz="1100"/>
            <a:t>On September 1, 2016, the Commission issued Order 12 in Docket UE-152253.  Section (7)(4) of the Order specifies, “Pacific Power must increase its annual conservation targets by 2.5 percent for the current 2016-2017 biennium, and by 5 percent per biennium thereafter through the period when decoupling is in effect”  The 2017 Annual Conservation Plan, filing on November 15, 2016 was the first after the order was issued and the target subject to penalty was revised upward by 2.5 percent to 90,009 MWh. The revised target did not include NEEA savings. On January 26, 2017, at an open meeting the Commission took no action, thereby acknowledging the 2017 Annual Conservation Plan and revised target of 90,009 MWh. </a:t>
          </a:r>
        </a:p>
        <a:p>
          <a:endParaRPr lang="en-US" sz="1100"/>
        </a:p>
        <a:p>
          <a:r>
            <a:rPr lang="en-US" sz="1100" b="1"/>
            <a:t>Company achieved conservation (excludes NEEA) of 93,145 MWh exceeds 90,009 MWh revised biennial target approved by WUTC and subject to penalty. </a:t>
          </a:r>
        </a:p>
        <a:p>
          <a:r>
            <a:rPr lang="en-US" sz="1100" b="1"/>
            <a:t>Total achieved conservation (includes NEEA) of 99,109 MWh exceeds 93,059 MWh target tracked by the Washington Department of Commerce.</a:t>
          </a:r>
        </a:p>
        <a:p>
          <a:endParaRPr lang="en-US" sz="1100"/>
        </a:p>
        <a:p>
          <a:r>
            <a:rPr lang="en-US" sz="1100"/>
            <a:t>Brief description of the methodology used to establish the utility’s ten-year potential and biennial target to capture cost effective conservation: </a:t>
          </a:r>
        </a:p>
        <a:p>
          <a:r>
            <a:rPr lang="en-US" sz="1100"/>
            <a:t>PacifiCorp relied on 1) its 2015 “Demand-Side Resource Potential Assessment for the 2015-2034" (January 2015), 2) economic screening of the conservation potential identified through the 2015 Integrated Resource Plan (IRP) development, and 3) other post IRP adjustments (all documented in Appendix 4 of the PacifiCorp’s ten-year conservation potential and 2016-2017 biennial conservation target report) to establish its ten-year conservation forecast and biennial conservation target. </a:t>
          </a:r>
        </a:p>
        <a:p>
          <a:r>
            <a:rPr lang="en-US" sz="1100"/>
            <a:t>The manner by which the Company arrived at its 2016-2017 biennial conservation target is explained on pages 12-26 of “PacifiCorp’s Ten-Year Conservation Potential and 2016-2017 Biennial Conservation Target for its Washington Service Area” filed in Docket UE-152072.   </a:t>
          </a:r>
        </a:p>
        <a:p>
          <a:r>
            <a:rPr lang="en-US" sz="1100"/>
            <a:t>The Company’s engagement with the Washington DSM Advisory Group during the development of the 2016-2017 target is outlined in the on pages 28-30 of “PacifiCorp’s Ten-Year Conservation Potential and 2016-2017 Biennial Conservation Target for its Washington Service Area” filed in Docket UE-153072.  </a:t>
          </a:r>
        </a:p>
        <a:p>
          <a:r>
            <a:rPr lang="en-US" sz="1100"/>
            <a:t>The commission accepted the company’s forecast and target as meeting the requirements to consider all conservation resources that are cost-effective, reliable and feasible by approval of the Company’s forecast and targets in Docket UE-152072 on December 17, 2015.  </a:t>
          </a:r>
        </a:p>
        <a:p>
          <a:r>
            <a:rPr lang="en-US" sz="1100"/>
            <a:t>The Commission took no action at the January 26, 2017 open meeting thereby acknowledging the Company’s 2017 Annual Conservation Plan and revised target of 90,009 MWh which accounts for the decoupling commitment in Docket UE-152253.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ry.scott@pacificor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abSelected="1" workbookViewId="0">
      <selection activeCell="I17" sqref="I17"/>
    </sheetView>
  </sheetViews>
  <sheetFormatPr defaultRowHeight="15" x14ac:dyDescent="0.25"/>
  <cols>
    <col min="1" max="1" width="135.140625" customWidth="1"/>
    <col min="14" max="14" width="11.7109375" customWidth="1"/>
  </cols>
  <sheetData>
    <row r="1" spans="1:14" ht="18.75" x14ac:dyDescent="0.25">
      <c r="A1" s="7" t="s">
        <v>122</v>
      </c>
    </row>
    <row r="2" spans="1:14" x14ac:dyDescent="0.25">
      <c r="A2" s="60" t="s">
        <v>126</v>
      </c>
    </row>
    <row r="3" spans="1:14" x14ac:dyDescent="0.25">
      <c r="A3" s="7"/>
      <c r="N3" s="5"/>
    </row>
    <row r="4" spans="1:14" x14ac:dyDescent="0.25">
      <c r="A4" s="6" t="s">
        <v>121</v>
      </c>
    </row>
    <row r="5" spans="1:14" x14ac:dyDescent="0.25">
      <c r="A5" s="6" t="s">
        <v>30</v>
      </c>
      <c r="N5" t="e">
        <f>IF(REN_Load_2016+REN_Load_2015&gt;0,AVERAGE(REN_Load_2016,REN_Load_2015),0)</f>
        <v>#NAME?</v>
      </c>
    </row>
    <row r="6" spans="1:14" x14ac:dyDescent="0.25">
      <c r="A6" s="6" t="s">
        <v>44</v>
      </c>
    </row>
    <row r="8" spans="1:14" x14ac:dyDescent="0.25">
      <c r="A8" s="8" t="s">
        <v>42</v>
      </c>
    </row>
    <row r="9" spans="1:14" x14ac:dyDescent="0.25">
      <c r="A9" s="9" t="s">
        <v>43</v>
      </c>
    </row>
  </sheetData>
  <pageMargins left="0.7" right="0.7" top="0.75" bottom="0.75" header="0.3" footer="0.3"/>
  <pageSetup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57"/>
  <sheetViews>
    <sheetView tabSelected="1" zoomScaleNormal="100" workbookViewId="0">
      <selection activeCell="I17" sqref="I17"/>
    </sheetView>
  </sheetViews>
  <sheetFormatPr defaultColWidth="9.140625" defaultRowHeight="12.75" x14ac:dyDescent="0.2"/>
  <cols>
    <col min="1" max="2" width="16.7109375" style="16" customWidth="1"/>
    <col min="3" max="3" width="17.140625" style="16" customWidth="1"/>
    <col min="4" max="4" width="16" style="16" customWidth="1"/>
    <col min="5" max="5" width="4.42578125" style="16" customWidth="1"/>
    <col min="6" max="6" width="14.42578125" style="16" customWidth="1"/>
    <col min="7" max="7" width="15.28515625" style="16" customWidth="1"/>
    <col min="8" max="8" width="12.28515625" style="16" customWidth="1"/>
    <col min="9" max="9" width="11.140625" style="16" customWidth="1"/>
    <col min="10" max="10" width="9.140625" style="16"/>
    <col min="11" max="11" width="11.7109375" style="16" customWidth="1"/>
    <col min="12" max="16384" width="9.140625" style="16"/>
  </cols>
  <sheetData>
    <row r="1" spans="1:11" ht="15" x14ac:dyDescent="0.2">
      <c r="A1" s="71" t="s">
        <v>42</v>
      </c>
      <c r="B1" s="71"/>
      <c r="C1" s="71"/>
      <c r="D1" s="71"/>
      <c r="E1" s="71"/>
      <c r="F1" s="71"/>
      <c r="G1" s="71"/>
      <c r="H1" s="71"/>
      <c r="I1" s="71"/>
    </row>
    <row r="2" spans="1:11" ht="15" x14ac:dyDescent="0.2">
      <c r="A2" s="72" t="s">
        <v>43</v>
      </c>
      <c r="B2" s="72"/>
      <c r="C2" s="72"/>
      <c r="D2" s="72"/>
      <c r="E2" s="72"/>
      <c r="F2" s="72"/>
      <c r="G2" s="72"/>
      <c r="H2" s="72"/>
      <c r="I2" s="72"/>
    </row>
    <row r="3" spans="1:11" s="18" customFormat="1" ht="19.5" x14ac:dyDescent="0.4">
      <c r="A3" s="17" t="s">
        <v>45</v>
      </c>
    </row>
    <row r="4" spans="1:11" ht="15" customHeight="1" x14ac:dyDescent="0.2">
      <c r="A4" s="19"/>
    </row>
    <row r="5" spans="1:11" ht="14.25" customHeight="1" thickBot="1" x14ac:dyDescent="0.25">
      <c r="A5" s="20" t="s">
        <v>3</v>
      </c>
      <c r="B5" s="79" t="s">
        <v>105</v>
      </c>
      <c r="C5" s="79"/>
      <c r="D5" s="79"/>
      <c r="F5" s="82" t="s">
        <v>113</v>
      </c>
      <c r="G5" s="82"/>
      <c r="H5" s="82"/>
      <c r="I5" s="82"/>
      <c r="K5" s="21"/>
    </row>
    <row r="6" spans="1:11" ht="15" customHeight="1" x14ac:dyDescent="0.2">
      <c r="A6" s="22" t="s">
        <v>24</v>
      </c>
      <c r="B6" s="83">
        <v>43252</v>
      </c>
      <c r="C6" s="84"/>
      <c r="D6" s="84"/>
      <c r="E6" s="23"/>
      <c r="F6" s="1"/>
      <c r="G6" s="51" t="s">
        <v>114</v>
      </c>
      <c r="H6" s="52"/>
      <c r="I6" s="51" t="s">
        <v>115</v>
      </c>
    </row>
    <row r="7" spans="1:11" ht="15" customHeight="1" x14ac:dyDescent="0.2">
      <c r="A7" s="24" t="s">
        <v>23</v>
      </c>
      <c r="B7" s="63" t="s">
        <v>129</v>
      </c>
      <c r="C7" s="64"/>
      <c r="D7" s="64"/>
      <c r="E7" s="18"/>
      <c r="F7" s="1"/>
      <c r="G7" s="53" t="s">
        <v>116</v>
      </c>
      <c r="H7" s="1"/>
      <c r="I7" s="53" t="s">
        <v>116</v>
      </c>
    </row>
    <row r="8" spans="1:11" ht="15" customHeight="1" thickBot="1" x14ac:dyDescent="0.25">
      <c r="A8" s="24" t="s">
        <v>0</v>
      </c>
      <c r="B8" s="64" t="s">
        <v>128</v>
      </c>
      <c r="C8" s="64"/>
      <c r="D8" s="64"/>
      <c r="E8" s="18"/>
      <c r="F8" s="54" t="s">
        <v>117</v>
      </c>
      <c r="G8" s="55">
        <f>CON_Target_2016_2017</f>
        <v>93059</v>
      </c>
      <c r="H8" s="54" t="s">
        <v>118</v>
      </c>
      <c r="I8" s="56">
        <f>CON_Target_2018_2019</f>
        <v>79509</v>
      </c>
    </row>
    <row r="9" spans="1:11" ht="15" customHeight="1" x14ac:dyDescent="0.2">
      <c r="A9" s="24" t="s">
        <v>1</v>
      </c>
      <c r="B9" s="65" t="s">
        <v>130</v>
      </c>
      <c r="C9" s="66"/>
      <c r="D9" s="66"/>
      <c r="E9" s="18"/>
      <c r="F9" s="54" t="s">
        <v>2</v>
      </c>
      <c r="G9" s="57">
        <f>CON_2016_MWH+CON_2017_MWH</f>
        <v>99108.669000000024</v>
      </c>
      <c r="H9" s="1"/>
      <c r="I9" s="61" t="s">
        <v>133</v>
      </c>
      <c r="J9" s="16" t="s">
        <v>133</v>
      </c>
    </row>
    <row r="10" spans="1:11" ht="15" customHeight="1" x14ac:dyDescent="0.2">
      <c r="A10" s="24"/>
      <c r="B10" s="24"/>
      <c r="C10" s="24"/>
      <c r="D10" s="24"/>
      <c r="E10" s="18"/>
      <c r="F10" s="2" t="s">
        <v>119</v>
      </c>
      <c r="G10" s="59">
        <v>0</v>
      </c>
      <c r="H10" s="1"/>
      <c r="I10" s="1"/>
    </row>
    <row r="11" spans="1:11" ht="15" customHeight="1" x14ac:dyDescent="0.2">
      <c r="A11" s="24"/>
      <c r="B11" s="25"/>
      <c r="C11" s="18"/>
      <c r="D11" s="18"/>
      <c r="E11" s="18"/>
      <c r="F11" s="2" t="s">
        <v>120</v>
      </c>
      <c r="G11" s="59">
        <v>22178</v>
      </c>
      <c r="H11" s="62"/>
      <c r="I11" s="1"/>
    </row>
    <row r="12" spans="1:11" s="18" customFormat="1" ht="13.5" thickBot="1" x14ac:dyDescent="0.25">
      <c r="A12" s="67" t="s">
        <v>21</v>
      </c>
      <c r="B12" s="67"/>
      <c r="C12" s="67"/>
      <c r="D12" s="67"/>
      <c r="E12" s="26"/>
      <c r="F12" s="22" t="s">
        <v>125</v>
      </c>
      <c r="G12" s="59">
        <v>0</v>
      </c>
      <c r="H12" s="1"/>
      <c r="I12" s="1"/>
    </row>
    <row r="13" spans="1:11" s="18" customFormat="1" ht="13.5" thickBot="1" x14ac:dyDescent="0.25">
      <c r="A13" s="80" t="s">
        <v>31</v>
      </c>
      <c r="B13" s="80"/>
      <c r="C13" s="81" t="s">
        <v>110</v>
      </c>
      <c r="D13" s="80"/>
      <c r="E13" s="26"/>
      <c r="F13" s="54" t="s">
        <v>127</v>
      </c>
      <c r="G13" s="58">
        <f>G9+G10+G11+G12-G8</f>
        <v>28227.669000000024</v>
      </c>
      <c r="H13" s="1"/>
      <c r="I13" s="1"/>
    </row>
    <row r="14" spans="1:11" s="18" customFormat="1" ht="39.75" customHeight="1" x14ac:dyDescent="0.2">
      <c r="A14" s="46" t="s">
        <v>32</v>
      </c>
      <c r="B14" s="47" t="s">
        <v>33</v>
      </c>
      <c r="C14" s="47" t="s">
        <v>111</v>
      </c>
      <c r="D14" s="47" t="s">
        <v>112</v>
      </c>
      <c r="E14" s="26"/>
      <c r="H14" s="16"/>
      <c r="I14" s="16"/>
    </row>
    <row r="15" spans="1:11" s="18" customFormat="1" x14ac:dyDescent="0.2">
      <c r="A15" s="48">
        <f>VLOOKUP(CON_Utility_Name,'Prior Report Data'!$A$5:$B$21,2,FALSE)</f>
        <v>457530</v>
      </c>
      <c r="B15" s="49">
        <f>VLOOKUP(CON_Utility_Name,'Prior Report Data'!$A$5:$C$21,3,FALSE)</f>
        <v>93059</v>
      </c>
      <c r="C15" s="50">
        <v>394473</v>
      </c>
      <c r="D15" s="50">
        <v>79509</v>
      </c>
      <c r="E15" s="26"/>
      <c r="F15" s="16"/>
      <c r="G15" s="16"/>
      <c r="H15" s="16"/>
      <c r="I15" s="16"/>
    </row>
    <row r="16" spans="1:11" s="18" customFormat="1" ht="13.5" thickBot="1" x14ac:dyDescent="0.25">
      <c r="E16" s="26"/>
      <c r="F16" s="16"/>
      <c r="G16" s="16"/>
      <c r="H16" s="16"/>
      <c r="I16" s="16"/>
    </row>
    <row r="17" spans="1:7" ht="13.5" thickTop="1" x14ac:dyDescent="0.2">
      <c r="A17" s="74" t="s">
        <v>2</v>
      </c>
      <c r="B17" s="74"/>
      <c r="C17" s="74"/>
      <c r="D17" s="74"/>
      <c r="E17" s="74"/>
      <c r="F17" s="74"/>
      <c r="G17" s="74"/>
    </row>
    <row r="18" spans="1:7" ht="15" customHeight="1" x14ac:dyDescent="0.2">
      <c r="A18" s="27"/>
      <c r="C18" s="77" t="s">
        <v>46</v>
      </c>
      <c r="D18" s="77"/>
      <c r="F18" s="78" t="s">
        <v>47</v>
      </c>
      <c r="G18" s="78"/>
    </row>
    <row r="19" spans="1:7" ht="30.75" customHeight="1" x14ac:dyDescent="0.2">
      <c r="B19" s="28" t="s">
        <v>20</v>
      </c>
      <c r="C19" s="29" t="s">
        <v>6</v>
      </c>
      <c r="D19" s="29" t="s">
        <v>7</v>
      </c>
      <c r="F19" s="44" t="s">
        <v>6</v>
      </c>
      <c r="G19" s="44" t="s">
        <v>7</v>
      </c>
    </row>
    <row r="20" spans="1:7" ht="15" customHeight="1" x14ac:dyDescent="0.2">
      <c r="B20" s="4" t="s">
        <v>8</v>
      </c>
      <c r="C20" s="11">
        <f>18557737/1000</f>
        <v>18557.737000000001</v>
      </c>
      <c r="D20" s="12">
        <v>3574750</v>
      </c>
      <c r="F20" s="45">
        <f>12768595/1000</f>
        <v>12768.594999999999</v>
      </c>
      <c r="G20" s="12">
        <v>4088518</v>
      </c>
    </row>
    <row r="21" spans="1:7" ht="15" customHeight="1" x14ac:dyDescent="0.2">
      <c r="B21" s="4" t="s">
        <v>9</v>
      </c>
      <c r="C21" s="11">
        <f>18229052/1000</f>
        <v>18229.052</v>
      </c>
      <c r="D21" s="12">
        <v>4046759</v>
      </c>
      <c r="F21" s="45">
        <f>15472394/1000</f>
        <v>15472.394</v>
      </c>
      <c r="G21" s="12">
        <v>3382070</v>
      </c>
    </row>
    <row r="22" spans="1:7" ht="15" customHeight="1" x14ac:dyDescent="0.2">
      <c r="B22" s="4" t="s">
        <v>10</v>
      </c>
      <c r="C22" s="11">
        <f>14288308/1000</f>
        <v>14288.308000000001</v>
      </c>
      <c r="D22" s="12">
        <v>2563171</v>
      </c>
      <c r="F22" s="45">
        <f>12309574/1000</f>
        <v>12309.574000000001</v>
      </c>
      <c r="G22" s="12">
        <v>1873533</v>
      </c>
    </row>
    <row r="23" spans="1:7" ht="15" customHeight="1" x14ac:dyDescent="0.2">
      <c r="B23" s="4" t="s">
        <v>11</v>
      </c>
      <c r="C23" s="11">
        <f>757286/1000</f>
        <v>757.28599999999994</v>
      </c>
      <c r="D23" s="12">
        <v>164246</v>
      </c>
      <c r="F23" s="45">
        <f>762534/1000</f>
        <v>762.53399999999999</v>
      </c>
      <c r="G23" s="12">
        <v>173104</v>
      </c>
    </row>
    <row r="24" spans="1:7" ht="15" customHeight="1" x14ac:dyDescent="0.2">
      <c r="B24" s="4" t="s">
        <v>17</v>
      </c>
      <c r="C24" s="11"/>
      <c r="D24" s="12"/>
      <c r="F24" s="45"/>
      <c r="G24" s="12"/>
    </row>
    <row r="25" spans="1:7" ht="15" customHeight="1" x14ac:dyDescent="0.2">
      <c r="B25" s="30" t="s">
        <v>18</v>
      </c>
      <c r="C25" s="11"/>
      <c r="D25" s="12"/>
      <c r="F25" s="45"/>
      <c r="G25" s="12"/>
    </row>
    <row r="26" spans="1:7" ht="15" customHeight="1" x14ac:dyDescent="0.2">
      <c r="B26" s="30" t="s">
        <v>4</v>
      </c>
      <c r="C26" s="13">
        <f>3127821/1000</f>
        <v>3127.8209999999999</v>
      </c>
      <c r="D26" s="12">
        <v>869953</v>
      </c>
      <c r="F26" s="13">
        <f>2835368/1000</f>
        <v>2835.3679999999999</v>
      </c>
      <c r="G26" s="12">
        <v>843255</v>
      </c>
    </row>
    <row r="27" spans="1:7" ht="15" customHeight="1" x14ac:dyDescent="0.2">
      <c r="B27" s="14"/>
      <c r="C27" s="13"/>
      <c r="D27" s="12"/>
      <c r="F27" s="13"/>
      <c r="G27" s="12"/>
    </row>
    <row r="28" spans="1:7" ht="15" customHeight="1" x14ac:dyDescent="0.2">
      <c r="B28" s="14"/>
      <c r="C28" s="13"/>
      <c r="D28" s="12"/>
      <c r="F28" s="13"/>
      <c r="G28" s="12"/>
    </row>
    <row r="29" spans="1:7" ht="30.75" customHeight="1" x14ac:dyDescent="0.2">
      <c r="A29" s="75" t="s">
        <v>22</v>
      </c>
      <c r="B29" s="76"/>
      <c r="D29" s="31"/>
      <c r="G29" s="31"/>
    </row>
    <row r="30" spans="1:7" ht="25.5" x14ac:dyDescent="0.2">
      <c r="B30" s="15" t="s">
        <v>131</v>
      </c>
      <c r="C30" s="32"/>
      <c r="D30" s="12">
        <f>62794+184227</f>
        <v>247021</v>
      </c>
      <c r="F30" s="32"/>
      <c r="G30" s="12">
        <f>61509+229735</f>
        <v>291244</v>
      </c>
    </row>
    <row r="31" spans="1:7" ht="51" x14ac:dyDescent="0.2">
      <c r="B31" s="15" t="s">
        <v>132</v>
      </c>
      <c r="C31" s="33"/>
      <c r="D31" s="12">
        <f>421389+77368+39741</f>
        <v>538498</v>
      </c>
      <c r="F31" s="33"/>
      <c r="G31" s="12">
        <f>572538+9488+33421</f>
        <v>615447</v>
      </c>
    </row>
    <row r="32" spans="1:7" ht="15" customHeight="1" x14ac:dyDescent="0.2">
      <c r="B32" s="34" t="s">
        <v>5</v>
      </c>
      <c r="C32" s="35">
        <f>SUM(C20:C28)</f>
        <v>54960.204000000012</v>
      </c>
      <c r="D32" s="36">
        <f>SUM(D20:D31)</f>
        <v>12004398</v>
      </c>
      <c r="F32" s="35">
        <f>SUM(F20:F28)</f>
        <v>44148.465000000004</v>
      </c>
      <c r="G32" s="36">
        <f>SUM(G20:G31)</f>
        <v>11267171</v>
      </c>
    </row>
    <row r="33" spans="1:9" ht="15" customHeight="1" x14ac:dyDescent="0.2">
      <c r="A33" s="37"/>
      <c r="B33" s="38"/>
      <c r="C33" s="39"/>
      <c r="D33" s="38"/>
      <c r="E33" s="39"/>
    </row>
    <row r="34" spans="1:9" s="18" customFormat="1" ht="15" customHeight="1" x14ac:dyDescent="0.2">
      <c r="A34" s="20" t="s">
        <v>3</v>
      </c>
      <c r="B34" s="73" t="str">
        <f>CON_Utility_Name</f>
        <v>Pacific Power &amp; Light Company</v>
      </c>
      <c r="C34" s="73"/>
      <c r="D34" s="73"/>
      <c r="E34" s="73"/>
      <c r="F34" s="16"/>
      <c r="G34" s="16"/>
    </row>
    <row r="35" spans="1:9" s="18" customFormat="1" x14ac:dyDescent="0.2">
      <c r="A35" s="40" t="s">
        <v>12</v>
      </c>
      <c r="B35" s="69">
        <v>2017</v>
      </c>
      <c r="C35" s="69"/>
      <c r="D35" s="69"/>
      <c r="E35" s="69"/>
    </row>
    <row r="36" spans="1:9" s="18" customFormat="1" x14ac:dyDescent="0.2">
      <c r="A36" s="40"/>
      <c r="B36" s="41"/>
      <c r="C36" s="41"/>
      <c r="D36" s="41"/>
      <c r="E36" s="41"/>
    </row>
    <row r="37" spans="1:9" ht="28.5" customHeight="1" x14ac:dyDescent="0.2">
      <c r="A37" s="68" t="s">
        <v>41</v>
      </c>
      <c r="B37" s="68"/>
      <c r="C37" s="68"/>
      <c r="D37" s="68"/>
      <c r="E37" s="68"/>
      <c r="F37" s="68"/>
      <c r="G37" s="68"/>
      <c r="H37" s="68"/>
      <c r="I37" s="68"/>
    </row>
    <row r="38" spans="1:9" s="10" customFormat="1" ht="270.75" customHeight="1" x14ac:dyDescent="0.2">
      <c r="A38" s="70"/>
      <c r="B38" s="70"/>
      <c r="C38" s="70"/>
      <c r="D38" s="70"/>
      <c r="E38" s="70"/>
      <c r="F38" s="70"/>
      <c r="G38" s="70"/>
      <c r="H38" s="70"/>
      <c r="I38" s="70"/>
    </row>
    <row r="39" spans="1:9" s="10" customFormat="1" x14ac:dyDescent="0.2"/>
    <row r="40" spans="1:9" s="10" customFormat="1" x14ac:dyDescent="0.2"/>
    <row r="41" spans="1:9" s="10" customFormat="1" x14ac:dyDescent="0.2"/>
    <row r="42" spans="1:9" s="10" customFormat="1" x14ac:dyDescent="0.2"/>
    <row r="43" spans="1:9" s="10" customFormat="1" x14ac:dyDescent="0.2"/>
    <row r="44" spans="1:9" s="10" customFormat="1" x14ac:dyDescent="0.2"/>
    <row r="45" spans="1:9" s="10" customFormat="1" x14ac:dyDescent="0.2"/>
    <row r="46" spans="1:9" s="10" customFormat="1" x14ac:dyDescent="0.2"/>
    <row r="47" spans="1:9" s="10" customFormat="1" x14ac:dyDescent="0.2"/>
    <row r="48" spans="1:9"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sheetData>
  <mergeCells count="20">
    <mergeCell ref="A38:I38"/>
    <mergeCell ref="A1:I1"/>
    <mergeCell ref="A2:I2"/>
    <mergeCell ref="B34:E34"/>
    <mergeCell ref="F17:G17"/>
    <mergeCell ref="A17:E17"/>
    <mergeCell ref="A29:B29"/>
    <mergeCell ref="C18:D18"/>
    <mergeCell ref="F18:G18"/>
    <mergeCell ref="B5:D5"/>
    <mergeCell ref="A13:B13"/>
    <mergeCell ref="C13:D13"/>
    <mergeCell ref="F5:I5"/>
    <mergeCell ref="B6:D6"/>
    <mergeCell ref="B7:D7"/>
    <mergeCell ref="B8:D8"/>
    <mergeCell ref="B9:D9"/>
    <mergeCell ref="A12:D12"/>
    <mergeCell ref="A37:I37"/>
    <mergeCell ref="B35:E35"/>
  </mergeCells>
  <dataValidations count="6">
    <dataValidation type="list" allowBlank="1" showInputMessage="1" showErrorMessage="1" sqref="B5:D5">
      <formula1>UtilityList</formula1>
    </dataValidation>
    <dataValidation allowBlank="1" showInputMessage="1" showErrorMessage="1" prompt="Achievement in 2017 will be included in the 2018 report." sqref="F20:G32"/>
    <dataValidation type="decimal" operator="greaterThanOrEqual" allowBlank="1" showInputMessage="1" showErrorMessage="1" promptTitle="Excess from 2014-2015" prompt="Not to exceed (a) 20 percent of the target for 2016-2017 or (b) the actual excess achieved and reported for 2014-2015. An additional 5 percent of the target may be met using excess savings from a single large facility._x000a__x000a_Reference: RCW 19.285.040(1)(c)(i)." sqref="G11">
      <formula1>0</formula1>
    </dataValidation>
    <dataValidation type="decimal" operator="greaterThanOrEqual" allowBlank="1" showInputMessage="1" showErrorMessage="1" promptTitle="Excess from 2012-2013" prompt="Only Cowlitz PUD is eligible to count excess conservation from 2012-2013 toward its conservation target. _x000a__x000a_Reference: RCW 19.285.040(1)(c)(iii)." sqref="G10">
      <formula1>0</formula1>
    </dataValidation>
    <dataValidation allowBlank="1" showInputMessage="1" showErrorMessage="1" promptTitle="2016 Potential and Target" prompt="These values are transferred from the 2017 report. Any revisions should be noted and explained in the Notes section below." sqref="A15:B15"/>
    <dataValidation type="decimal" operator="lessThanOrEqual" allowBlank="1" showInputMessage="1" showErrorMessage="1" promptTitle="Deductions" prompt="Negative value to remove conservation achievement that will be used to meet requirements outside the Energy Independence Act. Example: Investor-owned utility merger commitment to exceed EIA conservation targets. Explain in the notes section." sqref="G12">
      <formula1>0</formula1>
    </dataValidation>
  </dataValidations>
  <hyperlinks>
    <hyperlink ref="B9" r:id="rId1"/>
  </hyperlinks>
  <pageMargins left="0.7" right="0.7" top="0.75" bottom="0.75" header="0.3" footer="0.3"/>
  <pageSetup scale="73" orientation="portrait" r:id="rId2"/>
  <rowBreaks count="1" manualBreakCount="1">
    <brk id="32" max="16383" man="1"/>
  </rowBreaks>
  <ignoredErrors>
    <ignoredError sqref="C20:C26 F20:F26"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E21"/>
  <sheetViews>
    <sheetView workbookViewId="0">
      <selection activeCell="G10" sqref="G10"/>
    </sheetView>
  </sheetViews>
  <sheetFormatPr defaultRowHeight="15" x14ac:dyDescent="0.25"/>
  <cols>
    <col min="1" max="1" width="40.85546875" bestFit="1" customWidth="1"/>
    <col min="2" max="2" width="13" customWidth="1"/>
    <col min="3" max="3" width="12.7109375" customWidth="1"/>
  </cols>
  <sheetData>
    <row r="3" spans="1:5" ht="30" x14ac:dyDescent="0.25">
      <c r="B3" s="43" t="s">
        <v>34</v>
      </c>
      <c r="C3" s="43" t="s">
        <v>35</v>
      </c>
      <c r="D3" s="43"/>
      <c r="E3" s="43"/>
    </row>
    <row r="4" spans="1:5" x14ac:dyDescent="0.25">
      <c r="A4" t="s">
        <v>109</v>
      </c>
      <c r="B4" s="43"/>
      <c r="C4" s="43"/>
    </row>
    <row r="5" spans="1:5" x14ac:dyDescent="0.25">
      <c r="A5" t="s">
        <v>95</v>
      </c>
      <c r="B5">
        <v>383063</v>
      </c>
      <c r="C5">
        <v>82477</v>
      </c>
    </row>
    <row r="6" spans="1:5" x14ac:dyDescent="0.25">
      <c r="A6" t="s">
        <v>98</v>
      </c>
      <c r="B6">
        <v>342866</v>
      </c>
      <c r="C6">
        <v>67802</v>
      </c>
    </row>
    <row r="7" spans="1:5" x14ac:dyDescent="0.25">
      <c r="A7" t="s">
        <v>99</v>
      </c>
      <c r="B7">
        <v>208225.19999999998</v>
      </c>
      <c r="C7">
        <v>41259.599999999999</v>
      </c>
    </row>
    <row r="8" spans="1:5" x14ac:dyDescent="0.25">
      <c r="A8" t="s">
        <v>102</v>
      </c>
      <c r="B8">
        <v>40471.200000000004</v>
      </c>
      <c r="C8">
        <v>6657.6</v>
      </c>
    </row>
    <row r="9" spans="1:5" x14ac:dyDescent="0.25">
      <c r="A9" t="s">
        <v>103</v>
      </c>
      <c r="B9">
        <v>29872</v>
      </c>
      <c r="C9">
        <v>5519</v>
      </c>
    </row>
    <row r="10" spans="1:5" x14ac:dyDescent="0.25">
      <c r="A10" t="s">
        <v>104</v>
      </c>
      <c r="B10">
        <v>18294</v>
      </c>
      <c r="C10">
        <v>3428</v>
      </c>
    </row>
    <row r="11" spans="1:5" x14ac:dyDescent="0.25">
      <c r="A11" t="s">
        <v>105</v>
      </c>
      <c r="B11">
        <v>457530</v>
      </c>
      <c r="C11">
        <v>93059</v>
      </c>
    </row>
    <row r="12" spans="1:5" x14ac:dyDescent="0.25">
      <c r="A12" t="s">
        <v>106</v>
      </c>
      <c r="B12">
        <v>23835.083999999999</v>
      </c>
      <c r="C12">
        <v>4767</v>
      </c>
    </row>
    <row r="13" spans="1:5" x14ac:dyDescent="0.25">
      <c r="A13" t="s">
        <v>96</v>
      </c>
      <c r="B13">
        <v>96360</v>
      </c>
      <c r="C13">
        <v>17257</v>
      </c>
    </row>
    <row r="14" spans="1:5" x14ac:dyDescent="0.25">
      <c r="A14" t="s">
        <v>50</v>
      </c>
      <c r="B14">
        <v>79628.399999999994</v>
      </c>
      <c r="C14">
        <v>14541.599999999999</v>
      </c>
    </row>
    <row r="15" spans="1:5" x14ac:dyDescent="0.25">
      <c r="A15" t="s">
        <v>100</v>
      </c>
      <c r="B15">
        <v>175550</v>
      </c>
      <c r="C15">
        <v>26718</v>
      </c>
    </row>
    <row r="16" spans="1:5" x14ac:dyDescent="0.25">
      <c r="A16" t="s">
        <v>97</v>
      </c>
      <c r="B16">
        <v>35478</v>
      </c>
      <c r="C16">
        <v>7008</v>
      </c>
    </row>
    <row r="17" spans="1:3" x14ac:dyDescent="0.25">
      <c r="A17" t="s">
        <v>101</v>
      </c>
      <c r="B17">
        <v>36529.199999999997</v>
      </c>
      <c r="C17">
        <v>6482.4</v>
      </c>
    </row>
    <row r="18" spans="1:3" x14ac:dyDescent="0.25">
      <c r="A18" t="s">
        <v>48</v>
      </c>
      <c r="B18">
        <v>2770663</v>
      </c>
      <c r="C18">
        <v>605194</v>
      </c>
    </row>
    <row r="19" spans="1:3" x14ac:dyDescent="0.25">
      <c r="A19" t="s">
        <v>49</v>
      </c>
      <c r="B19">
        <v>1122156</v>
      </c>
      <c r="C19">
        <v>224431</v>
      </c>
    </row>
    <row r="20" spans="1:3" x14ac:dyDescent="0.25">
      <c r="A20" t="s">
        <v>107</v>
      </c>
      <c r="B20">
        <v>623449</v>
      </c>
      <c r="C20">
        <v>122990</v>
      </c>
    </row>
    <row r="21" spans="1:3" x14ac:dyDescent="0.25">
      <c r="A21" t="s">
        <v>108</v>
      </c>
      <c r="B21">
        <v>409968</v>
      </c>
      <c r="C21">
        <v>81993</v>
      </c>
    </row>
  </sheetData>
  <sortState ref="A4:C20">
    <sortCondition ref="A4:A2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5"/>
  <sheetViews>
    <sheetView workbookViewId="0">
      <selection activeCell="A2" sqref="A2"/>
    </sheetView>
  </sheetViews>
  <sheetFormatPr defaultRowHeight="15" x14ac:dyDescent="0.25"/>
  <cols>
    <col min="1" max="1" width="36.140625" bestFit="1" customWidth="1"/>
    <col min="3" max="3" width="10.5703125" customWidth="1"/>
    <col min="12" max="12" width="10.5703125" customWidth="1"/>
  </cols>
  <sheetData>
    <row r="1" spans="1:84" ht="162.75" x14ac:dyDescent="0.25">
      <c r="A1" s="42" t="s">
        <v>29</v>
      </c>
      <c r="B1" s="42" t="s">
        <v>51</v>
      </c>
      <c r="C1" s="42" t="s">
        <v>52</v>
      </c>
      <c r="D1" s="42" t="s">
        <v>53</v>
      </c>
      <c r="E1" s="42" t="s">
        <v>54</v>
      </c>
      <c r="F1" s="42" t="s">
        <v>55</v>
      </c>
      <c r="G1" s="42" t="s">
        <v>56</v>
      </c>
      <c r="H1" s="42" t="s">
        <v>57</v>
      </c>
      <c r="I1" s="42" t="s">
        <v>58</v>
      </c>
      <c r="J1" s="42" t="s">
        <v>59</v>
      </c>
      <c r="K1" s="42" t="s">
        <v>60</v>
      </c>
      <c r="L1" s="42" t="s">
        <v>61</v>
      </c>
      <c r="M1" s="42" t="s">
        <v>62</v>
      </c>
      <c r="N1" s="42" t="s">
        <v>63</v>
      </c>
      <c r="O1" s="42" t="s">
        <v>64</v>
      </c>
      <c r="P1" s="42" t="s">
        <v>65</v>
      </c>
      <c r="Q1" s="42" t="s">
        <v>66</v>
      </c>
      <c r="R1" s="42" t="s">
        <v>67</v>
      </c>
      <c r="S1" s="42" t="s">
        <v>68</v>
      </c>
      <c r="T1" s="42" t="s">
        <v>69</v>
      </c>
      <c r="U1" s="42" t="s">
        <v>70</v>
      </c>
      <c r="V1" s="42" t="s">
        <v>71</v>
      </c>
      <c r="W1" s="42" t="s">
        <v>72</v>
      </c>
      <c r="X1" s="42" t="s">
        <v>94</v>
      </c>
      <c r="Y1" s="42" t="s">
        <v>73</v>
      </c>
      <c r="Z1" s="42" t="s">
        <v>74</v>
      </c>
      <c r="AA1" s="42" t="s">
        <v>75</v>
      </c>
      <c r="AB1" s="42" t="s">
        <v>76</v>
      </c>
      <c r="AC1" s="42" t="s">
        <v>77</v>
      </c>
      <c r="AD1" s="42" t="s">
        <v>78</v>
      </c>
      <c r="AE1" s="42" t="s">
        <v>79</v>
      </c>
      <c r="AF1" s="42" t="s">
        <v>80</v>
      </c>
      <c r="AG1" s="42" t="s">
        <v>81</v>
      </c>
      <c r="AH1" s="42" t="s">
        <v>82</v>
      </c>
      <c r="AI1" s="42" t="s">
        <v>83</v>
      </c>
      <c r="AJ1" s="42" t="s">
        <v>84</v>
      </c>
      <c r="AK1" s="42" t="s">
        <v>85</v>
      </c>
      <c r="AL1" s="42" t="s">
        <v>86</v>
      </c>
      <c r="AM1" s="42" t="s">
        <v>87</v>
      </c>
      <c r="AN1" s="42" t="s">
        <v>88</v>
      </c>
      <c r="AO1" s="42" t="s">
        <v>89</v>
      </c>
      <c r="AP1" s="42" t="s">
        <v>90</v>
      </c>
      <c r="AQ1" s="42" t="s">
        <v>91</v>
      </c>
      <c r="AR1" s="42" t="s">
        <v>92</v>
      </c>
      <c r="AS1" s="42" t="s">
        <v>93</v>
      </c>
      <c r="AT1" s="42" t="s">
        <v>25</v>
      </c>
      <c r="AU1" s="42" t="s">
        <v>26</v>
      </c>
      <c r="AV1" s="42" t="s">
        <v>27</v>
      </c>
      <c r="AW1" s="42" t="s">
        <v>34</v>
      </c>
      <c r="AX1" s="42" t="s">
        <v>123</v>
      </c>
      <c r="AY1" s="42" t="s">
        <v>28</v>
      </c>
      <c r="AZ1" s="42" t="s">
        <v>35</v>
      </c>
      <c r="BA1" s="42" t="s">
        <v>124</v>
      </c>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row>
    <row r="2" spans="1:84" x14ac:dyDescent="0.25">
      <c r="A2" t="str">
        <f>CON_Utility_Name</f>
        <v>Pacific Power &amp; Light Company</v>
      </c>
      <c r="B2">
        <f>+CON_2016_Agriculture_Expend</f>
        <v>164246</v>
      </c>
      <c r="C2">
        <f>+CON_2016_Agriculture_MWH</f>
        <v>757.28599999999994</v>
      </c>
      <c r="D2">
        <f>+CON_2016_Commercial_Expend</f>
        <v>4046759</v>
      </c>
      <c r="E2">
        <f>+CON_2016_Commercial_MWH</f>
        <v>18229.052</v>
      </c>
      <c r="F2">
        <f>+CON_2016_Distribution_Expend</f>
        <v>0</v>
      </c>
      <c r="G2">
        <f>+CON_2016_Distribution_MWH</f>
        <v>0</v>
      </c>
      <c r="H2">
        <f>+CON_2016_Expenditures</f>
        <v>12004398</v>
      </c>
      <c r="I2">
        <f>+CON_2016_Industrial_Expend</f>
        <v>2563171</v>
      </c>
      <c r="J2">
        <f>+CON_2016_Industrial_MWH</f>
        <v>14288.308000000001</v>
      </c>
      <c r="K2">
        <f>+CON_2016_MWH</f>
        <v>54960.204000000012</v>
      </c>
      <c r="L2">
        <f>+CON_2016_NEEA_Expend</f>
        <v>869953</v>
      </c>
      <c r="M2">
        <f>+CON_2016_NEEA_MWH</f>
        <v>3127.8209999999999</v>
      </c>
      <c r="N2">
        <f>+CON_2016_OtherSector1_Expend</f>
        <v>0</v>
      </c>
      <c r="O2">
        <f>+CON_2016_OtherSector1_MWH</f>
        <v>0</v>
      </c>
      <c r="P2">
        <f>+CON_2016_OtherSector2_Expend</f>
        <v>0</v>
      </c>
      <c r="Q2">
        <f>+CON_2016_OtherSector2_MWH</f>
        <v>0</v>
      </c>
      <c r="R2">
        <f>+CON_2016_Production_Expend</f>
        <v>0</v>
      </c>
      <c r="S2">
        <f>+CON_2016_Production_MWH</f>
        <v>0</v>
      </c>
      <c r="T2">
        <f>+CON_2016_Program1_Expend</f>
        <v>247021</v>
      </c>
      <c r="U2">
        <f>+CON_2016_Program2_Expend</f>
        <v>538498</v>
      </c>
      <c r="V2">
        <f>+CON_2016_Residential_Expend</f>
        <v>3574750</v>
      </c>
      <c r="W2">
        <f>+CON_2016_Residential_MWH</f>
        <v>18557.737000000001</v>
      </c>
      <c r="X2">
        <f>+CON_2017_Agriculture_Expend</f>
        <v>173104</v>
      </c>
      <c r="Y2">
        <f>+CON_2017_Agriculture_MWH</f>
        <v>762.53399999999999</v>
      </c>
      <c r="Z2">
        <f>+CON_2017_Commercial_Expend</f>
        <v>3382070</v>
      </c>
      <c r="AA2">
        <f>+CON_2017_Commercial_MWH</f>
        <v>15472.394</v>
      </c>
      <c r="AB2">
        <f>+CON_2017_Distribution_Expend</f>
        <v>0</v>
      </c>
      <c r="AC2">
        <f>+CON_2017_Distribution_MWH</f>
        <v>0</v>
      </c>
      <c r="AD2">
        <f>+CON_2017_Expenditures</f>
        <v>11267171</v>
      </c>
      <c r="AE2">
        <f>+CON_2017_Industrial_Expend</f>
        <v>1873533</v>
      </c>
      <c r="AF2">
        <f>+CON_2017_Industrial_MWH</f>
        <v>12309.574000000001</v>
      </c>
      <c r="AG2">
        <f>+CON_2017_MWH</f>
        <v>44148.465000000004</v>
      </c>
      <c r="AH2">
        <f>+CON_2017_NEEA_Expend</f>
        <v>843255</v>
      </c>
      <c r="AI2">
        <f>+CON_2017_NEEA_MWH</f>
        <v>2835.3679999999999</v>
      </c>
      <c r="AJ2">
        <f>+CON_2017_OtherSector1_Expend</f>
        <v>0</v>
      </c>
      <c r="AK2">
        <f>+CON_2017_OtherSector1_MWH</f>
        <v>0</v>
      </c>
      <c r="AL2">
        <f>+CON_2017_OtherSector2_Expend</f>
        <v>0</v>
      </c>
      <c r="AM2">
        <f>+CON_2017_OtherSector2_MWH</f>
        <v>0</v>
      </c>
      <c r="AN2">
        <f>+CON_2017_Production_Expend</f>
        <v>0</v>
      </c>
      <c r="AO2">
        <f>+CON_2017_Production_MWH</f>
        <v>0</v>
      </c>
      <c r="AP2">
        <f>+CON_2017_Program1_Expend</f>
        <v>291244</v>
      </c>
      <c r="AQ2">
        <f>+CON_2017_Program2_Expend</f>
        <v>615447</v>
      </c>
      <c r="AR2">
        <f>+CON_2017_Residential_Expend</f>
        <v>4088518</v>
      </c>
      <c r="AS2">
        <f>+CON_2017_Residential_MWH</f>
        <v>12768.594999999999</v>
      </c>
      <c r="AT2" t="str">
        <f>+CON_Contact_Name</f>
        <v>Cory Scott / Customer Solutions</v>
      </c>
      <c r="AU2" t="str">
        <f>+CON_Email</f>
        <v>cory.scott@pacificorp.com</v>
      </c>
      <c r="AV2" t="str">
        <f>+CON_Phone</f>
        <v>(503) 813-6011</v>
      </c>
      <c r="AW2">
        <f>+CON_Potential_2016_2025</f>
        <v>457530</v>
      </c>
      <c r="AX2">
        <f>CON_Potential_2018_2027</f>
        <v>394473</v>
      </c>
      <c r="AY2">
        <f>+CON_Report_Date</f>
        <v>43252</v>
      </c>
      <c r="AZ2">
        <f>+CON_Target_2016_2017</f>
        <v>93059</v>
      </c>
      <c r="BA2">
        <f>+CON_Target_2018_2019</f>
        <v>79509</v>
      </c>
    </row>
    <row r="6" spans="1:84" x14ac:dyDescent="0.25">
      <c r="A6" s="3" t="s">
        <v>13</v>
      </c>
    </row>
    <row r="7" spans="1:84" x14ac:dyDescent="0.25">
      <c r="A7" s="3" t="s">
        <v>14</v>
      </c>
    </row>
    <row r="8" spans="1:84" x14ac:dyDescent="0.25">
      <c r="A8" s="3" t="s">
        <v>37</v>
      </c>
    </row>
    <row r="9" spans="1:84" x14ac:dyDescent="0.25">
      <c r="A9" s="3" t="s">
        <v>39</v>
      </c>
    </row>
    <row r="10" spans="1:84" x14ac:dyDescent="0.25">
      <c r="A10" s="3" t="s">
        <v>40</v>
      </c>
    </row>
    <row r="11" spans="1:84" x14ac:dyDescent="0.25">
      <c r="A11" s="3" t="s">
        <v>38</v>
      </c>
    </row>
    <row r="12" spans="1:84" x14ac:dyDescent="0.25">
      <c r="A12" s="3" t="s">
        <v>15</v>
      </c>
    </row>
    <row r="13" spans="1:84" x14ac:dyDescent="0.25">
      <c r="A13" s="3" t="s">
        <v>19</v>
      </c>
    </row>
    <row r="14" spans="1:84" x14ac:dyDescent="0.25">
      <c r="A14" s="3" t="s">
        <v>16</v>
      </c>
    </row>
    <row r="15" spans="1:84" x14ac:dyDescent="0.25">
      <c r="A15" s="3" t="s">
        <v>36</v>
      </c>
    </row>
  </sheetData>
  <dataValidations count="1">
    <dataValidation type="list" allowBlank="1" showInputMessage="1" showErrorMessage="1" sqref="D8">
      <formula1>$A$6:$A$15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2015-10-30T07:00:00+00:00</OpenedDate>
    <SignificantOrder xmlns="dc463f71-b30c-4ab2-9473-d307f9d35888">false</SignificantOrder>
    <Date1 xmlns="dc463f71-b30c-4ab2-9473-d307f9d35888">2018-06-01T07:00:00+00:00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152072</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9D2FE07C0AA5C4E814A8CE6D7513F53" ma:contentTypeVersion="111" ma:contentTypeDescription="" ma:contentTypeScope="" ma:versionID="1216e83a7323dc2bd1493151893db36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964646-4C14-400C-BB15-1BB3A9BABBBC}"/>
</file>

<file path=customXml/itemProps2.xml><?xml version="1.0" encoding="utf-8"?>
<ds:datastoreItem xmlns:ds="http://schemas.openxmlformats.org/officeDocument/2006/customXml" ds:itemID="{B5134EF7-F04D-4218-953F-7A835D8EE7C1}">
  <ds:schemaRefs>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8DF77DBE-854D-4944-8BBC-29B6FD4271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57</vt:i4>
      </vt:variant>
    </vt:vector>
  </HeadingPairs>
  <TitlesOfParts>
    <vt:vector size="61" baseType="lpstr">
      <vt:lpstr>Background</vt:lpstr>
      <vt:lpstr>Conservation Report</vt:lpstr>
      <vt:lpstr>Prior Report Data</vt:lpstr>
      <vt:lpstr>Data</vt:lpstr>
      <vt:lpstr>CON_2016_Agriculture_Expend</vt:lpstr>
      <vt:lpstr>CON_2016_Agriculture_MWH</vt:lpstr>
      <vt:lpstr>CON_2016_Commercial_Expend</vt:lpstr>
      <vt:lpstr>CON_2016_Commercial_MWH</vt:lpstr>
      <vt:lpstr>CON_2016_Distribution_Expend</vt:lpstr>
      <vt:lpstr>CON_2016_Distribution_MWH</vt:lpstr>
      <vt:lpstr>CON_2016_Expenditures</vt:lpstr>
      <vt:lpstr>CON_2016_Industrial_Expend</vt:lpstr>
      <vt:lpstr>CON_2016_Industrial_MWH</vt:lpstr>
      <vt:lpstr>CON_2016_MWH</vt:lpstr>
      <vt:lpstr>CON_2016_NEEA_Expend</vt:lpstr>
      <vt:lpstr>CON_2016_NEEA_MWH</vt:lpstr>
      <vt:lpstr>CON_2016_OtherSector1_Expend</vt:lpstr>
      <vt:lpstr>CON_2016_OtherSector1_MWH</vt:lpstr>
      <vt:lpstr>CON_2016_OtherSector2_Expend</vt:lpstr>
      <vt:lpstr>CON_2016_OtherSector2_MWH</vt:lpstr>
      <vt:lpstr>CON_2016_Production_Expend</vt:lpstr>
      <vt:lpstr>CON_2016_Production_MWH</vt:lpstr>
      <vt:lpstr>CON_2016_Program1_Expend</vt:lpstr>
      <vt:lpstr>CON_2016_Program2_Expend</vt:lpstr>
      <vt:lpstr>CON_2016_Residential_Expend</vt:lpstr>
      <vt:lpstr>CON_2016_Residential_MWH</vt:lpstr>
      <vt:lpstr>CON_2017_Agriculture_Expend</vt:lpstr>
      <vt:lpstr>CON_2017_Agriculture_MWH</vt:lpstr>
      <vt:lpstr>CON_2017_Commercial_Expend</vt:lpstr>
      <vt:lpstr>CON_2017_Commercial_MWH</vt:lpstr>
      <vt:lpstr>CON_2017_Distribution_Expend</vt:lpstr>
      <vt:lpstr>CON_2017_Distribution_MWH</vt:lpstr>
      <vt:lpstr>CON_2017_Expenditures</vt:lpstr>
      <vt:lpstr>CON_2017_Industrial_Expend</vt:lpstr>
      <vt:lpstr>CON_2017_Industrial_MWH</vt:lpstr>
      <vt:lpstr>CON_2017_MWH</vt:lpstr>
      <vt:lpstr>CON_2017_NEEA_Expend</vt:lpstr>
      <vt:lpstr>CON_2017_NEEA_MWH</vt:lpstr>
      <vt:lpstr>CON_2017_OtherSector1_Expend</vt:lpstr>
      <vt:lpstr>CON_2017_OtherSector1_MWH</vt:lpstr>
      <vt:lpstr>CON_2017_OtherSector2_Expend</vt:lpstr>
      <vt:lpstr>CON_2017_OtherSector2_MWH</vt:lpstr>
      <vt:lpstr>CON_2017_Production_Expend</vt:lpstr>
      <vt:lpstr>CON_2017_Production_MWH</vt:lpstr>
      <vt:lpstr>CON_2017_Program1_Expend</vt:lpstr>
      <vt:lpstr>CON_2017_Program2_Expend</vt:lpstr>
      <vt:lpstr>CON_2017_Residential_Expend</vt:lpstr>
      <vt:lpstr>CON_2017_Residential_MWH</vt:lpstr>
      <vt:lpstr>CON_Contact_Name</vt:lpstr>
      <vt:lpstr>CON_Email</vt:lpstr>
      <vt:lpstr>CON_Excess_2012_13</vt:lpstr>
      <vt:lpstr>CON_Excess_2014_15</vt:lpstr>
      <vt:lpstr>CON_Phone</vt:lpstr>
      <vt:lpstr>CON_Potential_2016_2025</vt:lpstr>
      <vt:lpstr>CON_Potential_2018_2027</vt:lpstr>
      <vt:lpstr>CON_Report_Date</vt:lpstr>
      <vt:lpstr>CON_Target_2016_2017</vt:lpstr>
      <vt:lpstr>CON_Target_2018_2019</vt:lpstr>
      <vt:lpstr>CON_Utility_Name</vt:lpstr>
      <vt:lpstr>'Conservation Report'!Print_Area</vt:lpstr>
      <vt:lpstr>UtilityList</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keywords/>
  <cp:lastModifiedBy>McNay, Kaley</cp:lastModifiedBy>
  <cp:lastPrinted>2018-06-01T15:56:39Z</cp:lastPrinted>
  <dcterms:created xsi:type="dcterms:W3CDTF">2012-03-20T21:01:26Z</dcterms:created>
  <dcterms:modified xsi:type="dcterms:W3CDTF">2018-06-01T15:56:52Z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0x0101006E56B4D1795A2E4DB2F0B01679ED314A00D9D2FE07C0AA5C4E814A8CE6D7513F53</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